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oumav.mitra\Desktop\"/>
    </mc:Choice>
  </mc:AlternateContent>
  <xr:revisionPtr revIDLastSave="0" documentId="8_{76BD6739-B330-4EFF-B4FC-0F789F9DE169}" xr6:coauthVersionLast="47" xr6:coauthVersionMax="47" xr10:uidLastSave="{00000000-0000-0000-0000-000000000000}"/>
  <bookViews>
    <workbookView xWindow="-108" yWindow="-108" windowWidth="23256" windowHeight="13176" tabRatio="823" activeTab="10" xr2:uid="{FC8EF0F3-CA56-4B44-93CC-3C3BDBA241F7}"/>
  </bookViews>
  <sheets>
    <sheet name="Abs. - L&amp;T" sheetId="15" r:id="rId1"/>
    <sheet name="Abs. - PMC" sheetId="13" state="hidden" r:id="rId2"/>
    <sheet name="Abs. - PMC (For Print)" sheetId="16" r:id="rId3"/>
    <sheet name="Breakup-Summary" sheetId="22" r:id="rId4"/>
    <sheet name="Detailed breakup" sheetId="1" r:id="rId5"/>
    <sheet name="MB Details" sheetId="14" r:id="rId6"/>
    <sheet name="Schedule 1" sheetId="6" r:id="rId7"/>
    <sheet name="Schedule 2" sheetId="7" r:id="rId8"/>
    <sheet name="Schedule 3" sheetId="8" r:id="rId9"/>
    <sheet name="Segment Summary" sheetId="36" state="hidden" r:id="rId10"/>
    <sheet name="Schedule 4" sheetId="18" r:id="rId11"/>
    <sheet name="Well Cal." sheetId="23" r:id="rId12"/>
    <sheet name="Pylon Cal." sheetId="44" r:id="rId13"/>
    <sheet name="Segment Abs." sheetId="37" r:id="rId14"/>
    <sheet name="Schedule 5" sheetId="20" r:id="rId15"/>
    <sheet name="Girder Abs." sheetId="38" r:id="rId16"/>
    <sheet name="Schedule 6" sheetId="41" r:id="rId17"/>
    <sheet name="Schedule 7" sheetId="27" r:id="rId18"/>
    <sheet name="Emb-Backup" sheetId="31" r:id="rId19"/>
    <sheet name="Schedule 8" sheetId="35" r:id="rId20"/>
    <sheet name="DAAB" sheetId="39" r:id="rId21"/>
    <sheet name="Price Adj. - Breakup" sheetId="12" r:id="rId22"/>
    <sheet name="Price Adj." sheetId="11" r:id="rId23"/>
    <sheet name="Indices Cal." sheetId="43" r:id="rId24"/>
    <sheet name="Withheld-Release" sheetId="25" r:id="rId25"/>
    <sheet name="Withheld Release Details" sheetId="28" r:id="rId26"/>
    <sheet name="Retention Release" sheetId="29" r:id="rId27"/>
    <sheet name="ABG Reduction" sheetId="33" r:id="rId28"/>
    <sheet name="Summary-Royalty" sheetId="30" r:id="rId29"/>
    <sheet name="Royalty Details" sheetId="24" r:id="rId30"/>
    <sheet name="Checklist_Old" sheetId="17" state="hidden" r:id="rId31"/>
    <sheet name="MB Entry" sheetId="32" state="hidden" r:id="rId32"/>
    <sheet name="Checklist_New" sheetId="40" r:id="rId33"/>
    <sheet name="Pile Details" sheetId="34" r:id="rId34"/>
    <sheet name="Expl." sheetId="42" r:id="rId35"/>
    <sheet name="Mandate Documents" sheetId="2" state="hidden" r:id="rId36"/>
  </sheets>
  <externalReferences>
    <externalReference r:id="rId37"/>
  </externalReferences>
  <definedNames>
    <definedName name="_xlnm._FilterDatabase" localSheetId="3" hidden="1">'Breakup-Summary'!$A$5:$K$21</definedName>
    <definedName name="_xlnm._FilterDatabase" localSheetId="4" hidden="1">'Detailed breakup'!$A$6:$R$529</definedName>
    <definedName name="_xlnm._FilterDatabase" localSheetId="18" hidden="1">'Emb-Backup'!$A$2:$W$254</definedName>
    <definedName name="_xlnm._FilterDatabase" localSheetId="5" hidden="1">'MB Details'!$B$1:$Q$109</definedName>
    <definedName name="_xlnm._FilterDatabase" localSheetId="31" hidden="1">'MB Entry'!$A$2:$O$240</definedName>
    <definedName name="_xlnm._FilterDatabase" localSheetId="33" hidden="1">'Pile Details'!$K$4:$L$44</definedName>
    <definedName name="_xlnm._FilterDatabase" localSheetId="21" hidden="1">'Price Adj. - Breakup'!$A$6:$O$82</definedName>
    <definedName name="_xlnm._FilterDatabase" localSheetId="12" hidden="1">'Pylon Cal.'!$B$4:$N$4</definedName>
    <definedName name="_xlnm._FilterDatabase" localSheetId="29" hidden="1">'Royalty Details'!$A$4:$Q$60</definedName>
    <definedName name="_xlnm._FilterDatabase" localSheetId="6" hidden="1">'Schedule 1'!$B$6:$I$748</definedName>
    <definedName name="_xlnm._FilterDatabase" localSheetId="7" hidden="1">'Schedule 2'!$B$6:$J$738</definedName>
    <definedName name="_xlnm._FilterDatabase" localSheetId="8" hidden="1">'Schedule 3'!$B$6:$I$192</definedName>
    <definedName name="_xlnm._FilterDatabase" localSheetId="10" hidden="1">'Schedule 4'!$B$6:$J$1234</definedName>
    <definedName name="_xlnm._FilterDatabase" localSheetId="14" hidden="1">'Schedule 5'!$B$6:$J$1235</definedName>
    <definedName name="_xlnm._FilterDatabase" localSheetId="16" hidden="1">'Schedule 6'!$B$6:$J$81</definedName>
    <definedName name="_xlnm._FilterDatabase" localSheetId="17" hidden="1">'Schedule 7'!$B$6:$Y$77</definedName>
    <definedName name="_xlnm._FilterDatabase" localSheetId="19" hidden="1">'Schedule 8'!$B$6:$Q$17</definedName>
    <definedName name="_xlnm._FilterDatabase" localSheetId="11" hidden="1">'Well Cal.'!$B$4:$AO$4</definedName>
    <definedName name="_xlnm._FilterDatabase" localSheetId="25" hidden="1">'Withheld Release Details'!$V$2:$AD$210</definedName>
    <definedName name="_xlnm._FilterDatabase" localSheetId="24" hidden="1">'Withheld-Release'!$A$4:$U$48</definedName>
    <definedName name="_xlnm.Print_Area" localSheetId="27">'ABG Reduction'!$A$1:$I$32</definedName>
    <definedName name="_xlnm.Print_Area" localSheetId="0">'Abs. - L&amp;T'!$B$2:$H$60</definedName>
    <definedName name="_xlnm.Print_Area" localSheetId="1">'Abs. - PMC'!$B$2:$H$51</definedName>
    <definedName name="_xlnm.Print_Area" localSheetId="2">'Abs. - PMC (For Print)'!$B$2:$H$91</definedName>
    <definedName name="_xlnm.Print_Area" localSheetId="3">'Breakup-Summary'!$B$2:$K$23</definedName>
    <definedName name="_xlnm.Print_Area" localSheetId="20">DAAB!$A$1:$AA$50</definedName>
    <definedName name="_xlnm.Print_Area" localSheetId="4">'Detailed breakup'!$B$2:$R$533</definedName>
    <definedName name="_xlnm.Print_Area" localSheetId="18">'Emb-Backup'!$A$1:$N$254</definedName>
    <definedName name="_xlnm.Print_Area" localSheetId="15">'Girder Abs.'!$B$1:$J$67</definedName>
    <definedName name="_xlnm.Print_Area" localSheetId="5">'MB Details'!$B$1:$L$178</definedName>
    <definedName name="_xlnm.Print_Area" localSheetId="31">'MB Entry'!$B$2:$K$138</definedName>
    <definedName name="_xlnm.Print_Area" localSheetId="22">'Price Adj.'!$B$2:$V$77</definedName>
    <definedName name="_xlnm.Print_Area" localSheetId="21">'Price Adj. - Breakup'!$B$2:$O$91</definedName>
    <definedName name="_xlnm.Print_Area" localSheetId="12">'Pylon Cal.'!$B$1:$L$108</definedName>
    <definedName name="_xlnm.Print_Area" localSheetId="26">'Retention Release'!$A$1:$H$40</definedName>
    <definedName name="_xlnm.Print_Area" localSheetId="29">'Royalty Details'!$A$1:$Q$65</definedName>
    <definedName name="_xlnm.Print_Area" localSheetId="6">'Schedule 1'!$B$2:$J$748</definedName>
    <definedName name="_xlnm.Print_Area" localSheetId="7">'Schedule 2'!$B$2:$J$738</definedName>
    <definedName name="_xlnm.Print_Area" localSheetId="8">'Schedule 3'!$B$2:$J$192</definedName>
    <definedName name="_xlnm.Print_Area" localSheetId="10">'Schedule 4'!$B$1:$J$1252</definedName>
    <definedName name="_xlnm.Print_Area" localSheetId="14">'Schedule 5'!$B$2:$J$1235</definedName>
    <definedName name="_xlnm.Print_Area" localSheetId="16">'Schedule 6'!$B$2:$J$87</definedName>
    <definedName name="_xlnm.Print_Area" localSheetId="17">'Schedule 7'!$B$2:$N$84</definedName>
    <definedName name="_xlnm.Print_Area" localSheetId="19">'Schedule 8'!$B$2:$J$17</definedName>
    <definedName name="_xlnm.Print_Area" localSheetId="13">'Segment Abs.'!$B$1:$R$210</definedName>
    <definedName name="_xlnm.Print_Area" localSheetId="9">'Segment Summary'!$A$1:$Z$121</definedName>
    <definedName name="_xlnm.Print_Area" localSheetId="28">'Summary-Royalty'!$A$1:$N$30</definedName>
    <definedName name="_xlnm.Print_Area" localSheetId="11">'Well Cal.'!$B$1:$AC$610</definedName>
    <definedName name="_xlnm.Print_Area" localSheetId="25">'Withheld Release Details'!$A$1:$T$52</definedName>
    <definedName name="_xlnm.Print_Area" localSheetId="24">'Withheld-Release'!$A$1:$U$48</definedName>
    <definedName name="_xlnm.Print_Titles" localSheetId="3">'Breakup-Summary'!$3:$5</definedName>
    <definedName name="_xlnm.Print_Titles" localSheetId="4">'Detailed breakup'!$3:$6</definedName>
    <definedName name="_xlnm.Print_Titles" localSheetId="18">'Emb-Backup'!$2:$2</definedName>
    <definedName name="_xlnm.Print_Titles" localSheetId="5">'MB Details'!$1:$1</definedName>
    <definedName name="_xlnm.Print_Titles" localSheetId="31">'MB Entry'!$2:$2</definedName>
    <definedName name="_xlnm.Print_Titles" localSheetId="21">'Price Adj. - Breakup'!$5:$6</definedName>
    <definedName name="_xlnm.Print_Titles" localSheetId="12">'Pylon Cal.'!$1:$4</definedName>
    <definedName name="_xlnm.Print_Titles" localSheetId="6">'Schedule 1'!$4:$6</definedName>
    <definedName name="_xlnm.Print_Titles" localSheetId="7">'Schedule 2'!$4:$6</definedName>
    <definedName name="_xlnm.Print_Titles" localSheetId="8">'Schedule 3'!$4:$6</definedName>
    <definedName name="_xlnm.Print_Titles" localSheetId="10">'Schedule 4'!$4:$6</definedName>
    <definedName name="_xlnm.Print_Titles" localSheetId="14">'Schedule 5'!$4:$6</definedName>
    <definedName name="_xlnm.Print_Titles" localSheetId="16">'Schedule 6'!$4:$6</definedName>
    <definedName name="_xlnm.Print_Titles" localSheetId="17">'Schedule 7'!$4:$6</definedName>
    <definedName name="_xlnm.Print_Titles" localSheetId="19">'Schedule 8'!$4:$6</definedName>
    <definedName name="_xlnm.Print_Titles" localSheetId="13">'Segment Abs.'!$1:$3</definedName>
    <definedName name="_xlnm.Print_Titles" localSheetId="11">'Well Cal.'!$1:$4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4" l="1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9" i="14"/>
  <c r="M18" i="14"/>
  <c r="M20" i="14"/>
  <c r="M21" i="14"/>
  <c r="M22" i="14"/>
  <c r="M23" i="14"/>
  <c r="M24" i="14"/>
  <c r="M25" i="14"/>
  <c r="M26" i="14"/>
  <c r="M27" i="14"/>
  <c r="M30" i="14"/>
  <c r="M29" i="14"/>
  <c r="M31" i="14"/>
  <c r="M32" i="14"/>
  <c r="M33" i="14"/>
  <c r="M34" i="14"/>
  <c r="M35" i="14"/>
  <c r="M37" i="14"/>
  <c r="M38" i="14"/>
  <c r="M36" i="14"/>
  <c r="M40" i="14"/>
  <c r="M39" i="14"/>
  <c r="M41" i="14"/>
  <c r="M42" i="14"/>
  <c r="M43" i="14"/>
  <c r="M44" i="14"/>
  <c r="M45" i="14"/>
  <c r="M46" i="14"/>
  <c r="M47" i="14"/>
  <c r="M48" i="14"/>
  <c r="M49" i="14"/>
  <c r="M51" i="14"/>
  <c r="M50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7" i="14"/>
  <c r="M92" i="14"/>
  <c r="M96" i="14"/>
  <c r="M93" i="14"/>
  <c r="M94" i="14"/>
  <c r="M98" i="14"/>
  <c r="M95" i="14"/>
  <c r="M99" i="14"/>
  <c r="M100" i="14"/>
  <c r="M101" i="14"/>
  <c r="M102" i="14"/>
  <c r="M103" i="14"/>
  <c r="M104" i="14"/>
  <c r="M105" i="14"/>
  <c r="M106" i="14"/>
  <c r="M107" i="14"/>
  <c r="M108" i="14"/>
  <c r="M28" i="14"/>
  <c r="M2" i="14"/>
  <c r="L56" i="24"/>
  <c r="L57" i="24"/>
  <c r="L58" i="24"/>
  <c r="L55" i="24"/>
  <c r="H4" i="16" l="1"/>
  <c r="H34" i="29" l="1"/>
  <c r="F34" i="29"/>
  <c r="E34" i="29"/>
  <c r="Z48" i="23"/>
  <c r="Z49" i="23"/>
  <c r="Z50" i="23"/>
  <c r="Z51" i="23"/>
  <c r="Z52" i="23"/>
  <c r="Z53" i="23"/>
  <c r="Z54" i="23"/>
  <c r="Z55" i="23"/>
  <c r="Z56" i="23"/>
  <c r="Z57" i="23"/>
  <c r="Z58" i="23"/>
  <c r="Z59" i="23"/>
  <c r="Z60" i="23"/>
  <c r="Z61" i="23"/>
  <c r="Z62" i="23"/>
  <c r="Z63" i="23"/>
  <c r="Z64" i="23"/>
  <c r="Z65" i="23"/>
  <c r="Z66" i="23"/>
  <c r="Z67" i="23"/>
  <c r="Z69" i="23"/>
  <c r="Z70" i="23"/>
  <c r="Z71" i="23"/>
  <c r="Z72" i="23"/>
  <c r="Z73" i="23"/>
  <c r="Z74" i="23"/>
  <c r="Z75" i="23"/>
  <c r="Z76" i="23"/>
  <c r="Z77" i="23"/>
  <c r="Z78" i="23"/>
  <c r="Z79" i="23"/>
  <c r="Z80" i="23"/>
  <c r="Z81" i="23"/>
  <c r="Z82" i="23"/>
  <c r="Z83" i="23"/>
  <c r="Z84" i="23"/>
  <c r="Z85" i="23"/>
  <c r="Z86" i="23"/>
  <c r="Z87" i="23"/>
  <c r="Z88" i="23"/>
  <c r="Z90" i="23"/>
  <c r="Z91" i="23"/>
  <c r="Z92" i="23"/>
  <c r="Z93" i="23"/>
  <c r="Z94" i="23"/>
  <c r="Z95" i="23"/>
  <c r="Z96" i="23"/>
  <c r="Z97" i="23"/>
  <c r="Z98" i="23"/>
  <c r="Z99" i="23"/>
  <c r="Z100" i="23"/>
  <c r="Z101" i="23"/>
  <c r="Z102" i="23"/>
  <c r="Z103" i="23"/>
  <c r="Z104" i="23"/>
  <c r="Z105" i="23"/>
  <c r="Z106" i="23"/>
  <c r="Z107" i="23"/>
  <c r="Z108" i="23"/>
  <c r="Z109" i="23"/>
  <c r="Z110" i="23"/>
  <c r="Z112" i="23"/>
  <c r="Z113" i="23"/>
  <c r="Z114" i="23"/>
  <c r="Z115" i="23"/>
  <c r="Z116" i="23"/>
  <c r="Z117" i="23"/>
  <c r="Z118" i="23"/>
  <c r="Z119" i="23"/>
  <c r="Z120" i="23"/>
  <c r="Z121" i="23"/>
  <c r="Z122" i="23"/>
  <c r="Z123" i="23"/>
  <c r="Z124" i="23"/>
  <c r="Z125" i="23"/>
  <c r="Z126" i="23"/>
  <c r="Z127" i="23"/>
  <c r="Z128" i="23"/>
  <c r="Z129" i="23"/>
  <c r="Z130" i="23"/>
  <c r="Z131" i="23"/>
  <c r="Z132" i="23"/>
  <c r="Z134" i="23"/>
  <c r="Z135" i="23"/>
  <c r="Z136" i="23"/>
  <c r="Z137" i="23"/>
  <c r="Z138" i="23"/>
  <c r="Z139" i="23"/>
  <c r="Z140" i="23"/>
  <c r="Z141" i="23"/>
  <c r="Z142" i="23"/>
  <c r="Z143" i="23"/>
  <c r="Z144" i="23"/>
  <c r="Z145" i="23"/>
  <c r="Z146" i="23"/>
  <c r="Z147" i="23"/>
  <c r="Z148" i="23"/>
  <c r="Z149" i="23"/>
  <c r="Z150" i="23"/>
  <c r="Z151" i="23"/>
  <c r="Z152" i="23"/>
  <c r="Z153" i="23"/>
  <c r="Z155" i="23"/>
  <c r="Z156" i="23"/>
  <c r="Z157" i="23"/>
  <c r="Z158" i="23"/>
  <c r="Z159" i="23"/>
  <c r="Z160" i="23"/>
  <c r="Z161" i="23"/>
  <c r="Z162" i="23"/>
  <c r="Z163" i="23"/>
  <c r="Z164" i="23"/>
  <c r="Z165" i="23"/>
  <c r="Z166" i="23"/>
  <c r="Z167" i="23"/>
  <c r="Z168" i="23"/>
  <c r="Z169" i="23"/>
  <c r="Z170" i="23"/>
  <c r="Z172" i="23"/>
  <c r="Z173" i="23"/>
  <c r="Z174" i="23"/>
  <c r="Z175" i="23"/>
  <c r="Z176" i="23"/>
  <c r="Z177" i="23"/>
  <c r="Z178" i="23"/>
  <c r="Z179" i="23"/>
  <c r="Z181" i="23"/>
  <c r="Z182" i="23"/>
  <c r="Z183" i="23"/>
  <c r="Z184" i="23"/>
  <c r="Z185" i="23"/>
  <c r="Z186" i="23"/>
  <c r="Z187" i="23"/>
  <c r="Z188" i="23"/>
  <c r="Z190" i="23"/>
  <c r="Z191" i="23"/>
  <c r="Z192" i="23"/>
  <c r="Z193" i="23"/>
  <c r="Z194" i="23"/>
  <c r="Z195" i="23"/>
  <c r="Z196" i="23"/>
  <c r="Z197" i="23"/>
  <c r="Z198" i="23"/>
  <c r="Z199" i="23"/>
  <c r="Z200" i="23"/>
  <c r="Z201" i="23"/>
  <c r="Z202" i="23"/>
  <c r="Z203" i="23"/>
  <c r="Z204" i="23"/>
  <c r="Z205" i="23"/>
  <c r="Z207" i="23"/>
  <c r="Z208" i="23"/>
  <c r="Z209" i="23"/>
  <c r="Z210" i="23"/>
  <c r="Z211" i="23"/>
  <c r="Z212" i="23"/>
  <c r="Z213" i="23"/>
  <c r="Z214" i="23"/>
  <c r="Z215" i="23"/>
  <c r="Z216" i="23"/>
  <c r="Z217" i="23"/>
  <c r="Z218" i="23"/>
  <c r="Z219" i="23"/>
  <c r="Z220" i="23"/>
  <c r="Z221" i="23"/>
  <c r="Z223" i="23"/>
  <c r="Z224" i="23"/>
  <c r="Z225" i="23"/>
  <c r="Z226" i="23"/>
  <c r="Z227" i="23"/>
  <c r="Z228" i="23"/>
  <c r="Z229" i="23"/>
  <c r="Z230" i="23"/>
  <c r="Z232" i="23"/>
  <c r="Z233" i="23"/>
  <c r="Z234" i="23"/>
  <c r="Z235" i="23"/>
  <c r="Z236" i="23"/>
  <c r="Z237" i="23"/>
  <c r="Z238" i="23"/>
  <c r="Z239" i="23"/>
  <c r="Z240" i="23"/>
  <c r="Z241" i="23"/>
  <c r="Z242" i="23"/>
  <c r="Z243" i="23"/>
  <c r="Z244" i="23"/>
  <c r="Z245" i="23"/>
  <c r="Z246" i="23"/>
  <c r="Z247" i="23"/>
  <c r="Z248" i="23"/>
  <c r="Z249" i="23"/>
  <c r="Z250" i="23"/>
  <c r="Z252" i="23"/>
  <c r="Z253" i="23"/>
  <c r="Z254" i="23"/>
  <c r="Z255" i="23"/>
  <c r="Z256" i="23"/>
  <c r="Z257" i="23"/>
  <c r="Z258" i="23"/>
  <c r="Z259" i="23"/>
  <c r="Z260" i="23"/>
  <c r="Z261" i="23"/>
  <c r="Z262" i="23"/>
  <c r="Z263" i="23"/>
  <c r="Z264" i="23"/>
  <c r="Z265" i="23"/>
  <c r="Z266" i="23"/>
  <c r="Z267" i="23"/>
  <c r="Z268" i="23"/>
  <c r="Z269" i="23"/>
  <c r="Z270" i="23"/>
  <c r="Z271" i="23"/>
  <c r="Z272" i="23"/>
  <c r="Z274" i="23"/>
  <c r="Z275" i="23"/>
  <c r="Z276" i="23"/>
  <c r="Z277" i="23"/>
  <c r="Z278" i="23"/>
  <c r="Z279" i="23"/>
  <c r="Z280" i="23"/>
  <c r="Z281" i="23"/>
  <c r="Z282" i="23"/>
  <c r="Z283" i="23"/>
  <c r="Z284" i="23"/>
  <c r="Z285" i="23"/>
  <c r="Z286" i="23"/>
  <c r="Z287" i="23"/>
  <c r="Z288" i="23"/>
  <c r="Z289" i="23"/>
  <c r="Z290" i="23"/>
  <c r="Z291" i="23"/>
  <c r="Z292" i="23"/>
  <c r="Z293" i="23"/>
  <c r="Z294" i="23"/>
  <c r="Z296" i="23"/>
  <c r="Z297" i="23"/>
  <c r="Z298" i="23"/>
  <c r="Z299" i="23"/>
  <c r="Z300" i="23"/>
  <c r="Z301" i="23"/>
  <c r="Z302" i="23"/>
  <c r="Z303" i="23"/>
  <c r="Z304" i="23"/>
  <c r="Z305" i="23"/>
  <c r="Z306" i="23"/>
  <c r="Z307" i="23"/>
  <c r="Z308" i="23"/>
  <c r="Z309" i="23"/>
  <c r="Z310" i="23"/>
  <c r="Z311" i="23"/>
  <c r="Z312" i="23"/>
  <c r="Z313" i="23"/>
  <c r="Z314" i="23"/>
  <c r="Z315" i="23"/>
  <c r="Z316" i="23"/>
  <c r="Z317" i="23"/>
  <c r="Z319" i="23"/>
  <c r="Z320" i="23"/>
  <c r="Z321" i="23"/>
  <c r="Z322" i="23"/>
  <c r="Z323" i="23"/>
  <c r="Z324" i="23"/>
  <c r="Z325" i="23"/>
  <c r="Z326" i="23"/>
  <c r="Z327" i="23"/>
  <c r="Z328" i="23"/>
  <c r="Z329" i="23"/>
  <c r="Z330" i="23"/>
  <c r="Z331" i="23"/>
  <c r="Z332" i="23"/>
  <c r="Z333" i="23"/>
  <c r="Z334" i="23"/>
  <c r="Z335" i="23"/>
  <c r="Z336" i="23"/>
  <c r="Z337" i="23"/>
  <c r="Z338" i="23"/>
  <c r="Z340" i="23"/>
  <c r="Z341" i="23"/>
  <c r="Z342" i="23"/>
  <c r="Z343" i="23"/>
  <c r="Z344" i="23"/>
  <c r="Z345" i="23"/>
  <c r="Z346" i="23"/>
  <c r="Z347" i="23"/>
  <c r="Z348" i="23"/>
  <c r="Z349" i="23"/>
  <c r="Z350" i="23"/>
  <c r="Z351" i="23"/>
  <c r="Z352" i="23"/>
  <c r="Z353" i="23"/>
  <c r="Z354" i="23"/>
  <c r="Z355" i="23"/>
  <c r="Z356" i="23"/>
  <c r="Z357" i="23"/>
  <c r="Z358" i="23"/>
  <c r="Z359" i="23"/>
  <c r="Z360" i="23"/>
  <c r="Z362" i="23"/>
  <c r="Z363" i="23"/>
  <c r="Z364" i="23"/>
  <c r="Z365" i="23"/>
  <c r="Z366" i="23"/>
  <c r="Z367" i="23"/>
  <c r="Z368" i="23"/>
  <c r="Z369" i="23"/>
  <c r="Z370" i="23"/>
  <c r="Z371" i="23"/>
  <c r="Z372" i="23"/>
  <c r="Z373" i="23"/>
  <c r="Z374" i="23"/>
  <c r="Z375" i="23"/>
  <c r="Z376" i="23"/>
  <c r="Z377" i="23"/>
  <c r="Z378" i="23"/>
  <c r="Z379" i="23"/>
  <c r="Z380" i="23"/>
  <c r="Z381" i="23"/>
  <c r="Z382" i="23"/>
  <c r="Z384" i="23"/>
  <c r="Z385" i="23"/>
  <c r="Z386" i="23"/>
  <c r="Z387" i="23"/>
  <c r="Z388" i="23"/>
  <c r="Z389" i="23"/>
  <c r="Z390" i="23"/>
  <c r="Z391" i="23"/>
  <c r="Z392" i="23"/>
  <c r="Z393" i="23"/>
  <c r="Z394" i="23"/>
  <c r="Z395" i="23"/>
  <c r="Z396" i="23"/>
  <c r="Z397" i="23"/>
  <c r="Z398" i="23"/>
  <c r="Z399" i="23"/>
  <c r="Z400" i="23"/>
  <c r="Z401" i="23"/>
  <c r="Z402" i="23"/>
  <c r="Z403" i="23"/>
  <c r="Z404" i="23"/>
  <c r="Z405" i="23"/>
  <c r="Z407" i="23"/>
  <c r="Z408" i="23"/>
  <c r="Z409" i="23"/>
  <c r="Z410" i="23"/>
  <c r="Z411" i="23"/>
  <c r="Z412" i="23"/>
  <c r="Z413" i="23"/>
  <c r="Z414" i="23"/>
  <c r="Z415" i="23"/>
  <c r="Z416" i="23"/>
  <c r="Z417" i="23"/>
  <c r="Z418" i="23"/>
  <c r="Z419" i="23"/>
  <c r="Z420" i="23"/>
  <c r="Z421" i="23"/>
  <c r="Z422" i="23"/>
  <c r="Z423" i="23"/>
  <c r="Z424" i="23"/>
  <c r="Z425" i="23"/>
  <c r="Z426" i="23"/>
  <c r="Z427" i="23"/>
  <c r="Z428" i="23"/>
  <c r="Z430" i="23"/>
  <c r="Z431" i="23"/>
  <c r="Z432" i="23"/>
  <c r="Z433" i="23"/>
  <c r="Z434" i="23"/>
  <c r="Z435" i="23"/>
  <c r="Z436" i="23"/>
  <c r="Z437" i="23"/>
  <c r="Z438" i="23"/>
  <c r="Z439" i="23"/>
  <c r="Z440" i="23"/>
  <c r="Z441" i="23"/>
  <c r="Z442" i="23"/>
  <c r="Z443" i="23"/>
  <c r="Z444" i="23"/>
  <c r="Z445" i="23"/>
  <c r="Z446" i="23"/>
  <c r="Z447" i="23"/>
  <c r="Z448" i="23"/>
  <c r="Z449" i="23"/>
  <c r="Z450" i="23"/>
  <c r="Z451" i="23"/>
  <c r="Z452" i="23"/>
  <c r="Z454" i="23"/>
  <c r="Z455" i="23"/>
  <c r="Z456" i="23"/>
  <c r="Z457" i="23"/>
  <c r="Z458" i="23"/>
  <c r="Z459" i="23"/>
  <c r="Z460" i="23"/>
  <c r="Z461" i="23"/>
  <c r="Z462" i="23"/>
  <c r="Z463" i="23"/>
  <c r="Z464" i="23"/>
  <c r="Z465" i="23"/>
  <c r="Z466" i="23"/>
  <c r="Z467" i="23"/>
  <c r="Z468" i="23"/>
  <c r="Z469" i="23"/>
  <c r="Z470" i="23"/>
  <c r="Z471" i="23"/>
  <c r="Z472" i="23"/>
  <c r="Z473" i="23"/>
  <c r="Z474" i="23"/>
  <c r="Z475" i="23"/>
  <c r="Z477" i="23"/>
  <c r="Z478" i="23"/>
  <c r="Z479" i="23"/>
  <c r="Z480" i="23"/>
  <c r="Z481" i="23"/>
  <c r="Z482" i="23"/>
  <c r="Z483" i="23"/>
  <c r="Z484" i="23"/>
  <c r="Z485" i="23"/>
  <c r="Z486" i="23"/>
  <c r="Z487" i="23"/>
  <c r="Z488" i="23"/>
  <c r="Z489" i="23"/>
  <c r="Z490" i="23"/>
  <c r="Z491" i="23"/>
  <c r="Z492" i="23"/>
  <c r="Z493" i="23"/>
  <c r="Z494" i="23"/>
  <c r="Z495" i="23"/>
  <c r="Z496" i="23"/>
  <c r="Z497" i="23"/>
  <c r="Z499" i="23"/>
  <c r="Z500" i="23"/>
  <c r="Z501" i="23"/>
  <c r="Z502" i="23"/>
  <c r="Z503" i="23"/>
  <c r="Z504" i="23"/>
  <c r="Z505" i="23"/>
  <c r="Z506" i="23"/>
  <c r="Z507" i="23"/>
  <c r="Z508" i="23"/>
  <c r="Z509" i="23"/>
  <c r="Z510" i="23"/>
  <c r="Z511" i="23"/>
  <c r="Z512" i="23"/>
  <c r="Z513" i="23"/>
  <c r="Z514" i="23"/>
  <c r="Z515" i="23"/>
  <c r="Z516" i="23"/>
  <c r="Z517" i="23"/>
  <c r="Z518" i="23"/>
  <c r="Z519" i="23"/>
  <c r="Z521" i="23"/>
  <c r="Z522" i="23"/>
  <c r="Z523" i="23"/>
  <c r="Z524" i="23"/>
  <c r="Z525" i="23"/>
  <c r="Z526" i="23"/>
  <c r="Z527" i="23"/>
  <c r="Z528" i="23"/>
  <c r="Z529" i="23"/>
  <c r="Z530" i="23"/>
  <c r="Z531" i="23"/>
  <c r="Z532" i="23"/>
  <c r="Z533" i="23"/>
  <c r="Z534" i="23"/>
  <c r="Z535" i="23"/>
  <c r="Z536" i="23"/>
  <c r="Z537" i="23"/>
  <c r="Z538" i="23"/>
  <c r="Z539" i="23"/>
  <c r="Z540" i="23"/>
  <c r="Z541" i="23"/>
  <c r="Z543" i="23"/>
  <c r="Z544" i="23"/>
  <c r="Z545" i="23"/>
  <c r="Z546" i="23"/>
  <c r="Z547" i="23"/>
  <c r="Z548" i="23"/>
  <c r="Z549" i="23"/>
  <c r="Z550" i="23"/>
  <c r="Z551" i="23"/>
  <c r="Z552" i="23"/>
  <c r="Z553" i="23"/>
  <c r="Z554" i="23"/>
  <c r="Z555" i="23"/>
  <c r="Z556" i="23"/>
  <c r="Z557" i="23"/>
  <c r="Z558" i="23"/>
  <c r="Z559" i="23"/>
  <c r="Z560" i="23"/>
  <c r="Z561" i="23"/>
  <c r="Z562" i="23"/>
  <c r="Z563" i="23"/>
  <c r="Z564" i="23"/>
  <c r="Z566" i="23"/>
  <c r="Z567" i="23"/>
  <c r="Z568" i="23"/>
  <c r="Z569" i="23"/>
  <c r="Z570" i="23"/>
  <c r="Z571" i="23"/>
  <c r="Z572" i="23"/>
  <c r="Z573" i="23"/>
  <c r="Z574" i="23"/>
  <c r="Z575" i="23"/>
  <c r="Z576" i="23"/>
  <c r="Z577" i="23"/>
  <c r="Z578" i="23"/>
  <c r="Z579" i="23"/>
  <c r="Z580" i="23"/>
  <c r="Z581" i="23"/>
  <c r="Z582" i="23"/>
  <c r="Z583" i="23"/>
  <c r="Z584" i="23"/>
  <c r="Z585" i="23"/>
  <c r="Z586" i="23"/>
  <c r="Z588" i="23"/>
  <c r="Z589" i="23"/>
  <c r="Z590" i="23"/>
  <c r="Z591" i="23"/>
  <c r="Z592" i="23"/>
  <c r="Z593" i="23"/>
  <c r="Z594" i="23"/>
  <c r="Z595" i="23"/>
  <c r="Z596" i="23"/>
  <c r="Z597" i="23"/>
  <c r="Z598" i="23"/>
  <c r="Z599" i="23"/>
  <c r="Z600" i="23"/>
  <c r="Z601" i="23"/>
  <c r="Z602" i="23"/>
  <c r="Z603" i="23"/>
  <c r="Z604" i="23"/>
  <c r="Z605" i="23"/>
  <c r="Z606" i="23"/>
  <c r="Z607" i="23"/>
  <c r="Z5" i="23"/>
  <c r="Z6" i="23"/>
  <c r="Z7" i="23"/>
  <c r="Z8" i="23"/>
  <c r="Z9" i="23"/>
  <c r="Z10" i="23"/>
  <c r="Z11" i="23"/>
  <c r="Z12" i="23"/>
  <c r="Z13" i="23"/>
  <c r="Z14" i="23"/>
  <c r="Z15" i="23"/>
  <c r="Z16" i="23"/>
  <c r="Z17" i="23"/>
  <c r="Z18" i="23"/>
  <c r="Z19" i="23"/>
  <c r="Z20" i="23"/>
  <c r="Z21" i="23"/>
  <c r="Z22" i="23"/>
  <c r="Z23" i="23"/>
  <c r="Z25" i="23"/>
  <c r="Z26" i="23"/>
  <c r="Z27" i="23"/>
  <c r="Z28" i="23"/>
  <c r="Z29" i="23"/>
  <c r="Z30" i="23"/>
  <c r="Z31" i="23"/>
  <c r="Z32" i="23"/>
  <c r="Z33" i="23"/>
  <c r="Z34" i="23"/>
  <c r="Z35" i="23"/>
  <c r="Z36" i="23"/>
  <c r="Z37" i="23"/>
  <c r="Z38" i="23"/>
  <c r="Z39" i="23"/>
  <c r="Z40" i="23"/>
  <c r="Z41" i="23"/>
  <c r="Z42" i="23"/>
  <c r="Z43" i="23"/>
  <c r="Z46" i="23" l="1"/>
  <c r="Z610" i="23"/>
  <c r="F1094" i="18"/>
  <c r="P69" i="11" l="1"/>
  <c r="P39" i="11"/>
  <c r="C108" i="44" l="1"/>
  <c r="C17" i="44"/>
  <c r="D104" i="44" l="1"/>
  <c r="D100" i="44"/>
  <c r="D97" i="44"/>
  <c r="D94" i="44"/>
  <c r="D88" i="44"/>
  <c r="D81" i="44"/>
  <c r="D78" i="44"/>
  <c r="D73" i="44"/>
  <c r="D70" i="44"/>
  <c r="D66" i="44"/>
  <c r="D63" i="44"/>
  <c r="D60" i="44"/>
  <c r="D57" i="44"/>
  <c r="D54" i="44"/>
  <c r="D51" i="44"/>
  <c r="D48" i="44"/>
  <c r="D45" i="44"/>
  <c r="D42" i="44"/>
  <c r="D39" i="44"/>
  <c r="D36" i="44"/>
  <c r="D33" i="44"/>
  <c r="D30" i="44"/>
  <c r="D21" i="44"/>
  <c r="D17" i="44"/>
  <c r="D14" i="44"/>
  <c r="I105" i="44"/>
  <c r="H105" i="44"/>
  <c r="G105" i="44"/>
  <c r="F105" i="44"/>
  <c r="I104" i="44"/>
  <c r="H104" i="44"/>
  <c r="G104" i="44"/>
  <c r="F104" i="44"/>
  <c r="I102" i="44"/>
  <c r="H102" i="44"/>
  <c r="G102" i="44"/>
  <c r="F102" i="44"/>
  <c r="I101" i="44"/>
  <c r="H101" i="44"/>
  <c r="G101" i="44"/>
  <c r="F101" i="44"/>
  <c r="I100" i="44"/>
  <c r="H100" i="44"/>
  <c r="G100" i="44"/>
  <c r="F100" i="44"/>
  <c r="I98" i="44"/>
  <c r="H98" i="44"/>
  <c r="G98" i="44"/>
  <c r="F98" i="44"/>
  <c r="I97" i="44"/>
  <c r="H97" i="44"/>
  <c r="G97" i="44"/>
  <c r="F97" i="44"/>
  <c r="I95" i="44"/>
  <c r="H95" i="44"/>
  <c r="G95" i="44"/>
  <c r="F95" i="44"/>
  <c r="I94" i="44"/>
  <c r="H94" i="44"/>
  <c r="G94" i="44"/>
  <c r="F94" i="44"/>
  <c r="I92" i="44"/>
  <c r="H92" i="44"/>
  <c r="G92" i="44"/>
  <c r="F92" i="44"/>
  <c r="I91" i="44"/>
  <c r="H91" i="44"/>
  <c r="G91" i="44"/>
  <c r="F91" i="44"/>
  <c r="I90" i="44"/>
  <c r="H90" i="44"/>
  <c r="G90" i="44"/>
  <c r="F90" i="44"/>
  <c r="I89" i="44"/>
  <c r="H89" i="44"/>
  <c r="G89" i="44"/>
  <c r="F89" i="44"/>
  <c r="I88" i="44"/>
  <c r="H88" i="44"/>
  <c r="G88" i="44"/>
  <c r="F88" i="44"/>
  <c r="H86" i="44"/>
  <c r="G86" i="44"/>
  <c r="F86" i="44"/>
  <c r="I85" i="44"/>
  <c r="H85" i="44"/>
  <c r="G85" i="44"/>
  <c r="F85" i="44"/>
  <c r="I84" i="44"/>
  <c r="H84" i="44"/>
  <c r="G84" i="44"/>
  <c r="F84" i="44"/>
  <c r="I82" i="44"/>
  <c r="H82" i="44"/>
  <c r="G82" i="44"/>
  <c r="F82" i="44"/>
  <c r="I81" i="44"/>
  <c r="H81" i="44"/>
  <c r="G81" i="44"/>
  <c r="F81" i="44"/>
  <c r="I79" i="44"/>
  <c r="H79" i="44"/>
  <c r="G79" i="44"/>
  <c r="F79" i="44"/>
  <c r="I78" i="44"/>
  <c r="H78" i="44"/>
  <c r="G78" i="44"/>
  <c r="F78" i="44"/>
  <c r="I76" i="44"/>
  <c r="H76" i="44"/>
  <c r="G76" i="44"/>
  <c r="F76" i="44"/>
  <c r="I75" i="44"/>
  <c r="H75" i="44"/>
  <c r="G75" i="44"/>
  <c r="F75" i="44"/>
  <c r="I74" i="44"/>
  <c r="H74" i="44"/>
  <c r="G74" i="44"/>
  <c r="F74" i="44"/>
  <c r="I73" i="44"/>
  <c r="H73" i="44"/>
  <c r="G73" i="44"/>
  <c r="F73" i="44"/>
  <c r="I71" i="44"/>
  <c r="H71" i="44"/>
  <c r="G71" i="44"/>
  <c r="F71" i="44"/>
  <c r="I70" i="44"/>
  <c r="H70" i="44"/>
  <c r="G70" i="44"/>
  <c r="F70" i="44"/>
  <c r="I68" i="44"/>
  <c r="H68" i="44"/>
  <c r="G68" i="44"/>
  <c r="F68" i="44"/>
  <c r="I67" i="44"/>
  <c r="H67" i="44"/>
  <c r="G67" i="44"/>
  <c r="F67" i="44"/>
  <c r="I66" i="44"/>
  <c r="H66" i="44"/>
  <c r="G66" i="44"/>
  <c r="F66" i="44"/>
  <c r="I64" i="44"/>
  <c r="H64" i="44"/>
  <c r="G64" i="44"/>
  <c r="F64" i="44"/>
  <c r="I63" i="44"/>
  <c r="H63" i="44"/>
  <c r="G63" i="44"/>
  <c r="F63" i="44"/>
  <c r="I61" i="44"/>
  <c r="H61" i="44"/>
  <c r="G61" i="44"/>
  <c r="F61" i="44"/>
  <c r="I60" i="44"/>
  <c r="H60" i="44"/>
  <c r="G60" i="44"/>
  <c r="F60" i="44"/>
  <c r="I58" i="44"/>
  <c r="H58" i="44"/>
  <c r="G58" i="44"/>
  <c r="F58" i="44"/>
  <c r="I57" i="44"/>
  <c r="H57" i="44"/>
  <c r="G57" i="44"/>
  <c r="F57" i="44"/>
  <c r="I55" i="44"/>
  <c r="H55" i="44"/>
  <c r="G55" i="44"/>
  <c r="F55" i="44"/>
  <c r="I54" i="44"/>
  <c r="H54" i="44"/>
  <c r="G54" i="44"/>
  <c r="F54" i="44"/>
  <c r="I52" i="44"/>
  <c r="H52" i="44"/>
  <c r="G52" i="44"/>
  <c r="F52" i="44"/>
  <c r="I51" i="44"/>
  <c r="H51" i="44"/>
  <c r="G51" i="44"/>
  <c r="F51" i="44"/>
  <c r="I49" i="44"/>
  <c r="H49" i="44"/>
  <c r="G49" i="44"/>
  <c r="F49" i="44"/>
  <c r="I48" i="44"/>
  <c r="H48" i="44"/>
  <c r="G48" i="44"/>
  <c r="F48" i="44"/>
  <c r="I46" i="44"/>
  <c r="H46" i="44"/>
  <c r="G46" i="44"/>
  <c r="F46" i="44"/>
  <c r="I45" i="44"/>
  <c r="H45" i="44"/>
  <c r="G45" i="44"/>
  <c r="F45" i="44"/>
  <c r="I43" i="44"/>
  <c r="H43" i="44"/>
  <c r="G43" i="44"/>
  <c r="F43" i="44"/>
  <c r="I42" i="44"/>
  <c r="H42" i="44"/>
  <c r="G42" i="44"/>
  <c r="F42" i="44"/>
  <c r="I40" i="44"/>
  <c r="H40" i="44"/>
  <c r="G40" i="44"/>
  <c r="F40" i="44"/>
  <c r="I39" i="44"/>
  <c r="H39" i="44"/>
  <c r="G39" i="44"/>
  <c r="F39" i="44"/>
  <c r="I37" i="44"/>
  <c r="H37" i="44"/>
  <c r="G37" i="44"/>
  <c r="F37" i="44"/>
  <c r="I36" i="44"/>
  <c r="H36" i="44"/>
  <c r="G36" i="44"/>
  <c r="F36" i="44"/>
  <c r="I34" i="44"/>
  <c r="H34" i="44"/>
  <c r="G34" i="44"/>
  <c r="F34" i="44"/>
  <c r="I33" i="44"/>
  <c r="H33" i="44"/>
  <c r="G33" i="44"/>
  <c r="F33" i="44"/>
  <c r="I31" i="44"/>
  <c r="H31" i="44"/>
  <c r="G31" i="44"/>
  <c r="F31" i="44"/>
  <c r="I30" i="44"/>
  <c r="H30" i="44"/>
  <c r="G30" i="44"/>
  <c r="F30" i="44"/>
  <c r="I19" i="44"/>
  <c r="H19" i="44"/>
  <c r="G19" i="44"/>
  <c r="F19" i="44"/>
  <c r="I18" i="44"/>
  <c r="H18" i="44"/>
  <c r="G18" i="44"/>
  <c r="F18" i="44"/>
  <c r="I17" i="44"/>
  <c r="H17" i="44"/>
  <c r="G17" i="44"/>
  <c r="F17" i="44"/>
  <c r="I15" i="44"/>
  <c r="H15" i="44"/>
  <c r="G15" i="44"/>
  <c r="F15" i="44"/>
  <c r="I14" i="44"/>
  <c r="H14" i="44"/>
  <c r="G14" i="44"/>
  <c r="F14" i="44"/>
  <c r="I9" i="44"/>
  <c r="H9" i="44"/>
  <c r="G9" i="44"/>
  <c r="F9" i="44"/>
  <c r="I8" i="44"/>
  <c r="H8" i="44"/>
  <c r="G8" i="44"/>
  <c r="F8" i="44"/>
  <c r="I6" i="44"/>
  <c r="H6" i="44"/>
  <c r="G6" i="44"/>
  <c r="F6" i="44"/>
  <c r="I5" i="44"/>
  <c r="H5" i="44"/>
  <c r="G5" i="44"/>
  <c r="F5" i="44"/>
  <c r="F23" i="44"/>
  <c r="G23" i="44"/>
  <c r="H23" i="44"/>
  <c r="I23" i="44"/>
  <c r="F24" i="44"/>
  <c r="G24" i="44"/>
  <c r="H24" i="44"/>
  <c r="I24" i="44"/>
  <c r="F25" i="44"/>
  <c r="G25" i="44"/>
  <c r="H25" i="44"/>
  <c r="I25" i="44"/>
  <c r="F26" i="44"/>
  <c r="G26" i="44"/>
  <c r="H26" i="44"/>
  <c r="I26" i="44"/>
  <c r="F27" i="44"/>
  <c r="G27" i="44"/>
  <c r="H27" i="44"/>
  <c r="I27" i="44"/>
  <c r="F28" i="44"/>
  <c r="G28" i="44"/>
  <c r="H28" i="44"/>
  <c r="I28" i="44"/>
  <c r="G22" i="44"/>
  <c r="H22" i="44"/>
  <c r="I22" i="44"/>
  <c r="F22" i="44"/>
  <c r="G21" i="44"/>
  <c r="H21" i="44"/>
  <c r="I21" i="44"/>
  <c r="F21" i="44"/>
  <c r="C12" i="44"/>
  <c r="D8" i="44"/>
  <c r="D5" i="44"/>
  <c r="K33" i="44" l="1"/>
  <c r="L33" i="44" s="1"/>
  <c r="K60" i="44"/>
  <c r="L60" i="44" s="1"/>
  <c r="K78" i="44"/>
  <c r="L78" i="44" s="1"/>
  <c r="K81" i="44"/>
  <c r="L81" i="44" s="1"/>
  <c r="K21" i="44"/>
  <c r="L21" i="44" s="1"/>
  <c r="K104" i="44"/>
  <c r="L104" i="44" s="1"/>
  <c r="K54" i="44"/>
  <c r="L54" i="44" s="1"/>
  <c r="K57" i="44"/>
  <c r="L57" i="44" s="1"/>
  <c r="K17" i="44"/>
  <c r="L17" i="44" s="1"/>
  <c r="K30" i="44"/>
  <c r="L30" i="44" s="1"/>
  <c r="K42" i="44"/>
  <c r="L42" i="44" s="1"/>
  <c r="K39" i="44"/>
  <c r="L39" i="44" s="1"/>
  <c r="K100" i="44"/>
  <c r="L100" i="44" s="1"/>
  <c r="D12" i="44"/>
  <c r="F108" i="44"/>
  <c r="K51" i="44"/>
  <c r="L51" i="44" s="1"/>
  <c r="K73" i="44"/>
  <c r="L73" i="44" s="1"/>
  <c r="K45" i="44"/>
  <c r="L45" i="44" s="1"/>
  <c r="F12" i="44"/>
  <c r="K94" i="44"/>
  <c r="L94" i="44" s="1"/>
  <c r="G108" i="44"/>
  <c r="H108" i="44"/>
  <c r="K36" i="44"/>
  <c r="L36" i="44" s="1"/>
  <c r="K48" i="44"/>
  <c r="L48" i="44" s="1"/>
  <c r="K66" i="44"/>
  <c r="L66" i="44" s="1"/>
  <c r="K70" i="44"/>
  <c r="L70" i="44" s="1"/>
  <c r="K88" i="44"/>
  <c r="L88" i="44" s="1"/>
  <c r="K97" i="44"/>
  <c r="L97" i="44" s="1"/>
  <c r="K63" i="44"/>
  <c r="L63" i="44" s="1"/>
  <c r="K8" i="44"/>
  <c r="L8" i="44" s="1"/>
  <c r="G12" i="44"/>
  <c r="H12" i="44"/>
  <c r="K5" i="44"/>
  <c r="I12" i="44"/>
  <c r="K14" i="44"/>
  <c r="L14" i="44" l="1"/>
  <c r="K12" i="44"/>
  <c r="L5" i="44"/>
  <c r="L12" i="44" s="1"/>
  <c r="K27" i="22" l="1"/>
  <c r="J4" i="6" l="1"/>
  <c r="F607" i="18"/>
  <c r="F554" i="18"/>
  <c r="F605" i="18"/>
  <c r="F552" i="18"/>
  <c r="F603" i="18"/>
  <c r="F601" i="18"/>
  <c r="F548" i="18"/>
  <c r="F599" i="18"/>
  <c r="F546" i="18"/>
  <c r="F544" i="18"/>
  <c r="F550" i="18" s="1"/>
  <c r="F595" i="18"/>
  <c r="F593" i="18"/>
  <c r="F540" i="18"/>
  <c r="F1147" i="18"/>
  <c r="F1141" i="18"/>
  <c r="F1132" i="18"/>
  <c r="O58" i="24"/>
  <c r="I58" i="24"/>
  <c r="J58" i="24"/>
  <c r="H4" i="15"/>
  <c r="F1119" i="18" l="1"/>
  <c r="F518" i="7" l="1"/>
  <c r="F895" i="18" l="1"/>
  <c r="I86" i="44" l="1"/>
  <c r="K84" i="44" s="1"/>
  <c r="D84" i="44"/>
  <c r="F250" i="23"/>
  <c r="G250" i="23"/>
  <c r="H250" i="23"/>
  <c r="I250" i="23"/>
  <c r="J250" i="23"/>
  <c r="K250" i="23"/>
  <c r="L250" i="23"/>
  <c r="M250" i="23"/>
  <c r="N250" i="23"/>
  <c r="O250" i="23"/>
  <c r="P250" i="23"/>
  <c r="Q250" i="23"/>
  <c r="R250" i="23"/>
  <c r="S250" i="23"/>
  <c r="T250" i="23"/>
  <c r="U250" i="23"/>
  <c r="V250" i="23"/>
  <c r="W250" i="23"/>
  <c r="X250" i="23"/>
  <c r="Y250" i="23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I108" i="44" l="1"/>
  <c r="L84" i="44"/>
  <c r="K108" i="44"/>
  <c r="AB40" i="11"/>
  <c r="AC39" i="11"/>
  <c r="AB39" i="11"/>
  <c r="AA40" i="11"/>
  <c r="Y40" i="11"/>
  <c r="AA39" i="11"/>
  <c r="G30" i="33" l="1"/>
  <c r="F30" i="33"/>
  <c r="D30" i="33"/>
  <c r="S39" i="11"/>
  <c r="Q39" i="11"/>
  <c r="K39" i="11"/>
  <c r="I39" i="11"/>
  <c r="S19" i="43"/>
  <c r="T19" i="43"/>
  <c r="N19" i="43"/>
  <c r="O19" i="43" s="1"/>
  <c r="I19" i="43"/>
  <c r="J19" i="43"/>
  <c r="D19" i="43"/>
  <c r="E19" i="43" s="1"/>
  <c r="G69" i="11" l="1"/>
  <c r="H69" i="11"/>
  <c r="M69" i="11"/>
  <c r="N69" i="11" s="1"/>
  <c r="O69" i="11"/>
  <c r="U69" i="11" s="1"/>
  <c r="Q69" i="11"/>
  <c r="R69" i="11"/>
  <c r="S69" i="11"/>
  <c r="T69" i="11" s="1"/>
  <c r="C69" i="11"/>
  <c r="D69" i="11"/>
  <c r="E69" i="11"/>
  <c r="H39" i="11"/>
  <c r="J39" i="11"/>
  <c r="L39" i="11"/>
  <c r="N39" i="11"/>
  <c r="U39" i="11"/>
  <c r="R39" i="11"/>
  <c r="T39" i="11"/>
  <c r="E39" i="11"/>
  <c r="M28" i="30"/>
  <c r="L28" i="30"/>
  <c r="K28" i="30"/>
  <c r="E28" i="30"/>
  <c r="F28" i="30"/>
  <c r="G28" i="30"/>
  <c r="H28" i="30"/>
  <c r="D28" i="30"/>
  <c r="J55" i="24"/>
  <c r="J56" i="24"/>
  <c r="J57" i="24"/>
  <c r="I57" i="24"/>
  <c r="O57" i="24" s="1"/>
  <c r="I56" i="24"/>
  <c r="O56" i="24" s="1"/>
  <c r="I55" i="24"/>
  <c r="O55" i="24" s="1"/>
  <c r="O64" i="16"/>
  <c r="D68" i="11"/>
  <c r="C68" i="11"/>
  <c r="D67" i="11"/>
  <c r="C67" i="11"/>
  <c r="D66" i="11"/>
  <c r="C66" i="11"/>
  <c r="D65" i="11"/>
  <c r="C65" i="11"/>
  <c r="D64" i="11"/>
  <c r="C64" i="11"/>
  <c r="D63" i="11"/>
  <c r="C63" i="11"/>
  <c r="D62" i="11"/>
  <c r="C62" i="11"/>
  <c r="D61" i="1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D44" i="11"/>
  <c r="C44" i="11"/>
  <c r="I69" i="11" l="1"/>
  <c r="J69" i="11" s="1"/>
  <c r="K69" i="11"/>
  <c r="L69" i="11" s="1"/>
  <c r="J54" i="24" l="1"/>
  <c r="J328" i="1" l="1"/>
  <c r="J324" i="1" l="1"/>
  <c r="AA37" i="11"/>
  <c r="AC37" i="11" s="1"/>
  <c r="AA38" i="11"/>
  <c r="G54" i="15"/>
  <c r="I54" i="24"/>
  <c r="S54" i="24" l="1"/>
  <c r="T54" i="24" s="1"/>
  <c r="O38" i="11"/>
  <c r="O54" i="24"/>
  <c r="N28" i="30" s="1"/>
  <c r="F631" i="7"/>
  <c r="F630" i="7"/>
  <c r="F629" i="7"/>
  <c r="F628" i="7"/>
  <c r="F517" i="7"/>
  <c r="F516" i="7"/>
  <c r="O206" i="1"/>
  <c r="F365" i="7"/>
  <c r="F367" i="7" s="1"/>
  <c r="R4" i="43"/>
  <c r="Q4" i="43"/>
  <c r="C4" i="43"/>
  <c r="B4" i="43"/>
  <c r="H4" i="43"/>
  <c r="G4" i="43"/>
  <c r="M4" i="43"/>
  <c r="L4" i="43"/>
  <c r="F43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O68" i="11" l="1"/>
  <c r="P68" i="11" s="1"/>
  <c r="P38" i="11"/>
  <c r="I4" i="43"/>
  <c r="I18" i="43" s="1"/>
  <c r="N4" i="43"/>
  <c r="N18" i="43" s="1"/>
  <c r="O18" i="43" s="1"/>
  <c r="M206" i="1"/>
  <c r="S4" i="43"/>
  <c r="S18" i="43" s="1"/>
  <c r="T18" i="43" s="1"/>
  <c r="D4" i="43"/>
  <c r="D18" i="43" s="1"/>
  <c r="Q38" i="11" l="1"/>
  <c r="E18" i="43"/>
  <c r="I38" i="11" s="1"/>
  <c r="S38" i="11"/>
  <c r="J18" i="43"/>
  <c r="K38" i="11" s="1"/>
  <c r="F249" i="23"/>
  <c r="G249" i="23"/>
  <c r="H249" i="23"/>
  <c r="I249" i="23"/>
  <c r="J249" i="23"/>
  <c r="K249" i="23"/>
  <c r="L249" i="23"/>
  <c r="M249" i="23"/>
  <c r="N249" i="23"/>
  <c r="O249" i="23"/>
  <c r="P249" i="23"/>
  <c r="Q249" i="23"/>
  <c r="R249" i="23"/>
  <c r="S249" i="23"/>
  <c r="T249" i="23"/>
  <c r="U249" i="23"/>
  <c r="V249" i="23"/>
  <c r="W249" i="23"/>
  <c r="X249" i="23"/>
  <c r="Y249" i="23"/>
  <c r="F169" i="23"/>
  <c r="G169" i="23"/>
  <c r="H169" i="23"/>
  <c r="I169" i="23"/>
  <c r="J169" i="23"/>
  <c r="K169" i="23"/>
  <c r="L169" i="23"/>
  <c r="M169" i="23"/>
  <c r="N169" i="23"/>
  <c r="O169" i="23"/>
  <c r="P169" i="23"/>
  <c r="Q169" i="23"/>
  <c r="R169" i="23"/>
  <c r="S169" i="23"/>
  <c r="T169" i="23"/>
  <c r="U169" i="23"/>
  <c r="V169" i="23"/>
  <c r="W169" i="23"/>
  <c r="X169" i="23"/>
  <c r="Y169" i="23"/>
  <c r="F170" i="23"/>
  <c r="G170" i="23"/>
  <c r="H170" i="23"/>
  <c r="I170" i="23"/>
  <c r="J170" i="23"/>
  <c r="K170" i="23"/>
  <c r="L170" i="23"/>
  <c r="M170" i="23"/>
  <c r="N170" i="23"/>
  <c r="O170" i="23"/>
  <c r="P170" i="23"/>
  <c r="Q170" i="23"/>
  <c r="R170" i="23"/>
  <c r="S170" i="23"/>
  <c r="T170" i="23"/>
  <c r="U170" i="23"/>
  <c r="V170" i="23"/>
  <c r="W170" i="23"/>
  <c r="X170" i="23"/>
  <c r="Y170" i="23"/>
  <c r="F205" i="23"/>
  <c r="G205" i="23"/>
  <c r="H205" i="23"/>
  <c r="I205" i="23"/>
  <c r="J205" i="23"/>
  <c r="K205" i="23"/>
  <c r="L205" i="23"/>
  <c r="M205" i="23"/>
  <c r="N205" i="23"/>
  <c r="O205" i="23"/>
  <c r="P205" i="23"/>
  <c r="Q205" i="23"/>
  <c r="R205" i="23"/>
  <c r="S205" i="23"/>
  <c r="T205" i="23"/>
  <c r="U205" i="23"/>
  <c r="V205" i="23"/>
  <c r="W205" i="23"/>
  <c r="X205" i="23"/>
  <c r="Y205" i="23"/>
  <c r="Y48" i="23" l="1"/>
  <c r="Y49" i="23"/>
  <c r="Y50" i="23"/>
  <c r="Y51" i="23"/>
  <c r="Y52" i="23"/>
  <c r="Y53" i="23"/>
  <c r="Y54" i="23"/>
  <c r="Y55" i="23"/>
  <c r="Y56" i="23"/>
  <c r="Y57" i="23"/>
  <c r="Y58" i="23"/>
  <c r="Y59" i="23"/>
  <c r="Y60" i="23"/>
  <c r="Y61" i="23"/>
  <c r="Y62" i="23"/>
  <c r="Y63" i="23"/>
  <c r="Y64" i="23"/>
  <c r="Y65" i="23"/>
  <c r="Y66" i="23"/>
  <c r="Y67" i="23"/>
  <c r="Y69" i="23"/>
  <c r="Y70" i="23"/>
  <c r="Y71" i="23"/>
  <c r="Y72" i="23"/>
  <c r="Y73" i="23"/>
  <c r="Y74" i="23"/>
  <c r="Y75" i="23"/>
  <c r="Y76" i="23"/>
  <c r="Y77" i="23"/>
  <c r="Y78" i="23"/>
  <c r="Y79" i="23"/>
  <c r="Y80" i="23"/>
  <c r="Y81" i="23"/>
  <c r="Y82" i="23"/>
  <c r="Y83" i="23"/>
  <c r="Y84" i="23"/>
  <c r="Y85" i="23"/>
  <c r="Y86" i="23"/>
  <c r="Y87" i="23"/>
  <c r="Y88" i="23"/>
  <c r="Y90" i="23"/>
  <c r="Y91" i="23"/>
  <c r="Y92" i="23"/>
  <c r="Y93" i="23"/>
  <c r="Y94" i="23"/>
  <c r="Y95" i="23"/>
  <c r="Y96" i="23"/>
  <c r="Y97" i="23"/>
  <c r="Y98" i="23"/>
  <c r="Y99" i="23"/>
  <c r="Y100" i="23"/>
  <c r="Y101" i="23"/>
  <c r="Y102" i="23"/>
  <c r="Y103" i="23"/>
  <c r="Y104" i="23"/>
  <c r="Y105" i="23"/>
  <c r="Y106" i="23"/>
  <c r="Y107" i="23"/>
  <c r="Y108" i="23"/>
  <c r="Y109" i="23"/>
  <c r="Y110" i="23"/>
  <c r="Y112" i="23"/>
  <c r="Y113" i="23"/>
  <c r="Y114" i="23"/>
  <c r="Y115" i="23"/>
  <c r="Y116" i="23"/>
  <c r="Y117" i="23"/>
  <c r="Y118" i="23"/>
  <c r="Y119" i="23"/>
  <c r="Y120" i="23"/>
  <c r="Y121" i="23"/>
  <c r="Y122" i="23"/>
  <c r="Y123" i="23"/>
  <c r="Y124" i="23"/>
  <c r="Y125" i="23"/>
  <c r="Y126" i="23"/>
  <c r="Y127" i="23"/>
  <c r="Y128" i="23"/>
  <c r="Y129" i="23"/>
  <c r="Y130" i="23"/>
  <c r="Y131" i="23"/>
  <c r="Y132" i="23"/>
  <c r="Y134" i="23"/>
  <c r="Y135" i="23"/>
  <c r="Y136" i="23"/>
  <c r="Y137" i="23"/>
  <c r="Y138" i="23"/>
  <c r="Y139" i="23"/>
  <c r="Y140" i="23"/>
  <c r="Y141" i="23"/>
  <c r="Y142" i="23"/>
  <c r="Y143" i="23"/>
  <c r="Y144" i="23"/>
  <c r="Y145" i="23"/>
  <c r="Y146" i="23"/>
  <c r="Y147" i="23"/>
  <c r="Y148" i="23"/>
  <c r="Y149" i="23"/>
  <c r="Y150" i="23"/>
  <c r="Y151" i="23"/>
  <c r="Y152" i="23"/>
  <c r="Y153" i="23"/>
  <c r="Y155" i="23"/>
  <c r="Y156" i="23"/>
  <c r="Y157" i="23"/>
  <c r="Y158" i="23"/>
  <c r="Y159" i="23"/>
  <c r="Y160" i="23"/>
  <c r="Y161" i="23"/>
  <c r="Y162" i="23"/>
  <c r="Y163" i="23"/>
  <c r="Y164" i="23"/>
  <c r="Y165" i="23"/>
  <c r="Y166" i="23"/>
  <c r="Y167" i="23"/>
  <c r="Y168" i="23"/>
  <c r="Y172" i="23"/>
  <c r="Y173" i="23"/>
  <c r="Y174" i="23"/>
  <c r="Y175" i="23"/>
  <c r="Y176" i="23"/>
  <c r="Y177" i="23"/>
  <c r="Y178" i="23"/>
  <c r="Y179" i="23"/>
  <c r="Y181" i="23"/>
  <c r="Y182" i="23"/>
  <c r="Y183" i="23"/>
  <c r="Y184" i="23"/>
  <c r="Y185" i="23"/>
  <c r="Y186" i="23"/>
  <c r="Y187" i="23"/>
  <c r="Y188" i="23"/>
  <c r="Y190" i="23"/>
  <c r="Y191" i="23"/>
  <c r="Y192" i="23"/>
  <c r="Y193" i="23"/>
  <c r="Y194" i="23"/>
  <c r="Y195" i="23"/>
  <c r="Y196" i="23"/>
  <c r="Y197" i="23"/>
  <c r="Y198" i="23"/>
  <c r="Y199" i="23"/>
  <c r="Y200" i="23"/>
  <c r="Y201" i="23"/>
  <c r="Y202" i="23"/>
  <c r="Y203" i="23"/>
  <c r="Y204" i="23"/>
  <c r="Y207" i="23"/>
  <c r="Y208" i="23"/>
  <c r="Y209" i="23"/>
  <c r="Y210" i="23"/>
  <c r="Y211" i="23"/>
  <c r="Y212" i="23"/>
  <c r="Y213" i="23"/>
  <c r="Y214" i="23"/>
  <c r="Y215" i="23"/>
  <c r="Y216" i="23"/>
  <c r="Y217" i="23"/>
  <c r="Y218" i="23"/>
  <c r="Y219" i="23"/>
  <c r="Y220" i="23"/>
  <c r="Y221" i="23"/>
  <c r="Y223" i="23"/>
  <c r="Y224" i="23"/>
  <c r="Y225" i="23"/>
  <c r="Y226" i="23"/>
  <c r="Y227" i="23"/>
  <c r="Y228" i="23"/>
  <c r="Y229" i="23"/>
  <c r="Y230" i="23"/>
  <c r="Y232" i="23"/>
  <c r="Y233" i="23"/>
  <c r="Y234" i="23"/>
  <c r="Y235" i="23"/>
  <c r="Y236" i="23"/>
  <c r="Y237" i="23"/>
  <c r="Y238" i="23"/>
  <c r="Y239" i="23"/>
  <c r="Y240" i="23"/>
  <c r="Y241" i="23"/>
  <c r="Y242" i="23"/>
  <c r="Y243" i="23"/>
  <c r="Y244" i="23"/>
  <c r="Y245" i="23"/>
  <c r="Y246" i="23"/>
  <c r="Y247" i="23"/>
  <c r="Y248" i="23"/>
  <c r="Y252" i="23"/>
  <c r="Y253" i="23"/>
  <c r="Y254" i="23"/>
  <c r="Y255" i="23"/>
  <c r="Y256" i="23"/>
  <c r="Y257" i="23"/>
  <c r="Y258" i="23"/>
  <c r="Y259" i="23"/>
  <c r="Y260" i="23"/>
  <c r="Y261" i="23"/>
  <c r="Y262" i="23"/>
  <c r="Y263" i="23"/>
  <c r="Y264" i="23"/>
  <c r="Y265" i="23"/>
  <c r="Y266" i="23"/>
  <c r="Y267" i="23"/>
  <c r="Y268" i="23"/>
  <c r="Y269" i="23"/>
  <c r="Y270" i="23"/>
  <c r="Y271" i="23"/>
  <c r="Y272" i="23"/>
  <c r="Y274" i="23"/>
  <c r="Y275" i="23"/>
  <c r="Y276" i="23"/>
  <c r="Y277" i="23"/>
  <c r="Y278" i="23"/>
  <c r="Y279" i="23"/>
  <c r="Y280" i="23"/>
  <c r="Y281" i="23"/>
  <c r="Y282" i="23"/>
  <c r="Y283" i="23"/>
  <c r="Y284" i="23"/>
  <c r="Y285" i="23"/>
  <c r="Y286" i="23"/>
  <c r="Y287" i="23"/>
  <c r="Y288" i="23"/>
  <c r="Y289" i="23"/>
  <c r="Y290" i="23"/>
  <c r="Y291" i="23"/>
  <c r="Y292" i="23"/>
  <c r="Y293" i="23"/>
  <c r="Y294" i="23"/>
  <c r="Y296" i="23"/>
  <c r="Y297" i="23"/>
  <c r="Y298" i="23"/>
  <c r="Y299" i="23"/>
  <c r="Y300" i="23"/>
  <c r="Y301" i="23"/>
  <c r="Y302" i="23"/>
  <c r="Y303" i="23"/>
  <c r="Y304" i="23"/>
  <c r="Y305" i="23"/>
  <c r="Y306" i="23"/>
  <c r="Y307" i="23"/>
  <c r="Y308" i="23"/>
  <c r="Y309" i="23"/>
  <c r="Y310" i="23"/>
  <c r="Y311" i="23"/>
  <c r="Y312" i="23"/>
  <c r="Y313" i="23"/>
  <c r="Y314" i="23"/>
  <c r="Y315" i="23"/>
  <c r="Y316" i="23"/>
  <c r="Y317" i="23"/>
  <c r="Y319" i="23"/>
  <c r="Y320" i="23"/>
  <c r="Y321" i="23"/>
  <c r="Y322" i="23"/>
  <c r="Y323" i="23"/>
  <c r="Y324" i="23"/>
  <c r="Y325" i="23"/>
  <c r="Y326" i="23"/>
  <c r="Y327" i="23"/>
  <c r="Y328" i="23"/>
  <c r="Y329" i="23"/>
  <c r="Y330" i="23"/>
  <c r="Y331" i="23"/>
  <c r="Y332" i="23"/>
  <c r="Y333" i="23"/>
  <c r="Y334" i="23"/>
  <c r="Y335" i="23"/>
  <c r="Y336" i="23"/>
  <c r="Y337" i="23"/>
  <c r="Y338" i="23"/>
  <c r="Y340" i="23"/>
  <c r="Y341" i="23"/>
  <c r="Y342" i="23"/>
  <c r="Y343" i="23"/>
  <c r="Y344" i="23"/>
  <c r="Y345" i="23"/>
  <c r="Y346" i="23"/>
  <c r="Y347" i="23"/>
  <c r="Y348" i="23"/>
  <c r="Y349" i="23"/>
  <c r="Y350" i="23"/>
  <c r="Y351" i="23"/>
  <c r="Y352" i="23"/>
  <c r="Y353" i="23"/>
  <c r="Y354" i="23"/>
  <c r="Y355" i="23"/>
  <c r="Y356" i="23"/>
  <c r="Y357" i="23"/>
  <c r="Y358" i="23"/>
  <c r="Y359" i="23"/>
  <c r="Y360" i="23"/>
  <c r="Y362" i="23"/>
  <c r="Y363" i="23"/>
  <c r="Y364" i="23"/>
  <c r="Y365" i="23"/>
  <c r="Y366" i="23"/>
  <c r="Y367" i="23"/>
  <c r="Y368" i="23"/>
  <c r="Y369" i="23"/>
  <c r="Y370" i="23"/>
  <c r="Y371" i="23"/>
  <c r="Y372" i="23"/>
  <c r="Y373" i="23"/>
  <c r="Y374" i="23"/>
  <c r="Y375" i="23"/>
  <c r="Y376" i="23"/>
  <c r="Y377" i="23"/>
  <c r="Y378" i="23"/>
  <c r="Y379" i="23"/>
  <c r="Y380" i="23"/>
  <c r="Y381" i="23"/>
  <c r="Y382" i="23"/>
  <c r="Y384" i="23"/>
  <c r="Y385" i="23"/>
  <c r="Y386" i="23"/>
  <c r="Y387" i="23"/>
  <c r="Y388" i="23"/>
  <c r="Y389" i="23"/>
  <c r="Y390" i="23"/>
  <c r="Y391" i="23"/>
  <c r="Y392" i="23"/>
  <c r="Y393" i="23"/>
  <c r="Y394" i="23"/>
  <c r="Y395" i="23"/>
  <c r="Y396" i="23"/>
  <c r="Y397" i="23"/>
  <c r="Y398" i="23"/>
  <c r="Y399" i="23"/>
  <c r="Y400" i="23"/>
  <c r="Y401" i="23"/>
  <c r="Y402" i="23"/>
  <c r="Y403" i="23"/>
  <c r="Y404" i="23"/>
  <c r="Y405" i="23"/>
  <c r="Y407" i="23"/>
  <c r="Y408" i="23"/>
  <c r="Y409" i="23"/>
  <c r="Y410" i="23"/>
  <c r="Y411" i="23"/>
  <c r="Y412" i="23"/>
  <c r="Y413" i="23"/>
  <c r="Y414" i="23"/>
  <c r="Y415" i="23"/>
  <c r="Y416" i="23"/>
  <c r="Y417" i="23"/>
  <c r="Y418" i="23"/>
  <c r="Y419" i="23"/>
  <c r="Y420" i="23"/>
  <c r="Y421" i="23"/>
  <c r="Y422" i="23"/>
  <c r="Y423" i="23"/>
  <c r="Y424" i="23"/>
  <c r="Y425" i="23"/>
  <c r="Y426" i="23"/>
  <c r="Y427" i="23"/>
  <c r="Y428" i="23"/>
  <c r="Y430" i="23"/>
  <c r="Y431" i="23"/>
  <c r="Y432" i="23"/>
  <c r="Y433" i="23"/>
  <c r="Y434" i="23"/>
  <c r="Y435" i="23"/>
  <c r="Y436" i="23"/>
  <c r="Y437" i="23"/>
  <c r="Y438" i="23"/>
  <c r="Y439" i="23"/>
  <c r="Y440" i="23"/>
  <c r="Y441" i="23"/>
  <c r="Y442" i="23"/>
  <c r="Y443" i="23"/>
  <c r="Y444" i="23"/>
  <c r="Y445" i="23"/>
  <c r="Y446" i="23"/>
  <c r="Y447" i="23"/>
  <c r="Y448" i="23"/>
  <c r="Y449" i="23"/>
  <c r="Y450" i="23"/>
  <c r="Y451" i="23"/>
  <c r="Y452" i="23"/>
  <c r="Y454" i="23"/>
  <c r="Y455" i="23"/>
  <c r="Y456" i="23"/>
  <c r="Y457" i="23"/>
  <c r="Y458" i="23"/>
  <c r="Y459" i="23"/>
  <c r="Y460" i="23"/>
  <c r="Y461" i="23"/>
  <c r="Y462" i="23"/>
  <c r="Y463" i="23"/>
  <c r="Y464" i="23"/>
  <c r="Y465" i="23"/>
  <c r="Y466" i="23"/>
  <c r="Y467" i="23"/>
  <c r="Y468" i="23"/>
  <c r="Y469" i="23"/>
  <c r="Y470" i="23"/>
  <c r="Y471" i="23"/>
  <c r="Y472" i="23"/>
  <c r="Y473" i="23"/>
  <c r="Y474" i="23"/>
  <c r="Y475" i="23"/>
  <c r="Y477" i="23"/>
  <c r="Y478" i="23"/>
  <c r="Y479" i="23"/>
  <c r="Y480" i="23"/>
  <c r="Y481" i="23"/>
  <c r="Y482" i="23"/>
  <c r="Y483" i="23"/>
  <c r="Y484" i="23"/>
  <c r="Y485" i="23"/>
  <c r="Y486" i="23"/>
  <c r="Y487" i="23"/>
  <c r="Y488" i="23"/>
  <c r="Y489" i="23"/>
  <c r="Y490" i="23"/>
  <c r="Y491" i="23"/>
  <c r="Y492" i="23"/>
  <c r="Y493" i="23"/>
  <c r="Y494" i="23"/>
  <c r="Y495" i="23"/>
  <c r="Y496" i="23"/>
  <c r="Y497" i="23"/>
  <c r="Y499" i="23"/>
  <c r="Y500" i="23"/>
  <c r="Y501" i="23"/>
  <c r="Y502" i="23"/>
  <c r="Y503" i="23"/>
  <c r="Y504" i="23"/>
  <c r="Y505" i="23"/>
  <c r="Y506" i="23"/>
  <c r="Y507" i="23"/>
  <c r="Y508" i="23"/>
  <c r="Y509" i="23"/>
  <c r="Y510" i="23"/>
  <c r="Y511" i="23"/>
  <c r="Y512" i="23"/>
  <c r="Y513" i="23"/>
  <c r="Y514" i="23"/>
  <c r="Y515" i="23"/>
  <c r="Y516" i="23"/>
  <c r="Y517" i="23"/>
  <c r="Y518" i="23"/>
  <c r="Y519" i="23"/>
  <c r="Y521" i="23"/>
  <c r="Y522" i="23"/>
  <c r="Y523" i="23"/>
  <c r="Y524" i="23"/>
  <c r="Y525" i="23"/>
  <c r="Y526" i="23"/>
  <c r="Y527" i="23"/>
  <c r="Y528" i="23"/>
  <c r="Y529" i="23"/>
  <c r="Y530" i="23"/>
  <c r="Y531" i="23"/>
  <c r="Y532" i="23"/>
  <c r="Y533" i="23"/>
  <c r="Y534" i="23"/>
  <c r="Y535" i="23"/>
  <c r="Y536" i="23"/>
  <c r="Y537" i="23"/>
  <c r="Y538" i="23"/>
  <c r="Y539" i="23"/>
  <c r="Y540" i="23"/>
  <c r="Y541" i="23"/>
  <c r="Y543" i="23"/>
  <c r="Y544" i="23"/>
  <c r="Y545" i="23"/>
  <c r="Y546" i="23"/>
  <c r="Y547" i="23"/>
  <c r="Y548" i="23"/>
  <c r="Y549" i="23"/>
  <c r="Y550" i="23"/>
  <c r="Y551" i="23"/>
  <c r="Y552" i="23"/>
  <c r="Y553" i="23"/>
  <c r="Y554" i="23"/>
  <c r="Y555" i="23"/>
  <c r="Y556" i="23"/>
  <c r="Y557" i="23"/>
  <c r="Y558" i="23"/>
  <c r="Y559" i="23"/>
  <c r="Y560" i="23"/>
  <c r="Y561" i="23"/>
  <c r="Y562" i="23"/>
  <c r="Y563" i="23"/>
  <c r="Y564" i="23"/>
  <c r="Y566" i="23"/>
  <c r="Y567" i="23"/>
  <c r="Y568" i="23"/>
  <c r="Y569" i="23"/>
  <c r="Y570" i="23"/>
  <c r="Y571" i="23"/>
  <c r="Y572" i="23"/>
  <c r="Y573" i="23"/>
  <c r="Y574" i="23"/>
  <c r="Y575" i="23"/>
  <c r="Y576" i="23"/>
  <c r="Y577" i="23"/>
  <c r="Y578" i="23"/>
  <c r="Y579" i="23"/>
  <c r="Y580" i="23"/>
  <c r="Y581" i="23"/>
  <c r="Y582" i="23"/>
  <c r="Y583" i="23"/>
  <c r="Y584" i="23"/>
  <c r="Y585" i="23"/>
  <c r="Y586" i="23"/>
  <c r="Y588" i="23"/>
  <c r="Y589" i="23"/>
  <c r="Y590" i="23"/>
  <c r="Y591" i="23"/>
  <c r="Y592" i="23"/>
  <c r="Y593" i="23"/>
  <c r="Y594" i="23"/>
  <c r="Y595" i="23"/>
  <c r="Y596" i="23"/>
  <c r="Y597" i="23"/>
  <c r="Y598" i="23"/>
  <c r="Y599" i="23"/>
  <c r="Y600" i="23"/>
  <c r="Y601" i="23"/>
  <c r="Y602" i="23"/>
  <c r="Y603" i="23"/>
  <c r="Y604" i="23"/>
  <c r="Y605" i="23"/>
  <c r="Y606" i="23"/>
  <c r="Y607" i="23"/>
  <c r="Y5" i="23"/>
  <c r="Y6" i="23"/>
  <c r="Y7" i="23"/>
  <c r="Y8" i="23"/>
  <c r="Y9" i="23"/>
  <c r="Y10" i="23"/>
  <c r="Y11" i="23"/>
  <c r="Y12" i="23"/>
  <c r="Y13" i="23"/>
  <c r="Y14" i="23"/>
  <c r="Y15" i="23"/>
  <c r="Y16" i="23"/>
  <c r="Y17" i="23"/>
  <c r="Y18" i="23"/>
  <c r="Y19" i="23"/>
  <c r="Y20" i="23"/>
  <c r="Y21" i="23"/>
  <c r="Y22" i="23"/>
  <c r="Y25" i="23"/>
  <c r="Y26" i="23"/>
  <c r="Y27" i="23"/>
  <c r="Y28" i="23"/>
  <c r="Y29" i="23"/>
  <c r="Y30" i="23"/>
  <c r="Y31" i="23"/>
  <c r="Y32" i="23"/>
  <c r="Y33" i="23"/>
  <c r="Y34" i="23"/>
  <c r="Y35" i="23"/>
  <c r="Y36" i="23"/>
  <c r="Y37" i="23"/>
  <c r="Y38" i="23"/>
  <c r="Y39" i="23"/>
  <c r="Y40" i="23"/>
  <c r="Y41" i="23"/>
  <c r="Y42" i="23"/>
  <c r="X5" i="23"/>
  <c r="X6" i="23"/>
  <c r="X7" i="23"/>
  <c r="X8" i="23"/>
  <c r="X9" i="23"/>
  <c r="X10" i="23"/>
  <c r="X11" i="23"/>
  <c r="X12" i="23"/>
  <c r="X13" i="23"/>
  <c r="X14" i="23"/>
  <c r="X15" i="23"/>
  <c r="X16" i="23"/>
  <c r="X17" i="23"/>
  <c r="X18" i="23"/>
  <c r="X19" i="23"/>
  <c r="X20" i="23"/>
  <c r="X21" i="23"/>
  <c r="X22" i="23"/>
  <c r="X25" i="23"/>
  <c r="X26" i="23"/>
  <c r="X27" i="23"/>
  <c r="X28" i="23"/>
  <c r="X29" i="23"/>
  <c r="X30" i="23"/>
  <c r="X31" i="23"/>
  <c r="X32" i="23"/>
  <c r="X33" i="23"/>
  <c r="X34" i="23"/>
  <c r="X35" i="23"/>
  <c r="X36" i="23"/>
  <c r="X37" i="23"/>
  <c r="X38" i="23"/>
  <c r="X39" i="23"/>
  <c r="X40" i="23"/>
  <c r="X41" i="23"/>
  <c r="X42" i="23"/>
  <c r="X48" i="23"/>
  <c r="X49" i="23"/>
  <c r="X50" i="23"/>
  <c r="X51" i="23"/>
  <c r="X52" i="23"/>
  <c r="X53" i="23"/>
  <c r="X54" i="23"/>
  <c r="X55" i="23"/>
  <c r="X56" i="23"/>
  <c r="X57" i="23"/>
  <c r="X58" i="23"/>
  <c r="X59" i="23"/>
  <c r="X60" i="23"/>
  <c r="X61" i="23"/>
  <c r="X62" i="23"/>
  <c r="X63" i="23"/>
  <c r="X64" i="23"/>
  <c r="X65" i="23"/>
  <c r="X66" i="23"/>
  <c r="X67" i="23"/>
  <c r="X69" i="23"/>
  <c r="X70" i="23"/>
  <c r="X71" i="23"/>
  <c r="X72" i="23"/>
  <c r="X73" i="23"/>
  <c r="X74" i="23"/>
  <c r="X75" i="23"/>
  <c r="X76" i="23"/>
  <c r="X77" i="23"/>
  <c r="X78" i="23"/>
  <c r="X79" i="23"/>
  <c r="X80" i="23"/>
  <c r="X81" i="23"/>
  <c r="X82" i="23"/>
  <c r="X83" i="23"/>
  <c r="X84" i="23"/>
  <c r="X85" i="23"/>
  <c r="X86" i="23"/>
  <c r="X87" i="23"/>
  <c r="X88" i="23"/>
  <c r="X90" i="23"/>
  <c r="X91" i="23"/>
  <c r="X92" i="23"/>
  <c r="X93" i="23"/>
  <c r="X94" i="23"/>
  <c r="X95" i="23"/>
  <c r="X96" i="23"/>
  <c r="X97" i="23"/>
  <c r="X98" i="23"/>
  <c r="X99" i="23"/>
  <c r="X100" i="23"/>
  <c r="X101" i="23"/>
  <c r="X102" i="23"/>
  <c r="X103" i="23"/>
  <c r="X104" i="23"/>
  <c r="X105" i="23"/>
  <c r="X106" i="23"/>
  <c r="X107" i="23"/>
  <c r="X108" i="23"/>
  <c r="X109" i="23"/>
  <c r="X110" i="23"/>
  <c r="X112" i="23"/>
  <c r="X113" i="23"/>
  <c r="X114" i="23"/>
  <c r="X115" i="23"/>
  <c r="X116" i="23"/>
  <c r="X117" i="23"/>
  <c r="X118" i="23"/>
  <c r="X119" i="23"/>
  <c r="X120" i="23"/>
  <c r="X121" i="23"/>
  <c r="X122" i="23"/>
  <c r="X123" i="23"/>
  <c r="X124" i="23"/>
  <c r="X125" i="23"/>
  <c r="X126" i="23"/>
  <c r="X127" i="23"/>
  <c r="X128" i="23"/>
  <c r="X129" i="23"/>
  <c r="X130" i="23"/>
  <c r="X131" i="23"/>
  <c r="X132" i="23"/>
  <c r="X134" i="23"/>
  <c r="X135" i="23"/>
  <c r="X136" i="23"/>
  <c r="X137" i="23"/>
  <c r="X138" i="23"/>
  <c r="X139" i="23"/>
  <c r="X140" i="23"/>
  <c r="X141" i="23"/>
  <c r="X142" i="23"/>
  <c r="X143" i="23"/>
  <c r="X144" i="23"/>
  <c r="X145" i="23"/>
  <c r="X146" i="23"/>
  <c r="X147" i="23"/>
  <c r="X148" i="23"/>
  <c r="X149" i="23"/>
  <c r="X150" i="23"/>
  <c r="X151" i="23"/>
  <c r="X152" i="23"/>
  <c r="X153" i="23"/>
  <c r="X155" i="23"/>
  <c r="X156" i="23"/>
  <c r="X157" i="23"/>
  <c r="X158" i="23"/>
  <c r="X159" i="23"/>
  <c r="X160" i="23"/>
  <c r="X161" i="23"/>
  <c r="X162" i="23"/>
  <c r="X163" i="23"/>
  <c r="X164" i="23"/>
  <c r="X165" i="23"/>
  <c r="X166" i="23"/>
  <c r="X167" i="23"/>
  <c r="X168" i="23"/>
  <c r="X172" i="23"/>
  <c r="X173" i="23"/>
  <c r="X174" i="23"/>
  <c r="X175" i="23"/>
  <c r="X176" i="23"/>
  <c r="X177" i="23"/>
  <c r="X178" i="23"/>
  <c r="X179" i="23"/>
  <c r="X181" i="23"/>
  <c r="X182" i="23"/>
  <c r="X183" i="23"/>
  <c r="X184" i="23"/>
  <c r="X185" i="23"/>
  <c r="X186" i="23"/>
  <c r="X187" i="23"/>
  <c r="X188" i="23"/>
  <c r="X190" i="23"/>
  <c r="X46" i="23" l="1"/>
  <c r="Y46" i="23"/>
  <c r="Y610" i="23"/>
  <c r="J384" i="1"/>
  <c r="J320" i="1"/>
  <c r="O305" i="1" l="1"/>
  <c r="F175" i="8"/>
  <c r="F177" i="8" s="1"/>
  <c r="F65" i="11"/>
  <c r="F62" i="11"/>
  <c r="F60" i="11"/>
  <c r="AB32" i="39"/>
  <c r="AB22" i="39"/>
  <c r="AB12" i="39"/>
  <c r="M305" i="1" l="1"/>
  <c r="X44" i="39"/>
  <c r="X42" i="39" l="1"/>
  <c r="AA42" i="39" s="1"/>
  <c r="U42" i="39"/>
  <c r="T42" i="39"/>
  <c r="Q42" i="39"/>
  <c r="N42" i="39"/>
  <c r="J42" i="39"/>
  <c r="G42" i="39"/>
  <c r="X41" i="39"/>
  <c r="AA41" i="39" s="1"/>
  <c r="Q41" i="39"/>
  <c r="J41" i="39"/>
  <c r="V40" i="39"/>
  <c r="X40" i="39" s="1"/>
  <c r="N40" i="39"/>
  <c r="O40" i="39" s="1"/>
  <c r="Q40" i="39" s="1"/>
  <c r="M40" i="39"/>
  <c r="M42" i="39" s="1"/>
  <c r="G40" i="39"/>
  <c r="F40" i="39"/>
  <c r="F42" i="39" s="1"/>
  <c r="X39" i="39"/>
  <c r="T39" i="39"/>
  <c r="Q39" i="39"/>
  <c r="M39" i="39"/>
  <c r="J39" i="39"/>
  <c r="F39" i="39"/>
  <c r="X38" i="39"/>
  <c r="T38" i="39"/>
  <c r="Q38" i="39"/>
  <c r="Q44" i="39" s="1"/>
  <c r="M38" i="39"/>
  <c r="J38" i="39"/>
  <c r="F38" i="39"/>
  <c r="AA37" i="39"/>
  <c r="X36" i="39"/>
  <c r="AA36" i="39" s="1"/>
  <c r="Q36" i="39"/>
  <c r="J36" i="39"/>
  <c r="V35" i="39"/>
  <c r="X35" i="39" s="1"/>
  <c r="O35" i="39"/>
  <c r="Q35" i="39" s="1"/>
  <c r="H35" i="39"/>
  <c r="J35" i="39" s="1"/>
  <c r="X34" i="39"/>
  <c r="AA34" i="39" s="1"/>
  <c r="Q34" i="39"/>
  <c r="J34" i="39"/>
  <c r="G68" i="11"/>
  <c r="H68" i="11" s="1"/>
  <c r="I68" i="11"/>
  <c r="J68" i="11" s="1"/>
  <c r="K68" i="11"/>
  <c r="L68" i="11" s="1"/>
  <c r="M68" i="11"/>
  <c r="N68" i="11"/>
  <c r="Q68" i="11"/>
  <c r="R68" i="11" s="1"/>
  <c r="S68" i="11"/>
  <c r="T68" i="11" s="1"/>
  <c r="H38" i="11"/>
  <c r="J38" i="11"/>
  <c r="L38" i="11"/>
  <c r="N38" i="11"/>
  <c r="R38" i="11"/>
  <c r="T38" i="11"/>
  <c r="E38" i="11"/>
  <c r="E68" i="11" s="1"/>
  <c r="F29" i="33"/>
  <c r="G29" i="33" s="1"/>
  <c r="K27" i="30"/>
  <c r="L27" i="30" s="1"/>
  <c r="E27" i="30"/>
  <c r="G27" i="30" s="1"/>
  <c r="E33" i="29"/>
  <c r="F33" i="29" s="1"/>
  <c r="E32" i="29"/>
  <c r="F32" i="29" s="1"/>
  <c r="E21" i="22"/>
  <c r="U38" i="11" l="1"/>
  <c r="U68" i="11"/>
  <c r="F27" i="30"/>
  <c r="H27" i="30" s="1"/>
  <c r="M27" i="30" s="1"/>
  <c r="U53" i="24" s="1"/>
  <c r="J44" i="39"/>
  <c r="AA38" i="39"/>
  <c r="AA39" i="39"/>
  <c r="AB42" i="39"/>
  <c r="AA44" i="39"/>
  <c r="H40" i="39"/>
  <c r="J40" i="39" s="1"/>
  <c r="AA40" i="39" s="1"/>
  <c r="AA35" i="39"/>
  <c r="F514" i="7"/>
  <c r="O29" i="11" l="1"/>
  <c r="T37" i="11" l="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R37" i="11"/>
  <c r="R36" i="11"/>
  <c r="R35" i="11"/>
  <c r="R34" i="11"/>
  <c r="R33" i="11"/>
  <c r="R32" i="11"/>
  <c r="R31" i="11"/>
  <c r="R30" i="11"/>
  <c r="R29" i="11"/>
  <c r="R28" i="11"/>
  <c r="R27" i="11"/>
  <c r="R26" i="11"/>
  <c r="R25" i="11"/>
  <c r="R24" i="11"/>
  <c r="R23" i="11"/>
  <c r="R22" i="11"/>
  <c r="R21" i="11"/>
  <c r="R20" i="11"/>
  <c r="R19" i="11"/>
  <c r="R18" i="11"/>
  <c r="R17" i="11"/>
  <c r="R16" i="11"/>
  <c r="R15" i="11"/>
  <c r="R14" i="11"/>
  <c r="P35" i="11"/>
  <c r="P34" i="11"/>
  <c r="P33" i="11"/>
  <c r="P32" i="11"/>
  <c r="P31" i="11"/>
  <c r="P30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AA35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F42" i="23" l="1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W42" i="23"/>
  <c r="X204" i="23" l="1"/>
  <c r="W204" i="23"/>
  <c r="V204" i="23"/>
  <c r="U204" i="23"/>
  <c r="T204" i="23"/>
  <c r="S204" i="23"/>
  <c r="R204" i="23"/>
  <c r="Q204" i="23"/>
  <c r="P204" i="23"/>
  <c r="O204" i="23"/>
  <c r="N204" i="23"/>
  <c r="M204" i="23"/>
  <c r="L204" i="23"/>
  <c r="K204" i="23"/>
  <c r="J204" i="23"/>
  <c r="I204" i="23"/>
  <c r="H204" i="23"/>
  <c r="G204" i="23"/>
  <c r="F204" i="23"/>
  <c r="X203" i="23"/>
  <c r="W203" i="23"/>
  <c r="V203" i="23"/>
  <c r="U203" i="23"/>
  <c r="T203" i="23"/>
  <c r="S203" i="23"/>
  <c r="R203" i="23"/>
  <c r="Q203" i="23"/>
  <c r="P203" i="23"/>
  <c r="O203" i="23"/>
  <c r="N203" i="23"/>
  <c r="M203" i="23"/>
  <c r="L203" i="23"/>
  <c r="K203" i="23"/>
  <c r="J203" i="23"/>
  <c r="I203" i="23"/>
  <c r="H203" i="23"/>
  <c r="G203" i="23"/>
  <c r="F203" i="23"/>
  <c r="X202" i="23"/>
  <c r="W202" i="23"/>
  <c r="V202" i="23"/>
  <c r="U202" i="23"/>
  <c r="T202" i="23"/>
  <c r="S202" i="23"/>
  <c r="R202" i="23"/>
  <c r="Q202" i="23"/>
  <c r="P202" i="23"/>
  <c r="O202" i="23"/>
  <c r="N202" i="23"/>
  <c r="M202" i="23"/>
  <c r="L202" i="23"/>
  <c r="K202" i="23"/>
  <c r="J202" i="23"/>
  <c r="I202" i="23"/>
  <c r="H202" i="23"/>
  <c r="G202" i="23"/>
  <c r="F202" i="23"/>
  <c r="X201" i="23"/>
  <c r="W201" i="23"/>
  <c r="V201" i="23"/>
  <c r="U201" i="23"/>
  <c r="T201" i="23"/>
  <c r="S201" i="23"/>
  <c r="R201" i="23"/>
  <c r="Q201" i="23"/>
  <c r="P201" i="23"/>
  <c r="O201" i="23"/>
  <c r="N201" i="23"/>
  <c r="M201" i="23"/>
  <c r="L201" i="23"/>
  <c r="K201" i="23"/>
  <c r="J201" i="23"/>
  <c r="I201" i="23"/>
  <c r="H201" i="23"/>
  <c r="G201" i="23"/>
  <c r="F201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X194" i="23"/>
  <c r="W194" i="23"/>
  <c r="V194" i="23"/>
  <c r="U194" i="23"/>
  <c r="T194" i="23"/>
  <c r="S194" i="23"/>
  <c r="R194" i="23"/>
  <c r="Q194" i="23"/>
  <c r="P194" i="23"/>
  <c r="O194" i="23"/>
  <c r="N194" i="23"/>
  <c r="M194" i="23"/>
  <c r="L194" i="23"/>
  <c r="K194" i="23"/>
  <c r="J194" i="23"/>
  <c r="I194" i="23"/>
  <c r="H194" i="23"/>
  <c r="G194" i="23"/>
  <c r="F194" i="23"/>
  <c r="X193" i="23"/>
  <c r="W193" i="23"/>
  <c r="V193" i="23"/>
  <c r="U193" i="23"/>
  <c r="T193" i="23"/>
  <c r="S193" i="23"/>
  <c r="R193" i="23"/>
  <c r="Q193" i="23"/>
  <c r="P193" i="23"/>
  <c r="O193" i="23"/>
  <c r="N193" i="23"/>
  <c r="M193" i="23"/>
  <c r="L193" i="23"/>
  <c r="K193" i="23"/>
  <c r="J193" i="23"/>
  <c r="I193" i="23"/>
  <c r="H193" i="23"/>
  <c r="G193" i="23"/>
  <c r="F193" i="23"/>
  <c r="X192" i="23"/>
  <c r="W192" i="23"/>
  <c r="V192" i="23"/>
  <c r="U192" i="23"/>
  <c r="T192" i="23"/>
  <c r="S192" i="23"/>
  <c r="R192" i="23"/>
  <c r="Q192" i="23"/>
  <c r="P192" i="23"/>
  <c r="O192" i="23"/>
  <c r="N192" i="23"/>
  <c r="M192" i="23"/>
  <c r="L192" i="23"/>
  <c r="K192" i="23"/>
  <c r="J192" i="23"/>
  <c r="I192" i="23"/>
  <c r="H192" i="23"/>
  <c r="G192" i="23"/>
  <c r="F192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D190" i="23"/>
  <c r="J425" i="1"/>
  <c r="AB190" i="23" l="1"/>
  <c r="O340" i="1"/>
  <c r="F627" i="7"/>
  <c r="F515" i="7"/>
  <c r="F512" i="7"/>
  <c r="F513" i="7"/>
  <c r="F511" i="7"/>
  <c r="F504" i="7"/>
  <c r="AC190" i="23" l="1"/>
  <c r="AG57" i="23"/>
  <c r="AH57" i="23" s="1"/>
  <c r="Q40" i="25"/>
  <c r="Q33" i="25"/>
  <c r="AB34" i="11"/>
  <c r="AA34" i="11"/>
  <c r="AA36" i="11"/>
  <c r="AB32" i="11"/>
  <c r="AA33" i="11"/>
  <c r="AA32" i="11"/>
  <c r="AC32" i="11" s="1"/>
  <c r="AC34" i="11" l="1"/>
  <c r="O37" i="11"/>
  <c r="O36" i="11"/>
  <c r="O414" i="1"/>
  <c r="F1185" i="20"/>
  <c r="F1187" i="20" s="1"/>
  <c r="O67" i="11" l="1"/>
  <c r="P67" i="11" s="1"/>
  <c r="P37" i="11"/>
  <c r="O66" i="11"/>
  <c r="P66" i="11" s="1"/>
  <c r="P36" i="11"/>
  <c r="M414" i="1"/>
  <c r="O656" i="20" l="1"/>
  <c r="O657" i="20" s="1"/>
  <c r="O658" i="20" s="1"/>
  <c r="O659" i="20" s="1"/>
  <c r="O660" i="20" s="1"/>
  <c r="O661" i="20" s="1"/>
  <c r="O662" i="20" s="1"/>
  <c r="O663" i="20" s="1"/>
  <c r="O664" i="20" s="1"/>
  <c r="O665" i="20" s="1"/>
  <c r="O666" i="20" s="1"/>
  <c r="O667" i="20" s="1"/>
  <c r="O668" i="20" s="1"/>
  <c r="O669" i="20" s="1"/>
  <c r="O670" i="20" s="1"/>
  <c r="O671" i="20" s="1"/>
  <c r="O672" i="20" s="1"/>
  <c r="O673" i="20" s="1"/>
  <c r="O674" i="20" s="1"/>
  <c r="O675" i="20" s="1"/>
  <c r="O676" i="20" s="1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F1192" i="18" l="1"/>
  <c r="F606" i="23" l="1"/>
  <c r="G606" i="23"/>
  <c r="H606" i="23"/>
  <c r="I606" i="23"/>
  <c r="J606" i="23"/>
  <c r="K606" i="23"/>
  <c r="L606" i="23"/>
  <c r="M606" i="23"/>
  <c r="N606" i="23"/>
  <c r="O606" i="23"/>
  <c r="P606" i="23"/>
  <c r="Q606" i="23"/>
  <c r="R606" i="23"/>
  <c r="S606" i="23"/>
  <c r="T606" i="23"/>
  <c r="U606" i="23"/>
  <c r="V606" i="23"/>
  <c r="W606" i="23"/>
  <c r="X606" i="23"/>
  <c r="F607" i="23"/>
  <c r="G607" i="23"/>
  <c r="H607" i="23"/>
  <c r="I607" i="23"/>
  <c r="J607" i="23"/>
  <c r="K607" i="23"/>
  <c r="L607" i="23"/>
  <c r="M607" i="23"/>
  <c r="N607" i="23"/>
  <c r="O607" i="23"/>
  <c r="P607" i="23"/>
  <c r="Q607" i="23"/>
  <c r="R607" i="23"/>
  <c r="S607" i="23"/>
  <c r="T607" i="23"/>
  <c r="U607" i="23"/>
  <c r="V607" i="23"/>
  <c r="W607" i="23"/>
  <c r="X607" i="23"/>
  <c r="F317" i="23" l="1"/>
  <c r="G317" i="23"/>
  <c r="H317" i="23"/>
  <c r="I317" i="23"/>
  <c r="J317" i="23"/>
  <c r="K317" i="23"/>
  <c r="L317" i="23"/>
  <c r="M317" i="23"/>
  <c r="N317" i="23"/>
  <c r="O317" i="23"/>
  <c r="P317" i="23"/>
  <c r="Q317" i="23"/>
  <c r="R317" i="23"/>
  <c r="S317" i="23"/>
  <c r="T317" i="23"/>
  <c r="U317" i="23"/>
  <c r="V317" i="23"/>
  <c r="W317" i="23"/>
  <c r="X317" i="23"/>
  <c r="F272" i="23"/>
  <c r="G272" i="23"/>
  <c r="H272" i="23"/>
  <c r="I272" i="23"/>
  <c r="J272" i="23"/>
  <c r="K272" i="23"/>
  <c r="L272" i="23"/>
  <c r="M272" i="23"/>
  <c r="N272" i="23"/>
  <c r="O272" i="23"/>
  <c r="P272" i="23"/>
  <c r="Q272" i="23"/>
  <c r="R272" i="23"/>
  <c r="S272" i="23"/>
  <c r="T272" i="23"/>
  <c r="U272" i="23"/>
  <c r="V272" i="23"/>
  <c r="W272" i="23"/>
  <c r="X272" i="23"/>
  <c r="F248" i="23"/>
  <c r="G248" i="23"/>
  <c r="H248" i="23"/>
  <c r="I248" i="23"/>
  <c r="J248" i="23"/>
  <c r="K248" i="23"/>
  <c r="L248" i="23"/>
  <c r="M248" i="23"/>
  <c r="N248" i="23"/>
  <c r="O248" i="23"/>
  <c r="P248" i="23"/>
  <c r="Q248" i="23"/>
  <c r="R248" i="23"/>
  <c r="S248" i="23"/>
  <c r="T248" i="23"/>
  <c r="U248" i="23"/>
  <c r="V248" i="23"/>
  <c r="W248" i="23"/>
  <c r="X248" i="23"/>
  <c r="F221" i="23"/>
  <c r="G221" i="23"/>
  <c r="H221" i="23"/>
  <c r="I221" i="23"/>
  <c r="J221" i="23"/>
  <c r="K221" i="23"/>
  <c r="L221" i="23"/>
  <c r="M221" i="23"/>
  <c r="N221" i="23"/>
  <c r="O221" i="23"/>
  <c r="P221" i="23"/>
  <c r="Q221" i="23"/>
  <c r="R221" i="23"/>
  <c r="S221" i="23"/>
  <c r="T221" i="23"/>
  <c r="U221" i="23"/>
  <c r="V221" i="23"/>
  <c r="W221" i="23"/>
  <c r="X221" i="23"/>
  <c r="X207" i="23" l="1"/>
  <c r="X208" i="23"/>
  <c r="X209" i="23"/>
  <c r="X210" i="23"/>
  <c r="X211" i="23"/>
  <c r="X212" i="23"/>
  <c r="X213" i="23"/>
  <c r="X214" i="23"/>
  <c r="X215" i="23"/>
  <c r="X216" i="23"/>
  <c r="X217" i="23"/>
  <c r="X218" i="23"/>
  <c r="X219" i="23"/>
  <c r="X220" i="23"/>
  <c r="X223" i="23"/>
  <c r="X224" i="23"/>
  <c r="X225" i="23"/>
  <c r="X226" i="23"/>
  <c r="X227" i="23"/>
  <c r="X228" i="23"/>
  <c r="X229" i="23"/>
  <c r="X230" i="23"/>
  <c r="X232" i="23"/>
  <c r="X233" i="23"/>
  <c r="X234" i="23"/>
  <c r="X235" i="23"/>
  <c r="X236" i="23"/>
  <c r="X237" i="23"/>
  <c r="X238" i="23"/>
  <c r="X239" i="23"/>
  <c r="X240" i="23"/>
  <c r="X241" i="23"/>
  <c r="X242" i="23"/>
  <c r="X243" i="23"/>
  <c r="X244" i="23"/>
  <c r="X245" i="23"/>
  <c r="X246" i="23"/>
  <c r="X247" i="23"/>
  <c r="X252" i="23"/>
  <c r="X253" i="23"/>
  <c r="X254" i="23"/>
  <c r="X255" i="23"/>
  <c r="X256" i="23"/>
  <c r="X257" i="23"/>
  <c r="X258" i="23"/>
  <c r="X259" i="23"/>
  <c r="X260" i="23"/>
  <c r="X261" i="23"/>
  <c r="X262" i="23"/>
  <c r="X263" i="23"/>
  <c r="X264" i="23"/>
  <c r="X265" i="23"/>
  <c r="X266" i="23"/>
  <c r="X267" i="23"/>
  <c r="X268" i="23"/>
  <c r="X269" i="23"/>
  <c r="X270" i="23"/>
  <c r="X271" i="23"/>
  <c r="X274" i="23"/>
  <c r="X275" i="23"/>
  <c r="X276" i="23"/>
  <c r="X277" i="23"/>
  <c r="X278" i="23"/>
  <c r="X279" i="23"/>
  <c r="X280" i="23"/>
  <c r="X281" i="23"/>
  <c r="X282" i="23"/>
  <c r="X283" i="23"/>
  <c r="X284" i="23"/>
  <c r="X285" i="23"/>
  <c r="X286" i="23"/>
  <c r="X287" i="23"/>
  <c r="X288" i="23"/>
  <c r="X289" i="23"/>
  <c r="X290" i="23"/>
  <c r="X291" i="23"/>
  <c r="X292" i="23"/>
  <c r="X293" i="23"/>
  <c r="X294" i="23"/>
  <c r="X296" i="23"/>
  <c r="X297" i="23"/>
  <c r="X298" i="23"/>
  <c r="X299" i="23"/>
  <c r="X300" i="23"/>
  <c r="X301" i="23"/>
  <c r="X302" i="23"/>
  <c r="X303" i="23"/>
  <c r="X304" i="23"/>
  <c r="X305" i="23"/>
  <c r="X306" i="23"/>
  <c r="X307" i="23"/>
  <c r="X308" i="23"/>
  <c r="X309" i="23"/>
  <c r="X310" i="23"/>
  <c r="X311" i="23"/>
  <c r="X312" i="23"/>
  <c r="X313" i="23"/>
  <c r="X314" i="23"/>
  <c r="X315" i="23"/>
  <c r="X316" i="23"/>
  <c r="X319" i="23"/>
  <c r="X320" i="23"/>
  <c r="X321" i="23"/>
  <c r="X322" i="23"/>
  <c r="X323" i="23"/>
  <c r="X324" i="23"/>
  <c r="X325" i="23"/>
  <c r="X326" i="23"/>
  <c r="X327" i="23"/>
  <c r="X328" i="23"/>
  <c r="X329" i="23"/>
  <c r="X330" i="23"/>
  <c r="X331" i="23"/>
  <c r="X332" i="23"/>
  <c r="X333" i="23"/>
  <c r="X334" i="23"/>
  <c r="X335" i="23"/>
  <c r="X336" i="23"/>
  <c r="X337" i="23"/>
  <c r="X338" i="23"/>
  <c r="X340" i="23"/>
  <c r="X341" i="23"/>
  <c r="X342" i="23"/>
  <c r="X343" i="23"/>
  <c r="X344" i="23"/>
  <c r="X345" i="23"/>
  <c r="X346" i="23"/>
  <c r="X347" i="23"/>
  <c r="X348" i="23"/>
  <c r="X349" i="23"/>
  <c r="X350" i="23"/>
  <c r="X351" i="23"/>
  <c r="X352" i="23"/>
  <c r="X353" i="23"/>
  <c r="X354" i="23"/>
  <c r="X355" i="23"/>
  <c r="X356" i="23"/>
  <c r="X357" i="23"/>
  <c r="X358" i="23"/>
  <c r="X359" i="23"/>
  <c r="X360" i="23"/>
  <c r="X362" i="23"/>
  <c r="X363" i="23"/>
  <c r="X364" i="23"/>
  <c r="X365" i="23"/>
  <c r="X366" i="23"/>
  <c r="X367" i="23"/>
  <c r="X368" i="23"/>
  <c r="X369" i="23"/>
  <c r="X370" i="23"/>
  <c r="X371" i="23"/>
  <c r="X372" i="23"/>
  <c r="X373" i="23"/>
  <c r="X374" i="23"/>
  <c r="X375" i="23"/>
  <c r="X376" i="23"/>
  <c r="X377" i="23"/>
  <c r="X378" i="23"/>
  <c r="X379" i="23"/>
  <c r="X380" i="23"/>
  <c r="X381" i="23"/>
  <c r="X382" i="23"/>
  <c r="X384" i="23"/>
  <c r="X385" i="23"/>
  <c r="X386" i="23"/>
  <c r="X387" i="23"/>
  <c r="X388" i="23"/>
  <c r="X389" i="23"/>
  <c r="X390" i="23"/>
  <c r="X391" i="23"/>
  <c r="X392" i="23"/>
  <c r="X393" i="23"/>
  <c r="X394" i="23"/>
  <c r="X395" i="23"/>
  <c r="X396" i="23"/>
  <c r="X397" i="23"/>
  <c r="X398" i="23"/>
  <c r="X399" i="23"/>
  <c r="X400" i="23"/>
  <c r="X401" i="23"/>
  <c r="X402" i="23"/>
  <c r="X403" i="23"/>
  <c r="X404" i="23"/>
  <c r="X405" i="23"/>
  <c r="X407" i="23"/>
  <c r="X408" i="23"/>
  <c r="X409" i="23"/>
  <c r="X410" i="23"/>
  <c r="X411" i="23"/>
  <c r="X412" i="23"/>
  <c r="X413" i="23"/>
  <c r="X414" i="23"/>
  <c r="X415" i="23"/>
  <c r="X416" i="23"/>
  <c r="X417" i="23"/>
  <c r="X418" i="23"/>
  <c r="X419" i="23"/>
  <c r="X420" i="23"/>
  <c r="X421" i="23"/>
  <c r="X422" i="23"/>
  <c r="X423" i="23"/>
  <c r="X424" i="23"/>
  <c r="X425" i="23"/>
  <c r="X426" i="23"/>
  <c r="X427" i="23"/>
  <c r="X428" i="23"/>
  <c r="X430" i="23"/>
  <c r="X431" i="23"/>
  <c r="X432" i="23"/>
  <c r="X433" i="23"/>
  <c r="X434" i="23"/>
  <c r="X435" i="23"/>
  <c r="X436" i="23"/>
  <c r="X437" i="23"/>
  <c r="X438" i="23"/>
  <c r="X439" i="23"/>
  <c r="X440" i="23"/>
  <c r="X441" i="23"/>
  <c r="X442" i="23"/>
  <c r="X443" i="23"/>
  <c r="X444" i="23"/>
  <c r="X445" i="23"/>
  <c r="X446" i="23"/>
  <c r="X447" i="23"/>
  <c r="X448" i="23"/>
  <c r="X449" i="23"/>
  <c r="X450" i="23"/>
  <c r="X451" i="23"/>
  <c r="X452" i="23"/>
  <c r="X454" i="23"/>
  <c r="X455" i="23"/>
  <c r="X456" i="23"/>
  <c r="X457" i="23"/>
  <c r="X458" i="23"/>
  <c r="X459" i="23"/>
  <c r="X460" i="23"/>
  <c r="X461" i="23"/>
  <c r="X462" i="23"/>
  <c r="X463" i="23"/>
  <c r="X464" i="23"/>
  <c r="X465" i="23"/>
  <c r="X466" i="23"/>
  <c r="X467" i="23"/>
  <c r="X468" i="23"/>
  <c r="X469" i="23"/>
  <c r="X470" i="23"/>
  <c r="X471" i="23"/>
  <c r="X472" i="23"/>
  <c r="X473" i="23"/>
  <c r="X474" i="23"/>
  <c r="X475" i="23"/>
  <c r="X477" i="23"/>
  <c r="X478" i="23"/>
  <c r="X479" i="23"/>
  <c r="X480" i="23"/>
  <c r="X481" i="23"/>
  <c r="X482" i="23"/>
  <c r="X483" i="23"/>
  <c r="X484" i="23"/>
  <c r="X485" i="23"/>
  <c r="X486" i="23"/>
  <c r="X487" i="23"/>
  <c r="X488" i="23"/>
  <c r="X489" i="23"/>
  <c r="X490" i="23"/>
  <c r="X491" i="23"/>
  <c r="X492" i="23"/>
  <c r="X493" i="23"/>
  <c r="X494" i="23"/>
  <c r="X495" i="23"/>
  <c r="X496" i="23"/>
  <c r="X497" i="23"/>
  <c r="X499" i="23"/>
  <c r="X500" i="23"/>
  <c r="X501" i="23"/>
  <c r="X502" i="23"/>
  <c r="X503" i="23"/>
  <c r="X504" i="23"/>
  <c r="X505" i="23"/>
  <c r="X506" i="23"/>
  <c r="X507" i="23"/>
  <c r="X508" i="23"/>
  <c r="X509" i="23"/>
  <c r="X510" i="23"/>
  <c r="X511" i="23"/>
  <c r="X512" i="23"/>
  <c r="X513" i="23"/>
  <c r="X514" i="23"/>
  <c r="X515" i="23"/>
  <c r="X516" i="23"/>
  <c r="X517" i="23"/>
  <c r="X518" i="23"/>
  <c r="X519" i="23"/>
  <c r="X521" i="23"/>
  <c r="X522" i="23"/>
  <c r="X523" i="23"/>
  <c r="X524" i="23"/>
  <c r="X525" i="23"/>
  <c r="X526" i="23"/>
  <c r="X527" i="23"/>
  <c r="X528" i="23"/>
  <c r="X529" i="23"/>
  <c r="X530" i="23"/>
  <c r="X531" i="23"/>
  <c r="X532" i="23"/>
  <c r="X533" i="23"/>
  <c r="X534" i="23"/>
  <c r="X535" i="23"/>
  <c r="X536" i="23"/>
  <c r="X537" i="23"/>
  <c r="X538" i="23"/>
  <c r="X539" i="23"/>
  <c r="X540" i="23"/>
  <c r="X541" i="23"/>
  <c r="X543" i="23"/>
  <c r="X544" i="23"/>
  <c r="X545" i="23"/>
  <c r="X546" i="23"/>
  <c r="X547" i="23"/>
  <c r="X548" i="23"/>
  <c r="X549" i="23"/>
  <c r="X550" i="23"/>
  <c r="X551" i="23"/>
  <c r="X552" i="23"/>
  <c r="X553" i="23"/>
  <c r="X554" i="23"/>
  <c r="X555" i="23"/>
  <c r="X556" i="23"/>
  <c r="X557" i="23"/>
  <c r="X558" i="23"/>
  <c r="X559" i="23"/>
  <c r="X560" i="23"/>
  <c r="X561" i="23"/>
  <c r="X562" i="23"/>
  <c r="X563" i="23"/>
  <c r="X564" i="23"/>
  <c r="X566" i="23"/>
  <c r="X567" i="23"/>
  <c r="X568" i="23"/>
  <c r="X569" i="23"/>
  <c r="X570" i="23"/>
  <c r="X571" i="23"/>
  <c r="X572" i="23"/>
  <c r="X573" i="23"/>
  <c r="X574" i="23"/>
  <c r="X575" i="23"/>
  <c r="X576" i="23"/>
  <c r="X577" i="23"/>
  <c r="X578" i="23"/>
  <c r="X579" i="23"/>
  <c r="X580" i="23"/>
  <c r="X581" i="23"/>
  <c r="X582" i="23"/>
  <c r="X583" i="23"/>
  <c r="X584" i="23"/>
  <c r="X585" i="23"/>
  <c r="X586" i="23"/>
  <c r="X588" i="23"/>
  <c r="X589" i="23"/>
  <c r="X590" i="23"/>
  <c r="X591" i="23"/>
  <c r="X592" i="23"/>
  <c r="X593" i="23"/>
  <c r="X594" i="23"/>
  <c r="X595" i="23"/>
  <c r="X596" i="23"/>
  <c r="X597" i="23"/>
  <c r="X598" i="23"/>
  <c r="X599" i="23"/>
  <c r="X600" i="23"/>
  <c r="X601" i="23"/>
  <c r="X602" i="23"/>
  <c r="X603" i="23"/>
  <c r="X604" i="23"/>
  <c r="X605" i="23"/>
  <c r="F41" i="23"/>
  <c r="G41" i="23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610" i="23" l="1"/>
  <c r="J53" i="24" l="1"/>
  <c r="J60" i="24" s="1"/>
  <c r="I51" i="24"/>
  <c r="I52" i="24"/>
  <c r="I53" i="24"/>
  <c r="S53" i="24" l="1"/>
  <c r="O53" i="24"/>
  <c r="O52" i="24"/>
  <c r="S52" i="24"/>
  <c r="O51" i="24"/>
  <c r="N27" i="30" s="1"/>
  <c r="S51" i="24"/>
  <c r="T51" i="24" s="1"/>
  <c r="E28" i="33"/>
  <c r="D28" i="33"/>
  <c r="F28" i="33" s="1"/>
  <c r="G28" i="33" s="1"/>
  <c r="E31" i="29"/>
  <c r="F31" i="29" s="1"/>
  <c r="O47" i="16"/>
  <c r="T52" i="24" l="1"/>
  <c r="T53" i="24"/>
  <c r="V53" i="24" s="1"/>
  <c r="G67" i="11"/>
  <c r="H67" i="11" s="1"/>
  <c r="I67" i="11"/>
  <c r="J67" i="11" s="1"/>
  <c r="K67" i="11"/>
  <c r="L67" i="11" s="1"/>
  <c r="M67" i="11"/>
  <c r="N67" i="11" s="1"/>
  <c r="Q67" i="11"/>
  <c r="R67" i="11" s="1"/>
  <c r="S67" i="11"/>
  <c r="T67" i="11" s="1"/>
  <c r="E37" i="11"/>
  <c r="E67" i="11" s="1"/>
  <c r="R40" i="25" l="1"/>
  <c r="K36" i="29" l="1"/>
  <c r="O324" i="1" l="1"/>
  <c r="Q44" i="25"/>
  <c r="Q42" i="25"/>
  <c r="Q39" i="25"/>
  <c r="M324" i="1" l="1"/>
  <c r="E27" i="33"/>
  <c r="C30" i="29"/>
  <c r="D27" i="33" s="1"/>
  <c r="F27" i="33" s="1"/>
  <c r="G27" i="33" s="1"/>
  <c r="H29" i="33" s="1"/>
  <c r="E30" i="29" l="1"/>
  <c r="F30" i="29" s="1"/>
  <c r="O473" i="1"/>
  <c r="F74" i="41"/>
  <c r="F76" i="41" s="1"/>
  <c r="O413" i="1"/>
  <c r="F1176" i="20"/>
  <c r="F1178" i="20" s="1"/>
  <c r="O409" i="1"/>
  <c r="F1135" i="20"/>
  <c r="F1137" i="20" s="1"/>
  <c r="M473" i="1" l="1"/>
  <c r="M413" i="1"/>
  <c r="M409" i="1"/>
  <c r="F405" i="23" l="1"/>
  <c r="G405" i="23"/>
  <c r="H405" i="23"/>
  <c r="I405" i="23"/>
  <c r="J405" i="23"/>
  <c r="K405" i="23"/>
  <c r="L405" i="23"/>
  <c r="M405" i="23"/>
  <c r="N405" i="23"/>
  <c r="O405" i="23"/>
  <c r="P405" i="23"/>
  <c r="Q405" i="23"/>
  <c r="R405" i="23"/>
  <c r="S405" i="23"/>
  <c r="T405" i="23"/>
  <c r="U405" i="23"/>
  <c r="V405" i="23"/>
  <c r="W405" i="23"/>
  <c r="F316" i="23"/>
  <c r="G316" i="23"/>
  <c r="H316" i="23"/>
  <c r="I316" i="23"/>
  <c r="J316" i="23"/>
  <c r="K316" i="23"/>
  <c r="L316" i="23"/>
  <c r="M316" i="23"/>
  <c r="N316" i="23"/>
  <c r="O316" i="23"/>
  <c r="P316" i="23"/>
  <c r="Q316" i="23"/>
  <c r="R316" i="23"/>
  <c r="S316" i="23"/>
  <c r="T316" i="23"/>
  <c r="U316" i="23"/>
  <c r="V316" i="23"/>
  <c r="W316" i="23"/>
  <c r="F271" i="23"/>
  <c r="G271" i="23"/>
  <c r="H271" i="23"/>
  <c r="I271" i="23"/>
  <c r="J271" i="23"/>
  <c r="K271" i="23"/>
  <c r="L271" i="23"/>
  <c r="M271" i="23"/>
  <c r="N271" i="23"/>
  <c r="O271" i="23"/>
  <c r="P271" i="23"/>
  <c r="Q271" i="23"/>
  <c r="R271" i="23"/>
  <c r="S271" i="23"/>
  <c r="T271" i="23"/>
  <c r="U271" i="23"/>
  <c r="V271" i="23"/>
  <c r="W271" i="23"/>
  <c r="F244" i="23"/>
  <c r="G244" i="23"/>
  <c r="H244" i="23"/>
  <c r="I244" i="23"/>
  <c r="J244" i="23"/>
  <c r="K244" i="23"/>
  <c r="L244" i="23"/>
  <c r="M244" i="23"/>
  <c r="N244" i="23"/>
  <c r="O244" i="23"/>
  <c r="P244" i="23"/>
  <c r="Q244" i="23"/>
  <c r="R244" i="23"/>
  <c r="S244" i="23"/>
  <c r="T244" i="23"/>
  <c r="U244" i="23"/>
  <c r="V244" i="23"/>
  <c r="W244" i="23"/>
  <c r="F245" i="23"/>
  <c r="G245" i="23"/>
  <c r="H245" i="23"/>
  <c r="I245" i="23"/>
  <c r="J245" i="23"/>
  <c r="K245" i="23"/>
  <c r="L245" i="23"/>
  <c r="M245" i="23"/>
  <c r="N245" i="23"/>
  <c r="O245" i="23"/>
  <c r="P245" i="23"/>
  <c r="Q245" i="23"/>
  <c r="R245" i="23"/>
  <c r="S245" i="23"/>
  <c r="T245" i="23"/>
  <c r="U245" i="23"/>
  <c r="V245" i="23"/>
  <c r="W245" i="23"/>
  <c r="F246" i="23"/>
  <c r="G246" i="23"/>
  <c r="H246" i="23"/>
  <c r="I246" i="23"/>
  <c r="J246" i="23"/>
  <c r="K246" i="23"/>
  <c r="L246" i="23"/>
  <c r="M246" i="23"/>
  <c r="N246" i="23"/>
  <c r="O246" i="23"/>
  <c r="P246" i="23"/>
  <c r="Q246" i="23"/>
  <c r="R246" i="23"/>
  <c r="S246" i="23"/>
  <c r="T246" i="23"/>
  <c r="U246" i="23"/>
  <c r="V246" i="23"/>
  <c r="W246" i="23"/>
  <c r="F247" i="23"/>
  <c r="G247" i="23"/>
  <c r="H247" i="23"/>
  <c r="I247" i="23"/>
  <c r="J247" i="23"/>
  <c r="K247" i="23"/>
  <c r="L247" i="23"/>
  <c r="M247" i="23"/>
  <c r="N247" i="23"/>
  <c r="O247" i="23"/>
  <c r="P247" i="23"/>
  <c r="Q247" i="23"/>
  <c r="R247" i="23"/>
  <c r="S247" i="23"/>
  <c r="T247" i="23"/>
  <c r="U247" i="23"/>
  <c r="V247" i="23"/>
  <c r="W247" i="23"/>
  <c r="F216" i="23"/>
  <c r="G216" i="23"/>
  <c r="H216" i="23"/>
  <c r="I216" i="23"/>
  <c r="J216" i="23"/>
  <c r="K216" i="23"/>
  <c r="L216" i="23"/>
  <c r="M216" i="23"/>
  <c r="N216" i="23"/>
  <c r="O216" i="23"/>
  <c r="P216" i="23"/>
  <c r="Q216" i="23"/>
  <c r="R216" i="23"/>
  <c r="S216" i="23"/>
  <c r="T216" i="23"/>
  <c r="U216" i="23"/>
  <c r="V216" i="23"/>
  <c r="W216" i="23"/>
  <c r="F217" i="23"/>
  <c r="G217" i="23"/>
  <c r="H217" i="23"/>
  <c r="I217" i="23"/>
  <c r="J217" i="23"/>
  <c r="K217" i="23"/>
  <c r="L217" i="23"/>
  <c r="M217" i="23"/>
  <c r="N217" i="23"/>
  <c r="O217" i="23"/>
  <c r="P217" i="23"/>
  <c r="Q217" i="23"/>
  <c r="R217" i="23"/>
  <c r="S217" i="23"/>
  <c r="T217" i="23"/>
  <c r="U217" i="23"/>
  <c r="V217" i="23"/>
  <c r="W217" i="23"/>
  <c r="F218" i="23"/>
  <c r="G218" i="23"/>
  <c r="H218" i="23"/>
  <c r="I218" i="23"/>
  <c r="J218" i="23"/>
  <c r="K218" i="23"/>
  <c r="L218" i="23"/>
  <c r="M218" i="23"/>
  <c r="N218" i="23"/>
  <c r="O218" i="23"/>
  <c r="P218" i="23"/>
  <c r="Q218" i="23"/>
  <c r="R218" i="23"/>
  <c r="S218" i="23"/>
  <c r="T218" i="23"/>
  <c r="U218" i="23"/>
  <c r="V218" i="23"/>
  <c r="W218" i="23"/>
  <c r="F219" i="23"/>
  <c r="G219" i="23"/>
  <c r="H219" i="23"/>
  <c r="I219" i="23"/>
  <c r="J219" i="23"/>
  <c r="K219" i="23"/>
  <c r="L219" i="23"/>
  <c r="M219" i="23"/>
  <c r="N219" i="23"/>
  <c r="O219" i="23"/>
  <c r="P219" i="23"/>
  <c r="Q219" i="23"/>
  <c r="R219" i="23"/>
  <c r="S219" i="23"/>
  <c r="T219" i="23"/>
  <c r="U219" i="23"/>
  <c r="V219" i="23"/>
  <c r="W219" i="23"/>
  <c r="F220" i="23"/>
  <c r="G220" i="23"/>
  <c r="H220" i="23"/>
  <c r="I220" i="23"/>
  <c r="J220" i="23"/>
  <c r="K220" i="23"/>
  <c r="L220" i="23"/>
  <c r="M220" i="23"/>
  <c r="N220" i="23"/>
  <c r="O220" i="23"/>
  <c r="P220" i="23"/>
  <c r="Q220" i="23"/>
  <c r="R220" i="23"/>
  <c r="S220" i="23"/>
  <c r="T220" i="23"/>
  <c r="U220" i="23"/>
  <c r="V220" i="23"/>
  <c r="W220" i="23"/>
  <c r="W48" i="23"/>
  <c r="W49" i="23"/>
  <c r="W50" i="23"/>
  <c r="W51" i="23"/>
  <c r="W52" i="23"/>
  <c r="W53" i="23"/>
  <c r="W54" i="23"/>
  <c r="W55" i="23"/>
  <c r="W56" i="23"/>
  <c r="W57" i="23"/>
  <c r="W58" i="23"/>
  <c r="W59" i="23"/>
  <c r="W60" i="23"/>
  <c r="W61" i="23"/>
  <c r="W62" i="23"/>
  <c r="W63" i="23"/>
  <c r="W64" i="23"/>
  <c r="W65" i="23"/>
  <c r="W66" i="23"/>
  <c r="W67" i="23"/>
  <c r="W69" i="23"/>
  <c r="W70" i="23"/>
  <c r="W71" i="23"/>
  <c r="W72" i="23"/>
  <c r="W73" i="23"/>
  <c r="W74" i="23"/>
  <c r="W75" i="23"/>
  <c r="W76" i="23"/>
  <c r="W77" i="23"/>
  <c r="W78" i="23"/>
  <c r="W79" i="23"/>
  <c r="W80" i="23"/>
  <c r="W81" i="23"/>
  <c r="W82" i="23"/>
  <c r="W83" i="23"/>
  <c r="W84" i="23"/>
  <c r="W85" i="23"/>
  <c r="W86" i="23"/>
  <c r="W87" i="23"/>
  <c r="W88" i="23"/>
  <c r="W90" i="23"/>
  <c r="W91" i="23"/>
  <c r="W92" i="23"/>
  <c r="W93" i="23"/>
  <c r="W94" i="23"/>
  <c r="W95" i="23"/>
  <c r="W96" i="23"/>
  <c r="W97" i="23"/>
  <c r="W98" i="23"/>
  <c r="W99" i="23"/>
  <c r="W100" i="23"/>
  <c r="W101" i="23"/>
  <c r="W102" i="23"/>
  <c r="W103" i="23"/>
  <c r="W104" i="23"/>
  <c r="W105" i="23"/>
  <c r="W106" i="23"/>
  <c r="W107" i="23"/>
  <c r="W108" i="23"/>
  <c r="W109" i="23"/>
  <c r="W110" i="23"/>
  <c r="W112" i="23"/>
  <c r="W113" i="23"/>
  <c r="W114" i="23"/>
  <c r="W115" i="23"/>
  <c r="W116" i="23"/>
  <c r="W117" i="23"/>
  <c r="W118" i="23"/>
  <c r="W119" i="23"/>
  <c r="W120" i="23"/>
  <c r="W121" i="23"/>
  <c r="W122" i="23"/>
  <c r="W123" i="23"/>
  <c r="W124" i="23"/>
  <c r="W125" i="23"/>
  <c r="W126" i="23"/>
  <c r="W127" i="23"/>
  <c r="W128" i="23"/>
  <c r="W129" i="23"/>
  <c r="W130" i="23"/>
  <c r="W131" i="23"/>
  <c r="W132" i="23"/>
  <c r="W134" i="23"/>
  <c r="W135" i="23"/>
  <c r="W136" i="23"/>
  <c r="W137" i="23"/>
  <c r="W138" i="23"/>
  <c r="W139" i="23"/>
  <c r="W140" i="23"/>
  <c r="W141" i="23"/>
  <c r="W142" i="23"/>
  <c r="W143" i="23"/>
  <c r="W144" i="23"/>
  <c r="W145" i="23"/>
  <c r="W146" i="23"/>
  <c r="W147" i="23"/>
  <c r="W148" i="23"/>
  <c r="W149" i="23"/>
  <c r="W150" i="23"/>
  <c r="W151" i="23"/>
  <c r="W152" i="23"/>
  <c r="W153" i="23"/>
  <c r="W155" i="23"/>
  <c r="W156" i="23"/>
  <c r="W157" i="23"/>
  <c r="W158" i="23"/>
  <c r="W159" i="23"/>
  <c r="W160" i="23"/>
  <c r="W161" i="23"/>
  <c r="W162" i="23"/>
  <c r="W163" i="23"/>
  <c r="W164" i="23"/>
  <c r="W165" i="23"/>
  <c r="W166" i="23"/>
  <c r="W167" i="23"/>
  <c r="W168" i="23"/>
  <c r="W172" i="23"/>
  <c r="W173" i="23"/>
  <c r="W174" i="23"/>
  <c r="W175" i="23"/>
  <c r="W176" i="23"/>
  <c r="W177" i="23"/>
  <c r="W178" i="23"/>
  <c r="W179" i="23"/>
  <c r="W181" i="23"/>
  <c r="W182" i="23"/>
  <c r="W183" i="23"/>
  <c r="W184" i="23"/>
  <c r="W185" i="23"/>
  <c r="W186" i="23"/>
  <c r="W187" i="23"/>
  <c r="W188" i="23"/>
  <c r="W207" i="23"/>
  <c r="W208" i="23"/>
  <c r="W209" i="23"/>
  <c r="W210" i="23"/>
  <c r="W211" i="23"/>
  <c r="W212" i="23"/>
  <c r="W213" i="23"/>
  <c r="W214" i="23"/>
  <c r="W215" i="23"/>
  <c r="W223" i="23"/>
  <c r="W224" i="23"/>
  <c r="W225" i="23"/>
  <c r="W226" i="23"/>
  <c r="W227" i="23"/>
  <c r="W228" i="23"/>
  <c r="W229" i="23"/>
  <c r="W230" i="23"/>
  <c r="W232" i="23"/>
  <c r="W233" i="23"/>
  <c r="W234" i="23"/>
  <c r="W235" i="23"/>
  <c r="W236" i="23"/>
  <c r="W237" i="23"/>
  <c r="W238" i="23"/>
  <c r="W239" i="23"/>
  <c r="W240" i="23"/>
  <c r="W241" i="23"/>
  <c r="W242" i="23"/>
  <c r="W243" i="23"/>
  <c r="W252" i="23"/>
  <c r="W253" i="23"/>
  <c r="W254" i="23"/>
  <c r="W255" i="23"/>
  <c r="W256" i="23"/>
  <c r="W257" i="23"/>
  <c r="W258" i="23"/>
  <c r="W259" i="23"/>
  <c r="W260" i="23"/>
  <c r="W261" i="23"/>
  <c r="W262" i="23"/>
  <c r="W263" i="23"/>
  <c r="W264" i="23"/>
  <c r="W265" i="23"/>
  <c r="W266" i="23"/>
  <c r="W267" i="23"/>
  <c r="W268" i="23"/>
  <c r="W269" i="23"/>
  <c r="W270" i="23"/>
  <c r="W274" i="23"/>
  <c r="W275" i="23"/>
  <c r="W276" i="23"/>
  <c r="W277" i="23"/>
  <c r="W278" i="23"/>
  <c r="W279" i="23"/>
  <c r="W280" i="23"/>
  <c r="W281" i="23"/>
  <c r="W282" i="23"/>
  <c r="W283" i="23"/>
  <c r="W284" i="23"/>
  <c r="W285" i="23"/>
  <c r="W286" i="23"/>
  <c r="W287" i="23"/>
  <c r="W288" i="23"/>
  <c r="W289" i="23"/>
  <c r="W290" i="23"/>
  <c r="W291" i="23"/>
  <c r="W292" i="23"/>
  <c r="W293" i="23"/>
  <c r="W294" i="23"/>
  <c r="W296" i="23"/>
  <c r="W297" i="23"/>
  <c r="W298" i="23"/>
  <c r="W299" i="23"/>
  <c r="W300" i="23"/>
  <c r="W301" i="23"/>
  <c r="W302" i="23"/>
  <c r="W303" i="23"/>
  <c r="W304" i="23"/>
  <c r="W305" i="23"/>
  <c r="W306" i="23"/>
  <c r="W307" i="23"/>
  <c r="W308" i="23"/>
  <c r="W309" i="23"/>
  <c r="W310" i="23"/>
  <c r="W311" i="23"/>
  <c r="W312" i="23"/>
  <c r="W313" i="23"/>
  <c r="W314" i="23"/>
  <c r="W315" i="23"/>
  <c r="W319" i="23"/>
  <c r="W320" i="23"/>
  <c r="W321" i="23"/>
  <c r="W322" i="23"/>
  <c r="W323" i="23"/>
  <c r="W324" i="23"/>
  <c r="W325" i="23"/>
  <c r="W326" i="23"/>
  <c r="W327" i="23"/>
  <c r="W328" i="23"/>
  <c r="W329" i="23"/>
  <c r="W330" i="23"/>
  <c r="W331" i="23"/>
  <c r="W332" i="23"/>
  <c r="W333" i="23"/>
  <c r="W334" i="23"/>
  <c r="W335" i="23"/>
  <c r="W336" i="23"/>
  <c r="W337" i="23"/>
  <c r="W338" i="23"/>
  <c r="W340" i="23"/>
  <c r="W341" i="23"/>
  <c r="W342" i="23"/>
  <c r="W343" i="23"/>
  <c r="W344" i="23"/>
  <c r="W345" i="23"/>
  <c r="W346" i="23"/>
  <c r="W347" i="23"/>
  <c r="W348" i="23"/>
  <c r="W349" i="23"/>
  <c r="W350" i="23"/>
  <c r="W351" i="23"/>
  <c r="W352" i="23"/>
  <c r="W353" i="23"/>
  <c r="W354" i="23"/>
  <c r="W355" i="23"/>
  <c r="W356" i="23"/>
  <c r="W357" i="23"/>
  <c r="W358" i="23"/>
  <c r="W359" i="23"/>
  <c r="W360" i="23"/>
  <c r="W362" i="23"/>
  <c r="W363" i="23"/>
  <c r="W364" i="23"/>
  <c r="W365" i="23"/>
  <c r="W366" i="23"/>
  <c r="W367" i="23"/>
  <c r="W368" i="23"/>
  <c r="W369" i="23"/>
  <c r="W370" i="23"/>
  <c r="W371" i="23"/>
  <c r="W372" i="23"/>
  <c r="W373" i="23"/>
  <c r="W374" i="23"/>
  <c r="W375" i="23"/>
  <c r="W376" i="23"/>
  <c r="W377" i="23"/>
  <c r="W378" i="23"/>
  <c r="W379" i="23"/>
  <c r="W380" i="23"/>
  <c r="W381" i="23"/>
  <c r="W382" i="23"/>
  <c r="W384" i="23"/>
  <c r="W385" i="23"/>
  <c r="W386" i="23"/>
  <c r="W387" i="23"/>
  <c r="W388" i="23"/>
  <c r="W389" i="23"/>
  <c r="W390" i="23"/>
  <c r="W391" i="23"/>
  <c r="W392" i="23"/>
  <c r="W393" i="23"/>
  <c r="W394" i="23"/>
  <c r="W395" i="23"/>
  <c r="W396" i="23"/>
  <c r="W397" i="23"/>
  <c r="W398" i="23"/>
  <c r="W399" i="23"/>
  <c r="W400" i="23"/>
  <c r="W401" i="23"/>
  <c r="W402" i="23"/>
  <c r="W403" i="23"/>
  <c r="W404" i="23"/>
  <c r="W407" i="23"/>
  <c r="W408" i="23"/>
  <c r="W409" i="23"/>
  <c r="W410" i="23"/>
  <c r="W411" i="23"/>
  <c r="W412" i="23"/>
  <c r="W413" i="23"/>
  <c r="W414" i="23"/>
  <c r="W415" i="23"/>
  <c r="W416" i="23"/>
  <c r="W417" i="23"/>
  <c r="W418" i="23"/>
  <c r="W419" i="23"/>
  <c r="W420" i="23"/>
  <c r="W421" i="23"/>
  <c r="W422" i="23"/>
  <c r="W423" i="23"/>
  <c r="W424" i="23"/>
  <c r="W425" i="23"/>
  <c r="W426" i="23"/>
  <c r="W427" i="23"/>
  <c r="W428" i="23"/>
  <c r="W430" i="23"/>
  <c r="W431" i="23"/>
  <c r="W432" i="23"/>
  <c r="W433" i="23"/>
  <c r="W434" i="23"/>
  <c r="W435" i="23"/>
  <c r="W436" i="23"/>
  <c r="W437" i="23"/>
  <c r="W438" i="23"/>
  <c r="W439" i="23"/>
  <c r="W440" i="23"/>
  <c r="W441" i="23"/>
  <c r="W442" i="23"/>
  <c r="W443" i="23"/>
  <c r="W444" i="23"/>
  <c r="W445" i="23"/>
  <c r="W446" i="23"/>
  <c r="W447" i="23"/>
  <c r="W448" i="23"/>
  <c r="W449" i="23"/>
  <c r="W450" i="23"/>
  <c r="W451" i="23"/>
  <c r="W452" i="23"/>
  <c r="W454" i="23"/>
  <c r="W455" i="23"/>
  <c r="W456" i="23"/>
  <c r="W457" i="23"/>
  <c r="W458" i="23"/>
  <c r="W459" i="23"/>
  <c r="W460" i="23"/>
  <c r="W461" i="23"/>
  <c r="W462" i="23"/>
  <c r="W463" i="23"/>
  <c r="W464" i="23"/>
  <c r="W465" i="23"/>
  <c r="W466" i="23"/>
  <c r="W467" i="23"/>
  <c r="W468" i="23"/>
  <c r="W469" i="23"/>
  <c r="W470" i="23"/>
  <c r="W471" i="23"/>
  <c r="W472" i="23"/>
  <c r="W473" i="23"/>
  <c r="W474" i="23"/>
  <c r="W475" i="23"/>
  <c r="W477" i="23"/>
  <c r="W478" i="23"/>
  <c r="W479" i="23"/>
  <c r="W480" i="23"/>
  <c r="W481" i="23"/>
  <c r="W482" i="23"/>
  <c r="W483" i="23"/>
  <c r="W484" i="23"/>
  <c r="W485" i="23"/>
  <c r="W486" i="23"/>
  <c r="W487" i="23"/>
  <c r="W488" i="23"/>
  <c r="W489" i="23"/>
  <c r="W490" i="23"/>
  <c r="W491" i="23"/>
  <c r="W492" i="23"/>
  <c r="W493" i="23"/>
  <c r="W494" i="23"/>
  <c r="W495" i="23"/>
  <c r="W496" i="23"/>
  <c r="W497" i="23"/>
  <c r="W499" i="23"/>
  <c r="W500" i="23"/>
  <c r="W501" i="23"/>
  <c r="W502" i="23"/>
  <c r="W503" i="23"/>
  <c r="W504" i="23"/>
  <c r="W505" i="23"/>
  <c r="W506" i="23"/>
  <c r="W507" i="23"/>
  <c r="W508" i="23"/>
  <c r="W509" i="23"/>
  <c r="W510" i="23"/>
  <c r="W511" i="23"/>
  <c r="W512" i="23"/>
  <c r="W513" i="23"/>
  <c r="W514" i="23"/>
  <c r="W515" i="23"/>
  <c r="W516" i="23"/>
  <c r="W517" i="23"/>
  <c r="W518" i="23"/>
  <c r="W519" i="23"/>
  <c r="W521" i="23"/>
  <c r="W522" i="23"/>
  <c r="W523" i="23"/>
  <c r="W524" i="23"/>
  <c r="W525" i="23"/>
  <c r="W526" i="23"/>
  <c r="W527" i="23"/>
  <c r="W528" i="23"/>
  <c r="W529" i="23"/>
  <c r="W530" i="23"/>
  <c r="W531" i="23"/>
  <c r="W532" i="23"/>
  <c r="W533" i="23"/>
  <c r="W534" i="23"/>
  <c r="W535" i="23"/>
  <c r="W536" i="23"/>
  <c r="W537" i="23"/>
  <c r="W538" i="23"/>
  <c r="W539" i="23"/>
  <c r="W540" i="23"/>
  <c r="W541" i="23"/>
  <c r="W543" i="23"/>
  <c r="W544" i="23"/>
  <c r="W545" i="23"/>
  <c r="W546" i="23"/>
  <c r="W547" i="23"/>
  <c r="W548" i="23"/>
  <c r="W549" i="23"/>
  <c r="W550" i="23"/>
  <c r="W551" i="23"/>
  <c r="W552" i="23"/>
  <c r="W553" i="23"/>
  <c r="W554" i="23"/>
  <c r="W555" i="23"/>
  <c r="W556" i="23"/>
  <c r="W557" i="23"/>
  <c r="W558" i="23"/>
  <c r="W559" i="23"/>
  <c r="W560" i="23"/>
  <c r="W561" i="23"/>
  <c r="W562" i="23"/>
  <c r="W563" i="23"/>
  <c r="W564" i="23"/>
  <c r="W566" i="23"/>
  <c r="W567" i="23"/>
  <c r="W568" i="23"/>
  <c r="W569" i="23"/>
  <c r="W570" i="23"/>
  <c r="W571" i="23"/>
  <c r="W572" i="23"/>
  <c r="W573" i="23"/>
  <c r="W574" i="23"/>
  <c r="W575" i="23"/>
  <c r="W576" i="23"/>
  <c r="W577" i="23"/>
  <c r="W578" i="23"/>
  <c r="W579" i="23"/>
  <c r="W580" i="23"/>
  <c r="W581" i="23"/>
  <c r="W582" i="23"/>
  <c r="W583" i="23"/>
  <c r="W584" i="23"/>
  <c r="W585" i="23"/>
  <c r="W586" i="23"/>
  <c r="W588" i="23"/>
  <c r="W589" i="23"/>
  <c r="W590" i="23"/>
  <c r="W591" i="23"/>
  <c r="W592" i="23"/>
  <c r="W593" i="23"/>
  <c r="W594" i="23"/>
  <c r="W595" i="23"/>
  <c r="W596" i="23"/>
  <c r="W597" i="23"/>
  <c r="W598" i="23"/>
  <c r="W599" i="23"/>
  <c r="W600" i="23"/>
  <c r="W601" i="23"/>
  <c r="W602" i="23"/>
  <c r="W603" i="23"/>
  <c r="W604" i="23"/>
  <c r="W605" i="23"/>
  <c r="W5" i="23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5" i="23"/>
  <c r="W26" i="23"/>
  <c r="W27" i="23"/>
  <c r="W28" i="23"/>
  <c r="W29" i="23"/>
  <c r="W30" i="23"/>
  <c r="W31" i="23"/>
  <c r="W32" i="23"/>
  <c r="W33" i="23"/>
  <c r="W34" i="23"/>
  <c r="W35" i="23"/>
  <c r="W36" i="23"/>
  <c r="W37" i="23"/>
  <c r="W38" i="23"/>
  <c r="W39" i="23"/>
  <c r="W40" i="23"/>
  <c r="F164" i="23"/>
  <c r="G164" i="23"/>
  <c r="H164" i="23"/>
  <c r="I164" i="23"/>
  <c r="J164" i="23"/>
  <c r="K164" i="23"/>
  <c r="L164" i="23"/>
  <c r="M164" i="23"/>
  <c r="N164" i="23"/>
  <c r="O164" i="23"/>
  <c r="P164" i="23"/>
  <c r="Q164" i="23"/>
  <c r="R164" i="23"/>
  <c r="S164" i="23"/>
  <c r="T164" i="23"/>
  <c r="U164" i="23"/>
  <c r="V164" i="23"/>
  <c r="F165" i="23"/>
  <c r="G165" i="23"/>
  <c r="H165" i="23"/>
  <c r="I165" i="23"/>
  <c r="J165" i="23"/>
  <c r="K165" i="23"/>
  <c r="L165" i="23"/>
  <c r="M165" i="23"/>
  <c r="N165" i="23"/>
  <c r="O165" i="23"/>
  <c r="P165" i="23"/>
  <c r="Q165" i="23"/>
  <c r="R165" i="23"/>
  <c r="S165" i="23"/>
  <c r="T165" i="23"/>
  <c r="U165" i="23"/>
  <c r="V165" i="23"/>
  <c r="F166" i="23"/>
  <c r="G166" i="23"/>
  <c r="H166" i="23"/>
  <c r="I166" i="23"/>
  <c r="J166" i="23"/>
  <c r="K166" i="23"/>
  <c r="L166" i="23"/>
  <c r="M166" i="23"/>
  <c r="N166" i="23"/>
  <c r="O166" i="23"/>
  <c r="P166" i="23"/>
  <c r="Q166" i="23"/>
  <c r="R166" i="23"/>
  <c r="S166" i="23"/>
  <c r="T166" i="23"/>
  <c r="U166" i="23"/>
  <c r="V166" i="23"/>
  <c r="F167" i="23"/>
  <c r="G167" i="23"/>
  <c r="H167" i="23"/>
  <c r="I167" i="23"/>
  <c r="J167" i="23"/>
  <c r="K167" i="23"/>
  <c r="L167" i="23"/>
  <c r="M167" i="23"/>
  <c r="N167" i="23"/>
  <c r="O167" i="23"/>
  <c r="P167" i="23"/>
  <c r="Q167" i="23"/>
  <c r="R167" i="23"/>
  <c r="S167" i="23"/>
  <c r="T167" i="23"/>
  <c r="U167" i="23"/>
  <c r="V167" i="23"/>
  <c r="F168" i="23"/>
  <c r="G168" i="23"/>
  <c r="H168" i="23"/>
  <c r="I168" i="23"/>
  <c r="J168" i="23"/>
  <c r="K168" i="23"/>
  <c r="L168" i="23"/>
  <c r="M168" i="23"/>
  <c r="N168" i="23"/>
  <c r="O168" i="23"/>
  <c r="P168" i="23"/>
  <c r="Q168" i="23"/>
  <c r="R168" i="23"/>
  <c r="S168" i="23"/>
  <c r="T168" i="23"/>
  <c r="U168" i="23"/>
  <c r="V168" i="23"/>
  <c r="W46" i="23" l="1"/>
  <c r="W610" i="23"/>
  <c r="F659" i="7"/>
  <c r="F619" i="7"/>
  <c r="F618" i="7"/>
  <c r="F620" i="7"/>
  <c r="F617" i="7"/>
  <c r="F420" i="7"/>
  <c r="F419" i="7"/>
  <c r="K26" i="30" l="1"/>
  <c r="L26" i="30" l="1"/>
  <c r="E26" i="30" l="1"/>
  <c r="F26" i="30"/>
  <c r="G26" i="30"/>
  <c r="F80" i="11"/>
  <c r="O422" i="1"/>
  <c r="O421" i="1"/>
  <c r="O416" i="1"/>
  <c r="O408" i="1"/>
  <c r="O339" i="1"/>
  <c r="O201" i="1"/>
  <c r="O141" i="1"/>
  <c r="O104" i="1"/>
  <c r="O103" i="1"/>
  <c r="G66" i="11"/>
  <c r="H66" i="11" s="1"/>
  <c r="I66" i="11"/>
  <c r="J66" i="11" s="1"/>
  <c r="K66" i="11"/>
  <c r="L66" i="11" s="1"/>
  <c r="M66" i="11"/>
  <c r="N66" i="11" s="1"/>
  <c r="Q66" i="11"/>
  <c r="R66" i="11" s="1"/>
  <c r="S66" i="11"/>
  <c r="T66" i="11" s="1"/>
  <c r="E36" i="11"/>
  <c r="E66" i="11" s="1"/>
  <c r="H26" i="30" l="1"/>
  <c r="M26" i="30" s="1"/>
  <c r="U50" i="24" s="1"/>
  <c r="T44" i="25"/>
  <c r="R44" i="25"/>
  <c r="M44" i="25"/>
  <c r="R39" i="25"/>
  <c r="U44" i="25" l="1"/>
  <c r="L53" i="12"/>
  <c r="L33" i="12"/>
  <c r="F1233" i="18" l="1"/>
  <c r="F1234" i="18" s="1"/>
  <c r="F1241" i="18" s="1"/>
  <c r="O248" i="1" l="1"/>
  <c r="L11" i="24" l="1"/>
  <c r="M11" i="24"/>
  <c r="I50" i="24"/>
  <c r="S50" i="24" s="1"/>
  <c r="T50" i="24" s="1"/>
  <c r="V50" i="24" s="1"/>
  <c r="O50" i="24" l="1"/>
  <c r="N26" i="30" s="1"/>
  <c r="L25" i="30"/>
  <c r="N24" i="30"/>
  <c r="I24" i="30"/>
  <c r="E24" i="30"/>
  <c r="F24" i="30" s="1"/>
  <c r="G24" i="30"/>
  <c r="E25" i="30"/>
  <c r="F25" i="30" s="1"/>
  <c r="G25" i="30" l="1"/>
  <c r="H25" i="30"/>
  <c r="M25" i="30" s="1"/>
  <c r="U49" i="24" s="1"/>
  <c r="H24" i="30"/>
  <c r="J24" i="30"/>
  <c r="K24" i="30"/>
  <c r="D26" i="33"/>
  <c r="F26" i="33" s="1"/>
  <c r="G26" i="33" s="1"/>
  <c r="M42" i="25"/>
  <c r="R42" i="25"/>
  <c r="V30" i="39"/>
  <c r="V25" i="39"/>
  <c r="X26" i="39"/>
  <c r="Q26" i="39"/>
  <c r="T29" i="39"/>
  <c r="T28" i="39"/>
  <c r="N30" i="39"/>
  <c r="M30" i="39"/>
  <c r="M29" i="39"/>
  <c r="M28" i="39"/>
  <c r="F29" i="39"/>
  <c r="F28" i="39"/>
  <c r="L24" i="30" l="1"/>
  <c r="M24" i="30" s="1"/>
  <c r="X32" i="39"/>
  <c r="U32" i="39"/>
  <c r="Q32" i="39"/>
  <c r="N32" i="39"/>
  <c r="J32" i="39"/>
  <c r="G32" i="39"/>
  <c r="X31" i="39"/>
  <c r="AA31" i="39" s="1"/>
  <c r="Q31" i="39"/>
  <c r="J31" i="39"/>
  <c r="X30" i="39"/>
  <c r="T32" i="39"/>
  <c r="O30" i="39"/>
  <c r="Q30" i="39" s="1"/>
  <c r="M32" i="39"/>
  <c r="G30" i="39"/>
  <c r="F30" i="39"/>
  <c r="X29" i="39"/>
  <c r="Q29" i="39"/>
  <c r="J29" i="39"/>
  <c r="X28" i="39"/>
  <c r="Q28" i="39"/>
  <c r="J28" i="39"/>
  <c r="AA27" i="39"/>
  <c r="J26" i="39"/>
  <c r="AA26" i="39" s="1"/>
  <c r="X25" i="39"/>
  <c r="O25" i="39"/>
  <c r="Q25" i="39" s="1"/>
  <c r="H25" i="39"/>
  <c r="J25" i="39" s="1"/>
  <c r="X24" i="39"/>
  <c r="Q24" i="39"/>
  <c r="J24" i="39"/>
  <c r="AA24" i="39" l="1"/>
  <c r="AA32" i="39"/>
  <c r="H30" i="39"/>
  <c r="J30" i="39" s="1"/>
  <c r="F32" i="39"/>
  <c r="AA28" i="39"/>
  <c r="AA29" i="39"/>
  <c r="AA25" i="39"/>
  <c r="AA30" i="39" l="1"/>
  <c r="F270" i="23" l="1"/>
  <c r="G270" i="23"/>
  <c r="H270" i="23"/>
  <c r="I270" i="23"/>
  <c r="J270" i="23"/>
  <c r="K270" i="23"/>
  <c r="L270" i="23"/>
  <c r="M270" i="23"/>
  <c r="N270" i="23"/>
  <c r="O270" i="23"/>
  <c r="P270" i="23"/>
  <c r="Q270" i="23"/>
  <c r="R270" i="23"/>
  <c r="S270" i="23"/>
  <c r="T270" i="23"/>
  <c r="U270" i="23"/>
  <c r="V270" i="23"/>
  <c r="F243" i="23"/>
  <c r="G243" i="23"/>
  <c r="H243" i="23"/>
  <c r="I243" i="23"/>
  <c r="J243" i="23"/>
  <c r="K243" i="23"/>
  <c r="L243" i="23"/>
  <c r="M243" i="23"/>
  <c r="N243" i="23"/>
  <c r="O243" i="23"/>
  <c r="P243" i="23"/>
  <c r="Q243" i="23"/>
  <c r="R243" i="23"/>
  <c r="S243" i="23"/>
  <c r="T243" i="23"/>
  <c r="U243" i="23"/>
  <c r="V243" i="23"/>
  <c r="F40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F1243" i="18"/>
  <c r="M340" i="1" s="1"/>
  <c r="F1236" i="18"/>
  <c r="F1238" i="18" s="1"/>
  <c r="F241" i="23"/>
  <c r="G241" i="23"/>
  <c r="H241" i="23"/>
  <c r="I241" i="23"/>
  <c r="J241" i="23"/>
  <c r="K241" i="23"/>
  <c r="L241" i="23"/>
  <c r="M241" i="23"/>
  <c r="N241" i="23"/>
  <c r="O241" i="23"/>
  <c r="P241" i="23"/>
  <c r="Q241" i="23"/>
  <c r="R241" i="23"/>
  <c r="S241" i="23"/>
  <c r="T241" i="23"/>
  <c r="U241" i="23"/>
  <c r="V241" i="23"/>
  <c r="F242" i="23"/>
  <c r="G242" i="23"/>
  <c r="H242" i="23"/>
  <c r="I242" i="23"/>
  <c r="J242" i="23"/>
  <c r="K242" i="23"/>
  <c r="L242" i="23"/>
  <c r="M242" i="23"/>
  <c r="N242" i="23"/>
  <c r="O242" i="23"/>
  <c r="P242" i="23"/>
  <c r="Q242" i="23"/>
  <c r="R242" i="23"/>
  <c r="S242" i="23"/>
  <c r="T242" i="23"/>
  <c r="U242" i="23"/>
  <c r="V242" i="23"/>
  <c r="V48" i="23"/>
  <c r="V49" i="23"/>
  <c r="V50" i="23"/>
  <c r="V51" i="23"/>
  <c r="V52" i="23"/>
  <c r="V53" i="23"/>
  <c r="V54" i="23"/>
  <c r="V55" i="23"/>
  <c r="V56" i="23"/>
  <c r="V57" i="23"/>
  <c r="V58" i="23"/>
  <c r="V59" i="23"/>
  <c r="V60" i="23"/>
  <c r="V61" i="23"/>
  <c r="V62" i="23"/>
  <c r="V63" i="23"/>
  <c r="V64" i="23"/>
  <c r="V65" i="23"/>
  <c r="V66" i="23"/>
  <c r="V67" i="23"/>
  <c r="V69" i="23"/>
  <c r="V70" i="23"/>
  <c r="V71" i="23"/>
  <c r="V72" i="23"/>
  <c r="V73" i="23"/>
  <c r="V74" i="23"/>
  <c r="V75" i="23"/>
  <c r="V76" i="23"/>
  <c r="V77" i="23"/>
  <c r="V78" i="23"/>
  <c r="V79" i="23"/>
  <c r="V80" i="23"/>
  <c r="V81" i="23"/>
  <c r="V82" i="23"/>
  <c r="V83" i="23"/>
  <c r="V84" i="23"/>
  <c r="V85" i="23"/>
  <c r="V86" i="23"/>
  <c r="V87" i="23"/>
  <c r="V88" i="23"/>
  <c r="V90" i="23"/>
  <c r="V91" i="23"/>
  <c r="V92" i="23"/>
  <c r="V93" i="23"/>
  <c r="V94" i="23"/>
  <c r="V95" i="23"/>
  <c r="V96" i="23"/>
  <c r="V97" i="23"/>
  <c r="V98" i="23"/>
  <c r="V99" i="23"/>
  <c r="V100" i="23"/>
  <c r="V101" i="23"/>
  <c r="V102" i="23"/>
  <c r="V103" i="23"/>
  <c r="V104" i="23"/>
  <c r="V105" i="23"/>
  <c r="V106" i="23"/>
  <c r="V107" i="23"/>
  <c r="V108" i="23"/>
  <c r="V109" i="23"/>
  <c r="V110" i="23"/>
  <c r="V112" i="23"/>
  <c r="V113" i="23"/>
  <c r="V114" i="23"/>
  <c r="V115" i="23"/>
  <c r="V116" i="23"/>
  <c r="V117" i="23"/>
  <c r="V118" i="23"/>
  <c r="V119" i="23"/>
  <c r="V120" i="23"/>
  <c r="V121" i="23"/>
  <c r="V122" i="23"/>
  <c r="V123" i="23"/>
  <c r="V124" i="23"/>
  <c r="V125" i="23"/>
  <c r="V126" i="23"/>
  <c r="V127" i="23"/>
  <c r="V128" i="23"/>
  <c r="V129" i="23"/>
  <c r="V130" i="23"/>
  <c r="V131" i="23"/>
  <c r="V132" i="23"/>
  <c r="V134" i="23"/>
  <c r="V135" i="23"/>
  <c r="V136" i="23"/>
  <c r="V137" i="23"/>
  <c r="V138" i="23"/>
  <c r="V139" i="23"/>
  <c r="V140" i="23"/>
  <c r="V141" i="23"/>
  <c r="V142" i="23"/>
  <c r="V143" i="23"/>
  <c r="V144" i="23"/>
  <c r="V145" i="23"/>
  <c r="V146" i="23"/>
  <c r="V147" i="23"/>
  <c r="V148" i="23"/>
  <c r="V149" i="23"/>
  <c r="V150" i="23"/>
  <c r="V151" i="23"/>
  <c r="V152" i="23"/>
  <c r="V153" i="23"/>
  <c r="V155" i="23"/>
  <c r="V156" i="23"/>
  <c r="V157" i="23"/>
  <c r="V158" i="23"/>
  <c r="V159" i="23"/>
  <c r="V160" i="23"/>
  <c r="V161" i="23"/>
  <c r="V162" i="23"/>
  <c r="V163" i="23"/>
  <c r="V172" i="23"/>
  <c r="V173" i="23"/>
  <c r="V174" i="23"/>
  <c r="V175" i="23"/>
  <c r="V176" i="23"/>
  <c r="V177" i="23"/>
  <c r="V178" i="23"/>
  <c r="V179" i="23"/>
  <c r="V181" i="23"/>
  <c r="V182" i="23"/>
  <c r="V183" i="23"/>
  <c r="V184" i="23"/>
  <c r="V185" i="23"/>
  <c r="V186" i="23"/>
  <c r="V187" i="23"/>
  <c r="V188" i="23"/>
  <c r="V207" i="23"/>
  <c r="V208" i="23"/>
  <c r="V209" i="23"/>
  <c r="V210" i="23"/>
  <c r="V211" i="23"/>
  <c r="V212" i="23"/>
  <c r="V213" i="23"/>
  <c r="V214" i="23"/>
  <c r="V215" i="23"/>
  <c r="V223" i="23"/>
  <c r="V224" i="23"/>
  <c r="V225" i="23"/>
  <c r="V226" i="23"/>
  <c r="V227" i="23"/>
  <c r="V228" i="23"/>
  <c r="V229" i="23"/>
  <c r="V230" i="23"/>
  <c r="V232" i="23"/>
  <c r="V233" i="23"/>
  <c r="V234" i="23"/>
  <c r="V235" i="23"/>
  <c r="V236" i="23"/>
  <c r="V237" i="23"/>
  <c r="V238" i="23"/>
  <c r="V239" i="23"/>
  <c r="V240" i="23"/>
  <c r="V252" i="23"/>
  <c r="V253" i="23"/>
  <c r="V254" i="23"/>
  <c r="V255" i="23"/>
  <c r="V256" i="23"/>
  <c r="V257" i="23"/>
  <c r="V258" i="23"/>
  <c r="V259" i="23"/>
  <c r="V260" i="23"/>
  <c r="V261" i="23"/>
  <c r="V262" i="23"/>
  <c r="V263" i="23"/>
  <c r="V264" i="23"/>
  <c r="V265" i="23"/>
  <c r="V266" i="23"/>
  <c r="V267" i="23"/>
  <c r="V268" i="23"/>
  <c r="V269" i="23"/>
  <c r="V274" i="23"/>
  <c r="V275" i="23"/>
  <c r="V276" i="23"/>
  <c r="V277" i="23"/>
  <c r="V278" i="23"/>
  <c r="V279" i="23"/>
  <c r="V280" i="23"/>
  <c r="V281" i="23"/>
  <c r="V282" i="23"/>
  <c r="V283" i="23"/>
  <c r="V284" i="23"/>
  <c r="V285" i="23"/>
  <c r="V286" i="23"/>
  <c r="V287" i="23"/>
  <c r="V288" i="23"/>
  <c r="V289" i="23"/>
  <c r="V290" i="23"/>
  <c r="V291" i="23"/>
  <c r="V292" i="23"/>
  <c r="V293" i="23"/>
  <c r="V294" i="23"/>
  <c r="V296" i="23"/>
  <c r="V297" i="23"/>
  <c r="V298" i="23"/>
  <c r="V299" i="23"/>
  <c r="V300" i="23"/>
  <c r="V301" i="23"/>
  <c r="V302" i="23"/>
  <c r="V303" i="23"/>
  <c r="V304" i="23"/>
  <c r="V305" i="23"/>
  <c r="V306" i="23"/>
  <c r="V307" i="23"/>
  <c r="V308" i="23"/>
  <c r="V309" i="23"/>
  <c r="V310" i="23"/>
  <c r="V311" i="23"/>
  <c r="V312" i="23"/>
  <c r="V313" i="23"/>
  <c r="V314" i="23"/>
  <c r="V315" i="23"/>
  <c r="V319" i="23"/>
  <c r="V320" i="23"/>
  <c r="V321" i="23"/>
  <c r="V322" i="23"/>
  <c r="V323" i="23"/>
  <c r="V324" i="23"/>
  <c r="V325" i="23"/>
  <c r="V326" i="23"/>
  <c r="V327" i="23"/>
  <c r="V328" i="23"/>
  <c r="V329" i="23"/>
  <c r="V330" i="23"/>
  <c r="V331" i="23"/>
  <c r="V332" i="23"/>
  <c r="V333" i="23"/>
  <c r="V334" i="23"/>
  <c r="V335" i="23"/>
  <c r="V336" i="23"/>
  <c r="V337" i="23"/>
  <c r="V338" i="23"/>
  <c r="V340" i="23"/>
  <c r="V341" i="23"/>
  <c r="V342" i="23"/>
  <c r="V343" i="23"/>
  <c r="V344" i="23"/>
  <c r="V345" i="23"/>
  <c r="V346" i="23"/>
  <c r="V347" i="23"/>
  <c r="V348" i="23"/>
  <c r="V349" i="23"/>
  <c r="V350" i="23"/>
  <c r="V351" i="23"/>
  <c r="V352" i="23"/>
  <c r="V353" i="23"/>
  <c r="V354" i="23"/>
  <c r="V355" i="23"/>
  <c r="V356" i="23"/>
  <c r="V357" i="23"/>
  <c r="V358" i="23"/>
  <c r="V359" i="23"/>
  <c r="V360" i="23"/>
  <c r="V362" i="23"/>
  <c r="V363" i="23"/>
  <c r="V364" i="23"/>
  <c r="V365" i="23"/>
  <c r="V366" i="23"/>
  <c r="V367" i="23"/>
  <c r="V368" i="23"/>
  <c r="V369" i="23"/>
  <c r="V370" i="23"/>
  <c r="V371" i="23"/>
  <c r="V372" i="23"/>
  <c r="V373" i="23"/>
  <c r="V374" i="23"/>
  <c r="V375" i="23"/>
  <c r="V376" i="23"/>
  <c r="V377" i="23"/>
  <c r="V378" i="23"/>
  <c r="V379" i="23"/>
  <c r="V380" i="23"/>
  <c r="V381" i="23"/>
  <c r="V382" i="23"/>
  <c r="V384" i="23"/>
  <c r="V385" i="23"/>
  <c r="V386" i="23"/>
  <c r="V387" i="23"/>
  <c r="V388" i="23"/>
  <c r="V389" i="23"/>
  <c r="V390" i="23"/>
  <c r="V391" i="23"/>
  <c r="V392" i="23"/>
  <c r="V393" i="23"/>
  <c r="V394" i="23"/>
  <c r="V395" i="23"/>
  <c r="V396" i="23"/>
  <c r="V397" i="23"/>
  <c r="V398" i="23"/>
  <c r="V399" i="23"/>
  <c r="V400" i="23"/>
  <c r="V401" i="23"/>
  <c r="V402" i="23"/>
  <c r="V403" i="23"/>
  <c r="V404" i="23"/>
  <c r="V407" i="23"/>
  <c r="V408" i="23"/>
  <c r="V409" i="23"/>
  <c r="V410" i="23"/>
  <c r="V411" i="23"/>
  <c r="V412" i="23"/>
  <c r="V413" i="23"/>
  <c r="V414" i="23"/>
  <c r="V415" i="23"/>
  <c r="V416" i="23"/>
  <c r="V417" i="23"/>
  <c r="V418" i="23"/>
  <c r="V419" i="23"/>
  <c r="V420" i="23"/>
  <c r="V421" i="23"/>
  <c r="V422" i="23"/>
  <c r="V423" i="23"/>
  <c r="V424" i="23"/>
  <c r="V425" i="23"/>
  <c r="V426" i="23"/>
  <c r="V427" i="23"/>
  <c r="V428" i="23"/>
  <c r="V430" i="23"/>
  <c r="V431" i="23"/>
  <c r="V432" i="23"/>
  <c r="V433" i="23"/>
  <c r="V434" i="23"/>
  <c r="V435" i="23"/>
  <c r="V436" i="23"/>
  <c r="V437" i="23"/>
  <c r="V438" i="23"/>
  <c r="V439" i="23"/>
  <c r="V440" i="23"/>
  <c r="V441" i="23"/>
  <c r="V442" i="23"/>
  <c r="V443" i="23"/>
  <c r="V444" i="23"/>
  <c r="V445" i="23"/>
  <c r="V446" i="23"/>
  <c r="V447" i="23"/>
  <c r="V448" i="23"/>
  <c r="V449" i="23"/>
  <c r="V450" i="23"/>
  <c r="V451" i="23"/>
  <c r="V452" i="23"/>
  <c r="V454" i="23"/>
  <c r="V455" i="23"/>
  <c r="V456" i="23"/>
  <c r="V457" i="23"/>
  <c r="V458" i="23"/>
  <c r="V459" i="23"/>
  <c r="V460" i="23"/>
  <c r="V461" i="23"/>
  <c r="V462" i="23"/>
  <c r="V463" i="23"/>
  <c r="V464" i="23"/>
  <c r="V465" i="23"/>
  <c r="V466" i="23"/>
  <c r="V467" i="23"/>
  <c r="V468" i="23"/>
  <c r="V469" i="23"/>
  <c r="V470" i="23"/>
  <c r="V471" i="23"/>
  <c r="V472" i="23"/>
  <c r="V473" i="23"/>
  <c r="V474" i="23"/>
  <c r="V475" i="23"/>
  <c r="V477" i="23"/>
  <c r="V478" i="23"/>
  <c r="V479" i="23"/>
  <c r="V480" i="23"/>
  <c r="V481" i="23"/>
  <c r="V482" i="23"/>
  <c r="V483" i="23"/>
  <c r="V484" i="23"/>
  <c r="V485" i="23"/>
  <c r="V486" i="23"/>
  <c r="V487" i="23"/>
  <c r="V488" i="23"/>
  <c r="V489" i="23"/>
  <c r="V490" i="23"/>
  <c r="V491" i="23"/>
  <c r="V492" i="23"/>
  <c r="V493" i="23"/>
  <c r="V494" i="23"/>
  <c r="V495" i="23"/>
  <c r="V496" i="23"/>
  <c r="V497" i="23"/>
  <c r="V499" i="23"/>
  <c r="V500" i="23"/>
  <c r="V501" i="23"/>
  <c r="V502" i="23"/>
  <c r="V503" i="23"/>
  <c r="V504" i="23"/>
  <c r="V505" i="23"/>
  <c r="V506" i="23"/>
  <c r="V507" i="23"/>
  <c r="V508" i="23"/>
  <c r="V509" i="23"/>
  <c r="V510" i="23"/>
  <c r="V511" i="23"/>
  <c r="V512" i="23"/>
  <c r="V513" i="23"/>
  <c r="V514" i="23"/>
  <c r="V515" i="23"/>
  <c r="V516" i="23"/>
  <c r="V517" i="23"/>
  <c r="V518" i="23"/>
  <c r="V519" i="23"/>
  <c r="V521" i="23"/>
  <c r="V522" i="23"/>
  <c r="V523" i="23"/>
  <c r="V524" i="23"/>
  <c r="V525" i="23"/>
  <c r="V526" i="23"/>
  <c r="V527" i="23"/>
  <c r="V528" i="23"/>
  <c r="V529" i="23"/>
  <c r="V530" i="23"/>
  <c r="V531" i="23"/>
  <c r="V532" i="23"/>
  <c r="V533" i="23"/>
  <c r="V534" i="23"/>
  <c r="V535" i="23"/>
  <c r="V536" i="23"/>
  <c r="V537" i="23"/>
  <c r="V538" i="23"/>
  <c r="V539" i="23"/>
  <c r="V540" i="23"/>
  <c r="V541" i="23"/>
  <c r="V543" i="23"/>
  <c r="V544" i="23"/>
  <c r="V545" i="23"/>
  <c r="V546" i="23"/>
  <c r="V547" i="23"/>
  <c r="V548" i="23"/>
  <c r="V549" i="23"/>
  <c r="V550" i="23"/>
  <c r="V551" i="23"/>
  <c r="V552" i="23"/>
  <c r="V553" i="23"/>
  <c r="V554" i="23"/>
  <c r="V555" i="23"/>
  <c r="V556" i="23"/>
  <c r="V557" i="23"/>
  <c r="V558" i="23"/>
  <c r="V559" i="23"/>
  <c r="V560" i="23"/>
  <c r="V561" i="23"/>
  <c r="V562" i="23"/>
  <c r="V563" i="23"/>
  <c r="V564" i="23"/>
  <c r="V566" i="23"/>
  <c r="V567" i="23"/>
  <c r="V568" i="23"/>
  <c r="V569" i="23"/>
  <c r="V570" i="23"/>
  <c r="V571" i="23"/>
  <c r="V572" i="23"/>
  <c r="V573" i="23"/>
  <c r="V574" i="23"/>
  <c r="V575" i="23"/>
  <c r="V576" i="23"/>
  <c r="V577" i="23"/>
  <c r="V578" i="23"/>
  <c r="V579" i="23"/>
  <c r="V580" i="23"/>
  <c r="V581" i="23"/>
  <c r="V582" i="23"/>
  <c r="V583" i="23"/>
  <c r="V584" i="23"/>
  <c r="V585" i="23"/>
  <c r="V586" i="23"/>
  <c r="V588" i="23"/>
  <c r="V589" i="23"/>
  <c r="V590" i="23"/>
  <c r="V591" i="23"/>
  <c r="V592" i="23"/>
  <c r="V593" i="23"/>
  <c r="V594" i="23"/>
  <c r="V595" i="23"/>
  <c r="V596" i="23"/>
  <c r="V597" i="23"/>
  <c r="V598" i="23"/>
  <c r="V599" i="23"/>
  <c r="V600" i="23"/>
  <c r="V601" i="23"/>
  <c r="V602" i="23"/>
  <c r="V603" i="23"/>
  <c r="V604" i="23"/>
  <c r="V605" i="23"/>
  <c r="D25" i="23"/>
  <c r="V5" i="23"/>
  <c r="V6" i="23"/>
  <c r="V7" i="23"/>
  <c r="V8" i="23"/>
  <c r="V9" i="23"/>
  <c r="V10" i="23"/>
  <c r="V11" i="23"/>
  <c r="V12" i="23"/>
  <c r="V13" i="23"/>
  <c r="V14" i="23"/>
  <c r="V15" i="23"/>
  <c r="V16" i="23"/>
  <c r="V17" i="23"/>
  <c r="V18" i="23"/>
  <c r="V19" i="23"/>
  <c r="V20" i="23"/>
  <c r="V25" i="23"/>
  <c r="V26" i="23"/>
  <c r="V27" i="23"/>
  <c r="V28" i="23"/>
  <c r="V29" i="23"/>
  <c r="V30" i="23"/>
  <c r="V31" i="23"/>
  <c r="V32" i="23"/>
  <c r="V33" i="23"/>
  <c r="V34" i="23"/>
  <c r="V35" i="23"/>
  <c r="V36" i="23"/>
  <c r="V37" i="23"/>
  <c r="V38" i="23"/>
  <c r="V39" i="23"/>
  <c r="F343" i="7"/>
  <c r="F345" i="7" s="1"/>
  <c r="F122" i="7"/>
  <c r="F124" i="7" s="1"/>
  <c r="V610" i="23" l="1"/>
  <c r="F1245" i="18"/>
  <c r="M339" i="1"/>
  <c r="V46" i="23"/>
  <c r="M201" i="1"/>
  <c r="M141" i="1"/>
  <c r="F1199" i="20" l="1"/>
  <c r="F1203" i="20" s="1"/>
  <c r="F1205" i="20" s="1"/>
  <c r="F1232" i="20"/>
  <c r="F1234" i="20" s="1"/>
  <c r="E25" i="22"/>
  <c r="F63" i="41"/>
  <c r="M421" i="1" l="1"/>
  <c r="M422" i="1"/>
  <c r="I81" i="27"/>
  <c r="F1167" i="20"/>
  <c r="F1194" i="20"/>
  <c r="F1196" i="20" s="1"/>
  <c r="M416" i="1" l="1"/>
  <c r="F691" i="20"/>
  <c r="F693" i="20" s="1"/>
  <c r="F1096" i="20"/>
  <c r="Z33" i="38"/>
  <c r="U30" i="38"/>
  <c r="L30" i="38"/>
  <c r="U28" i="38"/>
  <c r="F626" i="7"/>
  <c r="F633" i="7" s="1"/>
  <c r="F635" i="7" s="1"/>
  <c r="M248" i="1" l="1"/>
  <c r="F976" i="20" l="1"/>
  <c r="F1108" i="20"/>
  <c r="F1110" i="20" s="1"/>
  <c r="M408" i="1" l="1"/>
  <c r="F961" i="20" l="1"/>
  <c r="F689" i="6"/>
  <c r="F680" i="6"/>
  <c r="F682" i="6" s="1"/>
  <c r="F725" i="6"/>
  <c r="G65" i="11"/>
  <c r="H65" i="11" s="1"/>
  <c r="I65" i="11"/>
  <c r="J65" i="11" s="1"/>
  <c r="K65" i="11"/>
  <c r="L65" i="11" s="1"/>
  <c r="M65" i="11"/>
  <c r="N65" i="11" s="1"/>
  <c r="O65" i="11"/>
  <c r="P65" i="11" s="1"/>
  <c r="Q65" i="11"/>
  <c r="R65" i="11" s="1"/>
  <c r="S65" i="11"/>
  <c r="T65" i="11" s="1"/>
  <c r="E35" i="11"/>
  <c r="E65" i="11" s="1"/>
  <c r="F691" i="6" l="1"/>
  <c r="M104" i="1"/>
  <c r="M103" i="1"/>
  <c r="D5" i="15"/>
  <c r="E28" i="29"/>
  <c r="J30" i="29" l="1"/>
  <c r="J32" i="29" s="1"/>
  <c r="G33" i="29"/>
  <c r="H33" i="29"/>
  <c r="F28" i="29"/>
  <c r="O472" i="1"/>
  <c r="O412" i="1"/>
  <c r="J118" i="31" l="1"/>
  <c r="T42" i="25"/>
  <c r="U42" i="25"/>
  <c r="U132" i="23" l="1"/>
  <c r="F1118" i="18"/>
  <c r="J456" i="1" l="1"/>
  <c r="J455" i="1"/>
  <c r="J454" i="1"/>
  <c r="J452" i="1"/>
  <c r="J451" i="1"/>
  <c r="J450" i="1"/>
  <c r="G180" i="31" l="1"/>
  <c r="J180" i="31"/>
  <c r="G181" i="31"/>
  <c r="J181" i="31"/>
  <c r="G182" i="31"/>
  <c r="J182" i="31"/>
  <c r="G183" i="31"/>
  <c r="J183" i="31"/>
  <c r="G184" i="31"/>
  <c r="J184" i="31"/>
  <c r="G185" i="31"/>
  <c r="J185" i="31"/>
  <c r="G186" i="31"/>
  <c r="J186" i="31"/>
  <c r="G187" i="31"/>
  <c r="J187" i="31"/>
  <c r="G188" i="31"/>
  <c r="J188" i="31"/>
  <c r="G189" i="31"/>
  <c r="J189" i="31"/>
  <c r="G190" i="31"/>
  <c r="J190" i="31"/>
  <c r="G191" i="31"/>
  <c r="J191" i="31"/>
  <c r="G192" i="31"/>
  <c r="J192" i="31"/>
  <c r="G193" i="31"/>
  <c r="J193" i="31"/>
  <c r="G194" i="31"/>
  <c r="J194" i="31"/>
  <c r="G195" i="31"/>
  <c r="J195" i="31"/>
  <c r="G196" i="31"/>
  <c r="J196" i="31"/>
  <c r="G197" i="31"/>
  <c r="J197" i="31"/>
  <c r="G198" i="31"/>
  <c r="J198" i="31"/>
  <c r="G199" i="31"/>
  <c r="J199" i="31"/>
  <c r="G200" i="31"/>
  <c r="J200" i="31"/>
  <c r="G201" i="31"/>
  <c r="J201" i="31"/>
  <c r="G202" i="31"/>
  <c r="J202" i="31"/>
  <c r="G203" i="31"/>
  <c r="J203" i="31"/>
  <c r="G204" i="31"/>
  <c r="J204" i="31"/>
  <c r="G205" i="31"/>
  <c r="J205" i="31"/>
  <c r="G206" i="31"/>
  <c r="J206" i="31"/>
  <c r="G207" i="31"/>
  <c r="J207" i="31"/>
  <c r="G208" i="31"/>
  <c r="J208" i="31"/>
  <c r="G209" i="31"/>
  <c r="J209" i="31"/>
  <c r="G210" i="31"/>
  <c r="J210" i="31"/>
  <c r="G211" i="31"/>
  <c r="J211" i="31"/>
  <c r="G212" i="31"/>
  <c r="J212" i="31"/>
  <c r="G213" i="31"/>
  <c r="J213" i="31"/>
  <c r="G214" i="31"/>
  <c r="J214" i="31"/>
  <c r="G215" i="31"/>
  <c r="J215" i="31"/>
  <c r="G216" i="31"/>
  <c r="J216" i="31"/>
  <c r="G217" i="31"/>
  <c r="J217" i="31"/>
  <c r="G218" i="31"/>
  <c r="J218" i="31"/>
  <c r="G219" i="31"/>
  <c r="J219" i="31"/>
  <c r="G220" i="31"/>
  <c r="J220" i="31"/>
  <c r="G221" i="31"/>
  <c r="J221" i="31"/>
  <c r="G222" i="31"/>
  <c r="J222" i="31"/>
  <c r="G223" i="31"/>
  <c r="J223" i="31"/>
  <c r="G224" i="31"/>
  <c r="J224" i="31"/>
  <c r="G225" i="31"/>
  <c r="J225" i="31"/>
  <c r="G226" i="31"/>
  <c r="J226" i="31"/>
  <c r="G227" i="31"/>
  <c r="J227" i="31"/>
  <c r="G228" i="31"/>
  <c r="J228" i="31"/>
  <c r="G229" i="31"/>
  <c r="J229" i="31"/>
  <c r="G230" i="31"/>
  <c r="J230" i="31"/>
  <c r="G231" i="31"/>
  <c r="J231" i="31"/>
  <c r="G232" i="31"/>
  <c r="J232" i="31"/>
  <c r="G233" i="31"/>
  <c r="J233" i="31"/>
  <c r="G234" i="31"/>
  <c r="J234" i="31"/>
  <c r="G235" i="31"/>
  <c r="J235" i="31"/>
  <c r="G236" i="31"/>
  <c r="J236" i="31"/>
  <c r="G237" i="31"/>
  <c r="J237" i="31"/>
  <c r="G238" i="31"/>
  <c r="J238" i="31"/>
  <c r="G239" i="31"/>
  <c r="J239" i="31"/>
  <c r="G240" i="31"/>
  <c r="J240" i="31"/>
  <c r="G241" i="31"/>
  <c r="J241" i="31"/>
  <c r="G242" i="31"/>
  <c r="J242" i="31"/>
  <c r="G243" i="31"/>
  <c r="J243" i="31"/>
  <c r="G244" i="31"/>
  <c r="J244" i="31"/>
  <c r="G245" i="31"/>
  <c r="J245" i="31"/>
  <c r="G246" i="31"/>
  <c r="J246" i="31"/>
  <c r="G247" i="31"/>
  <c r="J247" i="31"/>
  <c r="G248" i="31"/>
  <c r="J248" i="31"/>
  <c r="G249" i="31"/>
  <c r="J249" i="31"/>
  <c r="G250" i="31"/>
  <c r="J250" i="31"/>
  <c r="G178" i="31"/>
  <c r="J178" i="31"/>
  <c r="G179" i="31"/>
  <c r="J179" i="31"/>
  <c r="O322" i="1"/>
  <c r="Q417" i="1"/>
  <c r="Q418" i="1"/>
  <c r="Q416" i="1"/>
  <c r="Q413" i="1"/>
  <c r="S414" i="1"/>
  <c r="Q414" i="1"/>
  <c r="S413" i="1"/>
  <c r="S415" i="1"/>
  <c r="S416" i="1"/>
  <c r="S417" i="1"/>
  <c r="S418" i="1"/>
  <c r="J416" i="1"/>
  <c r="J417" i="1"/>
  <c r="J418" i="1"/>
  <c r="I418" i="1"/>
  <c r="I417" i="1"/>
  <c r="I416" i="1"/>
  <c r="I414" i="1"/>
  <c r="I413" i="1"/>
  <c r="I412" i="1"/>
  <c r="J412" i="1"/>
  <c r="J413" i="1"/>
  <c r="J414" i="1"/>
  <c r="I322" i="1"/>
  <c r="I321" i="1"/>
  <c r="K220" i="31" l="1"/>
  <c r="K214" i="31"/>
  <c r="K201" i="31"/>
  <c r="K183" i="31"/>
  <c r="K182" i="31"/>
  <c r="K195" i="31"/>
  <c r="K223" i="31"/>
  <c r="K240" i="31"/>
  <c r="K228" i="31"/>
  <c r="K234" i="31"/>
  <c r="K229" i="31"/>
  <c r="K185" i="31"/>
  <c r="K248" i="31"/>
  <c r="K242" i="31"/>
  <c r="K236" i="31"/>
  <c r="K230" i="31"/>
  <c r="K194" i="31"/>
  <c r="K203" i="31"/>
  <c r="K191" i="31"/>
  <c r="K197" i="31"/>
  <c r="K245" i="31"/>
  <c r="K239" i="31"/>
  <c r="K221" i="31"/>
  <c r="I53" i="27" s="1"/>
  <c r="K217" i="31"/>
  <c r="K199" i="31"/>
  <c r="K187" i="31"/>
  <c r="K244" i="31"/>
  <c r="K198" i="31"/>
  <c r="K249" i="31"/>
  <c r="K209" i="31"/>
  <c r="K207" i="31"/>
  <c r="K218" i="31"/>
  <c r="K238" i="31"/>
  <c r="K226" i="31"/>
  <c r="K210" i="31"/>
  <c r="K243" i="31"/>
  <c r="K237" i="31"/>
  <c r="K231" i="31"/>
  <c r="K215" i="31"/>
  <c r="K186" i="31"/>
  <c r="K181" i="31"/>
  <c r="K213" i="31"/>
  <c r="K247" i="31"/>
  <c r="K202" i="31"/>
  <c r="K190" i="31"/>
  <c r="K224" i="31"/>
  <c r="K205" i="31"/>
  <c r="I51" i="27" s="1"/>
  <c r="K246" i="31"/>
  <c r="K225" i="31"/>
  <c r="K211" i="31"/>
  <c r="K235" i="31"/>
  <c r="K189" i="31"/>
  <c r="K180" i="31"/>
  <c r="K206" i="31"/>
  <c r="K232" i="31"/>
  <c r="K241" i="31"/>
  <c r="K193" i="31"/>
  <c r="K192" i="31"/>
  <c r="K208" i="31"/>
  <c r="K212" i="31"/>
  <c r="K216" i="31"/>
  <c r="K188" i="31"/>
  <c r="K196" i="31"/>
  <c r="K200" i="31"/>
  <c r="K204" i="31"/>
  <c r="K227" i="31"/>
  <c r="K222" i="31"/>
  <c r="K184" i="31"/>
  <c r="K233" i="31"/>
  <c r="K250" i="31"/>
  <c r="K219" i="31"/>
  <c r="K179" i="31"/>
  <c r="K178" i="31"/>
  <c r="I54" i="27" l="1"/>
  <c r="I50" i="27"/>
  <c r="I52" i="27"/>
  <c r="I49" i="27"/>
  <c r="I48" i="27"/>
  <c r="I55" i="27"/>
  <c r="T129" i="31"/>
  <c r="I47" i="27"/>
  <c r="T130" i="31"/>
  <c r="T133" i="31"/>
  <c r="T136" i="31"/>
  <c r="T134" i="31"/>
  <c r="T132" i="31"/>
  <c r="T137" i="31"/>
  <c r="T131" i="31"/>
  <c r="T135" i="31"/>
  <c r="F62" i="41"/>
  <c r="F61" i="41"/>
  <c r="J175" i="31" l="1"/>
  <c r="J176" i="31"/>
  <c r="J177" i="31"/>
  <c r="J174" i="31"/>
  <c r="G174" i="31"/>
  <c r="G175" i="31"/>
  <c r="G176" i="31"/>
  <c r="G177" i="31"/>
  <c r="K176" i="31" l="1"/>
  <c r="K177" i="31"/>
  <c r="K174" i="31"/>
  <c r="K175" i="31"/>
  <c r="T128" i="31" l="1"/>
  <c r="I46" i="27"/>
  <c r="T127" i="31"/>
  <c r="I45" i="27"/>
  <c r="G150" i="31"/>
  <c r="J150" i="31"/>
  <c r="G151" i="31"/>
  <c r="J151" i="31"/>
  <c r="G152" i="31"/>
  <c r="J152" i="31"/>
  <c r="G153" i="31"/>
  <c r="J153" i="31"/>
  <c r="G154" i="31"/>
  <c r="J154" i="31"/>
  <c r="G149" i="31"/>
  <c r="J149" i="31"/>
  <c r="K153" i="31" l="1"/>
  <c r="K151" i="31"/>
  <c r="K152" i="31"/>
  <c r="K154" i="31"/>
  <c r="K150" i="31"/>
  <c r="I41" i="27" s="1"/>
  <c r="K149" i="31"/>
  <c r="I40" i="27" s="1"/>
  <c r="I42" i="27" l="1"/>
  <c r="U541" i="23"/>
  <c r="U360" i="23"/>
  <c r="F503" i="7"/>
  <c r="J173" i="31" l="1"/>
  <c r="G173" i="31"/>
  <c r="J172" i="31"/>
  <c r="G172" i="31"/>
  <c r="J171" i="31"/>
  <c r="G171" i="31"/>
  <c r="J170" i="31"/>
  <c r="G170" i="31"/>
  <c r="J169" i="31"/>
  <c r="G169" i="31"/>
  <c r="J168" i="31"/>
  <c r="G168" i="31"/>
  <c r="J167" i="31"/>
  <c r="G167" i="31"/>
  <c r="J166" i="31"/>
  <c r="G166" i="31"/>
  <c r="J165" i="31"/>
  <c r="G165" i="31"/>
  <c r="J164" i="31"/>
  <c r="G164" i="31"/>
  <c r="J163" i="31"/>
  <c r="G163" i="31"/>
  <c r="J162" i="31"/>
  <c r="G162" i="31"/>
  <c r="J161" i="31"/>
  <c r="G161" i="31"/>
  <c r="J160" i="31"/>
  <c r="G160" i="31"/>
  <c r="J159" i="31"/>
  <c r="G159" i="31"/>
  <c r="J158" i="31"/>
  <c r="G158" i="31"/>
  <c r="J157" i="31"/>
  <c r="G157" i="31"/>
  <c r="J156" i="31"/>
  <c r="G156" i="31"/>
  <c r="J155" i="31"/>
  <c r="G155" i="31"/>
  <c r="J148" i="31"/>
  <c r="G148" i="31"/>
  <c r="J147" i="31"/>
  <c r="G147" i="31"/>
  <c r="J146" i="31"/>
  <c r="G146" i="31"/>
  <c r="J145" i="31"/>
  <c r="G145" i="31"/>
  <c r="J144" i="31"/>
  <c r="G144" i="31"/>
  <c r="J143" i="31"/>
  <c r="G143" i="31"/>
  <c r="J142" i="31"/>
  <c r="G142" i="31"/>
  <c r="J141" i="31"/>
  <c r="G141" i="31"/>
  <c r="J140" i="31"/>
  <c r="G140" i="31"/>
  <c r="J139" i="31"/>
  <c r="G139" i="31"/>
  <c r="J138" i="31"/>
  <c r="G138" i="31"/>
  <c r="J137" i="31"/>
  <c r="G137" i="31"/>
  <c r="J136" i="31"/>
  <c r="G136" i="31"/>
  <c r="J135" i="31"/>
  <c r="G135" i="31"/>
  <c r="J134" i="31"/>
  <c r="G134" i="31"/>
  <c r="J133" i="31"/>
  <c r="G133" i="31"/>
  <c r="J132" i="31"/>
  <c r="G132" i="31"/>
  <c r="J131" i="31"/>
  <c r="G131" i="31"/>
  <c r="J130" i="31"/>
  <c r="G130" i="31"/>
  <c r="J129" i="31"/>
  <c r="G129" i="31"/>
  <c r="J128" i="31"/>
  <c r="G128" i="31"/>
  <c r="J127" i="31"/>
  <c r="G127" i="31"/>
  <c r="J126" i="31"/>
  <c r="G126" i="31"/>
  <c r="J125" i="31"/>
  <c r="G125" i="31"/>
  <c r="J124" i="31"/>
  <c r="G124" i="31"/>
  <c r="J123" i="31"/>
  <c r="G123" i="31"/>
  <c r="J122" i="31"/>
  <c r="G122" i="31"/>
  <c r="J121" i="31"/>
  <c r="G121" i="31"/>
  <c r="J120" i="31"/>
  <c r="G120" i="31"/>
  <c r="J119" i="31"/>
  <c r="G119" i="31"/>
  <c r="G118" i="31"/>
  <c r="K148" i="31" l="1"/>
  <c r="K145" i="31"/>
  <c r="K147" i="31"/>
  <c r="K146" i="31"/>
  <c r="K157" i="31"/>
  <c r="K163" i="31"/>
  <c r="K169" i="31"/>
  <c r="K168" i="31"/>
  <c r="K164" i="31"/>
  <c r="K170" i="31"/>
  <c r="K162" i="31"/>
  <c r="K159" i="31"/>
  <c r="K165" i="31"/>
  <c r="K171" i="31"/>
  <c r="K158" i="31"/>
  <c r="K156" i="31"/>
  <c r="K160" i="31"/>
  <c r="K166" i="31"/>
  <c r="K172" i="31"/>
  <c r="K155" i="31"/>
  <c r="K161" i="31"/>
  <c r="K167" i="31"/>
  <c r="K173" i="31"/>
  <c r="K119" i="31"/>
  <c r="K125" i="31"/>
  <c r="K126" i="31"/>
  <c r="K135" i="31"/>
  <c r="K132" i="31"/>
  <c r="K120" i="31"/>
  <c r="K131" i="31"/>
  <c r="K143" i="31"/>
  <c r="K144" i="31"/>
  <c r="K121" i="31"/>
  <c r="K134" i="31"/>
  <c r="K140" i="31"/>
  <c r="K129" i="31"/>
  <c r="K141" i="31"/>
  <c r="K118" i="31"/>
  <c r="K124" i="31"/>
  <c r="K130" i="31"/>
  <c r="K138" i="31"/>
  <c r="K128" i="31"/>
  <c r="K136" i="31"/>
  <c r="K142" i="31"/>
  <c r="K139" i="31"/>
  <c r="K127" i="31"/>
  <c r="K133" i="31"/>
  <c r="I38" i="27" s="1"/>
  <c r="K122" i="31"/>
  <c r="K123" i="31"/>
  <c r="K137" i="31"/>
  <c r="I39" i="27" l="1"/>
  <c r="I43" i="27"/>
  <c r="I36" i="27"/>
  <c r="I37" i="27"/>
  <c r="I44" i="27"/>
  <c r="T126" i="31"/>
  <c r="T125" i="31"/>
  <c r="T124" i="31"/>
  <c r="I1262" i="18"/>
  <c r="U41" i="27" l="1"/>
  <c r="V41" i="27" s="1"/>
  <c r="U40" i="27"/>
  <c r="V40" i="27" s="1"/>
  <c r="U38" i="27"/>
  <c r="V38" i="27" s="1"/>
  <c r="U37" i="27"/>
  <c r="V37" i="27" s="1"/>
  <c r="U36" i="27"/>
  <c r="V36" i="27" s="1"/>
  <c r="U35" i="27"/>
  <c r="V35" i="27" s="1"/>
  <c r="U33" i="27"/>
  <c r="V33" i="27" s="1"/>
  <c r="U31" i="27"/>
  <c r="V31" i="27" s="1"/>
  <c r="U34" i="27"/>
  <c r="V34" i="27" s="1"/>
  <c r="U32" i="27"/>
  <c r="V32" i="27" s="1"/>
  <c r="U28" i="27"/>
  <c r="V28" i="27" s="1"/>
  <c r="U27" i="27"/>
  <c r="V27" i="27" s="1"/>
  <c r="U26" i="27"/>
  <c r="V26" i="27" s="1"/>
  <c r="V29" i="27" l="1"/>
  <c r="U605" i="23"/>
  <c r="F451" i="23"/>
  <c r="G451" i="23"/>
  <c r="H451" i="23"/>
  <c r="I451" i="23"/>
  <c r="J451" i="23"/>
  <c r="K451" i="23"/>
  <c r="L451" i="23"/>
  <c r="M451" i="23"/>
  <c r="N451" i="23"/>
  <c r="O451" i="23"/>
  <c r="P451" i="23"/>
  <c r="Q451" i="23"/>
  <c r="R451" i="23"/>
  <c r="S451" i="23"/>
  <c r="T451" i="23"/>
  <c r="U451" i="23"/>
  <c r="F452" i="23"/>
  <c r="G452" i="23"/>
  <c r="H452" i="23"/>
  <c r="I452" i="23"/>
  <c r="J452" i="23"/>
  <c r="K452" i="23"/>
  <c r="L452" i="23"/>
  <c r="M452" i="23"/>
  <c r="N452" i="23"/>
  <c r="O452" i="23"/>
  <c r="P452" i="23"/>
  <c r="Q452" i="23"/>
  <c r="R452" i="23"/>
  <c r="S452" i="23"/>
  <c r="T452" i="23"/>
  <c r="U452" i="23"/>
  <c r="U404" i="23"/>
  <c r="I43" i="24"/>
  <c r="S43" i="24" s="1"/>
  <c r="T43" i="24" s="1"/>
  <c r="I44" i="24"/>
  <c r="S44" i="24" s="1"/>
  <c r="I45" i="24"/>
  <c r="I46" i="24"/>
  <c r="S46" i="24" s="1"/>
  <c r="I47" i="24"/>
  <c r="S47" i="24" s="1"/>
  <c r="I48" i="24"/>
  <c r="I49" i="24"/>
  <c r="O44" i="24"/>
  <c r="O46" i="24" l="1"/>
  <c r="O47" i="24"/>
  <c r="O49" i="24"/>
  <c r="S49" i="24"/>
  <c r="O45" i="24"/>
  <c r="S45" i="24"/>
  <c r="O48" i="24"/>
  <c r="S48" i="24"/>
  <c r="O43" i="24"/>
  <c r="N25" i="30" s="1"/>
  <c r="F25" i="33"/>
  <c r="G25" i="33" s="1"/>
  <c r="G64" i="11"/>
  <c r="H64" i="11" s="1"/>
  <c r="I64" i="11"/>
  <c r="J64" i="11" s="1"/>
  <c r="K64" i="11"/>
  <c r="L64" i="11" s="1"/>
  <c r="M64" i="11"/>
  <c r="N64" i="11" s="1"/>
  <c r="O64" i="11"/>
  <c r="P64" i="11" s="1"/>
  <c r="Q64" i="11"/>
  <c r="R64" i="11" s="1"/>
  <c r="S64" i="11"/>
  <c r="T64" i="11" s="1"/>
  <c r="E34" i="11"/>
  <c r="E64" i="11" s="1"/>
  <c r="F1169" i="20" l="1"/>
  <c r="M412" i="1"/>
  <c r="S412" i="1" l="1"/>
  <c r="Q412" i="1"/>
  <c r="AF75" i="23"/>
  <c r="AF74" i="23"/>
  <c r="AF73" i="23"/>
  <c r="AF72" i="23"/>
  <c r="AF71" i="23"/>
  <c r="AF70" i="23"/>
  <c r="AF69" i="23"/>
  <c r="AF68" i="23"/>
  <c r="AF66" i="23"/>
  <c r="AF65" i="23"/>
  <c r="AF64" i="23"/>
  <c r="AF63" i="23"/>
  <c r="AF62" i="23"/>
  <c r="AF61" i="23"/>
  <c r="AF60" i="23"/>
  <c r="AF59" i="23"/>
  <c r="AF58" i="23"/>
  <c r="AF56" i="23"/>
  <c r="AF55" i="23"/>
  <c r="AF54" i="23"/>
  <c r="AF53" i="23"/>
  <c r="AF52" i="23"/>
  <c r="AF51" i="23"/>
  <c r="AF50" i="23"/>
  <c r="AF49" i="23"/>
  <c r="AF48" i="23"/>
  <c r="U161" i="23" l="1"/>
  <c r="F618" i="18"/>
  <c r="D232" i="23" s="1"/>
  <c r="F616" i="7" l="1"/>
  <c r="F556" i="7"/>
  <c r="O153" i="1"/>
  <c r="F171" i="7"/>
  <c r="F173" i="7" s="1"/>
  <c r="M153" i="1" l="1"/>
  <c r="O482" i="1"/>
  <c r="F84" i="41"/>
  <c r="O321" i="1"/>
  <c r="O397" i="1"/>
  <c r="F907" i="20"/>
  <c r="F909" i="20" s="1"/>
  <c r="U5" i="38"/>
  <c r="V5" i="38"/>
  <c r="W5" i="38"/>
  <c r="X5" i="38"/>
  <c r="Y5" i="38"/>
  <c r="Z5" i="38"/>
  <c r="AA5" i="38"/>
  <c r="AB5" i="38"/>
  <c r="U6" i="38"/>
  <c r="V6" i="38"/>
  <c r="W6" i="38"/>
  <c r="X6" i="38"/>
  <c r="Y6" i="38"/>
  <c r="Z6" i="38"/>
  <c r="AA6" i="38"/>
  <c r="AB6" i="38"/>
  <c r="U7" i="38"/>
  <c r="V7" i="38"/>
  <c r="W7" i="38"/>
  <c r="X7" i="38"/>
  <c r="Y7" i="38"/>
  <c r="Z7" i="38"/>
  <c r="AA7" i="38"/>
  <c r="AB7" i="38"/>
  <c r="U8" i="38"/>
  <c r="V8" i="38"/>
  <c r="W8" i="38"/>
  <c r="X8" i="38"/>
  <c r="Y8" i="38"/>
  <c r="Z8" i="38"/>
  <c r="AA8" i="38"/>
  <c r="AB8" i="38"/>
  <c r="U9" i="38"/>
  <c r="V9" i="38"/>
  <c r="W9" i="38"/>
  <c r="X9" i="38"/>
  <c r="Y9" i="38"/>
  <c r="Z9" i="38"/>
  <c r="AA9" i="38"/>
  <c r="AB9" i="38"/>
  <c r="U10" i="38"/>
  <c r="V10" i="38"/>
  <c r="W10" i="38"/>
  <c r="X10" i="38"/>
  <c r="Y10" i="38"/>
  <c r="Z10" i="38"/>
  <c r="AA10" i="38"/>
  <c r="AB10" i="38"/>
  <c r="U11" i="38"/>
  <c r="V11" i="38"/>
  <c r="W11" i="38"/>
  <c r="X11" i="38"/>
  <c r="Y11" i="38"/>
  <c r="Z11" i="38"/>
  <c r="AA11" i="38"/>
  <c r="AB11" i="38"/>
  <c r="U12" i="38"/>
  <c r="V12" i="38"/>
  <c r="W12" i="38"/>
  <c r="X12" i="38"/>
  <c r="Y12" i="38"/>
  <c r="Z12" i="38"/>
  <c r="AA12" i="38"/>
  <c r="AB12" i="38"/>
  <c r="U13" i="38"/>
  <c r="V13" i="38"/>
  <c r="W13" i="38"/>
  <c r="X13" i="38"/>
  <c r="Y13" i="38"/>
  <c r="Z13" i="38"/>
  <c r="AA13" i="38"/>
  <c r="AB13" i="38"/>
  <c r="U14" i="38"/>
  <c r="V14" i="38"/>
  <c r="D14" i="38" s="1"/>
  <c r="W14" i="38"/>
  <c r="X14" i="38"/>
  <c r="F14" i="38" s="1"/>
  <c r="Y14" i="38"/>
  <c r="Z14" i="38"/>
  <c r="AA14" i="38"/>
  <c r="AB14" i="38"/>
  <c r="U15" i="38"/>
  <c r="V15" i="38"/>
  <c r="W15" i="38"/>
  <c r="X15" i="38"/>
  <c r="Y15" i="38"/>
  <c r="Z15" i="38"/>
  <c r="AA15" i="38"/>
  <c r="AB15" i="38"/>
  <c r="U16" i="38"/>
  <c r="V16" i="38"/>
  <c r="W16" i="38"/>
  <c r="X16" i="38"/>
  <c r="Y16" i="38"/>
  <c r="Z16" i="38"/>
  <c r="AA16" i="38"/>
  <c r="AB16" i="38"/>
  <c r="U17" i="38"/>
  <c r="V17" i="38"/>
  <c r="W17" i="38"/>
  <c r="X17" i="38"/>
  <c r="Y17" i="38"/>
  <c r="Z17" i="38"/>
  <c r="AA17" i="38"/>
  <c r="AB17" i="38"/>
  <c r="U18" i="38"/>
  <c r="V18" i="38"/>
  <c r="W18" i="38"/>
  <c r="X18" i="38"/>
  <c r="Y18" i="38"/>
  <c r="Z18" i="38"/>
  <c r="AA18" i="38"/>
  <c r="AB18" i="38"/>
  <c r="U19" i="38"/>
  <c r="V19" i="38"/>
  <c r="W19" i="38"/>
  <c r="X19" i="38"/>
  <c r="Y19" i="38"/>
  <c r="Z19" i="38"/>
  <c r="AA19" i="38"/>
  <c r="AB19" i="38"/>
  <c r="U20" i="38"/>
  <c r="V20" i="38"/>
  <c r="W20" i="38"/>
  <c r="X20" i="38"/>
  <c r="Y20" i="38"/>
  <c r="Z20" i="38"/>
  <c r="AA20" i="38"/>
  <c r="AB20" i="38"/>
  <c r="U21" i="38"/>
  <c r="V21" i="38"/>
  <c r="W21" i="38"/>
  <c r="X21" i="38"/>
  <c r="Y21" i="38"/>
  <c r="Z21" i="38"/>
  <c r="AA21" i="38"/>
  <c r="AB21" i="38"/>
  <c r="U22" i="38"/>
  <c r="V22" i="38"/>
  <c r="W22" i="38"/>
  <c r="X22" i="38"/>
  <c r="Y22" i="38"/>
  <c r="Z22" i="38"/>
  <c r="AA22" i="38"/>
  <c r="AB22" i="38"/>
  <c r="U23" i="38"/>
  <c r="V23" i="38"/>
  <c r="W23" i="38"/>
  <c r="X23" i="38"/>
  <c r="Y23" i="38"/>
  <c r="Z23" i="38"/>
  <c r="AA23" i="38"/>
  <c r="AB23" i="38"/>
  <c r="U24" i="38"/>
  <c r="V24" i="38"/>
  <c r="W24" i="38"/>
  <c r="X24" i="38"/>
  <c r="Y24" i="38"/>
  <c r="Z24" i="38"/>
  <c r="AA24" i="38"/>
  <c r="AB24" i="38"/>
  <c r="U25" i="38"/>
  <c r="V25" i="38"/>
  <c r="W25" i="38"/>
  <c r="X25" i="38"/>
  <c r="Y25" i="38"/>
  <c r="Z25" i="38"/>
  <c r="AA25" i="38"/>
  <c r="AB25" i="38"/>
  <c r="U26" i="38"/>
  <c r="V26" i="38"/>
  <c r="W26" i="38"/>
  <c r="X26" i="38"/>
  <c r="Y26" i="38"/>
  <c r="Z26" i="38"/>
  <c r="AA26" i="38"/>
  <c r="AB26" i="38"/>
  <c r="U27" i="38"/>
  <c r="V27" i="38"/>
  <c r="W27" i="38"/>
  <c r="X27" i="38"/>
  <c r="Y27" i="38"/>
  <c r="Z27" i="38"/>
  <c r="AA27" i="38"/>
  <c r="AB27" i="38"/>
  <c r="V28" i="38"/>
  <c r="W28" i="38"/>
  <c r="X28" i="38"/>
  <c r="Y28" i="38"/>
  <c r="Z28" i="38"/>
  <c r="AA28" i="38"/>
  <c r="AB28" i="38"/>
  <c r="U29" i="38"/>
  <c r="V29" i="38"/>
  <c r="W29" i="38"/>
  <c r="X29" i="38"/>
  <c r="Y29" i="38"/>
  <c r="Z29" i="38"/>
  <c r="AA29" i="38"/>
  <c r="AB29" i="38"/>
  <c r="V30" i="38"/>
  <c r="W30" i="38"/>
  <c r="X30" i="38"/>
  <c r="Y30" i="38"/>
  <c r="Z30" i="38"/>
  <c r="AA30" i="38"/>
  <c r="AB30" i="38"/>
  <c r="U31" i="38"/>
  <c r="V31" i="38"/>
  <c r="W31" i="38"/>
  <c r="X31" i="38"/>
  <c r="Y31" i="38"/>
  <c r="Z31" i="38"/>
  <c r="AA31" i="38"/>
  <c r="AB31" i="38"/>
  <c r="U32" i="38"/>
  <c r="V32" i="38"/>
  <c r="W32" i="38"/>
  <c r="X32" i="38"/>
  <c r="Y32" i="38"/>
  <c r="Z32" i="38"/>
  <c r="AA32" i="38"/>
  <c r="AB32" i="38"/>
  <c r="U33" i="38"/>
  <c r="V33" i="38"/>
  <c r="W33" i="38"/>
  <c r="X33" i="38"/>
  <c r="Y33" i="38"/>
  <c r="AA33" i="38"/>
  <c r="AB33" i="38"/>
  <c r="U34" i="38"/>
  <c r="V34" i="38"/>
  <c r="W34" i="38"/>
  <c r="X34" i="38"/>
  <c r="Y34" i="38"/>
  <c r="Z34" i="38"/>
  <c r="AA34" i="38"/>
  <c r="AB34" i="38"/>
  <c r="U35" i="38"/>
  <c r="V35" i="38"/>
  <c r="W35" i="38"/>
  <c r="X35" i="38"/>
  <c r="Y35" i="38"/>
  <c r="Z35" i="38"/>
  <c r="AA35" i="38"/>
  <c r="AB35" i="38"/>
  <c r="U36" i="38"/>
  <c r="V36" i="38"/>
  <c r="W36" i="38"/>
  <c r="X36" i="38"/>
  <c r="Y36" i="38"/>
  <c r="Z36" i="38"/>
  <c r="AA36" i="38"/>
  <c r="AB36" i="38"/>
  <c r="U37" i="38"/>
  <c r="V37" i="38"/>
  <c r="W37" i="38"/>
  <c r="X37" i="38"/>
  <c r="Y37" i="38"/>
  <c r="Z37" i="38"/>
  <c r="AA37" i="38"/>
  <c r="AB37" i="38"/>
  <c r="U38" i="38"/>
  <c r="V38" i="38"/>
  <c r="W38" i="38"/>
  <c r="X38" i="38"/>
  <c r="Y38" i="38"/>
  <c r="Z38" i="38"/>
  <c r="AA38" i="38"/>
  <c r="AB38" i="38"/>
  <c r="U39" i="38"/>
  <c r="V39" i="38"/>
  <c r="W39" i="38"/>
  <c r="X39" i="38"/>
  <c r="Y39" i="38"/>
  <c r="Z39" i="38"/>
  <c r="AA39" i="38"/>
  <c r="AB39" i="38"/>
  <c r="U40" i="38"/>
  <c r="V40" i="38"/>
  <c r="W40" i="38"/>
  <c r="X40" i="38"/>
  <c r="Y40" i="38"/>
  <c r="Z40" i="38"/>
  <c r="AA40" i="38"/>
  <c r="AB40" i="38"/>
  <c r="U41" i="38"/>
  <c r="V41" i="38"/>
  <c r="W41" i="38"/>
  <c r="X41" i="38"/>
  <c r="Y41" i="38"/>
  <c r="Z41" i="38"/>
  <c r="AA41" i="38"/>
  <c r="AB41" i="38"/>
  <c r="U42" i="38"/>
  <c r="V42" i="38"/>
  <c r="W42" i="38"/>
  <c r="X42" i="38"/>
  <c r="Y42" i="38"/>
  <c r="Z42" i="38"/>
  <c r="AA42" i="38"/>
  <c r="AB42" i="38"/>
  <c r="U43" i="38"/>
  <c r="V43" i="38"/>
  <c r="W43" i="38"/>
  <c r="X43" i="38"/>
  <c r="Y43" i="38"/>
  <c r="Z43" i="38"/>
  <c r="AA43" i="38"/>
  <c r="AB43" i="38"/>
  <c r="U44" i="38"/>
  <c r="V44" i="38"/>
  <c r="W44" i="38"/>
  <c r="X44" i="38"/>
  <c r="Y44" i="38"/>
  <c r="Z44" i="38"/>
  <c r="AA44" i="38"/>
  <c r="AB44" i="38"/>
  <c r="U45" i="38"/>
  <c r="V45" i="38"/>
  <c r="W45" i="38"/>
  <c r="X45" i="38"/>
  <c r="Y45" i="38"/>
  <c r="Z45" i="38"/>
  <c r="AA45" i="38"/>
  <c r="AB45" i="38"/>
  <c r="U46" i="38"/>
  <c r="V46" i="38"/>
  <c r="W46" i="38"/>
  <c r="X46" i="38"/>
  <c r="Y46" i="38"/>
  <c r="Z46" i="38"/>
  <c r="AA46" i="38"/>
  <c r="AB46" i="38"/>
  <c r="U47" i="38"/>
  <c r="V47" i="38"/>
  <c r="W47" i="38"/>
  <c r="X47" i="38"/>
  <c r="Y47" i="38"/>
  <c r="Z47" i="38"/>
  <c r="AA47" i="38"/>
  <c r="AB47" i="38"/>
  <c r="U48" i="38"/>
  <c r="V48" i="38"/>
  <c r="W48" i="38"/>
  <c r="X48" i="38"/>
  <c r="Y48" i="38"/>
  <c r="Z48" i="38"/>
  <c r="AA48" i="38"/>
  <c r="AB48" i="38"/>
  <c r="V4" i="38"/>
  <c r="W4" i="38"/>
  <c r="X4" i="38"/>
  <c r="Y4" i="38"/>
  <c r="Z4" i="38"/>
  <c r="AA4" i="38"/>
  <c r="AB4" i="38"/>
  <c r="U4" i="38"/>
  <c r="F86" i="41" l="1"/>
  <c r="M482" i="1"/>
  <c r="M397" i="1"/>
  <c r="O393" i="1" l="1"/>
  <c r="F736" i="20"/>
  <c r="M393" i="1" s="1"/>
  <c r="F738" i="20" l="1"/>
  <c r="F603" i="23"/>
  <c r="G603" i="23"/>
  <c r="H603" i="23"/>
  <c r="I603" i="23"/>
  <c r="J603" i="23"/>
  <c r="K603" i="23"/>
  <c r="L603" i="23"/>
  <c r="M603" i="23"/>
  <c r="N603" i="23"/>
  <c r="O603" i="23"/>
  <c r="P603" i="23"/>
  <c r="Q603" i="23"/>
  <c r="R603" i="23"/>
  <c r="S603" i="23"/>
  <c r="T603" i="23"/>
  <c r="U603" i="23"/>
  <c r="F604" i="23"/>
  <c r="G604" i="23"/>
  <c r="H604" i="23"/>
  <c r="I604" i="23"/>
  <c r="J604" i="23"/>
  <c r="K604" i="23"/>
  <c r="L604" i="23"/>
  <c r="M604" i="23"/>
  <c r="N604" i="23"/>
  <c r="O604" i="23"/>
  <c r="P604" i="23"/>
  <c r="Q604" i="23"/>
  <c r="R604" i="23"/>
  <c r="S604" i="23"/>
  <c r="T604" i="23"/>
  <c r="U604" i="23"/>
  <c r="F605" i="23"/>
  <c r="G605" i="23"/>
  <c r="H605" i="23"/>
  <c r="I605" i="23"/>
  <c r="J605" i="23"/>
  <c r="K605" i="23"/>
  <c r="L605" i="23"/>
  <c r="M605" i="23"/>
  <c r="N605" i="23"/>
  <c r="O605" i="23"/>
  <c r="P605" i="23"/>
  <c r="Q605" i="23"/>
  <c r="R605" i="23"/>
  <c r="S605" i="23"/>
  <c r="T605" i="23"/>
  <c r="F586" i="23"/>
  <c r="G586" i="23"/>
  <c r="H586" i="23"/>
  <c r="I586" i="23"/>
  <c r="J586" i="23"/>
  <c r="K586" i="23"/>
  <c r="L586" i="23"/>
  <c r="M586" i="23"/>
  <c r="N586" i="23"/>
  <c r="O586" i="23"/>
  <c r="P586" i="23"/>
  <c r="Q586" i="23"/>
  <c r="R586" i="23"/>
  <c r="S586" i="23"/>
  <c r="T586" i="23"/>
  <c r="U586" i="23"/>
  <c r="F541" i="23"/>
  <c r="G541" i="23"/>
  <c r="H541" i="23"/>
  <c r="I541" i="23"/>
  <c r="J541" i="23"/>
  <c r="K541" i="23"/>
  <c r="L541" i="23"/>
  <c r="M541" i="23"/>
  <c r="N541" i="23"/>
  <c r="O541" i="23"/>
  <c r="P541" i="23"/>
  <c r="Q541" i="23"/>
  <c r="R541" i="23"/>
  <c r="S541" i="23"/>
  <c r="T541" i="23"/>
  <c r="F540" i="23"/>
  <c r="G540" i="23"/>
  <c r="H540" i="23"/>
  <c r="I540" i="23"/>
  <c r="J540" i="23"/>
  <c r="K540" i="23"/>
  <c r="L540" i="23"/>
  <c r="M540" i="23"/>
  <c r="N540" i="23"/>
  <c r="O540" i="23"/>
  <c r="P540" i="23"/>
  <c r="Q540" i="23"/>
  <c r="R540" i="23"/>
  <c r="S540" i="23"/>
  <c r="T540" i="23"/>
  <c r="U540" i="23"/>
  <c r="F402" i="23"/>
  <c r="G402" i="23"/>
  <c r="H402" i="23"/>
  <c r="I402" i="23"/>
  <c r="J402" i="23"/>
  <c r="K402" i="23"/>
  <c r="L402" i="23"/>
  <c r="M402" i="23"/>
  <c r="N402" i="23"/>
  <c r="O402" i="23"/>
  <c r="P402" i="23"/>
  <c r="Q402" i="23"/>
  <c r="R402" i="23"/>
  <c r="S402" i="23"/>
  <c r="T402" i="23"/>
  <c r="U402" i="23"/>
  <c r="F403" i="23"/>
  <c r="G403" i="23"/>
  <c r="H403" i="23"/>
  <c r="I403" i="23"/>
  <c r="J403" i="23"/>
  <c r="K403" i="23"/>
  <c r="L403" i="23"/>
  <c r="M403" i="23"/>
  <c r="N403" i="23"/>
  <c r="O403" i="23"/>
  <c r="P403" i="23"/>
  <c r="Q403" i="23"/>
  <c r="R403" i="23"/>
  <c r="S403" i="23"/>
  <c r="T403" i="23"/>
  <c r="U403" i="23"/>
  <c r="F404" i="23"/>
  <c r="G404" i="23"/>
  <c r="H404" i="23"/>
  <c r="I404" i="23"/>
  <c r="J404" i="23"/>
  <c r="K404" i="23"/>
  <c r="L404" i="23"/>
  <c r="M404" i="23"/>
  <c r="N404" i="23"/>
  <c r="O404" i="23"/>
  <c r="P404" i="23"/>
  <c r="Q404" i="23"/>
  <c r="R404" i="23"/>
  <c r="S404" i="23"/>
  <c r="T404" i="23"/>
  <c r="F360" i="23"/>
  <c r="G360" i="23"/>
  <c r="H360" i="23"/>
  <c r="I360" i="23"/>
  <c r="J360" i="23"/>
  <c r="K360" i="23"/>
  <c r="L360" i="23"/>
  <c r="M360" i="23"/>
  <c r="N360" i="23"/>
  <c r="O360" i="23"/>
  <c r="P360" i="23"/>
  <c r="Q360" i="23"/>
  <c r="R360" i="23"/>
  <c r="S360" i="23"/>
  <c r="T360" i="23"/>
  <c r="F315" i="23"/>
  <c r="G315" i="23"/>
  <c r="H315" i="23"/>
  <c r="I315" i="23"/>
  <c r="J315" i="23"/>
  <c r="K315" i="23"/>
  <c r="L315" i="23"/>
  <c r="M315" i="23"/>
  <c r="N315" i="23"/>
  <c r="O315" i="23"/>
  <c r="P315" i="23"/>
  <c r="Q315" i="23"/>
  <c r="R315" i="23"/>
  <c r="S315" i="23"/>
  <c r="T315" i="23"/>
  <c r="U315" i="23"/>
  <c r="F269" i="23"/>
  <c r="G269" i="23"/>
  <c r="H269" i="23"/>
  <c r="I269" i="23"/>
  <c r="J269" i="23"/>
  <c r="K269" i="23"/>
  <c r="L269" i="23"/>
  <c r="M269" i="23"/>
  <c r="N269" i="23"/>
  <c r="O269" i="23"/>
  <c r="P269" i="23"/>
  <c r="Q269" i="23"/>
  <c r="R269" i="23"/>
  <c r="S269" i="23"/>
  <c r="T269" i="23"/>
  <c r="U269" i="23"/>
  <c r="F240" i="23"/>
  <c r="G240" i="23"/>
  <c r="H240" i="23"/>
  <c r="I240" i="23"/>
  <c r="J240" i="23"/>
  <c r="K240" i="23"/>
  <c r="L240" i="23"/>
  <c r="M240" i="23"/>
  <c r="N240" i="23"/>
  <c r="O240" i="23"/>
  <c r="P240" i="23"/>
  <c r="Q240" i="23"/>
  <c r="R240" i="23"/>
  <c r="S240" i="23"/>
  <c r="T240" i="23"/>
  <c r="U240" i="23"/>
  <c r="U88" i="23"/>
  <c r="U48" i="23"/>
  <c r="U49" i="23"/>
  <c r="U50" i="23"/>
  <c r="U51" i="23"/>
  <c r="U52" i="23"/>
  <c r="U53" i="23"/>
  <c r="U54" i="23"/>
  <c r="U55" i="23"/>
  <c r="U56" i="23"/>
  <c r="U57" i="23"/>
  <c r="U58" i="23"/>
  <c r="U59" i="23"/>
  <c r="U60" i="23"/>
  <c r="U61" i="23"/>
  <c r="U62" i="23"/>
  <c r="U63" i="23"/>
  <c r="U64" i="23"/>
  <c r="U65" i="23"/>
  <c r="U66" i="23"/>
  <c r="U67" i="23"/>
  <c r="U69" i="23"/>
  <c r="U70" i="23"/>
  <c r="U71" i="23"/>
  <c r="U72" i="23"/>
  <c r="U73" i="23"/>
  <c r="U74" i="23"/>
  <c r="U75" i="23"/>
  <c r="U76" i="23"/>
  <c r="U77" i="23"/>
  <c r="U78" i="23"/>
  <c r="U79" i="23"/>
  <c r="U80" i="23"/>
  <c r="U81" i="23"/>
  <c r="U82" i="23"/>
  <c r="U83" i="23"/>
  <c r="U84" i="23"/>
  <c r="U85" i="23"/>
  <c r="U86" i="23"/>
  <c r="U87" i="23"/>
  <c r="U90" i="23"/>
  <c r="U91" i="23"/>
  <c r="U92" i="23"/>
  <c r="U93" i="23"/>
  <c r="U94" i="23"/>
  <c r="U95" i="23"/>
  <c r="U96" i="23"/>
  <c r="U97" i="23"/>
  <c r="U98" i="23"/>
  <c r="U99" i="23"/>
  <c r="U100" i="23"/>
  <c r="U101" i="23"/>
  <c r="U102" i="23"/>
  <c r="U103" i="23"/>
  <c r="U104" i="23"/>
  <c r="U105" i="23"/>
  <c r="U106" i="23"/>
  <c r="U107" i="23"/>
  <c r="U108" i="23"/>
  <c r="U109" i="23"/>
  <c r="U110" i="23"/>
  <c r="U112" i="23"/>
  <c r="U113" i="23"/>
  <c r="U114" i="23"/>
  <c r="U115" i="23"/>
  <c r="U116" i="23"/>
  <c r="U117" i="23"/>
  <c r="U118" i="23"/>
  <c r="U119" i="23"/>
  <c r="U120" i="23"/>
  <c r="U121" i="23"/>
  <c r="U122" i="23"/>
  <c r="U123" i="23"/>
  <c r="U124" i="23"/>
  <c r="U125" i="23"/>
  <c r="U126" i="23"/>
  <c r="U127" i="23"/>
  <c r="U128" i="23"/>
  <c r="U129" i="23"/>
  <c r="U130" i="23"/>
  <c r="U131" i="23"/>
  <c r="U134" i="23"/>
  <c r="U135" i="23"/>
  <c r="U136" i="23"/>
  <c r="U137" i="23"/>
  <c r="U138" i="23"/>
  <c r="U139" i="23"/>
  <c r="U140" i="23"/>
  <c r="U141" i="23"/>
  <c r="U142" i="23"/>
  <c r="U143" i="23"/>
  <c r="U144" i="23"/>
  <c r="U145" i="23"/>
  <c r="U146" i="23"/>
  <c r="U147" i="23"/>
  <c r="U148" i="23"/>
  <c r="U149" i="23"/>
  <c r="U150" i="23"/>
  <c r="U151" i="23"/>
  <c r="U152" i="23"/>
  <c r="U153" i="23"/>
  <c r="U155" i="23"/>
  <c r="U156" i="23"/>
  <c r="U157" i="23"/>
  <c r="U158" i="23"/>
  <c r="U159" i="23"/>
  <c r="U160" i="23"/>
  <c r="U162" i="23"/>
  <c r="U163" i="23"/>
  <c r="U172" i="23"/>
  <c r="U173" i="23"/>
  <c r="U174" i="23"/>
  <c r="U175" i="23"/>
  <c r="U176" i="23"/>
  <c r="U177" i="23"/>
  <c r="U178" i="23"/>
  <c r="U179" i="23"/>
  <c r="U181" i="23"/>
  <c r="U182" i="23"/>
  <c r="U183" i="23"/>
  <c r="U184" i="23"/>
  <c r="U185" i="23"/>
  <c r="U186" i="23"/>
  <c r="U187" i="23"/>
  <c r="U188" i="23"/>
  <c r="U207" i="23"/>
  <c r="U208" i="23"/>
  <c r="U209" i="23"/>
  <c r="U210" i="23"/>
  <c r="U211" i="23"/>
  <c r="U212" i="23"/>
  <c r="U213" i="23"/>
  <c r="U214" i="23"/>
  <c r="U215" i="23"/>
  <c r="U223" i="23"/>
  <c r="U224" i="23"/>
  <c r="U225" i="23"/>
  <c r="U226" i="23"/>
  <c r="U227" i="23"/>
  <c r="U228" i="23"/>
  <c r="U229" i="23"/>
  <c r="U230" i="23"/>
  <c r="U232" i="23"/>
  <c r="U233" i="23"/>
  <c r="U234" i="23"/>
  <c r="U235" i="23"/>
  <c r="U236" i="23"/>
  <c r="U237" i="23"/>
  <c r="U238" i="23"/>
  <c r="U239" i="23"/>
  <c r="U252" i="23"/>
  <c r="U253" i="23"/>
  <c r="U254" i="23"/>
  <c r="U255" i="23"/>
  <c r="U256" i="23"/>
  <c r="U257" i="23"/>
  <c r="U258" i="23"/>
  <c r="U259" i="23"/>
  <c r="U260" i="23"/>
  <c r="U261" i="23"/>
  <c r="U262" i="23"/>
  <c r="U263" i="23"/>
  <c r="U264" i="23"/>
  <c r="U265" i="23"/>
  <c r="U266" i="23"/>
  <c r="U267" i="23"/>
  <c r="U268" i="23"/>
  <c r="U274" i="23"/>
  <c r="U275" i="23"/>
  <c r="U276" i="23"/>
  <c r="U277" i="23"/>
  <c r="U278" i="23"/>
  <c r="U279" i="23"/>
  <c r="U280" i="23"/>
  <c r="U281" i="23"/>
  <c r="U282" i="23"/>
  <c r="U283" i="23"/>
  <c r="U284" i="23"/>
  <c r="U285" i="23"/>
  <c r="U286" i="23"/>
  <c r="U287" i="23"/>
  <c r="U288" i="23"/>
  <c r="U289" i="23"/>
  <c r="U290" i="23"/>
  <c r="U291" i="23"/>
  <c r="U292" i="23"/>
  <c r="U293" i="23"/>
  <c r="U294" i="23"/>
  <c r="U296" i="23"/>
  <c r="U297" i="23"/>
  <c r="U298" i="23"/>
  <c r="U299" i="23"/>
  <c r="U300" i="23"/>
  <c r="U301" i="23"/>
  <c r="U302" i="23"/>
  <c r="U303" i="23"/>
  <c r="U304" i="23"/>
  <c r="U305" i="23"/>
  <c r="U306" i="23"/>
  <c r="U307" i="23"/>
  <c r="U308" i="23"/>
  <c r="U309" i="23"/>
  <c r="U310" i="23"/>
  <c r="U311" i="23"/>
  <c r="U312" i="23"/>
  <c r="U313" i="23"/>
  <c r="U314" i="23"/>
  <c r="U319" i="23"/>
  <c r="U320" i="23"/>
  <c r="U321" i="23"/>
  <c r="U322" i="23"/>
  <c r="U323" i="23"/>
  <c r="U324" i="23"/>
  <c r="U325" i="23"/>
  <c r="U326" i="23"/>
  <c r="U327" i="23"/>
  <c r="U328" i="23"/>
  <c r="U329" i="23"/>
  <c r="U330" i="23"/>
  <c r="U331" i="23"/>
  <c r="U332" i="23"/>
  <c r="U333" i="23"/>
  <c r="U334" i="23"/>
  <c r="U335" i="23"/>
  <c r="U336" i="23"/>
  <c r="U337" i="23"/>
  <c r="U338" i="23"/>
  <c r="U340" i="23"/>
  <c r="U341" i="23"/>
  <c r="U342" i="23"/>
  <c r="U343" i="23"/>
  <c r="U344" i="23"/>
  <c r="U345" i="23"/>
  <c r="U346" i="23"/>
  <c r="U347" i="23"/>
  <c r="U348" i="23"/>
  <c r="U349" i="23"/>
  <c r="U350" i="23"/>
  <c r="U351" i="23"/>
  <c r="U352" i="23"/>
  <c r="U353" i="23"/>
  <c r="U354" i="23"/>
  <c r="U355" i="23"/>
  <c r="U356" i="23"/>
  <c r="U357" i="23"/>
  <c r="U358" i="23"/>
  <c r="U359" i="23"/>
  <c r="U362" i="23"/>
  <c r="U363" i="23"/>
  <c r="U364" i="23"/>
  <c r="U365" i="23"/>
  <c r="U366" i="23"/>
  <c r="U367" i="23"/>
  <c r="U368" i="23"/>
  <c r="U369" i="23"/>
  <c r="U370" i="23"/>
  <c r="U371" i="23"/>
  <c r="U372" i="23"/>
  <c r="U373" i="23"/>
  <c r="U374" i="23"/>
  <c r="U375" i="23"/>
  <c r="U376" i="23"/>
  <c r="U377" i="23"/>
  <c r="U378" i="23"/>
  <c r="U379" i="23"/>
  <c r="U380" i="23"/>
  <c r="U381" i="23"/>
  <c r="U382" i="23"/>
  <c r="U384" i="23"/>
  <c r="U385" i="23"/>
  <c r="U386" i="23"/>
  <c r="U387" i="23"/>
  <c r="U388" i="23"/>
  <c r="U389" i="23"/>
  <c r="U390" i="23"/>
  <c r="U391" i="23"/>
  <c r="U392" i="23"/>
  <c r="U393" i="23"/>
  <c r="U394" i="23"/>
  <c r="U395" i="23"/>
  <c r="U396" i="23"/>
  <c r="U397" i="23"/>
  <c r="U398" i="23"/>
  <c r="U399" i="23"/>
  <c r="U400" i="23"/>
  <c r="U401" i="23"/>
  <c r="U407" i="23"/>
  <c r="U408" i="23"/>
  <c r="U409" i="23"/>
  <c r="U410" i="23"/>
  <c r="U411" i="23"/>
  <c r="U412" i="23"/>
  <c r="U413" i="23"/>
  <c r="U414" i="23"/>
  <c r="U415" i="23"/>
  <c r="U416" i="23"/>
  <c r="U417" i="23"/>
  <c r="U418" i="23"/>
  <c r="U419" i="23"/>
  <c r="U420" i="23"/>
  <c r="U421" i="23"/>
  <c r="U422" i="23"/>
  <c r="U423" i="23"/>
  <c r="U424" i="23"/>
  <c r="U425" i="23"/>
  <c r="U426" i="23"/>
  <c r="U427" i="23"/>
  <c r="U428" i="23"/>
  <c r="U430" i="23"/>
  <c r="U431" i="23"/>
  <c r="U432" i="23"/>
  <c r="U433" i="23"/>
  <c r="U434" i="23"/>
  <c r="U435" i="23"/>
  <c r="U436" i="23"/>
  <c r="U437" i="23"/>
  <c r="U438" i="23"/>
  <c r="U439" i="23"/>
  <c r="U440" i="23"/>
  <c r="U441" i="23"/>
  <c r="U442" i="23"/>
  <c r="U443" i="23"/>
  <c r="U444" i="23"/>
  <c r="U445" i="23"/>
  <c r="U446" i="23"/>
  <c r="U447" i="23"/>
  <c r="U448" i="23"/>
  <c r="U449" i="23"/>
  <c r="U450" i="23"/>
  <c r="U454" i="23"/>
  <c r="U455" i="23"/>
  <c r="U456" i="23"/>
  <c r="U457" i="23"/>
  <c r="U458" i="23"/>
  <c r="U459" i="23"/>
  <c r="U460" i="23"/>
  <c r="U461" i="23"/>
  <c r="U462" i="23"/>
  <c r="U463" i="23"/>
  <c r="U464" i="23"/>
  <c r="U465" i="23"/>
  <c r="U466" i="23"/>
  <c r="U467" i="23"/>
  <c r="U468" i="23"/>
  <c r="U469" i="23"/>
  <c r="U470" i="23"/>
  <c r="U471" i="23"/>
  <c r="U472" i="23"/>
  <c r="U473" i="23"/>
  <c r="U474" i="23"/>
  <c r="U475" i="23"/>
  <c r="U477" i="23"/>
  <c r="U478" i="23"/>
  <c r="U479" i="23"/>
  <c r="U480" i="23"/>
  <c r="U481" i="23"/>
  <c r="U482" i="23"/>
  <c r="U483" i="23"/>
  <c r="U484" i="23"/>
  <c r="U485" i="23"/>
  <c r="U486" i="23"/>
  <c r="U487" i="23"/>
  <c r="U488" i="23"/>
  <c r="U489" i="23"/>
  <c r="U490" i="23"/>
  <c r="U491" i="23"/>
  <c r="U492" i="23"/>
  <c r="U493" i="23"/>
  <c r="U494" i="23"/>
  <c r="U495" i="23"/>
  <c r="U496" i="23"/>
  <c r="U497" i="23"/>
  <c r="U499" i="23"/>
  <c r="U500" i="23"/>
  <c r="U501" i="23"/>
  <c r="U502" i="23"/>
  <c r="U503" i="23"/>
  <c r="U504" i="23"/>
  <c r="U505" i="23"/>
  <c r="U506" i="23"/>
  <c r="U507" i="23"/>
  <c r="U508" i="23"/>
  <c r="U509" i="23"/>
  <c r="U510" i="23"/>
  <c r="U511" i="23"/>
  <c r="U512" i="23"/>
  <c r="U513" i="23"/>
  <c r="U514" i="23"/>
  <c r="U515" i="23"/>
  <c r="U516" i="23"/>
  <c r="U517" i="23"/>
  <c r="U518" i="23"/>
  <c r="U519" i="23"/>
  <c r="U521" i="23"/>
  <c r="U522" i="23"/>
  <c r="U523" i="23"/>
  <c r="U524" i="23"/>
  <c r="U525" i="23"/>
  <c r="U526" i="23"/>
  <c r="U527" i="23"/>
  <c r="U528" i="23"/>
  <c r="U529" i="23"/>
  <c r="U530" i="23"/>
  <c r="U531" i="23"/>
  <c r="U532" i="23"/>
  <c r="U533" i="23"/>
  <c r="U534" i="23"/>
  <c r="U535" i="23"/>
  <c r="U536" i="23"/>
  <c r="U537" i="23"/>
  <c r="U538" i="23"/>
  <c r="U539" i="23"/>
  <c r="U543" i="23"/>
  <c r="U544" i="23"/>
  <c r="U545" i="23"/>
  <c r="U546" i="23"/>
  <c r="U547" i="23"/>
  <c r="U548" i="23"/>
  <c r="U549" i="23"/>
  <c r="U550" i="23"/>
  <c r="U551" i="23"/>
  <c r="U552" i="23"/>
  <c r="U553" i="23"/>
  <c r="U554" i="23"/>
  <c r="U555" i="23"/>
  <c r="U556" i="23"/>
  <c r="U557" i="23"/>
  <c r="U558" i="23"/>
  <c r="U559" i="23"/>
  <c r="U560" i="23"/>
  <c r="U561" i="23"/>
  <c r="U562" i="23"/>
  <c r="U563" i="23"/>
  <c r="U564" i="23"/>
  <c r="U566" i="23"/>
  <c r="U567" i="23"/>
  <c r="U568" i="23"/>
  <c r="U569" i="23"/>
  <c r="U570" i="23"/>
  <c r="U571" i="23"/>
  <c r="U572" i="23"/>
  <c r="U573" i="23"/>
  <c r="U574" i="23"/>
  <c r="U575" i="23"/>
  <c r="U576" i="23"/>
  <c r="U577" i="23"/>
  <c r="U578" i="23"/>
  <c r="U579" i="23"/>
  <c r="U580" i="23"/>
  <c r="U581" i="23"/>
  <c r="U582" i="23"/>
  <c r="U583" i="23"/>
  <c r="U584" i="23"/>
  <c r="U585" i="23"/>
  <c r="U588" i="23"/>
  <c r="U589" i="23"/>
  <c r="U590" i="23"/>
  <c r="U591" i="23"/>
  <c r="U592" i="23"/>
  <c r="U593" i="23"/>
  <c r="U594" i="23"/>
  <c r="U595" i="23"/>
  <c r="U596" i="23"/>
  <c r="U597" i="23"/>
  <c r="U598" i="23"/>
  <c r="U599" i="23"/>
  <c r="U600" i="23"/>
  <c r="U601" i="23"/>
  <c r="U602" i="23"/>
  <c r="U5" i="23"/>
  <c r="U6" i="23"/>
  <c r="U7" i="23"/>
  <c r="U8" i="23"/>
  <c r="U9" i="23"/>
  <c r="U10" i="23"/>
  <c r="U11" i="23"/>
  <c r="U12" i="23"/>
  <c r="U13" i="23"/>
  <c r="U14" i="23"/>
  <c r="U15" i="23"/>
  <c r="U16" i="23"/>
  <c r="U17" i="23"/>
  <c r="U18" i="23"/>
  <c r="U19" i="23"/>
  <c r="U20" i="23"/>
  <c r="U25" i="23"/>
  <c r="U26" i="23"/>
  <c r="U27" i="23"/>
  <c r="U28" i="23"/>
  <c r="U29" i="23"/>
  <c r="U30" i="23"/>
  <c r="U31" i="23"/>
  <c r="U32" i="23"/>
  <c r="U33" i="23"/>
  <c r="U34" i="23"/>
  <c r="U35" i="23"/>
  <c r="U36" i="23"/>
  <c r="U37" i="23"/>
  <c r="U38" i="23"/>
  <c r="U39" i="23"/>
  <c r="T88" i="23"/>
  <c r="U46" i="23" l="1"/>
  <c r="U610" i="23"/>
  <c r="E27" i="29" l="1"/>
  <c r="F27" i="29" s="1"/>
  <c r="J13" i="42"/>
  <c r="J11" i="42"/>
  <c r="J9" i="42"/>
  <c r="J7" i="42"/>
  <c r="J15" i="42" s="1"/>
  <c r="O43" i="16"/>
  <c r="O44" i="16"/>
  <c r="O45" i="16"/>
  <c r="O46" i="16"/>
  <c r="O48" i="16"/>
  <c r="O49" i="16"/>
  <c r="O50" i="16"/>
  <c r="O42" i="16"/>
  <c r="O51" i="16" l="1"/>
  <c r="T39" i="25"/>
  <c r="M39" i="25"/>
  <c r="U39" i="25" s="1"/>
  <c r="I39" i="25"/>
  <c r="T40" i="25"/>
  <c r="M40" i="25"/>
  <c r="U40" i="25" s="1"/>
  <c r="I40" i="25"/>
  <c r="R33" i="25" l="1"/>
  <c r="T33" i="25"/>
  <c r="N1" i="32"/>
  <c r="M228" i="32"/>
  <c r="M229" i="32"/>
  <c r="M230" i="32"/>
  <c r="M231" i="32"/>
  <c r="M232" i="32"/>
  <c r="M233" i="32"/>
  <c r="M234" i="32"/>
  <c r="M235" i="32"/>
  <c r="O1" i="32"/>
  <c r="F658" i="7" l="1"/>
  <c r="T239" i="23" l="1"/>
  <c r="S239" i="23"/>
  <c r="R239" i="23"/>
  <c r="Q239" i="23"/>
  <c r="P239" i="23"/>
  <c r="O239" i="23"/>
  <c r="N239" i="23"/>
  <c r="M239" i="23"/>
  <c r="L239" i="23"/>
  <c r="K239" i="23"/>
  <c r="J239" i="23"/>
  <c r="I239" i="23"/>
  <c r="H239" i="23"/>
  <c r="G239" i="23"/>
  <c r="F239" i="23"/>
  <c r="T238" i="23"/>
  <c r="S238" i="23"/>
  <c r="R238" i="23"/>
  <c r="Q238" i="23"/>
  <c r="P238" i="23"/>
  <c r="O238" i="23"/>
  <c r="N238" i="23"/>
  <c r="M238" i="23"/>
  <c r="L238" i="23"/>
  <c r="K238" i="23"/>
  <c r="J238" i="23"/>
  <c r="I238" i="23"/>
  <c r="H238" i="23"/>
  <c r="G238" i="23"/>
  <c r="F238" i="23"/>
  <c r="T237" i="23"/>
  <c r="S237" i="23"/>
  <c r="R237" i="23"/>
  <c r="Q237" i="23"/>
  <c r="P237" i="23"/>
  <c r="O237" i="23"/>
  <c r="N237" i="23"/>
  <c r="M237" i="23"/>
  <c r="L237" i="23"/>
  <c r="K237" i="23"/>
  <c r="J237" i="23"/>
  <c r="I237" i="23"/>
  <c r="H237" i="23"/>
  <c r="G237" i="23"/>
  <c r="F237" i="23"/>
  <c r="T236" i="23"/>
  <c r="S236" i="23"/>
  <c r="R236" i="23"/>
  <c r="Q236" i="23"/>
  <c r="P236" i="23"/>
  <c r="O236" i="23"/>
  <c r="N236" i="23"/>
  <c r="M236" i="23"/>
  <c r="L236" i="23"/>
  <c r="K236" i="23"/>
  <c r="J236" i="23"/>
  <c r="I236" i="23"/>
  <c r="H236" i="23"/>
  <c r="G236" i="23"/>
  <c r="F236" i="23"/>
  <c r="T235" i="23"/>
  <c r="S235" i="23"/>
  <c r="R235" i="23"/>
  <c r="Q235" i="23"/>
  <c r="P235" i="23"/>
  <c r="O235" i="23"/>
  <c r="N235" i="23"/>
  <c r="M235" i="23"/>
  <c r="L235" i="23"/>
  <c r="K235" i="23"/>
  <c r="J235" i="23"/>
  <c r="I235" i="23"/>
  <c r="H235" i="23"/>
  <c r="G235" i="23"/>
  <c r="F235" i="23"/>
  <c r="T234" i="23"/>
  <c r="S234" i="23"/>
  <c r="R234" i="23"/>
  <c r="Q234" i="23"/>
  <c r="P234" i="23"/>
  <c r="O234" i="23"/>
  <c r="N234" i="23"/>
  <c r="M234" i="23"/>
  <c r="L234" i="23"/>
  <c r="K234" i="23"/>
  <c r="J234" i="23"/>
  <c r="I234" i="23"/>
  <c r="H234" i="23"/>
  <c r="G234" i="23"/>
  <c r="F234" i="23"/>
  <c r="T233" i="23"/>
  <c r="S233" i="23"/>
  <c r="R233" i="23"/>
  <c r="Q233" i="23"/>
  <c r="P233" i="23"/>
  <c r="O233" i="23"/>
  <c r="N233" i="23"/>
  <c r="M233" i="23"/>
  <c r="L233" i="23"/>
  <c r="K233" i="23"/>
  <c r="J233" i="23"/>
  <c r="I233" i="23"/>
  <c r="H233" i="23"/>
  <c r="G233" i="23"/>
  <c r="F233" i="23"/>
  <c r="T232" i="23"/>
  <c r="S232" i="23"/>
  <c r="R232" i="23"/>
  <c r="Q232" i="23"/>
  <c r="P232" i="23"/>
  <c r="O232" i="23"/>
  <c r="N232" i="23"/>
  <c r="M232" i="23"/>
  <c r="L232" i="23"/>
  <c r="K232" i="23"/>
  <c r="J232" i="23"/>
  <c r="I232" i="23"/>
  <c r="H232" i="23"/>
  <c r="G232" i="23"/>
  <c r="F232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T183" i="23"/>
  <c r="S183" i="23"/>
  <c r="R183" i="23"/>
  <c r="Q183" i="23"/>
  <c r="P183" i="23"/>
  <c r="O183" i="23"/>
  <c r="N183" i="23"/>
  <c r="M183" i="23"/>
  <c r="L183" i="23"/>
  <c r="K183" i="23"/>
  <c r="J183" i="23"/>
  <c r="I183" i="23"/>
  <c r="H183" i="23"/>
  <c r="G183" i="23"/>
  <c r="F183" i="23"/>
  <c r="T182" i="23"/>
  <c r="S182" i="23"/>
  <c r="R182" i="23"/>
  <c r="Q182" i="23"/>
  <c r="P182" i="23"/>
  <c r="O182" i="23"/>
  <c r="N182" i="23"/>
  <c r="M182" i="23"/>
  <c r="L182" i="23"/>
  <c r="K182" i="23"/>
  <c r="J182" i="23"/>
  <c r="I182" i="23"/>
  <c r="H182" i="23"/>
  <c r="G182" i="23"/>
  <c r="F182" i="23"/>
  <c r="T181" i="23"/>
  <c r="S181" i="23"/>
  <c r="R181" i="23"/>
  <c r="Q181" i="23"/>
  <c r="P181" i="23"/>
  <c r="O181" i="23"/>
  <c r="N181" i="23"/>
  <c r="M181" i="23"/>
  <c r="L181" i="23"/>
  <c r="K181" i="23"/>
  <c r="J181" i="23"/>
  <c r="I181" i="23"/>
  <c r="H181" i="23"/>
  <c r="G181" i="23"/>
  <c r="F181" i="23"/>
  <c r="D181" i="23"/>
  <c r="AB181" i="23" l="1"/>
  <c r="AB232" i="23"/>
  <c r="AC232" i="23" s="1"/>
  <c r="AC181" i="23" l="1"/>
  <c r="AG56" i="23"/>
  <c r="AH56" i="23" s="1"/>
  <c r="AG59" i="23"/>
  <c r="Q37" i="25"/>
  <c r="R37" i="25" s="1"/>
  <c r="F602" i="23"/>
  <c r="G602" i="23"/>
  <c r="H602" i="23"/>
  <c r="I602" i="23"/>
  <c r="J602" i="23"/>
  <c r="K602" i="23"/>
  <c r="L602" i="23"/>
  <c r="M602" i="23"/>
  <c r="N602" i="23"/>
  <c r="O602" i="23"/>
  <c r="P602" i="23"/>
  <c r="Q602" i="23"/>
  <c r="R602" i="23"/>
  <c r="S602" i="23"/>
  <c r="T602" i="23"/>
  <c r="AH59" i="23" l="1"/>
  <c r="F388" i="7"/>
  <c r="F418" i="7"/>
  <c r="F417" i="7"/>
  <c r="F389" i="7"/>
  <c r="O205" i="1"/>
  <c r="F359" i="7"/>
  <c r="F361" i="7" s="1"/>
  <c r="M205" i="1" l="1"/>
  <c r="K23" i="30" l="1"/>
  <c r="L23" i="30" s="1"/>
  <c r="E23" i="30"/>
  <c r="D24" i="33"/>
  <c r="F24" i="33" s="1"/>
  <c r="G24" i="33" s="1"/>
  <c r="H26" i="33" s="1"/>
  <c r="C26" i="29"/>
  <c r="E26" i="29" s="1"/>
  <c r="H29" i="29" s="1"/>
  <c r="G63" i="11"/>
  <c r="H63" i="11" s="1"/>
  <c r="I63" i="11"/>
  <c r="J63" i="11" s="1"/>
  <c r="K63" i="11"/>
  <c r="L63" i="11" s="1"/>
  <c r="M63" i="11"/>
  <c r="N63" i="11" s="1"/>
  <c r="O63" i="11"/>
  <c r="P63" i="11" s="1"/>
  <c r="Q63" i="11"/>
  <c r="R63" i="11" s="1"/>
  <c r="S63" i="11"/>
  <c r="T63" i="11" s="1"/>
  <c r="E33" i="11"/>
  <c r="E63" i="11" s="1"/>
  <c r="F26" i="29" l="1"/>
  <c r="G29" i="29"/>
  <c r="G23" i="30"/>
  <c r="F23" i="30"/>
  <c r="H23" i="30" s="1"/>
  <c r="M23" i="30" s="1"/>
  <c r="U42" i="24" s="1"/>
  <c r="T123" i="31"/>
  <c r="O407" i="1" l="1"/>
  <c r="F968" i="20"/>
  <c r="F1100" i="20" l="1"/>
  <c r="F1102" i="20" l="1"/>
  <c r="T450" i="23"/>
  <c r="T359" i="23"/>
  <c r="F20" i="23"/>
  <c r="G20" i="23"/>
  <c r="H20" i="23"/>
  <c r="I20" i="23"/>
  <c r="J20" i="23"/>
  <c r="K20" i="23"/>
  <c r="L20" i="23"/>
  <c r="M20" i="23"/>
  <c r="N20" i="23"/>
  <c r="O20" i="23"/>
  <c r="P20" i="23"/>
  <c r="Q20" i="23"/>
  <c r="R20" i="23"/>
  <c r="S20" i="23"/>
  <c r="T20" i="23"/>
  <c r="M407" i="1" l="1"/>
  <c r="F1104" i="20"/>
  <c r="F19" i="23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F65" i="41" l="1"/>
  <c r="F67" i="41" s="1"/>
  <c r="M472" i="1" l="1"/>
  <c r="F598" i="23"/>
  <c r="G598" i="23"/>
  <c r="H598" i="23"/>
  <c r="I598" i="23"/>
  <c r="J598" i="23"/>
  <c r="K598" i="23"/>
  <c r="L598" i="23"/>
  <c r="M598" i="23"/>
  <c r="N598" i="23"/>
  <c r="O598" i="23"/>
  <c r="P598" i="23"/>
  <c r="Q598" i="23"/>
  <c r="R598" i="23"/>
  <c r="S598" i="23"/>
  <c r="T598" i="23"/>
  <c r="F599" i="23"/>
  <c r="G599" i="23"/>
  <c r="H599" i="23"/>
  <c r="I599" i="23"/>
  <c r="J599" i="23"/>
  <c r="K599" i="23"/>
  <c r="L599" i="23"/>
  <c r="M599" i="23"/>
  <c r="N599" i="23"/>
  <c r="O599" i="23"/>
  <c r="P599" i="23"/>
  <c r="Q599" i="23"/>
  <c r="R599" i="23"/>
  <c r="S599" i="23"/>
  <c r="T599" i="23"/>
  <c r="F600" i="23"/>
  <c r="G600" i="23"/>
  <c r="H600" i="23"/>
  <c r="I600" i="23"/>
  <c r="J600" i="23"/>
  <c r="K600" i="23"/>
  <c r="L600" i="23"/>
  <c r="M600" i="23"/>
  <c r="N600" i="23"/>
  <c r="O600" i="23"/>
  <c r="P600" i="23"/>
  <c r="Q600" i="23"/>
  <c r="R600" i="23"/>
  <c r="S600" i="23"/>
  <c r="T600" i="23"/>
  <c r="F601" i="23"/>
  <c r="G601" i="23"/>
  <c r="H601" i="23"/>
  <c r="I601" i="23"/>
  <c r="J601" i="23"/>
  <c r="K601" i="23"/>
  <c r="L601" i="23"/>
  <c r="M601" i="23"/>
  <c r="N601" i="23"/>
  <c r="O601" i="23"/>
  <c r="P601" i="23"/>
  <c r="Q601" i="23"/>
  <c r="R601" i="23"/>
  <c r="S601" i="23"/>
  <c r="T601" i="23"/>
  <c r="F564" i="23"/>
  <c r="G564" i="23"/>
  <c r="H564" i="23"/>
  <c r="I564" i="23"/>
  <c r="J564" i="23"/>
  <c r="K564" i="23"/>
  <c r="L564" i="23"/>
  <c r="M564" i="23"/>
  <c r="N564" i="23"/>
  <c r="O564" i="23"/>
  <c r="P564" i="23"/>
  <c r="Q564" i="23"/>
  <c r="R564" i="23"/>
  <c r="S564" i="23"/>
  <c r="T564" i="23"/>
  <c r="F539" i="23"/>
  <c r="G539" i="23"/>
  <c r="H539" i="23"/>
  <c r="I539" i="23"/>
  <c r="J539" i="23"/>
  <c r="K539" i="23"/>
  <c r="L539" i="23"/>
  <c r="M539" i="23"/>
  <c r="N539" i="23"/>
  <c r="O539" i="23"/>
  <c r="P539" i="23"/>
  <c r="Q539" i="23"/>
  <c r="R539" i="23"/>
  <c r="S539" i="23"/>
  <c r="T539" i="23"/>
  <c r="F473" i="23"/>
  <c r="G473" i="23"/>
  <c r="H473" i="23"/>
  <c r="I473" i="23"/>
  <c r="J473" i="23"/>
  <c r="K473" i="23"/>
  <c r="L473" i="23"/>
  <c r="M473" i="23"/>
  <c r="N473" i="23"/>
  <c r="O473" i="23"/>
  <c r="P473" i="23"/>
  <c r="Q473" i="23"/>
  <c r="R473" i="23"/>
  <c r="S473" i="23"/>
  <c r="T473" i="23"/>
  <c r="F474" i="23"/>
  <c r="G474" i="23"/>
  <c r="H474" i="23"/>
  <c r="I474" i="23"/>
  <c r="J474" i="23"/>
  <c r="K474" i="23"/>
  <c r="L474" i="23"/>
  <c r="M474" i="23"/>
  <c r="N474" i="23"/>
  <c r="O474" i="23"/>
  <c r="P474" i="23"/>
  <c r="Q474" i="23"/>
  <c r="R474" i="23"/>
  <c r="S474" i="23"/>
  <c r="T474" i="23"/>
  <c r="F475" i="23"/>
  <c r="G475" i="23"/>
  <c r="H475" i="23"/>
  <c r="I475" i="23"/>
  <c r="J475" i="23"/>
  <c r="K475" i="23"/>
  <c r="L475" i="23"/>
  <c r="M475" i="23"/>
  <c r="N475" i="23"/>
  <c r="O475" i="23"/>
  <c r="P475" i="23"/>
  <c r="Q475" i="23"/>
  <c r="R475" i="23"/>
  <c r="S475" i="23"/>
  <c r="T475" i="23"/>
  <c r="F448" i="23"/>
  <c r="G448" i="23"/>
  <c r="H448" i="23"/>
  <c r="I448" i="23"/>
  <c r="J448" i="23"/>
  <c r="K448" i="23"/>
  <c r="L448" i="23"/>
  <c r="M448" i="23"/>
  <c r="N448" i="23"/>
  <c r="O448" i="23"/>
  <c r="P448" i="23"/>
  <c r="Q448" i="23"/>
  <c r="R448" i="23"/>
  <c r="S448" i="23"/>
  <c r="T448" i="23"/>
  <c r="F449" i="23"/>
  <c r="G449" i="23"/>
  <c r="H449" i="23"/>
  <c r="I449" i="23"/>
  <c r="J449" i="23"/>
  <c r="K449" i="23"/>
  <c r="L449" i="23"/>
  <c r="M449" i="23"/>
  <c r="N449" i="23"/>
  <c r="O449" i="23"/>
  <c r="P449" i="23"/>
  <c r="Q449" i="23"/>
  <c r="R449" i="23"/>
  <c r="S449" i="23"/>
  <c r="T449" i="23"/>
  <c r="F450" i="23"/>
  <c r="G450" i="23"/>
  <c r="H450" i="23"/>
  <c r="I450" i="23"/>
  <c r="J450" i="23"/>
  <c r="K450" i="23"/>
  <c r="L450" i="23"/>
  <c r="M450" i="23"/>
  <c r="N450" i="23"/>
  <c r="O450" i="23"/>
  <c r="P450" i="23"/>
  <c r="Q450" i="23"/>
  <c r="R450" i="23"/>
  <c r="S450" i="23"/>
  <c r="F398" i="23"/>
  <c r="G398" i="23"/>
  <c r="H398" i="23"/>
  <c r="I398" i="23"/>
  <c r="J398" i="23"/>
  <c r="K398" i="23"/>
  <c r="L398" i="23"/>
  <c r="M398" i="23"/>
  <c r="N398" i="23"/>
  <c r="O398" i="23"/>
  <c r="P398" i="23"/>
  <c r="Q398" i="23"/>
  <c r="R398" i="23"/>
  <c r="S398" i="23"/>
  <c r="T398" i="23"/>
  <c r="F399" i="23"/>
  <c r="G399" i="23"/>
  <c r="H399" i="23"/>
  <c r="I399" i="23"/>
  <c r="J399" i="23"/>
  <c r="K399" i="23"/>
  <c r="L399" i="23"/>
  <c r="M399" i="23"/>
  <c r="N399" i="23"/>
  <c r="O399" i="23"/>
  <c r="P399" i="23"/>
  <c r="Q399" i="23"/>
  <c r="R399" i="23"/>
  <c r="S399" i="23"/>
  <c r="T399" i="23"/>
  <c r="F400" i="23"/>
  <c r="G400" i="23"/>
  <c r="H400" i="23"/>
  <c r="I400" i="23"/>
  <c r="J400" i="23"/>
  <c r="K400" i="23"/>
  <c r="L400" i="23"/>
  <c r="M400" i="23"/>
  <c r="N400" i="23"/>
  <c r="O400" i="23"/>
  <c r="P400" i="23"/>
  <c r="Q400" i="23"/>
  <c r="R400" i="23"/>
  <c r="S400" i="23"/>
  <c r="T400" i="23"/>
  <c r="F401" i="23"/>
  <c r="G401" i="23"/>
  <c r="H401" i="23"/>
  <c r="I401" i="23"/>
  <c r="J401" i="23"/>
  <c r="K401" i="23"/>
  <c r="L401" i="23"/>
  <c r="M401" i="23"/>
  <c r="N401" i="23"/>
  <c r="O401" i="23"/>
  <c r="P401" i="23"/>
  <c r="Q401" i="23"/>
  <c r="R401" i="23"/>
  <c r="S401" i="23"/>
  <c r="T401" i="23"/>
  <c r="F766" i="18"/>
  <c r="T382" i="23" s="1"/>
  <c r="F382" i="23"/>
  <c r="G382" i="23"/>
  <c r="H382" i="23"/>
  <c r="I382" i="23"/>
  <c r="J382" i="23"/>
  <c r="K382" i="23"/>
  <c r="L382" i="23"/>
  <c r="M382" i="23"/>
  <c r="N382" i="23"/>
  <c r="O382" i="23"/>
  <c r="P382" i="23"/>
  <c r="Q382" i="23"/>
  <c r="R382" i="23"/>
  <c r="S382" i="23"/>
  <c r="F356" i="23"/>
  <c r="G356" i="23"/>
  <c r="H356" i="23"/>
  <c r="I356" i="23"/>
  <c r="J356" i="23"/>
  <c r="K356" i="23"/>
  <c r="L356" i="23"/>
  <c r="M356" i="23"/>
  <c r="N356" i="23"/>
  <c r="O356" i="23"/>
  <c r="P356" i="23"/>
  <c r="Q356" i="23"/>
  <c r="R356" i="23"/>
  <c r="S356" i="23"/>
  <c r="T356" i="23"/>
  <c r="F357" i="23"/>
  <c r="G357" i="23"/>
  <c r="H357" i="23"/>
  <c r="I357" i="23"/>
  <c r="J357" i="23"/>
  <c r="K357" i="23"/>
  <c r="L357" i="23"/>
  <c r="M357" i="23"/>
  <c r="N357" i="23"/>
  <c r="O357" i="23"/>
  <c r="P357" i="23"/>
  <c r="Q357" i="23"/>
  <c r="R357" i="23"/>
  <c r="S357" i="23"/>
  <c r="T357" i="23"/>
  <c r="F358" i="23"/>
  <c r="G358" i="23"/>
  <c r="H358" i="23"/>
  <c r="I358" i="23"/>
  <c r="J358" i="23"/>
  <c r="K358" i="23"/>
  <c r="L358" i="23"/>
  <c r="M358" i="23"/>
  <c r="N358" i="23"/>
  <c r="O358" i="23"/>
  <c r="P358" i="23"/>
  <c r="Q358" i="23"/>
  <c r="R358" i="23"/>
  <c r="S358" i="23"/>
  <c r="T358" i="23"/>
  <c r="F359" i="23"/>
  <c r="G359" i="23"/>
  <c r="H359" i="23"/>
  <c r="I359" i="23"/>
  <c r="J359" i="23"/>
  <c r="K359" i="23"/>
  <c r="L359" i="23"/>
  <c r="M359" i="23"/>
  <c r="N359" i="23"/>
  <c r="O359" i="23"/>
  <c r="P359" i="23"/>
  <c r="Q359" i="23"/>
  <c r="R359" i="23"/>
  <c r="S359" i="23"/>
  <c r="F313" i="23"/>
  <c r="G313" i="23"/>
  <c r="H313" i="23"/>
  <c r="I313" i="23"/>
  <c r="J313" i="23"/>
  <c r="K313" i="23"/>
  <c r="L313" i="23"/>
  <c r="M313" i="23"/>
  <c r="N313" i="23"/>
  <c r="O313" i="23"/>
  <c r="P313" i="23"/>
  <c r="Q313" i="23"/>
  <c r="R313" i="23"/>
  <c r="S313" i="23"/>
  <c r="T313" i="23"/>
  <c r="F314" i="23"/>
  <c r="G314" i="23"/>
  <c r="H314" i="23"/>
  <c r="I314" i="23"/>
  <c r="J314" i="23"/>
  <c r="K314" i="23"/>
  <c r="L314" i="23"/>
  <c r="M314" i="23"/>
  <c r="N314" i="23"/>
  <c r="O314" i="23"/>
  <c r="P314" i="23"/>
  <c r="Q314" i="23"/>
  <c r="R314" i="23"/>
  <c r="S314" i="23"/>
  <c r="T314" i="23"/>
  <c r="F268" i="23"/>
  <c r="G268" i="23"/>
  <c r="H268" i="23"/>
  <c r="I268" i="23"/>
  <c r="J268" i="23"/>
  <c r="K268" i="23"/>
  <c r="L268" i="23"/>
  <c r="M268" i="23"/>
  <c r="N268" i="23"/>
  <c r="O268" i="23"/>
  <c r="P268" i="23"/>
  <c r="Q268" i="23"/>
  <c r="R268" i="23"/>
  <c r="S268" i="23"/>
  <c r="T268" i="23"/>
  <c r="T132" i="23"/>
  <c r="F132" i="23"/>
  <c r="G132" i="23"/>
  <c r="H132" i="23"/>
  <c r="I132" i="23"/>
  <c r="J132" i="23"/>
  <c r="K132" i="23"/>
  <c r="L132" i="23"/>
  <c r="M132" i="23"/>
  <c r="N132" i="23"/>
  <c r="O132" i="23"/>
  <c r="P132" i="23"/>
  <c r="Q132" i="23"/>
  <c r="R132" i="23"/>
  <c r="S132" i="23"/>
  <c r="T48" i="23" l="1"/>
  <c r="T49" i="23"/>
  <c r="T50" i="23"/>
  <c r="T51" i="23"/>
  <c r="T52" i="23"/>
  <c r="T53" i="23"/>
  <c r="T54" i="23"/>
  <c r="T55" i="23"/>
  <c r="T56" i="23"/>
  <c r="T57" i="23"/>
  <c r="T58" i="23"/>
  <c r="T59" i="23"/>
  <c r="T60" i="23"/>
  <c r="T61" i="23"/>
  <c r="T62" i="23"/>
  <c r="T63" i="23"/>
  <c r="T64" i="23"/>
  <c r="T65" i="23"/>
  <c r="T66" i="23"/>
  <c r="T67" i="23"/>
  <c r="T69" i="23"/>
  <c r="T70" i="23"/>
  <c r="T71" i="23"/>
  <c r="T72" i="23"/>
  <c r="T73" i="23"/>
  <c r="T74" i="23"/>
  <c r="T75" i="23"/>
  <c r="T76" i="23"/>
  <c r="T77" i="23"/>
  <c r="T78" i="23"/>
  <c r="T79" i="23"/>
  <c r="T80" i="23"/>
  <c r="T81" i="23"/>
  <c r="T82" i="23"/>
  <c r="T83" i="23"/>
  <c r="T84" i="23"/>
  <c r="T85" i="23"/>
  <c r="T86" i="23"/>
  <c r="T87" i="23"/>
  <c r="T90" i="23"/>
  <c r="T91" i="23"/>
  <c r="T92" i="23"/>
  <c r="T93" i="23"/>
  <c r="T94" i="23"/>
  <c r="T95" i="23"/>
  <c r="T96" i="23"/>
  <c r="T97" i="23"/>
  <c r="T98" i="23"/>
  <c r="T99" i="23"/>
  <c r="T100" i="23"/>
  <c r="T101" i="23"/>
  <c r="T102" i="23"/>
  <c r="T103" i="23"/>
  <c r="T104" i="23"/>
  <c r="T105" i="23"/>
  <c r="T106" i="23"/>
  <c r="T107" i="23"/>
  <c r="T108" i="23"/>
  <c r="T109" i="23"/>
  <c r="T110" i="23"/>
  <c r="T112" i="23"/>
  <c r="T113" i="23"/>
  <c r="T114" i="23"/>
  <c r="T115" i="23"/>
  <c r="T116" i="23"/>
  <c r="T117" i="23"/>
  <c r="T118" i="23"/>
  <c r="T119" i="23"/>
  <c r="T120" i="23"/>
  <c r="T121" i="23"/>
  <c r="T122" i="23"/>
  <c r="T123" i="23"/>
  <c r="T124" i="23"/>
  <c r="T125" i="23"/>
  <c r="T126" i="23"/>
  <c r="T127" i="23"/>
  <c r="T128" i="23"/>
  <c r="T129" i="23"/>
  <c r="T130" i="23"/>
  <c r="T131" i="23"/>
  <c r="T134" i="23"/>
  <c r="T135" i="23"/>
  <c r="T136" i="23"/>
  <c r="T137" i="23"/>
  <c r="T138" i="23"/>
  <c r="T139" i="23"/>
  <c r="T140" i="23"/>
  <c r="T141" i="23"/>
  <c r="T142" i="23"/>
  <c r="T143" i="23"/>
  <c r="T144" i="23"/>
  <c r="T145" i="23"/>
  <c r="T146" i="23"/>
  <c r="T147" i="23"/>
  <c r="T148" i="23"/>
  <c r="T149" i="23"/>
  <c r="T150" i="23"/>
  <c r="T151" i="23"/>
  <c r="T152" i="23"/>
  <c r="T153" i="23"/>
  <c r="T155" i="23"/>
  <c r="T156" i="23"/>
  <c r="T157" i="23"/>
  <c r="T158" i="23"/>
  <c r="T159" i="23"/>
  <c r="T160" i="23"/>
  <c r="T161" i="23"/>
  <c r="T162" i="23"/>
  <c r="T163" i="23"/>
  <c r="T172" i="23"/>
  <c r="T174" i="23"/>
  <c r="T175" i="23"/>
  <c r="T176" i="23"/>
  <c r="T177" i="23"/>
  <c r="T178" i="23"/>
  <c r="T179" i="23"/>
  <c r="T207" i="23"/>
  <c r="T208" i="23"/>
  <c r="T209" i="23"/>
  <c r="T210" i="23"/>
  <c r="T211" i="23"/>
  <c r="T212" i="23"/>
  <c r="T213" i="23"/>
  <c r="T214" i="23"/>
  <c r="T215" i="23"/>
  <c r="T223" i="23"/>
  <c r="T224" i="23"/>
  <c r="T226" i="23"/>
  <c r="T227" i="23"/>
  <c r="T228" i="23"/>
  <c r="T229" i="23"/>
  <c r="T230" i="23"/>
  <c r="T252" i="23"/>
  <c r="T253" i="23"/>
  <c r="T254" i="23"/>
  <c r="T255" i="23"/>
  <c r="T256" i="23"/>
  <c r="T257" i="23"/>
  <c r="T258" i="23"/>
  <c r="T259" i="23"/>
  <c r="T260" i="23"/>
  <c r="T261" i="23"/>
  <c r="T262" i="23"/>
  <c r="T263" i="23"/>
  <c r="T264" i="23"/>
  <c r="T265" i="23"/>
  <c r="T266" i="23"/>
  <c r="T267" i="23"/>
  <c r="T274" i="23"/>
  <c r="T275" i="23"/>
  <c r="T276" i="23"/>
  <c r="T277" i="23"/>
  <c r="T278" i="23"/>
  <c r="T279" i="23"/>
  <c r="T280" i="23"/>
  <c r="T281" i="23"/>
  <c r="T282" i="23"/>
  <c r="T283" i="23"/>
  <c r="T284" i="23"/>
  <c r="T285" i="23"/>
  <c r="T286" i="23"/>
  <c r="T287" i="23"/>
  <c r="T288" i="23"/>
  <c r="T289" i="23"/>
  <c r="T290" i="23"/>
  <c r="T291" i="23"/>
  <c r="T292" i="23"/>
  <c r="T293" i="23"/>
  <c r="T294" i="23"/>
  <c r="T296" i="23"/>
  <c r="T297" i="23"/>
  <c r="T298" i="23"/>
  <c r="T299" i="23"/>
  <c r="T300" i="23"/>
  <c r="T301" i="23"/>
  <c r="T302" i="23"/>
  <c r="T303" i="23"/>
  <c r="T304" i="23"/>
  <c r="T305" i="23"/>
  <c r="T306" i="23"/>
  <c r="T307" i="23"/>
  <c r="T308" i="23"/>
  <c r="T309" i="23"/>
  <c r="T310" i="23"/>
  <c r="T311" i="23"/>
  <c r="T312" i="23"/>
  <c r="T319" i="23"/>
  <c r="T320" i="23"/>
  <c r="T321" i="23"/>
  <c r="T322" i="23"/>
  <c r="T323" i="23"/>
  <c r="T324" i="23"/>
  <c r="T325" i="23"/>
  <c r="T326" i="23"/>
  <c r="T327" i="23"/>
  <c r="T328" i="23"/>
  <c r="T329" i="23"/>
  <c r="T330" i="23"/>
  <c r="T331" i="23"/>
  <c r="T332" i="23"/>
  <c r="T333" i="23"/>
  <c r="T334" i="23"/>
  <c r="T335" i="23"/>
  <c r="T336" i="23"/>
  <c r="T337" i="23"/>
  <c r="T338" i="23"/>
  <c r="T340" i="23"/>
  <c r="T341" i="23"/>
  <c r="T342" i="23"/>
  <c r="T343" i="23"/>
  <c r="T344" i="23"/>
  <c r="T345" i="23"/>
  <c r="T346" i="23"/>
  <c r="T347" i="23"/>
  <c r="T348" i="23"/>
  <c r="T349" i="23"/>
  <c r="T350" i="23"/>
  <c r="T351" i="23"/>
  <c r="T352" i="23"/>
  <c r="T353" i="23"/>
  <c r="T354" i="23"/>
  <c r="T355" i="23"/>
  <c r="T362" i="23"/>
  <c r="T363" i="23"/>
  <c r="T364" i="23"/>
  <c r="T365" i="23"/>
  <c r="T366" i="23"/>
  <c r="T367" i="23"/>
  <c r="T368" i="23"/>
  <c r="T369" i="23"/>
  <c r="T370" i="23"/>
  <c r="T371" i="23"/>
  <c r="T372" i="23"/>
  <c r="T373" i="23"/>
  <c r="T374" i="23"/>
  <c r="T375" i="23"/>
  <c r="T376" i="23"/>
  <c r="T377" i="23"/>
  <c r="T378" i="23"/>
  <c r="T379" i="23"/>
  <c r="T380" i="23"/>
  <c r="T381" i="23"/>
  <c r="T384" i="23"/>
  <c r="T385" i="23"/>
  <c r="T386" i="23"/>
  <c r="T387" i="23"/>
  <c r="T388" i="23"/>
  <c r="T389" i="23"/>
  <c r="T390" i="23"/>
  <c r="T391" i="23"/>
  <c r="T392" i="23"/>
  <c r="T393" i="23"/>
  <c r="T394" i="23"/>
  <c r="T395" i="23"/>
  <c r="T396" i="23"/>
  <c r="T397" i="23"/>
  <c r="T407" i="23"/>
  <c r="T408" i="23"/>
  <c r="T409" i="23"/>
  <c r="T410" i="23"/>
  <c r="T411" i="23"/>
  <c r="T412" i="23"/>
  <c r="T413" i="23"/>
  <c r="T414" i="23"/>
  <c r="T415" i="23"/>
  <c r="T416" i="23"/>
  <c r="T417" i="23"/>
  <c r="T418" i="23"/>
  <c r="T419" i="23"/>
  <c r="T420" i="23"/>
  <c r="T421" i="23"/>
  <c r="T422" i="23"/>
  <c r="T423" i="23"/>
  <c r="T424" i="23"/>
  <c r="T425" i="23"/>
  <c r="T426" i="23"/>
  <c r="T427" i="23"/>
  <c r="T428" i="23"/>
  <c r="T430" i="23"/>
  <c r="T431" i="23"/>
  <c r="T432" i="23"/>
  <c r="T433" i="23"/>
  <c r="T434" i="23"/>
  <c r="T435" i="23"/>
  <c r="T436" i="23"/>
  <c r="T437" i="23"/>
  <c r="T438" i="23"/>
  <c r="T439" i="23"/>
  <c r="T440" i="23"/>
  <c r="T441" i="23"/>
  <c r="T442" i="23"/>
  <c r="T443" i="23"/>
  <c r="T444" i="23"/>
  <c r="T445" i="23"/>
  <c r="T446" i="23"/>
  <c r="T447" i="23"/>
  <c r="T454" i="23"/>
  <c r="T455" i="23"/>
  <c r="T456" i="23"/>
  <c r="T457" i="23"/>
  <c r="T458" i="23"/>
  <c r="T459" i="23"/>
  <c r="T460" i="23"/>
  <c r="T461" i="23"/>
  <c r="T462" i="23"/>
  <c r="T463" i="23"/>
  <c r="T464" i="23"/>
  <c r="T465" i="23"/>
  <c r="T466" i="23"/>
  <c r="T467" i="23"/>
  <c r="T468" i="23"/>
  <c r="T469" i="23"/>
  <c r="T470" i="23"/>
  <c r="T471" i="23"/>
  <c r="T472" i="23"/>
  <c r="T477" i="23"/>
  <c r="T478" i="23"/>
  <c r="T479" i="23"/>
  <c r="T480" i="23"/>
  <c r="T481" i="23"/>
  <c r="T482" i="23"/>
  <c r="T483" i="23"/>
  <c r="T484" i="23"/>
  <c r="T485" i="23"/>
  <c r="T486" i="23"/>
  <c r="T487" i="23"/>
  <c r="T488" i="23"/>
  <c r="T489" i="23"/>
  <c r="T490" i="23"/>
  <c r="T491" i="23"/>
  <c r="T492" i="23"/>
  <c r="T493" i="23"/>
  <c r="T494" i="23"/>
  <c r="T495" i="23"/>
  <c r="T496" i="23"/>
  <c r="T497" i="23"/>
  <c r="T499" i="23"/>
  <c r="T500" i="23"/>
  <c r="T501" i="23"/>
  <c r="T502" i="23"/>
  <c r="T503" i="23"/>
  <c r="T504" i="23"/>
  <c r="T505" i="23"/>
  <c r="T506" i="23"/>
  <c r="T507" i="23"/>
  <c r="T508" i="23"/>
  <c r="T509" i="23"/>
  <c r="T510" i="23"/>
  <c r="T511" i="23"/>
  <c r="T512" i="23"/>
  <c r="T513" i="23"/>
  <c r="T514" i="23"/>
  <c r="T515" i="23"/>
  <c r="T516" i="23"/>
  <c r="T517" i="23"/>
  <c r="T518" i="23"/>
  <c r="T519" i="23"/>
  <c r="T521" i="23"/>
  <c r="T522" i="23"/>
  <c r="T523" i="23"/>
  <c r="T524" i="23"/>
  <c r="T525" i="23"/>
  <c r="T526" i="23"/>
  <c r="T527" i="23"/>
  <c r="T528" i="23"/>
  <c r="T529" i="23"/>
  <c r="T530" i="23"/>
  <c r="T531" i="23"/>
  <c r="T532" i="23"/>
  <c r="T533" i="23"/>
  <c r="T534" i="23"/>
  <c r="T535" i="23"/>
  <c r="T536" i="23"/>
  <c r="T537" i="23"/>
  <c r="T538" i="23"/>
  <c r="T543" i="23"/>
  <c r="T544" i="23"/>
  <c r="T545" i="23"/>
  <c r="T546" i="23"/>
  <c r="T547" i="23"/>
  <c r="T548" i="23"/>
  <c r="T549" i="23"/>
  <c r="T550" i="23"/>
  <c r="T551" i="23"/>
  <c r="T552" i="23"/>
  <c r="T553" i="23"/>
  <c r="T554" i="23"/>
  <c r="T555" i="23"/>
  <c r="T556" i="23"/>
  <c r="T557" i="23"/>
  <c r="T558" i="23"/>
  <c r="T559" i="23"/>
  <c r="T560" i="23"/>
  <c r="T561" i="23"/>
  <c r="T562" i="23"/>
  <c r="T563" i="23"/>
  <c r="T566" i="23"/>
  <c r="T567" i="23"/>
  <c r="T568" i="23"/>
  <c r="T569" i="23"/>
  <c r="T570" i="23"/>
  <c r="T571" i="23"/>
  <c r="T572" i="23"/>
  <c r="T573" i="23"/>
  <c r="T574" i="23"/>
  <c r="T575" i="23"/>
  <c r="T576" i="23"/>
  <c r="T577" i="23"/>
  <c r="T578" i="23"/>
  <c r="T579" i="23"/>
  <c r="T580" i="23"/>
  <c r="T581" i="23"/>
  <c r="T582" i="23"/>
  <c r="T583" i="23"/>
  <c r="T584" i="23"/>
  <c r="T585" i="23"/>
  <c r="T588" i="23"/>
  <c r="T589" i="23"/>
  <c r="T590" i="23"/>
  <c r="T591" i="23"/>
  <c r="T592" i="23"/>
  <c r="T593" i="23"/>
  <c r="T594" i="23"/>
  <c r="T595" i="23"/>
  <c r="T596" i="23"/>
  <c r="T597" i="23"/>
  <c r="T5" i="23"/>
  <c r="T6" i="23"/>
  <c r="T7" i="23"/>
  <c r="T8" i="23"/>
  <c r="T9" i="23"/>
  <c r="T10" i="23"/>
  <c r="T11" i="23"/>
  <c r="T12" i="23"/>
  <c r="T13" i="23"/>
  <c r="T14" i="23"/>
  <c r="T15" i="23"/>
  <c r="T16" i="23"/>
  <c r="T17" i="23"/>
  <c r="T18" i="23"/>
  <c r="T25" i="23"/>
  <c r="T26" i="23"/>
  <c r="T27" i="23"/>
  <c r="T28" i="23"/>
  <c r="T29" i="23"/>
  <c r="T30" i="23"/>
  <c r="T31" i="23"/>
  <c r="T32" i="23"/>
  <c r="T33" i="23"/>
  <c r="T34" i="23"/>
  <c r="T35" i="23"/>
  <c r="T36" i="23"/>
  <c r="T37" i="23"/>
  <c r="T38" i="23"/>
  <c r="T39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S39" i="23"/>
  <c r="S48" i="23"/>
  <c r="S49" i="23"/>
  <c r="S50" i="23"/>
  <c r="S51" i="23"/>
  <c r="S52" i="23"/>
  <c r="S53" i="23"/>
  <c r="S54" i="23"/>
  <c r="S55" i="23"/>
  <c r="S56" i="23"/>
  <c r="S57" i="23"/>
  <c r="F88" i="23"/>
  <c r="G88" i="23"/>
  <c r="H88" i="23"/>
  <c r="I88" i="23"/>
  <c r="J88" i="23"/>
  <c r="K88" i="23"/>
  <c r="L88" i="23"/>
  <c r="M88" i="23"/>
  <c r="N88" i="23"/>
  <c r="O88" i="23"/>
  <c r="P88" i="23"/>
  <c r="Q88" i="23"/>
  <c r="R88" i="23"/>
  <c r="S88" i="23"/>
  <c r="T46" i="23" l="1"/>
  <c r="S46" i="23"/>
  <c r="U22" i="39" l="1"/>
  <c r="U20" i="39"/>
  <c r="T20" i="39"/>
  <c r="T22" i="39" s="1"/>
  <c r="N22" i="39"/>
  <c r="N20" i="39"/>
  <c r="M20" i="39"/>
  <c r="M22" i="39" s="1"/>
  <c r="G22" i="39"/>
  <c r="G20" i="39"/>
  <c r="F20" i="39"/>
  <c r="F22" i="39" s="1"/>
  <c r="I42" i="24"/>
  <c r="S42" i="24" s="1"/>
  <c r="T42" i="24" s="1"/>
  <c r="V42" i="24" s="1"/>
  <c r="Q128" i="7" l="1"/>
  <c r="F597" i="23"/>
  <c r="G597" i="23"/>
  <c r="H597" i="23"/>
  <c r="I597" i="23"/>
  <c r="J597" i="23"/>
  <c r="K597" i="23"/>
  <c r="L597" i="23"/>
  <c r="M597" i="23"/>
  <c r="N597" i="23"/>
  <c r="O597" i="23"/>
  <c r="P597" i="23"/>
  <c r="Q597" i="23"/>
  <c r="R597" i="23"/>
  <c r="S597" i="23"/>
  <c r="Q90" i="1" l="1"/>
  <c r="O240" i="1" l="1"/>
  <c r="F582" i="7"/>
  <c r="F584" i="7" s="1"/>
  <c r="O232" i="1"/>
  <c r="F539" i="7"/>
  <c r="F541" i="7" s="1"/>
  <c r="F543" i="7" s="1"/>
  <c r="O228" i="1"/>
  <c r="F510" i="7"/>
  <c r="F477" i="7"/>
  <c r="F476" i="7"/>
  <c r="F409" i="7"/>
  <c r="F387" i="7"/>
  <c r="F386" i="7"/>
  <c r="F349" i="7"/>
  <c r="Q129" i="7"/>
  <c r="Q127" i="7"/>
  <c r="F37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F39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M240" i="1" l="1"/>
  <c r="M232" i="1"/>
  <c r="F520" i="7"/>
  <c r="M228" i="1" s="1"/>
  <c r="Q130" i="7"/>
  <c r="O42" i="24"/>
  <c r="N23" i="30" s="1"/>
  <c r="F522" i="7" l="1"/>
  <c r="O471" i="1"/>
  <c r="F54" i="41"/>
  <c r="F56" i="41" s="1"/>
  <c r="O469" i="1"/>
  <c r="F44" i="41"/>
  <c r="F46" i="41" s="1"/>
  <c r="O468" i="1"/>
  <c r="F35" i="41"/>
  <c r="F37" i="41" s="1"/>
  <c r="M471" i="1" l="1"/>
  <c r="M469" i="1"/>
  <c r="M468" i="1"/>
  <c r="O399" i="1" l="1"/>
  <c r="M399" i="1"/>
  <c r="O390" i="1"/>
  <c r="M390" i="1"/>
  <c r="F596" i="23"/>
  <c r="G596" i="23"/>
  <c r="H596" i="23"/>
  <c r="I596" i="23"/>
  <c r="J596" i="23"/>
  <c r="K596" i="23"/>
  <c r="L596" i="23"/>
  <c r="M596" i="23"/>
  <c r="N596" i="23"/>
  <c r="O596" i="23"/>
  <c r="P596" i="23"/>
  <c r="Q596" i="23"/>
  <c r="R596" i="23"/>
  <c r="S596" i="23"/>
  <c r="F585" i="23"/>
  <c r="G585" i="23"/>
  <c r="H585" i="23"/>
  <c r="I585" i="23"/>
  <c r="J585" i="23"/>
  <c r="K585" i="23"/>
  <c r="L585" i="23"/>
  <c r="M585" i="23"/>
  <c r="N585" i="23"/>
  <c r="O585" i="23"/>
  <c r="P585" i="23"/>
  <c r="Q585" i="23"/>
  <c r="R585" i="23"/>
  <c r="S585" i="23"/>
  <c r="F563" i="23"/>
  <c r="G563" i="23"/>
  <c r="H563" i="23"/>
  <c r="I563" i="23"/>
  <c r="J563" i="23"/>
  <c r="K563" i="23"/>
  <c r="L563" i="23"/>
  <c r="M563" i="23"/>
  <c r="N563" i="23"/>
  <c r="O563" i="23"/>
  <c r="P563" i="23"/>
  <c r="Q563" i="23"/>
  <c r="R563" i="23"/>
  <c r="S563" i="23"/>
  <c r="F538" i="23"/>
  <c r="G538" i="23"/>
  <c r="H538" i="23"/>
  <c r="I538" i="23"/>
  <c r="J538" i="23"/>
  <c r="K538" i="23"/>
  <c r="L538" i="23"/>
  <c r="M538" i="23"/>
  <c r="N538" i="23"/>
  <c r="O538" i="23"/>
  <c r="P538" i="23"/>
  <c r="Q538" i="23"/>
  <c r="R538" i="23"/>
  <c r="S538" i="23"/>
  <c r="F497" i="23"/>
  <c r="G497" i="23"/>
  <c r="H497" i="23"/>
  <c r="I497" i="23"/>
  <c r="J497" i="23"/>
  <c r="K497" i="23"/>
  <c r="L497" i="23"/>
  <c r="M497" i="23"/>
  <c r="N497" i="23"/>
  <c r="O497" i="23"/>
  <c r="P497" i="23"/>
  <c r="Q497" i="23"/>
  <c r="R497" i="23"/>
  <c r="S497" i="23"/>
  <c r="F471" i="23"/>
  <c r="G471" i="23"/>
  <c r="H471" i="23"/>
  <c r="I471" i="23"/>
  <c r="J471" i="23"/>
  <c r="K471" i="23"/>
  <c r="L471" i="23"/>
  <c r="M471" i="23"/>
  <c r="N471" i="23"/>
  <c r="O471" i="23"/>
  <c r="P471" i="23"/>
  <c r="Q471" i="23"/>
  <c r="R471" i="23"/>
  <c r="S471" i="23"/>
  <c r="F472" i="23"/>
  <c r="G472" i="23"/>
  <c r="H472" i="23"/>
  <c r="I472" i="23"/>
  <c r="J472" i="23"/>
  <c r="K472" i="23"/>
  <c r="L472" i="23"/>
  <c r="M472" i="23"/>
  <c r="N472" i="23"/>
  <c r="O472" i="23"/>
  <c r="P472" i="23"/>
  <c r="Q472" i="23"/>
  <c r="R472" i="23"/>
  <c r="S472" i="23"/>
  <c r="F444" i="23"/>
  <c r="G444" i="23"/>
  <c r="H444" i="23"/>
  <c r="I444" i="23"/>
  <c r="J444" i="23"/>
  <c r="K444" i="23"/>
  <c r="L444" i="23"/>
  <c r="M444" i="23"/>
  <c r="N444" i="23"/>
  <c r="O444" i="23"/>
  <c r="P444" i="23"/>
  <c r="Q444" i="23"/>
  <c r="R444" i="23"/>
  <c r="S444" i="23"/>
  <c r="F445" i="23"/>
  <c r="G445" i="23"/>
  <c r="H445" i="23"/>
  <c r="I445" i="23"/>
  <c r="J445" i="23"/>
  <c r="K445" i="23"/>
  <c r="L445" i="23"/>
  <c r="M445" i="23"/>
  <c r="N445" i="23"/>
  <c r="O445" i="23"/>
  <c r="P445" i="23"/>
  <c r="Q445" i="23"/>
  <c r="R445" i="23"/>
  <c r="S445" i="23"/>
  <c r="F446" i="23"/>
  <c r="G446" i="23"/>
  <c r="H446" i="23"/>
  <c r="I446" i="23"/>
  <c r="J446" i="23"/>
  <c r="K446" i="23"/>
  <c r="L446" i="23"/>
  <c r="M446" i="23"/>
  <c r="N446" i="23"/>
  <c r="O446" i="23"/>
  <c r="P446" i="23"/>
  <c r="Q446" i="23"/>
  <c r="R446" i="23"/>
  <c r="S446" i="23"/>
  <c r="F447" i="23"/>
  <c r="G447" i="23"/>
  <c r="H447" i="23"/>
  <c r="I447" i="23"/>
  <c r="J447" i="23"/>
  <c r="K447" i="23"/>
  <c r="L447" i="23"/>
  <c r="M447" i="23"/>
  <c r="N447" i="23"/>
  <c r="O447" i="23"/>
  <c r="P447" i="23"/>
  <c r="Q447" i="23"/>
  <c r="R447" i="23"/>
  <c r="S447" i="23"/>
  <c r="F427" i="23"/>
  <c r="G427" i="23"/>
  <c r="H427" i="23"/>
  <c r="I427" i="23"/>
  <c r="J427" i="23"/>
  <c r="K427" i="23"/>
  <c r="L427" i="23"/>
  <c r="M427" i="23"/>
  <c r="N427" i="23"/>
  <c r="O427" i="23"/>
  <c r="P427" i="23"/>
  <c r="Q427" i="23"/>
  <c r="R427" i="23"/>
  <c r="S427" i="23"/>
  <c r="F428" i="23"/>
  <c r="G428" i="23"/>
  <c r="H428" i="23"/>
  <c r="I428" i="23"/>
  <c r="J428" i="23"/>
  <c r="K428" i="23"/>
  <c r="L428" i="23"/>
  <c r="M428" i="23"/>
  <c r="N428" i="23"/>
  <c r="O428" i="23"/>
  <c r="P428" i="23"/>
  <c r="Q428" i="23"/>
  <c r="R428" i="23"/>
  <c r="S428" i="23"/>
  <c r="F396" i="23"/>
  <c r="G396" i="23"/>
  <c r="H396" i="23"/>
  <c r="I396" i="23"/>
  <c r="J396" i="23"/>
  <c r="K396" i="23"/>
  <c r="L396" i="23"/>
  <c r="M396" i="23"/>
  <c r="N396" i="23"/>
  <c r="O396" i="23"/>
  <c r="P396" i="23"/>
  <c r="Q396" i="23"/>
  <c r="R396" i="23"/>
  <c r="S396" i="23"/>
  <c r="F397" i="23"/>
  <c r="G397" i="23"/>
  <c r="H397" i="23"/>
  <c r="I397" i="23"/>
  <c r="J397" i="23"/>
  <c r="K397" i="23"/>
  <c r="L397" i="23"/>
  <c r="M397" i="23"/>
  <c r="N397" i="23"/>
  <c r="O397" i="23"/>
  <c r="P397" i="23"/>
  <c r="Q397" i="23"/>
  <c r="R397" i="23"/>
  <c r="S397" i="23"/>
  <c r="F381" i="23"/>
  <c r="G381" i="23"/>
  <c r="H381" i="23"/>
  <c r="I381" i="23"/>
  <c r="J381" i="23"/>
  <c r="K381" i="23"/>
  <c r="L381" i="23"/>
  <c r="M381" i="23"/>
  <c r="N381" i="23"/>
  <c r="O381" i="23"/>
  <c r="P381" i="23"/>
  <c r="Q381" i="23"/>
  <c r="R381" i="23"/>
  <c r="S381" i="23"/>
  <c r="F353" i="23"/>
  <c r="G353" i="23"/>
  <c r="H353" i="23"/>
  <c r="I353" i="23"/>
  <c r="J353" i="23"/>
  <c r="K353" i="23"/>
  <c r="L353" i="23"/>
  <c r="M353" i="23"/>
  <c r="N353" i="23"/>
  <c r="O353" i="23"/>
  <c r="P353" i="23"/>
  <c r="Q353" i="23"/>
  <c r="R353" i="23"/>
  <c r="S353" i="23"/>
  <c r="F354" i="23"/>
  <c r="G354" i="23"/>
  <c r="H354" i="23"/>
  <c r="I354" i="23"/>
  <c r="J354" i="23"/>
  <c r="K354" i="23"/>
  <c r="L354" i="23"/>
  <c r="M354" i="23"/>
  <c r="N354" i="23"/>
  <c r="O354" i="23"/>
  <c r="P354" i="23"/>
  <c r="Q354" i="23"/>
  <c r="R354" i="23"/>
  <c r="S354" i="23"/>
  <c r="F355" i="23"/>
  <c r="G355" i="23"/>
  <c r="H355" i="23"/>
  <c r="I355" i="23"/>
  <c r="J355" i="23"/>
  <c r="K355" i="23"/>
  <c r="L355" i="23"/>
  <c r="M355" i="23"/>
  <c r="N355" i="23"/>
  <c r="O355" i="23"/>
  <c r="P355" i="23"/>
  <c r="Q355" i="23"/>
  <c r="R355" i="23"/>
  <c r="S355" i="23"/>
  <c r="F265" i="23"/>
  <c r="G265" i="23"/>
  <c r="H265" i="23"/>
  <c r="I265" i="23"/>
  <c r="J265" i="23"/>
  <c r="K265" i="23"/>
  <c r="L265" i="23"/>
  <c r="M265" i="23"/>
  <c r="N265" i="23"/>
  <c r="O265" i="23"/>
  <c r="P265" i="23"/>
  <c r="Q265" i="23"/>
  <c r="R265" i="23"/>
  <c r="S265" i="23"/>
  <c r="F266" i="23"/>
  <c r="G266" i="23"/>
  <c r="H266" i="23"/>
  <c r="I266" i="23"/>
  <c r="J266" i="23"/>
  <c r="K266" i="23"/>
  <c r="L266" i="23"/>
  <c r="M266" i="23"/>
  <c r="N266" i="23"/>
  <c r="O266" i="23"/>
  <c r="P266" i="23"/>
  <c r="Q266" i="23"/>
  <c r="R266" i="23"/>
  <c r="S266" i="23"/>
  <c r="F267" i="23"/>
  <c r="G267" i="23"/>
  <c r="H267" i="23"/>
  <c r="I267" i="23"/>
  <c r="J267" i="23"/>
  <c r="K267" i="23"/>
  <c r="L267" i="23"/>
  <c r="M267" i="23"/>
  <c r="N267" i="23"/>
  <c r="O267" i="23"/>
  <c r="P267" i="23"/>
  <c r="Q267" i="23"/>
  <c r="R267" i="23"/>
  <c r="S267" i="23"/>
  <c r="F963" i="20" l="1"/>
  <c r="F129" i="23"/>
  <c r="G129" i="23"/>
  <c r="H129" i="23"/>
  <c r="I129" i="23"/>
  <c r="J129" i="23"/>
  <c r="K129" i="23"/>
  <c r="L129" i="23"/>
  <c r="M129" i="23"/>
  <c r="N129" i="23"/>
  <c r="O129" i="23"/>
  <c r="P129" i="23"/>
  <c r="Q129" i="23"/>
  <c r="R129" i="23"/>
  <c r="S129" i="23"/>
  <c r="F130" i="23"/>
  <c r="G130" i="23"/>
  <c r="H130" i="23"/>
  <c r="I130" i="23"/>
  <c r="J130" i="23"/>
  <c r="K130" i="23"/>
  <c r="L130" i="23"/>
  <c r="M130" i="23"/>
  <c r="N130" i="23"/>
  <c r="O130" i="23"/>
  <c r="P130" i="23"/>
  <c r="Q130" i="23"/>
  <c r="R130" i="23"/>
  <c r="S130" i="23"/>
  <c r="F131" i="23"/>
  <c r="G131" i="23"/>
  <c r="H131" i="23"/>
  <c r="I131" i="23"/>
  <c r="J131" i="23"/>
  <c r="K131" i="23"/>
  <c r="L131" i="23"/>
  <c r="M131" i="23"/>
  <c r="N131" i="23"/>
  <c r="O131" i="23"/>
  <c r="P131" i="23"/>
  <c r="Q131" i="23"/>
  <c r="R131" i="23"/>
  <c r="S131" i="23"/>
  <c r="F87" i="23"/>
  <c r="G87" i="23"/>
  <c r="H87" i="23"/>
  <c r="I87" i="23"/>
  <c r="J87" i="23"/>
  <c r="K87" i="23"/>
  <c r="L87" i="23"/>
  <c r="M87" i="23"/>
  <c r="N87" i="23"/>
  <c r="O87" i="23"/>
  <c r="P87" i="23"/>
  <c r="Q87" i="23"/>
  <c r="R87" i="23"/>
  <c r="S87" i="23"/>
  <c r="S58" i="23"/>
  <c r="S59" i="23"/>
  <c r="S60" i="23"/>
  <c r="S61" i="23"/>
  <c r="S62" i="23"/>
  <c r="S63" i="23"/>
  <c r="S64" i="23"/>
  <c r="S65" i="23"/>
  <c r="S66" i="23"/>
  <c r="S67" i="23"/>
  <c r="S69" i="23"/>
  <c r="S70" i="23"/>
  <c r="S71" i="23"/>
  <c r="S72" i="23"/>
  <c r="S73" i="23"/>
  <c r="S74" i="23"/>
  <c r="S75" i="23"/>
  <c r="S76" i="23"/>
  <c r="S77" i="23"/>
  <c r="S78" i="23"/>
  <c r="S79" i="23"/>
  <c r="S80" i="23"/>
  <c r="S81" i="23"/>
  <c r="S82" i="23"/>
  <c r="S83" i="23"/>
  <c r="S84" i="23"/>
  <c r="S85" i="23"/>
  <c r="S86" i="23"/>
  <c r="S90" i="23"/>
  <c r="S91" i="23"/>
  <c r="S92" i="23"/>
  <c r="S93" i="23"/>
  <c r="S94" i="23"/>
  <c r="S95" i="23"/>
  <c r="S96" i="23"/>
  <c r="S97" i="23"/>
  <c r="S98" i="23"/>
  <c r="S99" i="23"/>
  <c r="S100" i="23"/>
  <c r="S101" i="23"/>
  <c r="S102" i="23"/>
  <c r="S103" i="23"/>
  <c r="S104" i="23"/>
  <c r="S105" i="23"/>
  <c r="S106" i="23"/>
  <c r="S107" i="23"/>
  <c r="S108" i="23"/>
  <c r="S109" i="23"/>
  <c r="S110" i="23"/>
  <c r="S112" i="23"/>
  <c r="S113" i="23"/>
  <c r="S114" i="23"/>
  <c r="S115" i="23"/>
  <c r="S116" i="23"/>
  <c r="S117" i="23"/>
  <c r="S118" i="23"/>
  <c r="S119" i="23"/>
  <c r="S120" i="23"/>
  <c r="S121" i="23"/>
  <c r="S122" i="23"/>
  <c r="S123" i="23"/>
  <c r="S124" i="23"/>
  <c r="S125" i="23"/>
  <c r="S126" i="23"/>
  <c r="S127" i="23"/>
  <c r="S128" i="23"/>
  <c r="S134" i="23"/>
  <c r="S135" i="23"/>
  <c r="S136" i="23"/>
  <c r="S137" i="23"/>
  <c r="S138" i="23"/>
  <c r="S139" i="23"/>
  <c r="S140" i="23"/>
  <c r="S141" i="23"/>
  <c r="S142" i="23"/>
  <c r="S143" i="23"/>
  <c r="S144" i="23"/>
  <c r="S145" i="23"/>
  <c r="S146" i="23"/>
  <c r="S147" i="23"/>
  <c r="S148" i="23"/>
  <c r="S149" i="23"/>
  <c r="S150" i="23"/>
  <c r="S151" i="23"/>
  <c r="S152" i="23"/>
  <c r="S153" i="23"/>
  <c r="S155" i="23"/>
  <c r="S156" i="23"/>
  <c r="S157" i="23"/>
  <c r="S158" i="23"/>
  <c r="S159" i="23"/>
  <c r="S160" i="23"/>
  <c r="S161" i="23"/>
  <c r="S162" i="23"/>
  <c r="S163" i="23"/>
  <c r="S172" i="23"/>
  <c r="S173" i="23"/>
  <c r="S174" i="23"/>
  <c r="S175" i="23"/>
  <c r="S176" i="23"/>
  <c r="S177" i="23"/>
  <c r="S178" i="23"/>
  <c r="S179" i="23"/>
  <c r="S207" i="23"/>
  <c r="S208" i="23"/>
  <c r="S209" i="23"/>
  <c r="S210" i="23"/>
  <c r="S211" i="23"/>
  <c r="S212" i="23"/>
  <c r="S213" i="23"/>
  <c r="S214" i="23"/>
  <c r="S215" i="23"/>
  <c r="S223" i="23"/>
  <c r="S224" i="23"/>
  <c r="S225" i="23"/>
  <c r="S226" i="23"/>
  <c r="S227" i="23"/>
  <c r="S228" i="23"/>
  <c r="S229" i="23"/>
  <c r="S230" i="23"/>
  <c r="S252" i="23"/>
  <c r="S253" i="23"/>
  <c r="S254" i="23"/>
  <c r="S255" i="23"/>
  <c r="S256" i="23"/>
  <c r="S257" i="23"/>
  <c r="S258" i="23"/>
  <c r="S259" i="23"/>
  <c r="S260" i="23"/>
  <c r="S261" i="23"/>
  <c r="S262" i="23"/>
  <c r="S263" i="23"/>
  <c r="S264" i="23"/>
  <c r="S274" i="23"/>
  <c r="S275" i="23"/>
  <c r="S276" i="23"/>
  <c r="S277" i="23"/>
  <c r="S278" i="23"/>
  <c r="S279" i="23"/>
  <c r="S280" i="23"/>
  <c r="S281" i="23"/>
  <c r="S282" i="23"/>
  <c r="S283" i="23"/>
  <c r="S284" i="23"/>
  <c r="S285" i="23"/>
  <c r="S286" i="23"/>
  <c r="S287" i="23"/>
  <c r="S288" i="23"/>
  <c r="S289" i="23"/>
  <c r="S290" i="23"/>
  <c r="S291" i="23"/>
  <c r="S292" i="23"/>
  <c r="S293" i="23"/>
  <c r="S294" i="23"/>
  <c r="S296" i="23"/>
  <c r="S297" i="23"/>
  <c r="S298" i="23"/>
  <c r="S299" i="23"/>
  <c r="S300" i="23"/>
  <c r="S301" i="23"/>
  <c r="S302" i="23"/>
  <c r="S303" i="23"/>
  <c r="S304" i="23"/>
  <c r="S305" i="23"/>
  <c r="S306" i="23"/>
  <c r="S307" i="23"/>
  <c r="S308" i="23"/>
  <c r="S309" i="23"/>
  <c r="S310" i="23"/>
  <c r="S311" i="23"/>
  <c r="S312" i="23"/>
  <c r="S319" i="23"/>
  <c r="S320" i="23"/>
  <c r="S321" i="23"/>
  <c r="S322" i="23"/>
  <c r="S323" i="23"/>
  <c r="S324" i="23"/>
  <c r="S325" i="23"/>
  <c r="S326" i="23"/>
  <c r="S327" i="23"/>
  <c r="S328" i="23"/>
  <c r="S329" i="23"/>
  <c r="S330" i="23"/>
  <c r="S331" i="23"/>
  <c r="S332" i="23"/>
  <c r="S333" i="23"/>
  <c r="S334" i="23"/>
  <c r="S335" i="23"/>
  <c r="S336" i="23"/>
  <c r="S337" i="23"/>
  <c r="S338" i="23"/>
  <c r="S340" i="23"/>
  <c r="S341" i="23"/>
  <c r="S342" i="23"/>
  <c r="S343" i="23"/>
  <c r="S344" i="23"/>
  <c r="S345" i="23"/>
  <c r="S346" i="23"/>
  <c r="S347" i="23"/>
  <c r="S348" i="23"/>
  <c r="S349" i="23"/>
  <c r="S350" i="23"/>
  <c r="S351" i="23"/>
  <c r="S352" i="23"/>
  <c r="S362" i="23"/>
  <c r="S363" i="23"/>
  <c r="S364" i="23"/>
  <c r="S365" i="23"/>
  <c r="S366" i="23"/>
  <c r="S367" i="23"/>
  <c r="S368" i="23"/>
  <c r="S369" i="23"/>
  <c r="S370" i="23"/>
  <c r="S371" i="23"/>
  <c r="S372" i="23"/>
  <c r="S373" i="23"/>
  <c r="S374" i="23"/>
  <c r="S375" i="23"/>
  <c r="S376" i="23"/>
  <c r="S377" i="23"/>
  <c r="S378" i="23"/>
  <c r="S379" i="23"/>
  <c r="S380" i="23"/>
  <c r="S384" i="23"/>
  <c r="S385" i="23"/>
  <c r="S386" i="23"/>
  <c r="S387" i="23"/>
  <c r="S388" i="23"/>
  <c r="S389" i="23"/>
  <c r="S390" i="23"/>
  <c r="S391" i="23"/>
  <c r="S392" i="23"/>
  <c r="S393" i="23"/>
  <c r="S394" i="23"/>
  <c r="S395" i="23"/>
  <c r="S407" i="23"/>
  <c r="S408" i="23"/>
  <c r="S409" i="23"/>
  <c r="S410" i="23"/>
  <c r="S411" i="23"/>
  <c r="S412" i="23"/>
  <c r="S413" i="23"/>
  <c r="S414" i="23"/>
  <c r="S415" i="23"/>
  <c r="S416" i="23"/>
  <c r="S417" i="23"/>
  <c r="S418" i="23"/>
  <c r="S419" i="23"/>
  <c r="S420" i="23"/>
  <c r="S421" i="23"/>
  <c r="S422" i="23"/>
  <c r="S423" i="23"/>
  <c r="S424" i="23"/>
  <c r="S425" i="23"/>
  <c r="S426" i="23"/>
  <c r="S430" i="23"/>
  <c r="S431" i="23"/>
  <c r="S432" i="23"/>
  <c r="S433" i="23"/>
  <c r="S434" i="23"/>
  <c r="S435" i="23"/>
  <c r="S436" i="23"/>
  <c r="S437" i="23"/>
  <c r="S438" i="23"/>
  <c r="S439" i="23"/>
  <c r="S440" i="23"/>
  <c r="S441" i="23"/>
  <c r="S442" i="23"/>
  <c r="S443" i="23"/>
  <c r="S454" i="23"/>
  <c r="S455" i="23"/>
  <c r="S456" i="23"/>
  <c r="S457" i="23"/>
  <c r="S458" i="23"/>
  <c r="S459" i="23"/>
  <c r="S460" i="23"/>
  <c r="S461" i="23"/>
  <c r="S462" i="23"/>
  <c r="S463" i="23"/>
  <c r="S464" i="23"/>
  <c r="S465" i="23"/>
  <c r="S466" i="23"/>
  <c r="S467" i="23"/>
  <c r="S468" i="23"/>
  <c r="S469" i="23"/>
  <c r="S470" i="23"/>
  <c r="S477" i="23"/>
  <c r="S478" i="23"/>
  <c r="S479" i="23"/>
  <c r="S480" i="23"/>
  <c r="S481" i="23"/>
  <c r="S482" i="23"/>
  <c r="S483" i="23"/>
  <c r="S484" i="23"/>
  <c r="S485" i="23"/>
  <c r="S486" i="23"/>
  <c r="S487" i="23"/>
  <c r="S488" i="23"/>
  <c r="S489" i="23"/>
  <c r="S490" i="23"/>
  <c r="S491" i="23"/>
  <c r="S492" i="23"/>
  <c r="S493" i="23"/>
  <c r="S494" i="23"/>
  <c r="S495" i="23"/>
  <c r="S496" i="23"/>
  <c r="S499" i="23"/>
  <c r="S500" i="23"/>
  <c r="S501" i="23"/>
  <c r="S502" i="23"/>
  <c r="S503" i="23"/>
  <c r="S504" i="23"/>
  <c r="S505" i="23"/>
  <c r="S506" i="23"/>
  <c r="S507" i="23"/>
  <c r="S508" i="23"/>
  <c r="S509" i="23"/>
  <c r="S510" i="23"/>
  <c r="S511" i="23"/>
  <c r="S512" i="23"/>
  <c r="S513" i="23"/>
  <c r="S514" i="23"/>
  <c r="S515" i="23"/>
  <c r="S516" i="23"/>
  <c r="S517" i="23"/>
  <c r="S518" i="23"/>
  <c r="S519" i="23"/>
  <c r="S521" i="23"/>
  <c r="S522" i="23"/>
  <c r="S523" i="23"/>
  <c r="S524" i="23"/>
  <c r="S525" i="23"/>
  <c r="S526" i="23"/>
  <c r="S527" i="23"/>
  <c r="S528" i="23"/>
  <c r="S529" i="23"/>
  <c r="S530" i="23"/>
  <c r="S531" i="23"/>
  <c r="S532" i="23"/>
  <c r="S533" i="23"/>
  <c r="S534" i="23"/>
  <c r="S535" i="23"/>
  <c r="S536" i="23"/>
  <c r="S537" i="23"/>
  <c r="S543" i="23"/>
  <c r="S544" i="23"/>
  <c r="S545" i="23"/>
  <c r="S546" i="23"/>
  <c r="S547" i="23"/>
  <c r="S548" i="23"/>
  <c r="S549" i="23"/>
  <c r="S550" i="23"/>
  <c r="S551" i="23"/>
  <c r="S552" i="23"/>
  <c r="S553" i="23"/>
  <c r="S554" i="23"/>
  <c r="S555" i="23"/>
  <c r="S556" i="23"/>
  <c r="S557" i="23"/>
  <c r="S558" i="23"/>
  <c r="S559" i="23"/>
  <c r="S560" i="23"/>
  <c r="S561" i="23"/>
  <c r="S562" i="23"/>
  <c r="S566" i="23"/>
  <c r="S567" i="23"/>
  <c r="S568" i="23"/>
  <c r="S569" i="23"/>
  <c r="S570" i="23"/>
  <c r="S571" i="23"/>
  <c r="S572" i="23"/>
  <c r="S573" i="23"/>
  <c r="S574" i="23"/>
  <c r="S575" i="23"/>
  <c r="S576" i="23"/>
  <c r="S577" i="23"/>
  <c r="S578" i="23"/>
  <c r="S579" i="23"/>
  <c r="S580" i="23"/>
  <c r="S581" i="23"/>
  <c r="S582" i="23"/>
  <c r="S583" i="23"/>
  <c r="S584" i="23"/>
  <c r="S588" i="23"/>
  <c r="S589" i="23"/>
  <c r="S590" i="23"/>
  <c r="S591" i="23"/>
  <c r="S592" i="23"/>
  <c r="S593" i="23"/>
  <c r="S594" i="23"/>
  <c r="S595" i="23"/>
  <c r="S610" i="23" l="1"/>
  <c r="G62" i="11" l="1"/>
  <c r="H62" i="11" s="1"/>
  <c r="I62" i="11"/>
  <c r="J62" i="11" s="1"/>
  <c r="K62" i="11"/>
  <c r="L62" i="11" s="1"/>
  <c r="M62" i="11"/>
  <c r="N62" i="11" s="1"/>
  <c r="O62" i="11"/>
  <c r="P62" i="11" s="1"/>
  <c r="Q62" i="11"/>
  <c r="R62" i="11" s="1"/>
  <c r="S62" i="11"/>
  <c r="T62" i="11" s="1"/>
  <c r="E32" i="11"/>
  <c r="E62" i="11" s="1"/>
  <c r="AA49" i="39" l="1"/>
  <c r="X22" i="39"/>
  <c r="X21" i="39"/>
  <c r="X16" i="39"/>
  <c r="X14" i="39"/>
  <c r="Q22" i="39"/>
  <c r="Q21" i="39"/>
  <c r="Q16" i="39"/>
  <c r="Q14" i="39"/>
  <c r="J22" i="39"/>
  <c r="J21" i="39"/>
  <c r="J18" i="39"/>
  <c r="J16" i="39"/>
  <c r="J14" i="39"/>
  <c r="P9" i="39"/>
  <c r="P8" i="39"/>
  <c r="I9" i="39"/>
  <c r="I8" i="39"/>
  <c r="AA22" i="39" l="1"/>
  <c r="AA21" i="39"/>
  <c r="V20" i="39"/>
  <c r="X20" i="39" s="1"/>
  <c r="O20" i="39"/>
  <c r="Q20" i="39" s="1"/>
  <c r="H20" i="39"/>
  <c r="J20" i="39" s="1"/>
  <c r="W19" i="39"/>
  <c r="X19" i="39" s="1"/>
  <c r="P19" i="39"/>
  <c r="Q19" i="39" s="1"/>
  <c r="I19" i="39"/>
  <c r="J19" i="39" s="1"/>
  <c r="W18" i="39"/>
  <c r="X18" i="39" s="1"/>
  <c r="P18" i="39"/>
  <c r="Q18" i="39" s="1"/>
  <c r="AA17" i="39"/>
  <c r="AA16" i="39"/>
  <c r="V15" i="39"/>
  <c r="X15" i="39" s="1"/>
  <c r="O15" i="39"/>
  <c r="Q15" i="39" s="1"/>
  <c r="H15" i="39"/>
  <c r="J15" i="39" s="1"/>
  <c r="AA14" i="39"/>
  <c r="X12" i="39"/>
  <c r="O12" i="39"/>
  <c r="Q12" i="39" s="1"/>
  <c r="G12" i="39"/>
  <c r="F12" i="39"/>
  <c r="X11" i="39"/>
  <c r="Q11" i="39"/>
  <c r="J11" i="39"/>
  <c r="X10" i="39"/>
  <c r="O10" i="39"/>
  <c r="Q10" i="39" s="1"/>
  <c r="G10" i="39"/>
  <c r="F10" i="39"/>
  <c r="X9" i="39"/>
  <c r="Q9" i="39"/>
  <c r="J9" i="39"/>
  <c r="X8" i="39"/>
  <c r="Q8" i="39"/>
  <c r="J8" i="39"/>
  <c r="AA7" i="39"/>
  <c r="X6" i="39"/>
  <c r="Q6" i="39"/>
  <c r="J6" i="39"/>
  <c r="X5" i="39"/>
  <c r="O5" i="39"/>
  <c r="Q5" i="39" s="1"/>
  <c r="H5" i="39"/>
  <c r="J5" i="39" s="1"/>
  <c r="V4" i="39"/>
  <c r="X4" i="39" s="1"/>
  <c r="O4" i="39"/>
  <c r="Q4" i="39" s="1"/>
  <c r="H4" i="39"/>
  <c r="J4" i="39" s="1"/>
  <c r="H12" i="39" l="1"/>
  <c r="J12" i="39" s="1"/>
  <c r="H10" i="39"/>
  <c r="J10" i="39" s="1"/>
  <c r="AA10" i="39" s="1"/>
  <c r="AA6" i="39"/>
  <c r="AA12" i="39"/>
  <c r="AA11" i="39"/>
  <c r="AA8" i="39"/>
  <c r="AA9" i="39"/>
  <c r="AA18" i="39"/>
  <c r="AA5" i="39"/>
  <c r="AA15" i="39"/>
  <c r="AA4" i="39"/>
  <c r="AA19" i="39"/>
  <c r="AA20" i="39"/>
  <c r="X45" i="39" l="1"/>
  <c r="X46" i="39" s="1"/>
  <c r="X48" i="39" s="1"/>
  <c r="X50" i="39" s="1"/>
  <c r="Q45" i="39"/>
  <c r="Q46" i="39" s="1"/>
  <c r="Q48" i="39" s="1"/>
  <c r="J45" i="39"/>
  <c r="J46" i="39" s="1"/>
  <c r="J48" i="39" s="1"/>
  <c r="Q50" i="39" l="1"/>
  <c r="AA48" i="39"/>
  <c r="J50" i="39"/>
  <c r="AA45" i="39"/>
  <c r="AA46" i="39" s="1"/>
  <c r="D6" i="15"/>
  <c r="AA51" i="39" l="1"/>
  <c r="F12" i="35"/>
  <c r="AA50" i="39"/>
  <c r="F23" i="33"/>
  <c r="G23" i="33" s="1"/>
  <c r="K22" i="30"/>
  <c r="L22" i="30" s="1"/>
  <c r="E22" i="30"/>
  <c r="G22" i="30" s="1"/>
  <c r="F22" i="30" l="1"/>
  <c r="H22" i="30"/>
  <c r="M22" i="30" s="1"/>
  <c r="U41" i="24" s="1"/>
  <c r="E24" i="29"/>
  <c r="F24" i="29" s="1"/>
  <c r="F650" i="7" l="1"/>
  <c r="F531" i="7"/>
  <c r="F532" i="7"/>
  <c r="F533" i="7"/>
  <c r="F555" i="7"/>
  <c r="F395" i="23"/>
  <c r="G395" i="23"/>
  <c r="H395" i="23"/>
  <c r="I395" i="23"/>
  <c r="J395" i="23"/>
  <c r="K395" i="23"/>
  <c r="L395" i="23"/>
  <c r="M395" i="23"/>
  <c r="N395" i="23"/>
  <c r="O395" i="23"/>
  <c r="P395" i="23"/>
  <c r="Q395" i="23"/>
  <c r="R395" i="23"/>
  <c r="F153" i="23"/>
  <c r="G153" i="23"/>
  <c r="H153" i="23"/>
  <c r="I153" i="23"/>
  <c r="J153" i="23"/>
  <c r="K153" i="23"/>
  <c r="L153" i="23"/>
  <c r="M153" i="23"/>
  <c r="N153" i="23"/>
  <c r="O153" i="23"/>
  <c r="P153" i="23"/>
  <c r="Q153" i="23"/>
  <c r="R153" i="23"/>
  <c r="F615" i="7"/>
  <c r="I41" i="24"/>
  <c r="I40" i="24"/>
  <c r="O40" i="24" l="1"/>
  <c r="S40" i="24"/>
  <c r="T40" i="24" s="1"/>
  <c r="O41" i="24"/>
  <c r="S41" i="24"/>
  <c r="O270" i="1"/>
  <c r="Q678" i="7"/>
  <c r="Q680" i="7"/>
  <c r="Q681" i="7"/>
  <c r="Q682" i="7"/>
  <c r="Q684" i="7"/>
  <c r="Q686" i="7"/>
  <c r="Q687" i="7"/>
  <c r="Q688" i="7"/>
  <c r="Q690" i="7"/>
  <c r="Q692" i="7"/>
  <c r="Q693" i="7"/>
  <c r="Q694" i="7"/>
  <c r="Q696" i="7"/>
  <c r="Q698" i="7"/>
  <c r="Q699" i="7"/>
  <c r="Q700" i="7"/>
  <c r="Q702" i="7"/>
  <c r="Q704" i="7"/>
  <c r="Q705" i="7"/>
  <c r="Q706" i="7"/>
  <c r="Q708" i="7"/>
  <c r="Q710" i="7"/>
  <c r="Q711" i="7"/>
  <c r="Q712" i="7"/>
  <c r="Q714" i="7"/>
  <c r="Q716" i="7"/>
  <c r="Q717" i="7"/>
  <c r="Q718" i="7"/>
  <c r="Q719" i="7"/>
  <c r="Q720" i="7"/>
  <c r="Q733" i="7"/>
  <c r="F685" i="7"/>
  <c r="F687" i="7" s="1"/>
  <c r="F735" i="7"/>
  <c r="F737" i="7" s="1"/>
  <c r="O266" i="1"/>
  <c r="F715" i="7"/>
  <c r="F717" i="7" s="1"/>
  <c r="O247" i="1"/>
  <c r="F622" i="7"/>
  <c r="F624" i="7" s="1"/>
  <c r="F558" i="7"/>
  <c r="F490" i="7"/>
  <c r="F475" i="7"/>
  <c r="F474" i="7"/>
  <c r="O215" i="1"/>
  <c r="F416" i="7"/>
  <c r="F415" i="7"/>
  <c r="F336" i="7"/>
  <c r="O198" i="1"/>
  <c r="F330" i="7"/>
  <c r="F332" i="7" s="1"/>
  <c r="O140" i="1"/>
  <c r="F115" i="7"/>
  <c r="F117" i="7" s="1"/>
  <c r="F496" i="23"/>
  <c r="G496" i="23"/>
  <c r="H496" i="23"/>
  <c r="I496" i="23"/>
  <c r="J496" i="23"/>
  <c r="K496" i="23"/>
  <c r="L496" i="23"/>
  <c r="M496" i="23"/>
  <c r="N496" i="23"/>
  <c r="O496" i="23"/>
  <c r="P496" i="23"/>
  <c r="Q496" i="23"/>
  <c r="R496" i="23"/>
  <c r="F537" i="23"/>
  <c r="G537" i="23"/>
  <c r="H537" i="23"/>
  <c r="I537" i="23"/>
  <c r="J537" i="23"/>
  <c r="K537" i="23"/>
  <c r="L537" i="23"/>
  <c r="M537" i="23"/>
  <c r="N537" i="23"/>
  <c r="O537" i="23"/>
  <c r="P537" i="23"/>
  <c r="Q537" i="23"/>
  <c r="R537" i="23"/>
  <c r="F352" i="23"/>
  <c r="G352" i="23"/>
  <c r="H352" i="23"/>
  <c r="I352" i="23"/>
  <c r="J352" i="23"/>
  <c r="K352" i="23"/>
  <c r="L352" i="23"/>
  <c r="M352" i="23"/>
  <c r="N352" i="23"/>
  <c r="O352" i="23"/>
  <c r="P352" i="23"/>
  <c r="Q352" i="23"/>
  <c r="R352" i="23"/>
  <c r="O405" i="1"/>
  <c r="M405" i="1"/>
  <c r="N22" i="30" l="1"/>
  <c r="M270" i="1"/>
  <c r="Q721" i="7"/>
  <c r="Q734" i="7" s="1"/>
  <c r="M266" i="1"/>
  <c r="M247" i="1"/>
  <c r="F422" i="7"/>
  <c r="F424" i="7" s="1"/>
  <c r="M198" i="1"/>
  <c r="M140" i="1"/>
  <c r="M215" i="1" l="1"/>
  <c r="F17" i="23" l="1"/>
  <c r="G17" i="23"/>
  <c r="H17" i="23"/>
  <c r="I17" i="23"/>
  <c r="J17" i="23"/>
  <c r="K17" i="23"/>
  <c r="L17" i="23"/>
  <c r="M17" i="23"/>
  <c r="N17" i="23"/>
  <c r="O17" i="23"/>
  <c r="P17" i="23"/>
  <c r="Q17" i="23"/>
  <c r="R17" i="23"/>
  <c r="F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F85" i="23" l="1"/>
  <c r="G85" i="23"/>
  <c r="H85" i="23"/>
  <c r="I85" i="23"/>
  <c r="J85" i="23"/>
  <c r="K85" i="23"/>
  <c r="L85" i="23"/>
  <c r="M85" i="23"/>
  <c r="N85" i="23"/>
  <c r="O85" i="23"/>
  <c r="P85" i="23"/>
  <c r="Q85" i="23"/>
  <c r="R85" i="23"/>
  <c r="F86" i="23"/>
  <c r="G86" i="23"/>
  <c r="H86" i="23"/>
  <c r="I86" i="23"/>
  <c r="J86" i="23"/>
  <c r="K86" i="23"/>
  <c r="L86" i="23"/>
  <c r="M86" i="23"/>
  <c r="N86" i="23"/>
  <c r="O86" i="23"/>
  <c r="P86" i="23"/>
  <c r="Q86" i="23"/>
  <c r="R86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F152" i="23"/>
  <c r="G152" i="23"/>
  <c r="H152" i="23"/>
  <c r="I152" i="23"/>
  <c r="J152" i="23"/>
  <c r="K152" i="23"/>
  <c r="L152" i="23"/>
  <c r="M152" i="23"/>
  <c r="N152" i="23"/>
  <c r="O152" i="23"/>
  <c r="P152" i="23"/>
  <c r="Q152" i="23"/>
  <c r="R152" i="23"/>
  <c r="F264" i="23" l="1"/>
  <c r="G264" i="23"/>
  <c r="H264" i="23"/>
  <c r="I264" i="23"/>
  <c r="J264" i="23"/>
  <c r="K264" i="23"/>
  <c r="L264" i="23"/>
  <c r="M264" i="23"/>
  <c r="N264" i="23"/>
  <c r="O264" i="23"/>
  <c r="P264" i="23"/>
  <c r="Q264" i="23"/>
  <c r="R264" i="23"/>
  <c r="F379" i="23"/>
  <c r="G379" i="23"/>
  <c r="H379" i="23"/>
  <c r="I379" i="23"/>
  <c r="J379" i="23"/>
  <c r="K379" i="23"/>
  <c r="L379" i="23"/>
  <c r="M379" i="23"/>
  <c r="N379" i="23"/>
  <c r="O379" i="23"/>
  <c r="P379" i="23"/>
  <c r="Q379" i="23"/>
  <c r="R379" i="23"/>
  <c r="F380" i="23"/>
  <c r="G380" i="23"/>
  <c r="H380" i="23"/>
  <c r="I380" i="23"/>
  <c r="J380" i="23"/>
  <c r="K380" i="23"/>
  <c r="L380" i="23"/>
  <c r="M380" i="23"/>
  <c r="N380" i="23"/>
  <c r="O380" i="23"/>
  <c r="P380" i="23"/>
  <c r="Q380" i="23"/>
  <c r="R380" i="23"/>
  <c r="F394" i="23"/>
  <c r="G394" i="23"/>
  <c r="H394" i="23"/>
  <c r="I394" i="23"/>
  <c r="J394" i="23"/>
  <c r="K394" i="23"/>
  <c r="L394" i="23"/>
  <c r="M394" i="23"/>
  <c r="N394" i="23"/>
  <c r="O394" i="23"/>
  <c r="P394" i="23"/>
  <c r="Q394" i="23"/>
  <c r="R394" i="23"/>
  <c r="F426" i="23"/>
  <c r="G426" i="23"/>
  <c r="H426" i="23"/>
  <c r="I426" i="23"/>
  <c r="J426" i="23"/>
  <c r="K426" i="23"/>
  <c r="L426" i="23"/>
  <c r="M426" i="23"/>
  <c r="N426" i="23"/>
  <c r="O426" i="23"/>
  <c r="P426" i="23"/>
  <c r="Q426" i="23"/>
  <c r="R426" i="23"/>
  <c r="F443" i="23"/>
  <c r="G443" i="23"/>
  <c r="H443" i="23"/>
  <c r="I443" i="23"/>
  <c r="J443" i="23"/>
  <c r="K443" i="23"/>
  <c r="L443" i="23"/>
  <c r="M443" i="23"/>
  <c r="N443" i="23"/>
  <c r="O443" i="23"/>
  <c r="P443" i="23"/>
  <c r="Q443" i="23"/>
  <c r="R443" i="23"/>
  <c r="F470" i="23"/>
  <c r="G470" i="23"/>
  <c r="H470" i="23"/>
  <c r="I470" i="23"/>
  <c r="J470" i="23"/>
  <c r="K470" i="23"/>
  <c r="L470" i="23"/>
  <c r="M470" i="23"/>
  <c r="N470" i="23"/>
  <c r="O470" i="23"/>
  <c r="P470" i="23"/>
  <c r="Q470" i="23"/>
  <c r="R470" i="23"/>
  <c r="F494" i="23"/>
  <c r="G494" i="23"/>
  <c r="H494" i="23"/>
  <c r="I494" i="23"/>
  <c r="J494" i="23"/>
  <c r="K494" i="23"/>
  <c r="L494" i="23"/>
  <c r="M494" i="23"/>
  <c r="N494" i="23"/>
  <c r="O494" i="23"/>
  <c r="P494" i="23"/>
  <c r="Q494" i="23"/>
  <c r="R494" i="23"/>
  <c r="F495" i="23"/>
  <c r="G495" i="23"/>
  <c r="H495" i="23"/>
  <c r="I495" i="23"/>
  <c r="J495" i="23"/>
  <c r="K495" i="23"/>
  <c r="L495" i="23"/>
  <c r="M495" i="23"/>
  <c r="N495" i="23"/>
  <c r="O495" i="23"/>
  <c r="P495" i="23"/>
  <c r="Q495" i="23"/>
  <c r="R495" i="23"/>
  <c r="F535" i="23"/>
  <c r="G535" i="23"/>
  <c r="H535" i="23"/>
  <c r="I535" i="23"/>
  <c r="J535" i="23"/>
  <c r="K535" i="23"/>
  <c r="L535" i="23"/>
  <c r="M535" i="23"/>
  <c r="N535" i="23"/>
  <c r="O535" i="23"/>
  <c r="P535" i="23"/>
  <c r="Q535" i="23"/>
  <c r="R535" i="23"/>
  <c r="F536" i="23"/>
  <c r="G536" i="23"/>
  <c r="H536" i="23"/>
  <c r="I536" i="23"/>
  <c r="J536" i="23"/>
  <c r="K536" i="23"/>
  <c r="L536" i="23"/>
  <c r="M536" i="23"/>
  <c r="N536" i="23"/>
  <c r="O536" i="23"/>
  <c r="P536" i="23"/>
  <c r="Q536" i="23"/>
  <c r="R536" i="23"/>
  <c r="G534" i="23"/>
  <c r="H534" i="23"/>
  <c r="I534" i="23"/>
  <c r="J534" i="23"/>
  <c r="K534" i="23"/>
  <c r="L534" i="23"/>
  <c r="M534" i="23"/>
  <c r="N534" i="23"/>
  <c r="O534" i="23"/>
  <c r="P534" i="23"/>
  <c r="Q534" i="23"/>
  <c r="R534" i="23"/>
  <c r="D588" i="23"/>
  <c r="D566" i="23"/>
  <c r="D521" i="23"/>
  <c r="D454" i="23"/>
  <c r="D430" i="23"/>
  <c r="D407" i="23"/>
  <c r="D384" i="23"/>
  <c r="D362" i="23"/>
  <c r="D319" i="23"/>
  <c r="D252" i="23"/>
  <c r="D207" i="23"/>
  <c r="D155" i="23"/>
  <c r="D48" i="23"/>
  <c r="G48" i="23"/>
  <c r="H48" i="23"/>
  <c r="I48" i="23"/>
  <c r="J48" i="23"/>
  <c r="K48" i="23"/>
  <c r="L48" i="23"/>
  <c r="M48" i="23"/>
  <c r="N48" i="23"/>
  <c r="O48" i="23"/>
  <c r="P48" i="23"/>
  <c r="Q48" i="23"/>
  <c r="R48" i="23"/>
  <c r="G49" i="23"/>
  <c r="H49" i="23"/>
  <c r="I49" i="23"/>
  <c r="J49" i="23"/>
  <c r="K49" i="23"/>
  <c r="L49" i="23"/>
  <c r="M49" i="23"/>
  <c r="N49" i="23"/>
  <c r="O49" i="23"/>
  <c r="P49" i="23"/>
  <c r="Q49" i="23"/>
  <c r="R49" i="23"/>
  <c r="G50" i="23"/>
  <c r="H50" i="23"/>
  <c r="I50" i="23"/>
  <c r="J50" i="23"/>
  <c r="K50" i="23"/>
  <c r="L50" i="23"/>
  <c r="M50" i="23"/>
  <c r="N50" i="23"/>
  <c r="O50" i="23"/>
  <c r="P50" i="23"/>
  <c r="Q50" i="23"/>
  <c r="R50" i="23"/>
  <c r="G51" i="23"/>
  <c r="H51" i="23"/>
  <c r="I51" i="23"/>
  <c r="J51" i="23"/>
  <c r="K51" i="23"/>
  <c r="L51" i="23"/>
  <c r="M51" i="23"/>
  <c r="N51" i="23"/>
  <c r="O51" i="23"/>
  <c r="P51" i="23"/>
  <c r="Q51" i="23"/>
  <c r="R51" i="23"/>
  <c r="G52" i="23"/>
  <c r="H52" i="23"/>
  <c r="I52" i="23"/>
  <c r="J52" i="23"/>
  <c r="K52" i="23"/>
  <c r="L52" i="23"/>
  <c r="M52" i="23"/>
  <c r="N52" i="23"/>
  <c r="O52" i="23"/>
  <c r="P52" i="23"/>
  <c r="Q52" i="23"/>
  <c r="R52" i="23"/>
  <c r="G53" i="23"/>
  <c r="H53" i="23"/>
  <c r="I53" i="23"/>
  <c r="J53" i="23"/>
  <c r="K53" i="23"/>
  <c r="L53" i="23"/>
  <c r="M53" i="23"/>
  <c r="N53" i="23"/>
  <c r="O53" i="23"/>
  <c r="P53" i="23"/>
  <c r="Q53" i="23"/>
  <c r="R53" i="23"/>
  <c r="G54" i="23"/>
  <c r="H54" i="23"/>
  <c r="I54" i="23"/>
  <c r="J54" i="23"/>
  <c r="K54" i="23"/>
  <c r="L54" i="23"/>
  <c r="M54" i="23"/>
  <c r="N54" i="23"/>
  <c r="O54" i="23"/>
  <c r="P54" i="23"/>
  <c r="Q54" i="23"/>
  <c r="R54" i="23"/>
  <c r="G55" i="23"/>
  <c r="H55" i="23"/>
  <c r="I55" i="23"/>
  <c r="J55" i="23"/>
  <c r="K55" i="23"/>
  <c r="L55" i="23"/>
  <c r="M55" i="23"/>
  <c r="N55" i="23"/>
  <c r="O55" i="23"/>
  <c r="P55" i="23"/>
  <c r="Q55" i="23"/>
  <c r="R55" i="23"/>
  <c r="G56" i="23"/>
  <c r="H56" i="23"/>
  <c r="I56" i="23"/>
  <c r="J56" i="23"/>
  <c r="K56" i="23"/>
  <c r="L56" i="23"/>
  <c r="M56" i="23"/>
  <c r="N56" i="23"/>
  <c r="O56" i="23"/>
  <c r="P56" i="23"/>
  <c r="Q56" i="23"/>
  <c r="R56" i="23"/>
  <c r="G57" i="23"/>
  <c r="H57" i="23"/>
  <c r="I57" i="23"/>
  <c r="J57" i="23"/>
  <c r="K57" i="23"/>
  <c r="L57" i="23"/>
  <c r="M57" i="23"/>
  <c r="N57" i="23"/>
  <c r="O57" i="23"/>
  <c r="P57" i="23"/>
  <c r="Q57" i="23"/>
  <c r="R57" i="23"/>
  <c r="G58" i="23"/>
  <c r="H58" i="23"/>
  <c r="I58" i="23"/>
  <c r="J58" i="23"/>
  <c r="K58" i="23"/>
  <c r="L58" i="23"/>
  <c r="M58" i="23"/>
  <c r="N58" i="23"/>
  <c r="O58" i="23"/>
  <c r="P58" i="23"/>
  <c r="Q58" i="23"/>
  <c r="R58" i="23"/>
  <c r="G59" i="23"/>
  <c r="H59" i="23"/>
  <c r="I59" i="23"/>
  <c r="J59" i="23"/>
  <c r="K59" i="23"/>
  <c r="L59" i="23"/>
  <c r="M59" i="23"/>
  <c r="N59" i="23"/>
  <c r="O59" i="23"/>
  <c r="P59" i="23"/>
  <c r="Q59" i="23"/>
  <c r="R59" i="23"/>
  <c r="G60" i="23"/>
  <c r="H60" i="23"/>
  <c r="I60" i="23"/>
  <c r="J60" i="23"/>
  <c r="K60" i="23"/>
  <c r="L60" i="23"/>
  <c r="M60" i="23"/>
  <c r="N60" i="23"/>
  <c r="O60" i="23"/>
  <c r="P60" i="23"/>
  <c r="Q60" i="23"/>
  <c r="R60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G69" i="23"/>
  <c r="H69" i="23"/>
  <c r="I69" i="23"/>
  <c r="J69" i="23"/>
  <c r="K69" i="23"/>
  <c r="L69" i="23"/>
  <c r="M69" i="23"/>
  <c r="N69" i="23"/>
  <c r="O69" i="23"/>
  <c r="P69" i="23"/>
  <c r="Q69" i="23"/>
  <c r="R69" i="23"/>
  <c r="G70" i="23"/>
  <c r="I70" i="23"/>
  <c r="J70" i="23"/>
  <c r="K70" i="23"/>
  <c r="L70" i="23"/>
  <c r="M70" i="23"/>
  <c r="N70" i="23"/>
  <c r="O70" i="23"/>
  <c r="P70" i="23"/>
  <c r="Q70" i="23"/>
  <c r="R70" i="23"/>
  <c r="G71" i="23"/>
  <c r="H71" i="23"/>
  <c r="I71" i="23"/>
  <c r="J71" i="23"/>
  <c r="K71" i="23"/>
  <c r="L71" i="23"/>
  <c r="M71" i="23"/>
  <c r="N71" i="23"/>
  <c r="O71" i="23"/>
  <c r="P71" i="23"/>
  <c r="Q71" i="23"/>
  <c r="R71" i="23"/>
  <c r="G72" i="23"/>
  <c r="H72" i="23"/>
  <c r="I72" i="23"/>
  <c r="J72" i="23"/>
  <c r="K72" i="23"/>
  <c r="L72" i="23"/>
  <c r="M72" i="23"/>
  <c r="N72" i="23"/>
  <c r="O72" i="23"/>
  <c r="P72" i="23"/>
  <c r="Q72" i="23"/>
  <c r="R72" i="23"/>
  <c r="G73" i="23"/>
  <c r="H73" i="23"/>
  <c r="I73" i="23"/>
  <c r="J73" i="23"/>
  <c r="K73" i="23"/>
  <c r="L73" i="23"/>
  <c r="M73" i="23"/>
  <c r="N73" i="23"/>
  <c r="O73" i="23"/>
  <c r="P73" i="23"/>
  <c r="Q73" i="23"/>
  <c r="R73" i="23"/>
  <c r="G74" i="23"/>
  <c r="H74" i="23"/>
  <c r="I74" i="23"/>
  <c r="J74" i="23"/>
  <c r="K74" i="23"/>
  <c r="L74" i="23"/>
  <c r="M74" i="23"/>
  <c r="N74" i="23"/>
  <c r="O74" i="23"/>
  <c r="P74" i="23"/>
  <c r="Q74" i="23"/>
  <c r="R74" i="23"/>
  <c r="G75" i="23"/>
  <c r="H75" i="23"/>
  <c r="I75" i="23"/>
  <c r="J75" i="23"/>
  <c r="K75" i="23"/>
  <c r="L75" i="23"/>
  <c r="M75" i="23"/>
  <c r="N75" i="23"/>
  <c r="O75" i="23"/>
  <c r="P75" i="23"/>
  <c r="Q75" i="23"/>
  <c r="R75" i="23"/>
  <c r="G76" i="23"/>
  <c r="H76" i="23"/>
  <c r="I76" i="23"/>
  <c r="J76" i="23"/>
  <c r="K76" i="23"/>
  <c r="L76" i="23"/>
  <c r="M76" i="23"/>
  <c r="N76" i="23"/>
  <c r="O76" i="23"/>
  <c r="P76" i="23"/>
  <c r="Q76" i="23"/>
  <c r="R76" i="23"/>
  <c r="G77" i="23"/>
  <c r="H77" i="23"/>
  <c r="I77" i="23"/>
  <c r="J77" i="23"/>
  <c r="K77" i="23"/>
  <c r="L77" i="23"/>
  <c r="M77" i="23"/>
  <c r="N77" i="23"/>
  <c r="O77" i="23"/>
  <c r="P77" i="23"/>
  <c r="Q77" i="23"/>
  <c r="R77" i="23"/>
  <c r="G78" i="23"/>
  <c r="H78" i="23"/>
  <c r="I78" i="23"/>
  <c r="J78" i="23"/>
  <c r="K78" i="23"/>
  <c r="L78" i="23"/>
  <c r="M78" i="23"/>
  <c r="N78" i="23"/>
  <c r="O78" i="23"/>
  <c r="P78" i="23"/>
  <c r="Q78" i="23"/>
  <c r="R78" i="23"/>
  <c r="G79" i="23"/>
  <c r="H79" i="23"/>
  <c r="I79" i="23"/>
  <c r="J79" i="23"/>
  <c r="K79" i="23"/>
  <c r="L79" i="23"/>
  <c r="M79" i="23"/>
  <c r="N79" i="23"/>
  <c r="O79" i="23"/>
  <c r="P79" i="23"/>
  <c r="Q79" i="23"/>
  <c r="R79" i="23"/>
  <c r="G80" i="23"/>
  <c r="H80" i="23"/>
  <c r="I80" i="23"/>
  <c r="J80" i="23"/>
  <c r="K80" i="23"/>
  <c r="L80" i="23"/>
  <c r="M80" i="23"/>
  <c r="N80" i="23"/>
  <c r="O80" i="23"/>
  <c r="P80" i="23"/>
  <c r="Q80" i="23"/>
  <c r="R80" i="23"/>
  <c r="G81" i="23"/>
  <c r="H81" i="23"/>
  <c r="I81" i="23"/>
  <c r="J81" i="23"/>
  <c r="K81" i="23"/>
  <c r="L81" i="23"/>
  <c r="M81" i="23"/>
  <c r="N81" i="23"/>
  <c r="O81" i="23"/>
  <c r="P81" i="23"/>
  <c r="Q81" i="23"/>
  <c r="R81" i="23"/>
  <c r="G82" i="23"/>
  <c r="H82" i="23"/>
  <c r="I82" i="23"/>
  <c r="J82" i="23"/>
  <c r="K82" i="23"/>
  <c r="L82" i="23"/>
  <c r="M82" i="23"/>
  <c r="N82" i="23"/>
  <c r="O82" i="23"/>
  <c r="P82" i="23"/>
  <c r="Q82" i="23"/>
  <c r="R82" i="23"/>
  <c r="G83" i="23"/>
  <c r="H83" i="23"/>
  <c r="I83" i="23"/>
  <c r="J83" i="23"/>
  <c r="K83" i="23"/>
  <c r="L83" i="23"/>
  <c r="M83" i="23"/>
  <c r="N83" i="23"/>
  <c r="O83" i="23"/>
  <c r="P83" i="23"/>
  <c r="Q83" i="23"/>
  <c r="R83" i="23"/>
  <c r="G84" i="23"/>
  <c r="H84" i="23"/>
  <c r="I84" i="23"/>
  <c r="J84" i="23"/>
  <c r="K84" i="23"/>
  <c r="L84" i="23"/>
  <c r="M84" i="23"/>
  <c r="N84" i="23"/>
  <c r="O84" i="23"/>
  <c r="P84" i="23"/>
  <c r="Q84" i="23"/>
  <c r="R84" i="23"/>
  <c r="G90" i="23"/>
  <c r="H90" i="23"/>
  <c r="I90" i="23"/>
  <c r="J90" i="23"/>
  <c r="K90" i="23"/>
  <c r="L90" i="23"/>
  <c r="M90" i="23"/>
  <c r="N90" i="23"/>
  <c r="O90" i="23"/>
  <c r="P90" i="23"/>
  <c r="Q90" i="23"/>
  <c r="R90" i="23"/>
  <c r="G91" i="23"/>
  <c r="H91" i="23"/>
  <c r="I91" i="23"/>
  <c r="J91" i="23"/>
  <c r="K91" i="23"/>
  <c r="L91" i="23"/>
  <c r="M91" i="23"/>
  <c r="N91" i="23"/>
  <c r="O91" i="23"/>
  <c r="P91" i="23"/>
  <c r="Q91" i="23"/>
  <c r="R91" i="23"/>
  <c r="G92" i="23"/>
  <c r="H92" i="23"/>
  <c r="I92" i="23"/>
  <c r="J92" i="23"/>
  <c r="K92" i="23"/>
  <c r="L92" i="23"/>
  <c r="M92" i="23"/>
  <c r="N92" i="23"/>
  <c r="O92" i="23"/>
  <c r="P92" i="23"/>
  <c r="Q92" i="23"/>
  <c r="R92" i="23"/>
  <c r="G93" i="23"/>
  <c r="H93" i="23"/>
  <c r="I93" i="23"/>
  <c r="J93" i="23"/>
  <c r="K93" i="23"/>
  <c r="L93" i="23"/>
  <c r="M93" i="23"/>
  <c r="N93" i="23"/>
  <c r="O93" i="23"/>
  <c r="P93" i="23"/>
  <c r="Q93" i="23"/>
  <c r="R93" i="23"/>
  <c r="G94" i="23"/>
  <c r="H94" i="23"/>
  <c r="I94" i="23"/>
  <c r="J94" i="23"/>
  <c r="K94" i="23"/>
  <c r="L94" i="23"/>
  <c r="M94" i="23"/>
  <c r="N94" i="23"/>
  <c r="O94" i="23"/>
  <c r="P94" i="23"/>
  <c r="Q94" i="23"/>
  <c r="R94" i="23"/>
  <c r="G95" i="23"/>
  <c r="H95" i="23"/>
  <c r="I95" i="23"/>
  <c r="J95" i="23"/>
  <c r="K95" i="23"/>
  <c r="L95" i="23"/>
  <c r="M95" i="23"/>
  <c r="N95" i="23"/>
  <c r="O95" i="23"/>
  <c r="P95" i="23"/>
  <c r="Q95" i="23"/>
  <c r="R95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G98" i="23"/>
  <c r="H98" i="23"/>
  <c r="I98" i="23"/>
  <c r="J98" i="23"/>
  <c r="K98" i="23"/>
  <c r="L98" i="23"/>
  <c r="M98" i="23"/>
  <c r="N98" i="23"/>
  <c r="O98" i="23"/>
  <c r="P98" i="23"/>
  <c r="Q98" i="23"/>
  <c r="R98" i="23"/>
  <c r="G99" i="23"/>
  <c r="H99" i="23"/>
  <c r="I99" i="23"/>
  <c r="J99" i="23"/>
  <c r="K99" i="23"/>
  <c r="L99" i="23"/>
  <c r="M99" i="23"/>
  <c r="N99" i="23"/>
  <c r="O99" i="23"/>
  <c r="P99" i="23"/>
  <c r="Q99" i="23"/>
  <c r="R99" i="23"/>
  <c r="G100" i="23"/>
  <c r="H100" i="23"/>
  <c r="I100" i="23"/>
  <c r="J100" i="23"/>
  <c r="K100" i="23"/>
  <c r="L100" i="23"/>
  <c r="M100" i="23"/>
  <c r="N100" i="23"/>
  <c r="O100" i="23"/>
  <c r="P100" i="23"/>
  <c r="Q100" i="23"/>
  <c r="R100" i="23"/>
  <c r="G101" i="23"/>
  <c r="H101" i="23"/>
  <c r="I101" i="23"/>
  <c r="J101" i="23"/>
  <c r="K101" i="23"/>
  <c r="L101" i="23"/>
  <c r="M101" i="23"/>
  <c r="N101" i="23"/>
  <c r="O101" i="23"/>
  <c r="P101" i="23"/>
  <c r="Q101" i="23"/>
  <c r="R101" i="23"/>
  <c r="G102" i="23"/>
  <c r="H102" i="23"/>
  <c r="I102" i="23"/>
  <c r="J102" i="23"/>
  <c r="K102" i="23"/>
  <c r="L102" i="23"/>
  <c r="M102" i="23"/>
  <c r="N102" i="23"/>
  <c r="O102" i="23"/>
  <c r="P102" i="23"/>
  <c r="Q102" i="23"/>
  <c r="R102" i="23"/>
  <c r="G103" i="23"/>
  <c r="H103" i="23"/>
  <c r="I103" i="23"/>
  <c r="J103" i="23"/>
  <c r="K103" i="23"/>
  <c r="L103" i="23"/>
  <c r="M103" i="23"/>
  <c r="N103" i="23"/>
  <c r="O103" i="23"/>
  <c r="P103" i="23"/>
  <c r="Q103" i="23"/>
  <c r="R103" i="23"/>
  <c r="G104" i="23"/>
  <c r="H104" i="23"/>
  <c r="I104" i="23"/>
  <c r="J104" i="23"/>
  <c r="K104" i="23"/>
  <c r="L104" i="23"/>
  <c r="M104" i="23"/>
  <c r="N104" i="23"/>
  <c r="O104" i="23"/>
  <c r="P104" i="23"/>
  <c r="Q104" i="23"/>
  <c r="R104" i="23"/>
  <c r="G105" i="23"/>
  <c r="H105" i="23"/>
  <c r="I105" i="23"/>
  <c r="J105" i="23"/>
  <c r="K105" i="23"/>
  <c r="L105" i="23"/>
  <c r="M105" i="23"/>
  <c r="N105" i="23"/>
  <c r="O105" i="23"/>
  <c r="P105" i="23"/>
  <c r="Q105" i="23"/>
  <c r="R105" i="23"/>
  <c r="G106" i="23"/>
  <c r="H106" i="23"/>
  <c r="I106" i="23"/>
  <c r="J106" i="23"/>
  <c r="K106" i="23"/>
  <c r="L106" i="23"/>
  <c r="M106" i="23"/>
  <c r="N106" i="23"/>
  <c r="O106" i="23"/>
  <c r="P106" i="23"/>
  <c r="Q106" i="23"/>
  <c r="R106" i="23"/>
  <c r="G107" i="23"/>
  <c r="H107" i="23"/>
  <c r="I107" i="23"/>
  <c r="J107" i="23"/>
  <c r="K107" i="23"/>
  <c r="L107" i="23"/>
  <c r="M107" i="23"/>
  <c r="N107" i="23"/>
  <c r="O107" i="23"/>
  <c r="P107" i="23"/>
  <c r="Q107" i="23"/>
  <c r="R107" i="23"/>
  <c r="G108" i="23"/>
  <c r="H108" i="23"/>
  <c r="I108" i="23"/>
  <c r="J108" i="23"/>
  <c r="K108" i="23"/>
  <c r="L108" i="23"/>
  <c r="M108" i="23"/>
  <c r="N108" i="23"/>
  <c r="O108" i="23"/>
  <c r="P108" i="23"/>
  <c r="Q108" i="23"/>
  <c r="R108" i="23"/>
  <c r="G109" i="23"/>
  <c r="H109" i="23"/>
  <c r="I109" i="23"/>
  <c r="J109" i="23"/>
  <c r="K109" i="23"/>
  <c r="L109" i="23"/>
  <c r="M109" i="23"/>
  <c r="N109" i="23"/>
  <c r="O109" i="23"/>
  <c r="P109" i="23"/>
  <c r="Q109" i="23"/>
  <c r="R109" i="23"/>
  <c r="G110" i="23"/>
  <c r="H110" i="23"/>
  <c r="I110" i="23"/>
  <c r="J110" i="23"/>
  <c r="K110" i="23"/>
  <c r="L110" i="23"/>
  <c r="M110" i="23"/>
  <c r="N110" i="23"/>
  <c r="O110" i="23"/>
  <c r="P110" i="23"/>
  <c r="Q110" i="23"/>
  <c r="R110" i="23"/>
  <c r="G112" i="23"/>
  <c r="H112" i="23"/>
  <c r="I112" i="23"/>
  <c r="J112" i="23"/>
  <c r="K112" i="23"/>
  <c r="L112" i="23"/>
  <c r="M112" i="23"/>
  <c r="N112" i="23"/>
  <c r="O112" i="23"/>
  <c r="P112" i="23"/>
  <c r="Q112" i="23"/>
  <c r="R112" i="23"/>
  <c r="G113" i="23"/>
  <c r="H113" i="23"/>
  <c r="I113" i="23"/>
  <c r="J113" i="23"/>
  <c r="K113" i="23"/>
  <c r="L113" i="23"/>
  <c r="M113" i="23"/>
  <c r="N113" i="23"/>
  <c r="O113" i="23"/>
  <c r="P113" i="23"/>
  <c r="Q113" i="23"/>
  <c r="R113" i="23"/>
  <c r="G114" i="23"/>
  <c r="H114" i="23"/>
  <c r="I114" i="23"/>
  <c r="J114" i="23"/>
  <c r="K114" i="23"/>
  <c r="L114" i="23"/>
  <c r="M114" i="23"/>
  <c r="N114" i="23"/>
  <c r="O114" i="23"/>
  <c r="P114" i="23"/>
  <c r="Q114" i="23"/>
  <c r="R114" i="23"/>
  <c r="G115" i="23"/>
  <c r="H115" i="23"/>
  <c r="I115" i="23"/>
  <c r="J115" i="23"/>
  <c r="K115" i="23"/>
  <c r="L115" i="23"/>
  <c r="M115" i="23"/>
  <c r="N115" i="23"/>
  <c r="O115" i="23"/>
  <c r="P115" i="23"/>
  <c r="Q115" i="23"/>
  <c r="R115" i="23"/>
  <c r="G116" i="23"/>
  <c r="H116" i="23"/>
  <c r="I116" i="23"/>
  <c r="J116" i="23"/>
  <c r="K116" i="23"/>
  <c r="L116" i="23"/>
  <c r="M116" i="23"/>
  <c r="N116" i="23"/>
  <c r="O116" i="23"/>
  <c r="P116" i="23"/>
  <c r="Q116" i="23"/>
  <c r="R116" i="23"/>
  <c r="G117" i="23"/>
  <c r="H117" i="23"/>
  <c r="I117" i="23"/>
  <c r="J117" i="23"/>
  <c r="K117" i="23"/>
  <c r="L117" i="23"/>
  <c r="M117" i="23"/>
  <c r="N117" i="23"/>
  <c r="O117" i="23"/>
  <c r="P117" i="23"/>
  <c r="Q117" i="23"/>
  <c r="R117" i="23"/>
  <c r="G118" i="23"/>
  <c r="H118" i="23"/>
  <c r="I118" i="23"/>
  <c r="J118" i="23"/>
  <c r="K118" i="23"/>
  <c r="L118" i="23"/>
  <c r="M118" i="23"/>
  <c r="N118" i="23"/>
  <c r="O118" i="23"/>
  <c r="P118" i="23"/>
  <c r="Q118" i="23"/>
  <c r="R118" i="23"/>
  <c r="G119" i="23"/>
  <c r="H119" i="23"/>
  <c r="I119" i="23"/>
  <c r="J119" i="23"/>
  <c r="K119" i="23"/>
  <c r="L119" i="23"/>
  <c r="M119" i="23"/>
  <c r="N119" i="23"/>
  <c r="O119" i="23"/>
  <c r="P119" i="23"/>
  <c r="Q119" i="23"/>
  <c r="R119" i="23"/>
  <c r="G120" i="23"/>
  <c r="H120" i="23"/>
  <c r="I120" i="23"/>
  <c r="J120" i="23"/>
  <c r="K120" i="23"/>
  <c r="L120" i="23"/>
  <c r="M120" i="23"/>
  <c r="N120" i="23"/>
  <c r="O120" i="23"/>
  <c r="P120" i="23"/>
  <c r="Q120" i="23"/>
  <c r="R120" i="23"/>
  <c r="G121" i="23"/>
  <c r="H121" i="23"/>
  <c r="I121" i="23"/>
  <c r="J121" i="23"/>
  <c r="K121" i="23"/>
  <c r="L121" i="23"/>
  <c r="M121" i="23"/>
  <c r="N121" i="23"/>
  <c r="O121" i="23"/>
  <c r="P121" i="23"/>
  <c r="Q121" i="23"/>
  <c r="R121" i="23"/>
  <c r="G122" i="23"/>
  <c r="H122" i="23"/>
  <c r="I122" i="23"/>
  <c r="J122" i="23"/>
  <c r="K122" i="23"/>
  <c r="L122" i="23"/>
  <c r="M122" i="23"/>
  <c r="N122" i="23"/>
  <c r="O122" i="23"/>
  <c r="P122" i="23"/>
  <c r="Q122" i="23"/>
  <c r="R122" i="23"/>
  <c r="G123" i="23"/>
  <c r="H123" i="23"/>
  <c r="I123" i="23"/>
  <c r="J123" i="23"/>
  <c r="K123" i="23"/>
  <c r="L123" i="23"/>
  <c r="M123" i="23"/>
  <c r="N123" i="23"/>
  <c r="O123" i="23"/>
  <c r="P123" i="23"/>
  <c r="Q123" i="23"/>
  <c r="R123" i="23"/>
  <c r="G124" i="23"/>
  <c r="H124" i="23"/>
  <c r="I124" i="23"/>
  <c r="J124" i="23"/>
  <c r="K124" i="23"/>
  <c r="L124" i="23"/>
  <c r="M124" i="23"/>
  <c r="N124" i="23"/>
  <c r="O124" i="23"/>
  <c r="P124" i="23"/>
  <c r="Q124" i="23"/>
  <c r="R124" i="23"/>
  <c r="G125" i="23"/>
  <c r="H125" i="23"/>
  <c r="I125" i="23"/>
  <c r="J125" i="23"/>
  <c r="K125" i="23"/>
  <c r="L125" i="23"/>
  <c r="M125" i="23"/>
  <c r="N125" i="23"/>
  <c r="O125" i="23"/>
  <c r="P125" i="23"/>
  <c r="Q125" i="23"/>
  <c r="R125" i="23"/>
  <c r="G126" i="23"/>
  <c r="H126" i="23"/>
  <c r="I126" i="23"/>
  <c r="J126" i="23"/>
  <c r="K126" i="23"/>
  <c r="L126" i="23"/>
  <c r="M126" i="23"/>
  <c r="N126" i="23"/>
  <c r="O126" i="23"/>
  <c r="P126" i="23"/>
  <c r="Q126" i="23"/>
  <c r="R126" i="23"/>
  <c r="G127" i="23"/>
  <c r="H127" i="23"/>
  <c r="I127" i="23"/>
  <c r="J127" i="23"/>
  <c r="K127" i="23"/>
  <c r="L127" i="23"/>
  <c r="M127" i="23"/>
  <c r="N127" i="23"/>
  <c r="O127" i="23"/>
  <c r="P127" i="23"/>
  <c r="Q127" i="23"/>
  <c r="R127" i="23"/>
  <c r="G134" i="23"/>
  <c r="H134" i="23"/>
  <c r="I134" i="23"/>
  <c r="J134" i="23"/>
  <c r="K134" i="23"/>
  <c r="L134" i="23"/>
  <c r="M134" i="23"/>
  <c r="N134" i="23"/>
  <c r="O134" i="23"/>
  <c r="P134" i="23"/>
  <c r="Q134" i="23"/>
  <c r="R134" i="23"/>
  <c r="G135" i="23"/>
  <c r="H135" i="23"/>
  <c r="I135" i="23"/>
  <c r="J135" i="23"/>
  <c r="K135" i="23"/>
  <c r="L135" i="23"/>
  <c r="M135" i="23"/>
  <c r="N135" i="23"/>
  <c r="O135" i="23"/>
  <c r="P135" i="23"/>
  <c r="Q135" i="23"/>
  <c r="R135" i="23"/>
  <c r="G136" i="23"/>
  <c r="H136" i="23"/>
  <c r="I136" i="23"/>
  <c r="J136" i="23"/>
  <c r="K136" i="23"/>
  <c r="L136" i="23"/>
  <c r="M136" i="23"/>
  <c r="N136" i="23"/>
  <c r="O136" i="23"/>
  <c r="P136" i="23"/>
  <c r="Q136" i="23"/>
  <c r="R136" i="23"/>
  <c r="G137" i="23"/>
  <c r="H137" i="23"/>
  <c r="I137" i="23"/>
  <c r="J137" i="23"/>
  <c r="K137" i="23"/>
  <c r="L137" i="23"/>
  <c r="M137" i="23"/>
  <c r="N137" i="23"/>
  <c r="O137" i="23"/>
  <c r="P137" i="23"/>
  <c r="Q137" i="23"/>
  <c r="R137" i="23"/>
  <c r="G138" i="23"/>
  <c r="H138" i="23"/>
  <c r="I138" i="23"/>
  <c r="K138" i="23"/>
  <c r="L138" i="23"/>
  <c r="M138" i="23"/>
  <c r="N138" i="23"/>
  <c r="O138" i="23"/>
  <c r="P138" i="23"/>
  <c r="Q138" i="23"/>
  <c r="R138" i="23"/>
  <c r="G139" i="23"/>
  <c r="H139" i="23"/>
  <c r="I139" i="23"/>
  <c r="J139" i="23"/>
  <c r="K139" i="23"/>
  <c r="L139" i="23"/>
  <c r="M139" i="23"/>
  <c r="N139" i="23"/>
  <c r="O139" i="23"/>
  <c r="P139" i="23"/>
  <c r="Q139" i="23"/>
  <c r="R139" i="23"/>
  <c r="G140" i="23"/>
  <c r="H140" i="23"/>
  <c r="I140" i="23"/>
  <c r="J140" i="23"/>
  <c r="K140" i="23"/>
  <c r="L140" i="23"/>
  <c r="M140" i="23"/>
  <c r="N140" i="23"/>
  <c r="O140" i="23"/>
  <c r="P140" i="23"/>
  <c r="Q140" i="23"/>
  <c r="R140" i="23"/>
  <c r="G141" i="23"/>
  <c r="H141" i="23"/>
  <c r="I141" i="23"/>
  <c r="J141" i="23"/>
  <c r="K141" i="23"/>
  <c r="L141" i="23"/>
  <c r="M141" i="23"/>
  <c r="N141" i="23"/>
  <c r="O141" i="23"/>
  <c r="P141" i="23"/>
  <c r="Q141" i="23"/>
  <c r="R141" i="23"/>
  <c r="G142" i="23"/>
  <c r="H142" i="23"/>
  <c r="I142" i="23"/>
  <c r="J142" i="23"/>
  <c r="K142" i="23"/>
  <c r="L142" i="23"/>
  <c r="M142" i="23"/>
  <c r="N142" i="23"/>
  <c r="O142" i="23"/>
  <c r="P142" i="23"/>
  <c r="Q142" i="23"/>
  <c r="R142" i="23"/>
  <c r="G143" i="23"/>
  <c r="H143" i="23"/>
  <c r="I143" i="23"/>
  <c r="J143" i="23"/>
  <c r="K143" i="23"/>
  <c r="L143" i="23"/>
  <c r="M143" i="23"/>
  <c r="N143" i="23"/>
  <c r="O143" i="23"/>
  <c r="P143" i="23"/>
  <c r="Q143" i="23"/>
  <c r="R143" i="23"/>
  <c r="G144" i="23"/>
  <c r="H144" i="23"/>
  <c r="I144" i="23"/>
  <c r="J144" i="23"/>
  <c r="K144" i="23"/>
  <c r="L144" i="23"/>
  <c r="M144" i="23"/>
  <c r="N144" i="23"/>
  <c r="O144" i="23"/>
  <c r="P144" i="23"/>
  <c r="Q144" i="23"/>
  <c r="R144" i="23"/>
  <c r="G145" i="23"/>
  <c r="H145" i="23"/>
  <c r="I145" i="23"/>
  <c r="J145" i="23"/>
  <c r="K145" i="23"/>
  <c r="L145" i="23"/>
  <c r="M145" i="23"/>
  <c r="N145" i="23"/>
  <c r="O145" i="23"/>
  <c r="P145" i="23"/>
  <c r="Q145" i="23"/>
  <c r="R145" i="23"/>
  <c r="G146" i="23"/>
  <c r="H146" i="23"/>
  <c r="I146" i="23"/>
  <c r="J146" i="23"/>
  <c r="K146" i="23"/>
  <c r="L146" i="23"/>
  <c r="M146" i="23"/>
  <c r="N146" i="23"/>
  <c r="O146" i="23"/>
  <c r="P146" i="23"/>
  <c r="Q146" i="23"/>
  <c r="R146" i="23"/>
  <c r="G147" i="23"/>
  <c r="H147" i="23"/>
  <c r="I147" i="23"/>
  <c r="J147" i="23"/>
  <c r="K147" i="23"/>
  <c r="L147" i="23"/>
  <c r="M147" i="23"/>
  <c r="N147" i="23"/>
  <c r="O147" i="23"/>
  <c r="P147" i="23"/>
  <c r="Q147" i="23"/>
  <c r="R147" i="23"/>
  <c r="G148" i="23"/>
  <c r="H148" i="23"/>
  <c r="I148" i="23"/>
  <c r="J148" i="23"/>
  <c r="K148" i="23"/>
  <c r="L148" i="23"/>
  <c r="M148" i="23"/>
  <c r="N148" i="23"/>
  <c r="O148" i="23"/>
  <c r="P148" i="23"/>
  <c r="Q148" i="23"/>
  <c r="R148" i="23"/>
  <c r="G149" i="23"/>
  <c r="H149" i="23"/>
  <c r="I149" i="23"/>
  <c r="J149" i="23"/>
  <c r="K149" i="23"/>
  <c r="L149" i="23"/>
  <c r="M149" i="23"/>
  <c r="N149" i="23"/>
  <c r="O149" i="23"/>
  <c r="P149" i="23"/>
  <c r="Q149" i="23"/>
  <c r="R149" i="23"/>
  <c r="G150" i="23"/>
  <c r="H150" i="23"/>
  <c r="I150" i="23"/>
  <c r="J150" i="23"/>
  <c r="K150" i="23"/>
  <c r="L150" i="23"/>
  <c r="M150" i="23"/>
  <c r="N150" i="23"/>
  <c r="O150" i="23"/>
  <c r="P150" i="23"/>
  <c r="Q150" i="23"/>
  <c r="R150" i="23"/>
  <c r="G151" i="23"/>
  <c r="H151" i="23"/>
  <c r="I151" i="23"/>
  <c r="J151" i="23"/>
  <c r="K151" i="23"/>
  <c r="L151" i="23"/>
  <c r="M151" i="23"/>
  <c r="N151" i="23"/>
  <c r="O151" i="23"/>
  <c r="P151" i="23"/>
  <c r="Q151" i="23"/>
  <c r="R151" i="23"/>
  <c r="G155" i="23"/>
  <c r="H155" i="23"/>
  <c r="I155" i="23"/>
  <c r="J155" i="23"/>
  <c r="K155" i="23"/>
  <c r="L155" i="23"/>
  <c r="M155" i="23"/>
  <c r="N155" i="23"/>
  <c r="O155" i="23"/>
  <c r="P155" i="23"/>
  <c r="Q155" i="23"/>
  <c r="R155" i="23"/>
  <c r="G156" i="23"/>
  <c r="H156" i="23"/>
  <c r="I156" i="23"/>
  <c r="J156" i="23"/>
  <c r="K156" i="23"/>
  <c r="L156" i="23"/>
  <c r="M156" i="23"/>
  <c r="N156" i="23"/>
  <c r="O156" i="23"/>
  <c r="P156" i="23"/>
  <c r="Q156" i="23"/>
  <c r="R156" i="23"/>
  <c r="G157" i="23"/>
  <c r="H157" i="23"/>
  <c r="I157" i="23"/>
  <c r="J157" i="23"/>
  <c r="K157" i="23"/>
  <c r="L157" i="23"/>
  <c r="M157" i="23"/>
  <c r="N157" i="23"/>
  <c r="O157" i="23"/>
  <c r="P157" i="23"/>
  <c r="Q157" i="23"/>
  <c r="R157" i="23"/>
  <c r="G158" i="23"/>
  <c r="H158" i="23"/>
  <c r="I158" i="23"/>
  <c r="J158" i="23"/>
  <c r="K158" i="23"/>
  <c r="L158" i="23"/>
  <c r="M158" i="23"/>
  <c r="N158" i="23"/>
  <c r="O158" i="23"/>
  <c r="P158" i="23"/>
  <c r="Q158" i="23"/>
  <c r="R158" i="23"/>
  <c r="G159" i="23"/>
  <c r="H159" i="23"/>
  <c r="I159" i="23"/>
  <c r="J159" i="23"/>
  <c r="K159" i="23"/>
  <c r="L159" i="23"/>
  <c r="M159" i="23"/>
  <c r="N159" i="23"/>
  <c r="O159" i="23"/>
  <c r="P159" i="23"/>
  <c r="Q159" i="23"/>
  <c r="R159" i="23"/>
  <c r="G160" i="23"/>
  <c r="H160" i="23"/>
  <c r="I160" i="23"/>
  <c r="J160" i="23"/>
  <c r="K160" i="23"/>
  <c r="L160" i="23"/>
  <c r="M160" i="23"/>
  <c r="N160" i="23"/>
  <c r="O160" i="23"/>
  <c r="P160" i="23"/>
  <c r="Q160" i="23"/>
  <c r="R160" i="23"/>
  <c r="G161" i="23"/>
  <c r="H161" i="23"/>
  <c r="I161" i="23"/>
  <c r="J161" i="23"/>
  <c r="K161" i="23"/>
  <c r="L161" i="23"/>
  <c r="M161" i="23"/>
  <c r="N161" i="23"/>
  <c r="O161" i="23"/>
  <c r="P161" i="23"/>
  <c r="Q161" i="23"/>
  <c r="R161" i="23"/>
  <c r="G162" i="23"/>
  <c r="H162" i="23"/>
  <c r="I162" i="23"/>
  <c r="J162" i="23"/>
  <c r="K162" i="23"/>
  <c r="L162" i="23"/>
  <c r="M162" i="23"/>
  <c r="N162" i="23"/>
  <c r="O162" i="23"/>
  <c r="P162" i="23"/>
  <c r="Q162" i="23"/>
  <c r="R162" i="23"/>
  <c r="G163" i="23"/>
  <c r="H163" i="23"/>
  <c r="I163" i="23"/>
  <c r="J163" i="23"/>
  <c r="K163" i="23"/>
  <c r="L163" i="23"/>
  <c r="M163" i="23"/>
  <c r="N163" i="23"/>
  <c r="O163" i="23"/>
  <c r="P163" i="23"/>
  <c r="Q163" i="23"/>
  <c r="R163" i="23"/>
  <c r="G172" i="23"/>
  <c r="H172" i="23"/>
  <c r="I172" i="23"/>
  <c r="J172" i="23"/>
  <c r="K172" i="23"/>
  <c r="L172" i="23"/>
  <c r="M172" i="23"/>
  <c r="N172" i="23"/>
  <c r="O172" i="23"/>
  <c r="P172" i="23"/>
  <c r="Q172" i="23"/>
  <c r="R172" i="23"/>
  <c r="G173" i="23"/>
  <c r="H173" i="23"/>
  <c r="I173" i="23"/>
  <c r="K173" i="23"/>
  <c r="L173" i="23"/>
  <c r="M173" i="23"/>
  <c r="N173" i="23"/>
  <c r="O173" i="23"/>
  <c r="P173" i="23"/>
  <c r="Q173" i="23"/>
  <c r="R173" i="23"/>
  <c r="G174" i="23"/>
  <c r="H174" i="23"/>
  <c r="I174" i="23"/>
  <c r="J174" i="23"/>
  <c r="K174" i="23"/>
  <c r="L174" i="23"/>
  <c r="M174" i="23"/>
  <c r="N174" i="23"/>
  <c r="O174" i="23"/>
  <c r="P174" i="23"/>
  <c r="Q174" i="23"/>
  <c r="R174" i="23"/>
  <c r="G175" i="23"/>
  <c r="H175" i="23"/>
  <c r="I175" i="23"/>
  <c r="J175" i="23"/>
  <c r="K175" i="23"/>
  <c r="L175" i="23"/>
  <c r="M175" i="23"/>
  <c r="N175" i="23"/>
  <c r="O175" i="23"/>
  <c r="P175" i="23"/>
  <c r="Q175" i="23"/>
  <c r="R175" i="23"/>
  <c r="G176" i="23"/>
  <c r="H176" i="23"/>
  <c r="I176" i="23"/>
  <c r="J176" i="23"/>
  <c r="K176" i="23"/>
  <c r="L176" i="23"/>
  <c r="M176" i="23"/>
  <c r="N176" i="23"/>
  <c r="O176" i="23"/>
  <c r="P176" i="23"/>
  <c r="Q176" i="23"/>
  <c r="R176" i="23"/>
  <c r="G177" i="23"/>
  <c r="H177" i="23"/>
  <c r="I177" i="23"/>
  <c r="J177" i="23"/>
  <c r="K177" i="23"/>
  <c r="L177" i="23"/>
  <c r="M177" i="23"/>
  <c r="N177" i="23"/>
  <c r="O177" i="23"/>
  <c r="P177" i="23"/>
  <c r="Q177" i="23"/>
  <c r="R177" i="23"/>
  <c r="G178" i="23"/>
  <c r="H178" i="23"/>
  <c r="I178" i="23"/>
  <c r="J178" i="23"/>
  <c r="K178" i="23"/>
  <c r="L178" i="23"/>
  <c r="M178" i="23"/>
  <c r="N178" i="23"/>
  <c r="O178" i="23"/>
  <c r="P178" i="23"/>
  <c r="Q178" i="23"/>
  <c r="R178" i="23"/>
  <c r="G179" i="23"/>
  <c r="H179" i="23"/>
  <c r="I179" i="23"/>
  <c r="J179" i="23"/>
  <c r="K179" i="23"/>
  <c r="L179" i="23"/>
  <c r="M179" i="23"/>
  <c r="N179" i="23"/>
  <c r="O179" i="23"/>
  <c r="P179" i="23"/>
  <c r="Q179" i="23"/>
  <c r="R179" i="23"/>
  <c r="G207" i="23"/>
  <c r="H207" i="23"/>
  <c r="I207" i="23"/>
  <c r="J207" i="23"/>
  <c r="K207" i="23"/>
  <c r="L207" i="23"/>
  <c r="M207" i="23"/>
  <c r="N207" i="23"/>
  <c r="O207" i="23"/>
  <c r="P207" i="23"/>
  <c r="Q207" i="23"/>
  <c r="R207" i="23"/>
  <c r="G208" i="23"/>
  <c r="H208" i="23"/>
  <c r="I208" i="23"/>
  <c r="J208" i="23"/>
  <c r="K208" i="23"/>
  <c r="L208" i="23"/>
  <c r="M208" i="23"/>
  <c r="N208" i="23"/>
  <c r="O208" i="23"/>
  <c r="P208" i="23"/>
  <c r="Q208" i="23"/>
  <c r="R208" i="23"/>
  <c r="G209" i="23"/>
  <c r="H209" i="23"/>
  <c r="I209" i="23"/>
  <c r="J209" i="23"/>
  <c r="K209" i="23"/>
  <c r="L209" i="23"/>
  <c r="M209" i="23"/>
  <c r="N209" i="23"/>
  <c r="O209" i="23"/>
  <c r="P209" i="23"/>
  <c r="Q209" i="23"/>
  <c r="R209" i="23"/>
  <c r="G210" i="23"/>
  <c r="H210" i="23"/>
  <c r="I210" i="23"/>
  <c r="J210" i="23"/>
  <c r="K210" i="23"/>
  <c r="L210" i="23"/>
  <c r="M210" i="23"/>
  <c r="N210" i="23"/>
  <c r="O210" i="23"/>
  <c r="P210" i="23"/>
  <c r="Q210" i="23"/>
  <c r="R210" i="23"/>
  <c r="G211" i="23"/>
  <c r="H211" i="23"/>
  <c r="I211" i="23"/>
  <c r="J211" i="23"/>
  <c r="K211" i="23"/>
  <c r="L211" i="23"/>
  <c r="M211" i="23"/>
  <c r="N211" i="23"/>
  <c r="O211" i="23"/>
  <c r="P211" i="23"/>
  <c r="Q211" i="23"/>
  <c r="R211" i="23"/>
  <c r="G212" i="23"/>
  <c r="H212" i="23"/>
  <c r="I212" i="23"/>
  <c r="J212" i="23"/>
  <c r="K212" i="23"/>
  <c r="L212" i="23"/>
  <c r="M212" i="23"/>
  <c r="N212" i="23"/>
  <c r="O212" i="23"/>
  <c r="P212" i="23"/>
  <c r="Q212" i="23"/>
  <c r="R212" i="23"/>
  <c r="G213" i="23"/>
  <c r="H213" i="23"/>
  <c r="I213" i="23"/>
  <c r="J213" i="23"/>
  <c r="K213" i="23"/>
  <c r="L213" i="23"/>
  <c r="M213" i="23"/>
  <c r="N213" i="23"/>
  <c r="O213" i="23"/>
  <c r="P213" i="23"/>
  <c r="Q213" i="23"/>
  <c r="R213" i="23"/>
  <c r="G214" i="23"/>
  <c r="H214" i="23"/>
  <c r="I214" i="23"/>
  <c r="J214" i="23"/>
  <c r="K214" i="23"/>
  <c r="L214" i="23"/>
  <c r="M214" i="23"/>
  <c r="N214" i="23"/>
  <c r="O214" i="23"/>
  <c r="P214" i="23"/>
  <c r="Q214" i="23"/>
  <c r="R214" i="23"/>
  <c r="G215" i="23"/>
  <c r="H215" i="23"/>
  <c r="I215" i="23"/>
  <c r="J215" i="23"/>
  <c r="K215" i="23"/>
  <c r="L215" i="23"/>
  <c r="M215" i="23"/>
  <c r="N215" i="23"/>
  <c r="O215" i="23"/>
  <c r="P215" i="23"/>
  <c r="Q215" i="23"/>
  <c r="R215" i="23"/>
  <c r="G223" i="23"/>
  <c r="H223" i="23"/>
  <c r="I223" i="23"/>
  <c r="J223" i="23"/>
  <c r="K223" i="23"/>
  <c r="L223" i="23"/>
  <c r="M223" i="23"/>
  <c r="N223" i="23"/>
  <c r="O223" i="23"/>
  <c r="P223" i="23"/>
  <c r="Q223" i="23"/>
  <c r="R223" i="23"/>
  <c r="G224" i="23"/>
  <c r="H224" i="23"/>
  <c r="I224" i="23"/>
  <c r="J224" i="23"/>
  <c r="K224" i="23"/>
  <c r="L224" i="23"/>
  <c r="M224" i="23"/>
  <c r="N224" i="23"/>
  <c r="O224" i="23"/>
  <c r="P224" i="23"/>
  <c r="Q224" i="23"/>
  <c r="R224" i="23"/>
  <c r="G225" i="23"/>
  <c r="H225" i="23"/>
  <c r="I225" i="23"/>
  <c r="K225" i="23"/>
  <c r="L225" i="23"/>
  <c r="M225" i="23"/>
  <c r="N225" i="23"/>
  <c r="O225" i="23"/>
  <c r="P225" i="23"/>
  <c r="Q225" i="23"/>
  <c r="R225" i="23"/>
  <c r="G226" i="23"/>
  <c r="H226" i="23"/>
  <c r="I226" i="23"/>
  <c r="J226" i="23"/>
  <c r="K226" i="23"/>
  <c r="L226" i="23"/>
  <c r="M226" i="23"/>
  <c r="N226" i="23"/>
  <c r="O226" i="23"/>
  <c r="P226" i="23"/>
  <c r="Q226" i="23"/>
  <c r="R226" i="23"/>
  <c r="G227" i="23"/>
  <c r="H227" i="23"/>
  <c r="I227" i="23"/>
  <c r="J227" i="23"/>
  <c r="K227" i="23"/>
  <c r="L227" i="23"/>
  <c r="M227" i="23"/>
  <c r="N227" i="23"/>
  <c r="O227" i="23"/>
  <c r="P227" i="23"/>
  <c r="Q227" i="23"/>
  <c r="R227" i="23"/>
  <c r="G228" i="23"/>
  <c r="H228" i="23"/>
  <c r="I228" i="23"/>
  <c r="J228" i="23"/>
  <c r="K228" i="23"/>
  <c r="L228" i="23"/>
  <c r="M228" i="23"/>
  <c r="N228" i="23"/>
  <c r="O228" i="23"/>
  <c r="P228" i="23"/>
  <c r="Q228" i="23"/>
  <c r="R228" i="23"/>
  <c r="G229" i="23"/>
  <c r="H229" i="23"/>
  <c r="I229" i="23"/>
  <c r="J229" i="23"/>
  <c r="K229" i="23"/>
  <c r="L229" i="23"/>
  <c r="M229" i="23"/>
  <c r="N229" i="23"/>
  <c r="O229" i="23"/>
  <c r="P229" i="23"/>
  <c r="Q229" i="23"/>
  <c r="R229" i="23"/>
  <c r="G230" i="23"/>
  <c r="H230" i="23"/>
  <c r="I230" i="23"/>
  <c r="J230" i="23"/>
  <c r="K230" i="23"/>
  <c r="L230" i="23"/>
  <c r="M230" i="23"/>
  <c r="N230" i="23"/>
  <c r="O230" i="23"/>
  <c r="P230" i="23"/>
  <c r="Q230" i="23"/>
  <c r="R230" i="23"/>
  <c r="G252" i="23"/>
  <c r="H252" i="23"/>
  <c r="I252" i="23"/>
  <c r="J252" i="23"/>
  <c r="K252" i="23"/>
  <c r="L252" i="23"/>
  <c r="M252" i="23"/>
  <c r="N252" i="23"/>
  <c r="O252" i="23"/>
  <c r="P252" i="23"/>
  <c r="Q252" i="23"/>
  <c r="R252" i="23"/>
  <c r="G253" i="23"/>
  <c r="H253" i="23"/>
  <c r="I253" i="23"/>
  <c r="J253" i="23"/>
  <c r="K253" i="23"/>
  <c r="L253" i="23"/>
  <c r="M253" i="23"/>
  <c r="N253" i="23"/>
  <c r="O253" i="23"/>
  <c r="P253" i="23"/>
  <c r="Q253" i="23"/>
  <c r="R253" i="23"/>
  <c r="G254" i="23"/>
  <c r="H254" i="23"/>
  <c r="I254" i="23"/>
  <c r="J254" i="23"/>
  <c r="K254" i="23"/>
  <c r="L254" i="23"/>
  <c r="M254" i="23"/>
  <c r="N254" i="23"/>
  <c r="O254" i="23"/>
  <c r="P254" i="23"/>
  <c r="Q254" i="23"/>
  <c r="R254" i="23"/>
  <c r="G255" i="23"/>
  <c r="H255" i="23"/>
  <c r="I255" i="23"/>
  <c r="J255" i="23"/>
  <c r="K255" i="23"/>
  <c r="L255" i="23"/>
  <c r="M255" i="23"/>
  <c r="N255" i="23"/>
  <c r="O255" i="23"/>
  <c r="P255" i="23"/>
  <c r="Q255" i="23"/>
  <c r="R255" i="23"/>
  <c r="G256" i="23"/>
  <c r="H256" i="23"/>
  <c r="I256" i="23"/>
  <c r="J256" i="23"/>
  <c r="K256" i="23"/>
  <c r="L256" i="23"/>
  <c r="M256" i="23"/>
  <c r="N256" i="23"/>
  <c r="O256" i="23"/>
  <c r="P256" i="23"/>
  <c r="Q256" i="23"/>
  <c r="R256" i="23"/>
  <c r="G257" i="23"/>
  <c r="H257" i="23"/>
  <c r="I257" i="23"/>
  <c r="J257" i="23"/>
  <c r="K257" i="23"/>
  <c r="L257" i="23"/>
  <c r="M257" i="23"/>
  <c r="N257" i="23"/>
  <c r="O257" i="23"/>
  <c r="P257" i="23"/>
  <c r="Q257" i="23"/>
  <c r="R257" i="23"/>
  <c r="G258" i="23"/>
  <c r="H258" i="23"/>
  <c r="I258" i="23"/>
  <c r="J258" i="23"/>
  <c r="K258" i="23"/>
  <c r="L258" i="23"/>
  <c r="M258" i="23"/>
  <c r="N258" i="23"/>
  <c r="O258" i="23"/>
  <c r="P258" i="23"/>
  <c r="Q258" i="23"/>
  <c r="R258" i="23"/>
  <c r="G259" i="23"/>
  <c r="H259" i="23"/>
  <c r="I259" i="23"/>
  <c r="J259" i="23"/>
  <c r="K259" i="23"/>
  <c r="L259" i="23"/>
  <c r="M259" i="23"/>
  <c r="N259" i="23"/>
  <c r="O259" i="23"/>
  <c r="P259" i="23"/>
  <c r="Q259" i="23"/>
  <c r="R259" i="23"/>
  <c r="G260" i="23"/>
  <c r="H260" i="23"/>
  <c r="I260" i="23"/>
  <c r="J260" i="23"/>
  <c r="K260" i="23"/>
  <c r="L260" i="23"/>
  <c r="M260" i="23"/>
  <c r="N260" i="23"/>
  <c r="O260" i="23"/>
  <c r="P260" i="23"/>
  <c r="Q260" i="23"/>
  <c r="R260" i="23"/>
  <c r="G261" i="23"/>
  <c r="H261" i="23"/>
  <c r="I261" i="23"/>
  <c r="J261" i="23"/>
  <c r="K261" i="23"/>
  <c r="L261" i="23"/>
  <c r="M261" i="23"/>
  <c r="N261" i="23"/>
  <c r="O261" i="23"/>
  <c r="P261" i="23"/>
  <c r="Q261" i="23"/>
  <c r="R261" i="23"/>
  <c r="G262" i="23"/>
  <c r="H262" i="23"/>
  <c r="I262" i="23"/>
  <c r="J262" i="23"/>
  <c r="K262" i="23"/>
  <c r="L262" i="23"/>
  <c r="M262" i="23"/>
  <c r="N262" i="23"/>
  <c r="O262" i="23"/>
  <c r="P262" i="23"/>
  <c r="Q262" i="23"/>
  <c r="R262" i="23"/>
  <c r="G263" i="23"/>
  <c r="H263" i="23"/>
  <c r="I263" i="23"/>
  <c r="J263" i="23"/>
  <c r="K263" i="23"/>
  <c r="L263" i="23"/>
  <c r="M263" i="23"/>
  <c r="N263" i="23"/>
  <c r="O263" i="23"/>
  <c r="P263" i="23"/>
  <c r="Q263" i="23"/>
  <c r="R263" i="23"/>
  <c r="G274" i="23"/>
  <c r="H274" i="23"/>
  <c r="I274" i="23"/>
  <c r="J274" i="23"/>
  <c r="K274" i="23"/>
  <c r="L274" i="23"/>
  <c r="M274" i="23"/>
  <c r="N274" i="23"/>
  <c r="O274" i="23"/>
  <c r="P274" i="23"/>
  <c r="Q274" i="23"/>
  <c r="R274" i="23"/>
  <c r="G275" i="23"/>
  <c r="H275" i="23"/>
  <c r="I275" i="23"/>
  <c r="J275" i="23"/>
  <c r="K275" i="23"/>
  <c r="L275" i="23"/>
  <c r="M275" i="23"/>
  <c r="N275" i="23"/>
  <c r="O275" i="23"/>
  <c r="P275" i="23"/>
  <c r="Q275" i="23"/>
  <c r="R275" i="23"/>
  <c r="G276" i="23"/>
  <c r="H276" i="23"/>
  <c r="I276" i="23"/>
  <c r="J276" i="23"/>
  <c r="K276" i="23"/>
  <c r="L276" i="23"/>
  <c r="M276" i="23"/>
  <c r="N276" i="23"/>
  <c r="O276" i="23"/>
  <c r="P276" i="23"/>
  <c r="Q276" i="23"/>
  <c r="R276" i="23"/>
  <c r="G277" i="23"/>
  <c r="H277" i="23"/>
  <c r="I277" i="23"/>
  <c r="J277" i="23"/>
  <c r="K277" i="23"/>
  <c r="L277" i="23"/>
  <c r="M277" i="23"/>
  <c r="N277" i="23"/>
  <c r="O277" i="23"/>
  <c r="P277" i="23"/>
  <c r="Q277" i="23"/>
  <c r="R277" i="23"/>
  <c r="G278" i="23"/>
  <c r="H278" i="23"/>
  <c r="I278" i="23"/>
  <c r="J278" i="23"/>
  <c r="K278" i="23"/>
  <c r="L278" i="23"/>
  <c r="M278" i="23"/>
  <c r="N278" i="23"/>
  <c r="O278" i="23"/>
  <c r="P278" i="23"/>
  <c r="Q278" i="23"/>
  <c r="R278" i="23"/>
  <c r="G279" i="23"/>
  <c r="H279" i="23"/>
  <c r="I279" i="23"/>
  <c r="J279" i="23"/>
  <c r="K279" i="23"/>
  <c r="L279" i="23"/>
  <c r="M279" i="23"/>
  <c r="N279" i="23"/>
  <c r="O279" i="23"/>
  <c r="P279" i="23"/>
  <c r="Q279" i="23"/>
  <c r="R279" i="23"/>
  <c r="G280" i="23"/>
  <c r="H280" i="23"/>
  <c r="I280" i="23"/>
  <c r="J280" i="23"/>
  <c r="K280" i="23"/>
  <c r="L280" i="23"/>
  <c r="M280" i="23"/>
  <c r="N280" i="23"/>
  <c r="O280" i="23"/>
  <c r="P280" i="23"/>
  <c r="Q280" i="23"/>
  <c r="R280" i="23"/>
  <c r="G281" i="23"/>
  <c r="H281" i="23"/>
  <c r="I281" i="23"/>
  <c r="J281" i="23"/>
  <c r="K281" i="23"/>
  <c r="L281" i="23"/>
  <c r="M281" i="23"/>
  <c r="N281" i="23"/>
  <c r="O281" i="23"/>
  <c r="P281" i="23"/>
  <c r="Q281" i="23"/>
  <c r="R281" i="23"/>
  <c r="G282" i="23"/>
  <c r="H282" i="23"/>
  <c r="I282" i="23"/>
  <c r="J282" i="23"/>
  <c r="K282" i="23"/>
  <c r="L282" i="23"/>
  <c r="M282" i="23"/>
  <c r="N282" i="23"/>
  <c r="O282" i="23"/>
  <c r="P282" i="23"/>
  <c r="Q282" i="23"/>
  <c r="R282" i="23"/>
  <c r="G283" i="23"/>
  <c r="H283" i="23"/>
  <c r="I283" i="23"/>
  <c r="J283" i="23"/>
  <c r="K283" i="23"/>
  <c r="L283" i="23"/>
  <c r="M283" i="23"/>
  <c r="N283" i="23"/>
  <c r="O283" i="23"/>
  <c r="P283" i="23"/>
  <c r="Q283" i="23"/>
  <c r="R283" i="23"/>
  <c r="G284" i="23"/>
  <c r="H284" i="23"/>
  <c r="I284" i="23"/>
  <c r="J284" i="23"/>
  <c r="K284" i="23"/>
  <c r="L284" i="23"/>
  <c r="M284" i="23"/>
  <c r="N284" i="23"/>
  <c r="O284" i="23"/>
  <c r="P284" i="23"/>
  <c r="Q284" i="23"/>
  <c r="R284" i="23"/>
  <c r="G285" i="23"/>
  <c r="H285" i="23"/>
  <c r="I285" i="23"/>
  <c r="J285" i="23"/>
  <c r="K285" i="23"/>
  <c r="L285" i="23"/>
  <c r="M285" i="23"/>
  <c r="N285" i="23"/>
  <c r="O285" i="23"/>
  <c r="P285" i="23"/>
  <c r="Q285" i="23"/>
  <c r="R285" i="23"/>
  <c r="G286" i="23"/>
  <c r="H286" i="23"/>
  <c r="I286" i="23"/>
  <c r="J286" i="23"/>
  <c r="K286" i="23"/>
  <c r="L286" i="23"/>
  <c r="M286" i="23"/>
  <c r="N286" i="23"/>
  <c r="O286" i="23"/>
  <c r="P286" i="23"/>
  <c r="Q286" i="23"/>
  <c r="R286" i="23"/>
  <c r="G287" i="23"/>
  <c r="H287" i="23"/>
  <c r="I287" i="23"/>
  <c r="J287" i="23"/>
  <c r="K287" i="23"/>
  <c r="L287" i="23"/>
  <c r="M287" i="23"/>
  <c r="N287" i="23"/>
  <c r="O287" i="23"/>
  <c r="P287" i="23"/>
  <c r="Q287" i="23"/>
  <c r="R287" i="23"/>
  <c r="G288" i="23"/>
  <c r="H288" i="23"/>
  <c r="I288" i="23"/>
  <c r="J288" i="23"/>
  <c r="K288" i="23"/>
  <c r="L288" i="23"/>
  <c r="M288" i="23"/>
  <c r="N288" i="23"/>
  <c r="O288" i="23"/>
  <c r="P288" i="23"/>
  <c r="Q288" i="23"/>
  <c r="R288" i="23"/>
  <c r="G289" i="23"/>
  <c r="H289" i="23"/>
  <c r="I289" i="23"/>
  <c r="J289" i="23"/>
  <c r="K289" i="23"/>
  <c r="L289" i="23"/>
  <c r="M289" i="23"/>
  <c r="N289" i="23"/>
  <c r="O289" i="23"/>
  <c r="P289" i="23"/>
  <c r="Q289" i="23"/>
  <c r="R289" i="23"/>
  <c r="G290" i="23"/>
  <c r="H290" i="23"/>
  <c r="I290" i="23"/>
  <c r="J290" i="23"/>
  <c r="K290" i="23"/>
  <c r="L290" i="23"/>
  <c r="M290" i="23"/>
  <c r="N290" i="23"/>
  <c r="O290" i="23"/>
  <c r="P290" i="23"/>
  <c r="Q290" i="23"/>
  <c r="R290" i="23"/>
  <c r="G291" i="23"/>
  <c r="H291" i="23"/>
  <c r="I291" i="23"/>
  <c r="J291" i="23"/>
  <c r="K291" i="23"/>
  <c r="L291" i="23"/>
  <c r="M291" i="23"/>
  <c r="N291" i="23"/>
  <c r="O291" i="23"/>
  <c r="P291" i="23"/>
  <c r="Q291" i="23"/>
  <c r="R291" i="23"/>
  <c r="G292" i="23"/>
  <c r="H292" i="23"/>
  <c r="I292" i="23"/>
  <c r="J292" i="23"/>
  <c r="K292" i="23"/>
  <c r="L292" i="23"/>
  <c r="M292" i="23"/>
  <c r="N292" i="23"/>
  <c r="O292" i="23"/>
  <c r="P292" i="23"/>
  <c r="Q292" i="23"/>
  <c r="R292" i="23"/>
  <c r="G293" i="23"/>
  <c r="H293" i="23"/>
  <c r="I293" i="23"/>
  <c r="J293" i="23"/>
  <c r="K293" i="23"/>
  <c r="L293" i="23"/>
  <c r="M293" i="23"/>
  <c r="N293" i="23"/>
  <c r="O293" i="23"/>
  <c r="P293" i="23"/>
  <c r="Q293" i="23"/>
  <c r="R293" i="23"/>
  <c r="G294" i="23"/>
  <c r="H294" i="23"/>
  <c r="I294" i="23"/>
  <c r="J294" i="23"/>
  <c r="K294" i="23"/>
  <c r="L294" i="23"/>
  <c r="M294" i="23"/>
  <c r="N294" i="23"/>
  <c r="O294" i="23"/>
  <c r="P294" i="23"/>
  <c r="R294" i="23"/>
  <c r="G296" i="23"/>
  <c r="H296" i="23"/>
  <c r="I296" i="23"/>
  <c r="J296" i="23"/>
  <c r="K296" i="23"/>
  <c r="L296" i="23"/>
  <c r="M296" i="23"/>
  <c r="N296" i="23"/>
  <c r="O296" i="23"/>
  <c r="P296" i="23"/>
  <c r="Q296" i="23"/>
  <c r="R296" i="23"/>
  <c r="G297" i="23"/>
  <c r="H297" i="23"/>
  <c r="I297" i="23"/>
  <c r="J297" i="23"/>
  <c r="K297" i="23"/>
  <c r="L297" i="23"/>
  <c r="M297" i="23"/>
  <c r="N297" i="23"/>
  <c r="O297" i="23"/>
  <c r="P297" i="23"/>
  <c r="Q297" i="23"/>
  <c r="R297" i="23"/>
  <c r="G298" i="23"/>
  <c r="H298" i="23"/>
  <c r="I298" i="23"/>
  <c r="J298" i="23"/>
  <c r="K298" i="23"/>
  <c r="L298" i="23"/>
  <c r="M298" i="23"/>
  <c r="N298" i="23"/>
  <c r="O298" i="23"/>
  <c r="P298" i="23"/>
  <c r="Q298" i="23"/>
  <c r="R298" i="23"/>
  <c r="G299" i="23"/>
  <c r="H299" i="23"/>
  <c r="I299" i="23"/>
  <c r="J299" i="23"/>
  <c r="K299" i="23"/>
  <c r="L299" i="23"/>
  <c r="M299" i="23"/>
  <c r="N299" i="23"/>
  <c r="O299" i="23"/>
  <c r="P299" i="23"/>
  <c r="Q299" i="23"/>
  <c r="R299" i="23"/>
  <c r="G300" i="23"/>
  <c r="H300" i="23"/>
  <c r="I300" i="23"/>
  <c r="J300" i="23"/>
  <c r="K300" i="23"/>
  <c r="L300" i="23"/>
  <c r="M300" i="23"/>
  <c r="N300" i="23"/>
  <c r="O300" i="23"/>
  <c r="P300" i="23"/>
  <c r="Q300" i="23"/>
  <c r="R300" i="23"/>
  <c r="G301" i="23"/>
  <c r="H301" i="23"/>
  <c r="I301" i="23"/>
  <c r="J301" i="23"/>
  <c r="K301" i="23"/>
  <c r="L301" i="23"/>
  <c r="M301" i="23"/>
  <c r="N301" i="23"/>
  <c r="O301" i="23"/>
  <c r="P301" i="23"/>
  <c r="Q301" i="23"/>
  <c r="R301" i="23"/>
  <c r="G302" i="23"/>
  <c r="H302" i="23"/>
  <c r="I302" i="23"/>
  <c r="J302" i="23"/>
  <c r="K302" i="23"/>
  <c r="L302" i="23"/>
  <c r="M302" i="23"/>
  <c r="N302" i="23"/>
  <c r="O302" i="23"/>
  <c r="P302" i="23"/>
  <c r="Q302" i="23"/>
  <c r="R302" i="23"/>
  <c r="G303" i="23"/>
  <c r="H303" i="23"/>
  <c r="I303" i="23"/>
  <c r="J303" i="23"/>
  <c r="K303" i="23"/>
  <c r="L303" i="23"/>
  <c r="M303" i="23"/>
  <c r="N303" i="23"/>
  <c r="O303" i="23"/>
  <c r="P303" i="23"/>
  <c r="Q303" i="23"/>
  <c r="R303" i="23"/>
  <c r="G304" i="23"/>
  <c r="H304" i="23"/>
  <c r="I304" i="23"/>
  <c r="J304" i="23"/>
  <c r="K304" i="23"/>
  <c r="L304" i="23"/>
  <c r="M304" i="23"/>
  <c r="N304" i="23"/>
  <c r="O304" i="23"/>
  <c r="P304" i="23"/>
  <c r="Q304" i="23"/>
  <c r="R304" i="23"/>
  <c r="G305" i="23"/>
  <c r="H305" i="23"/>
  <c r="I305" i="23"/>
  <c r="J305" i="23"/>
  <c r="K305" i="23"/>
  <c r="L305" i="23"/>
  <c r="M305" i="23"/>
  <c r="N305" i="23"/>
  <c r="O305" i="23"/>
  <c r="P305" i="23"/>
  <c r="Q305" i="23"/>
  <c r="R305" i="23"/>
  <c r="G306" i="23"/>
  <c r="H306" i="23"/>
  <c r="I306" i="23"/>
  <c r="J306" i="23"/>
  <c r="K306" i="23"/>
  <c r="L306" i="23"/>
  <c r="M306" i="23"/>
  <c r="N306" i="23"/>
  <c r="O306" i="23"/>
  <c r="P306" i="23"/>
  <c r="Q306" i="23"/>
  <c r="R306" i="23"/>
  <c r="G307" i="23"/>
  <c r="H307" i="23"/>
  <c r="I307" i="23"/>
  <c r="J307" i="23"/>
  <c r="K307" i="23"/>
  <c r="L307" i="23"/>
  <c r="M307" i="23"/>
  <c r="N307" i="23"/>
  <c r="O307" i="23"/>
  <c r="P307" i="23"/>
  <c r="Q307" i="23"/>
  <c r="R307" i="23"/>
  <c r="G308" i="23"/>
  <c r="H308" i="23"/>
  <c r="I308" i="23"/>
  <c r="J308" i="23"/>
  <c r="K308" i="23"/>
  <c r="L308" i="23"/>
  <c r="M308" i="23"/>
  <c r="N308" i="23"/>
  <c r="O308" i="23"/>
  <c r="P308" i="23"/>
  <c r="Q308" i="23"/>
  <c r="R308" i="23"/>
  <c r="G309" i="23"/>
  <c r="H309" i="23"/>
  <c r="I309" i="23"/>
  <c r="J309" i="23"/>
  <c r="K309" i="23"/>
  <c r="L309" i="23"/>
  <c r="M309" i="23"/>
  <c r="N309" i="23"/>
  <c r="O309" i="23"/>
  <c r="P309" i="23"/>
  <c r="Q309" i="23"/>
  <c r="R309" i="23"/>
  <c r="G310" i="23"/>
  <c r="H310" i="23"/>
  <c r="I310" i="23"/>
  <c r="J310" i="23"/>
  <c r="K310" i="23"/>
  <c r="L310" i="23"/>
  <c r="M310" i="23"/>
  <c r="N310" i="23"/>
  <c r="O310" i="23"/>
  <c r="P310" i="23"/>
  <c r="Q310" i="23"/>
  <c r="R310" i="23"/>
  <c r="G311" i="23"/>
  <c r="H311" i="23"/>
  <c r="I311" i="23"/>
  <c r="J311" i="23"/>
  <c r="K311" i="23"/>
  <c r="L311" i="23"/>
  <c r="M311" i="23"/>
  <c r="N311" i="23"/>
  <c r="O311" i="23"/>
  <c r="P311" i="23"/>
  <c r="Q311" i="23"/>
  <c r="R311" i="23"/>
  <c r="G312" i="23"/>
  <c r="H312" i="23"/>
  <c r="I312" i="23"/>
  <c r="J312" i="23"/>
  <c r="K312" i="23"/>
  <c r="L312" i="23"/>
  <c r="M312" i="23"/>
  <c r="N312" i="23"/>
  <c r="O312" i="23"/>
  <c r="P312" i="23"/>
  <c r="Q312" i="23"/>
  <c r="R312" i="23"/>
  <c r="G319" i="23"/>
  <c r="H319" i="23"/>
  <c r="I319" i="23"/>
  <c r="J319" i="23"/>
  <c r="K319" i="23"/>
  <c r="L319" i="23"/>
  <c r="M319" i="23"/>
  <c r="N319" i="23"/>
  <c r="O319" i="23"/>
  <c r="P319" i="23"/>
  <c r="Q319" i="23"/>
  <c r="R319" i="23"/>
  <c r="G320" i="23"/>
  <c r="H320" i="23"/>
  <c r="I320" i="23"/>
  <c r="J320" i="23"/>
  <c r="K320" i="23"/>
  <c r="L320" i="23"/>
  <c r="M320" i="23"/>
  <c r="N320" i="23"/>
  <c r="O320" i="23"/>
  <c r="P320" i="23"/>
  <c r="Q320" i="23"/>
  <c r="R320" i="23"/>
  <c r="G321" i="23"/>
  <c r="H321" i="23"/>
  <c r="I321" i="23"/>
  <c r="J321" i="23"/>
  <c r="K321" i="23"/>
  <c r="L321" i="23"/>
  <c r="M321" i="23"/>
  <c r="N321" i="23"/>
  <c r="O321" i="23"/>
  <c r="P321" i="23"/>
  <c r="Q321" i="23"/>
  <c r="R321" i="23"/>
  <c r="G322" i="23"/>
  <c r="H322" i="23"/>
  <c r="I322" i="23"/>
  <c r="J322" i="23"/>
  <c r="K322" i="23"/>
  <c r="L322" i="23"/>
  <c r="M322" i="23"/>
  <c r="N322" i="23"/>
  <c r="O322" i="23"/>
  <c r="P322" i="23"/>
  <c r="Q322" i="23"/>
  <c r="R322" i="23"/>
  <c r="G323" i="23"/>
  <c r="H323" i="23"/>
  <c r="I323" i="23"/>
  <c r="J323" i="23"/>
  <c r="K323" i="23"/>
  <c r="L323" i="23"/>
  <c r="M323" i="23"/>
  <c r="N323" i="23"/>
  <c r="O323" i="23"/>
  <c r="P323" i="23"/>
  <c r="Q323" i="23"/>
  <c r="R323" i="23"/>
  <c r="G324" i="23"/>
  <c r="H324" i="23"/>
  <c r="I324" i="23"/>
  <c r="J324" i="23"/>
  <c r="K324" i="23"/>
  <c r="L324" i="23"/>
  <c r="M324" i="23"/>
  <c r="N324" i="23"/>
  <c r="O324" i="23"/>
  <c r="P324" i="23"/>
  <c r="Q324" i="23"/>
  <c r="R324" i="23"/>
  <c r="G325" i="23"/>
  <c r="H325" i="23"/>
  <c r="I325" i="23"/>
  <c r="J325" i="23"/>
  <c r="K325" i="23"/>
  <c r="L325" i="23"/>
  <c r="M325" i="23"/>
  <c r="N325" i="23"/>
  <c r="O325" i="23"/>
  <c r="P325" i="23"/>
  <c r="Q325" i="23"/>
  <c r="R325" i="23"/>
  <c r="G326" i="23"/>
  <c r="H326" i="23"/>
  <c r="I326" i="23"/>
  <c r="J326" i="23"/>
  <c r="K326" i="23"/>
  <c r="L326" i="23"/>
  <c r="M326" i="23"/>
  <c r="N326" i="23"/>
  <c r="O326" i="23"/>
  <c r="P326" i="23"/>
  <c r="Q326" i="23"/>
  <c r="R326" i="23"/>
  <c r="G327" i="23"/>
  <c r="H327" i="23"/>
  <c r="I327" i="23"/>
  <c r="J327" i="23"/>
  <c r="K327" i="23"/>
  <c r="L327" i="23"/>
  <c r="M327" i="23"/>
  <c r="N327" i="23"/>
  <c r="O327" i="23"/>
  <c r="P327" i="23"/>
  <c r="Q327" i="23"/>
  <c r="R327" i="23"/>
  <c r="G328" i="23"/>
  <c r="H328" i="23"/>
  <c r="I328" i="23"/>
  <c r="J328" i="23"/>
  <c r="K328" i="23"/>
  <c r="L328" i="23"/>
  <c r="M328" i="23"/>
  <c r="N328" i="23"/>
  <c r="O328" i="23"/>
  <c r="P328" i="23"/>
  <c r="Q328" i="23"/>
  <c r="R328" i="23"/>
  <c r="G329" i="23"/>
  <c r="H329" i="23"/>
  <c r="I329" i="23"/>
  <c r="J329" i="23"/>
  <c r="K329" i="23"/>
  <c r="L329" i="23"/>
  <c r="M329" i="23"/>
  <c r="N329" i="23"/>
  <c r="O329" i="23"/>
  <c r="P329" i="23"/>
  <c r="Q329" i="23"/>
  <c r="R329" i="23"/>
  <c r="G330" i="23"/>
  <c r="H330" i="23"/>
  <c r="I330" i="23"/>
  <c r="J330" i="23"/>
  <c r="K330" i="23"/>
  <c r="L330" i="23"/>
  <c r="M330" i="23"/>
  <c r="N330" i="23"/>
  <c r="O330" i="23"/>
  <c r="P330" i="23"/>
  <c r="Q330" i="23"/>
  <c r="R330" i="23"/>
  <c r="G331" i="23"/>
  <c r="H331" i="23"/>
  <c r="I331" i="23"/>
  <c r="J331" i="23"/>
  <c r="K331" i="23"/>
  <c r="L331" i="23"/>
  <c r="M331" i="23"/>
  <c r="N331" i="23"/>
  <c r="O331" i="23"/>
  <c r="P331" i="23"/>
  <c r="Q331" i="23"/>
  <c r="R331" i="23"/>
  <c r="G332" i="23"/>
  <c r="H332" i="23"/>
  <c r="I332" i="23"/>
  <c r="J332" i="23"/>
  <c r="K332" i="23"/>
  <c r="L332" i="23"/>
  <c r="M332" i="23"/>
  <c r="N332" i="23"/>
  <c r="O332" i="23"/>
  <c r="P332" i="23"/>
  <c r="Q332" i="23"/>
  <c r="R332" i="23"/>
  <c r="G333" i="23"/>
  <c r="H333" i="23"/>
  <c r="I333" i="23"/>
  <c r="J333" i="23"/>
  <c r="K333" i="23"/>
  <c r="L333" i="23"/>
  <c r="M333" i="23"/>
  <c r="N333" i="23"/>
  <c r="O333" i="23"/>
  <c r="P333" i="23"/>
  <c r="Q333" i="23"/>
  <c r="R333" i="23"/>
  <c r="G334" i="23"/>
  <c r="H334" i="23"/>
  <c r="I334" i="23"/>
  <c r="J334" i="23"/>
  <c r="K334" i="23"/>
  <c r="L334" i="23"/>
  <c r="M334" i="23"/>
  <c r="N334" i="23"/>
  <c r="O334" i="23"/>
  <c r="P334" i="23"/>
  <c r="Q334" i="23"/>
  <c r="R334" i="23"/>
  <c r="G335" i="23"/>
  <c r="H335" i="23"/>
  <c r="I335" i="23"/>
  <c r="J335" i="23"/>
  <c r="K335" i="23"/>
  <c r="L335" i="23"/>
  <c r="M335" i="23"/>
  <c r="N335" i="23"/>
  <c r="O335" i="23"/>
  <c r="P335" i="23"/>
  <c r="Q335" i="23"/>
  <c r="R335" i="23"/>
  <c r="G336" i="23"/>
  <c r="H336" i="23"/>
  <c r="I336" i="23"/>
  <c r="J336" i="23"/>
  <c r="K336" i="23"/>
  <c r="L336" i="23"/>
  <c r="M336" i="23"/>
  <c r="N336" i="23"/>
  <c r="O336" i="23"/>
  <c r="P336" i="23"/>
  <c r="Q336" i="23"/>
  <c r="R336" i="23"/>
  <c r="G337" i="23"/>
  <c r="H337" i="23"/>
  <c r="I337" i="23"/>
  <c r="J337" i="23"/>
  <c r="K337" i="23"/>
  <c r="L337" i="23"/>
  <c r="M337" i="23"/>
  <c r="N337" i="23"/>
  <c r="O337" i="23"/>
  <c r="P337" i="23"/>
  <c r="Q337" i="23"/>
  <c r="R337" i="23"/>
  <c r="G338" i="23"/>
  <c r="H338" i="23"/>
  <c r="I338" i="23"/>
  <c r="J338" i="23"/>
  <c r="K338" i="23"/>
  <c r="L338" i="23"/>
  <c r="M338" i="23"/>
  <c r="N338" i="23"/>
  <c r="O338" i="23"/>
  <c r="P338" i="23"/>
  <c r="Q338" i="23"/>
  <c r="R338" i="23"/>
  <c r="G340" i="23"/>
  <c r="H340" i="23"/>
  <c r="I340" i="23"/>
  <c r="J340" i="23"/>
  <c r="K340" i="23"/>
  <c r="L340" i="23"/>
  <c r="M340" i="23"/>
  <c r="N340" i="23"/>
  <c r="O340" i="23"/>
  <c r="P340" i="23"/>
  <c r="Q340" i="23"/>
  <c r="R340" i="23"/>
  <c r="G341" i="23"/>
  <c r="H341" i="23"/>
  <c r="I341" i="23"/>
  <c r="J341" i="23"/>
  <c r="K341" i="23"/>
  <c r="L341" i="23"/>
  <c r="M341" i="23"/>
  <c r="N341" i="23"/>
  <c r="O341" i="23"/>
  <c r="P341" i="23"/>
  <c r="Q341" i="23"/>
  <c r="R341" i="23"/>
  <c r="G342" i="23"/>
  <c r="H342" i="23"/>
  <c r="I342" i="23"/>
  <c r="J342" i="23"/>
  <c r="K342" i="23"/>
  <c r="L342" i="23"/>
  <c r="M342" i="23"/>
  <c r="N342" i="23"/>
  <c r="O342" i="23"/>
  <c r="P342" i="23"/>
  <c r="Q342" i="23"/>
  <c r="R342" i="23"/>
  <c r="G343" i="23"/>
  <c r="H343" i="23"/>
  <c r="I343" i="23"/>
  <c r="J343" i="23"/>
  <c r="K343" i="23"/>
  <c r="L343" i="23"/>
  <c r="M343" i="23"/>
  <c r="N343" i="23"/>
  <c r="O343" i="23"/>
  <c r="P343" i="23"/>
  <c r="Q343" i="23"/>
  <c r="R343" i="23"/>
  <c r="G344" i="23"/>
  <c r="H344" i="23"/>
  <c r="I344" i="23"/>
  <c r="J344" i="23"/>
  <c r="K344" i="23"/>
  <c r="L344" i="23"/>
  <c r="M344" i="23"/>
  <c r="N344" i="23"/>
  <c r="O344" i="23"/>
  <c r="P344" i="23"/>
  <c r="Q344" i="23"/>
  <c r="R344" i="23"/>
  <c r="G345" i="23"/>
  <c r="H345" i="23"/>
  <c r="I345" i="23"/>
  <c r="J345" i="23"/>
  <c r="K345" i="23"/>
  <c r="L345" i="23"/>
  <c r="M345" i="23"/>
  <c r="N345" i="23"/>
  <c r="O345" i="23"/>
  <c r="P345" i="23"/>
  <c r="Q345" i="23"/>
  <c r="R345" i="23"/>
  <c r="G346" i="23"/>
  <c r="H346" i="23"/>
  <c r="I346" i="23"/>
  <c r="J346" i="23"/>
  <c r="K346" i="23"/>
  <c r="L346" i="23"/>
  <c r="M346" i="23"/>
  <c r="N346" i="23"/>
  <c r="O346" i="23"/>
  <c r="P346" i="23"/>
  <c r="Q346" i="23"/>
  <c r="R346" i="23"/>
  <c r="G347" i="23"/>
  <c r="H347" i="23"/>
  <c r="I347" i="23"/>
  <c r="J347" i="23"/>
  <c r="K347" i="23"/>
  <c r="L347" i="23"/>
  <c r="M347" i="23"/>
  <c r="N347" i="23"/>
  <c r="O347" i="23"/>
  <c r="P347" i="23"/>
  <c r="Q347" i="23"/>
  <c r="R347" i="23"/>
  <c r="G348" i="23"/>
  <c r="H348" i="23"/>
  <c r="I348" i="23"/>
  <c r="J348" i="23"/>
  <c r="K348" i="23"/>
  <c r="L348" i="23"/>
  <c r="M348" i="23"/>
  <c r="N348" i="23"/>
  <c r="O348" i="23"/>
  <c r="P348" i="23"/>
  <c r="Q348" i="23"/>
  <c r="R348" i="23"/>
  <c r="G349" i="23"/>
  <c r="H349" i="23"/>
  <c r="I349" i="23"/>
  <c r="J349" i="23"/>
  <c r="K349" i="23"/>
  <c r="L349" i="23"/>
  <c r="M349" i="23"/>
  <c r="N349" i="23"/>
  <c r="O349" i="23"/>
  <c r="P349" i="23"/>
  <c r="Q349" i="23"/>
  <c r="R349" i="23"/>
  <c r="G350" i="23"/>
  <c r="H350" i="23"/>
  <c r="I350" i="23"/>
  <c r="J350" i="23"/>
  <c r="K350" i="23"/>
  <c r="L350" i="23"/>
  <c r="M350" i="23"/>
  <c r="N350" i="23"/>
  <c r="O350" i="23"/>
  <c r="P350" i="23"/>
  <c r="Q350" i="23"/>
  <c r="R350" i="23"/>
  <c r="G351" i="23"/>
  <c r="H351" i="23"/>
  <c r="I351" i="23"/>
  <c r="J351" i="23"/>
  <c r="K351" i="23"/>
  <c r="L351" i="23"/>
  <c r="M351" i="23"/>
  <c r="N351" i="23"/>
  <c r="O351" i="23"/>
  <c r="P351" i="23"/>
  <c r="Q351" i="23"/>
  <c r="R351" i="23"/>
  <c r="G362" i="23"/>
  <c r="H362" i="23"/>
  <c r="I362" i="23"/>
  <c r="J362" i="23"/>
  <c r="K362" i="23"/>
  <c r="L362" i="23"/>
  <c r="M362" i="23"/>
  <c r="N362" i="23"/>
  <c r="O362" i="23"/>
  <c r="P362" i="23"/>
  <c r="Q362" i="23"/>
  <c r="R362" i="23"/>
  <c r="G363" i="23"/>
  <c r="H363" i="23"/>
  <c r="I363" i="23"/>
  <c r="J363" i="23"/>
  <c r="K363" i="23"/>
  <c r="L363" i="23"/>
  <c r="M363" i="23"/>
  <c r="N363" i="23"/>
  <c r="O363" i="23"/>
  <c r="P363" i="23"/>
  <c r="Q363" i="23"/>
  <c r="R363" i="23"/>
  <c r="G364" i="23"/>
  <c r="H364" i="23"/>
  <c r="I364" i="23"/>
  <c r="J364" i="23"/>
  <c r="K364" i="23"/>
  <c r="L364" i="23"/>
  <c r="M364" i="23"/>
  <c r="N364" i="23"/>
  <c r="O364" i="23"/>
  <c r="P364" i="23"/>
  <c r="Q364" i="23"/>
  <c r="R364" i="23"/>
  <c r="G365" i="23"/>
  <c r="H365" i="23"/>
  <c r="I365" i="23"/>
  <c r="J365" i="23"/>
  <c r="K365" i="23"/>
  <c r="L365" i="23"/>
  <c r="M365" i="23"/>
  <c r="N365" i="23"/>
  <c r="O365" i="23"/>
  <c r="P365" i="23"/>
  <c r="Q365" i="23"/>
  <c r="R365" i="23"/>
  <c r="G366" i="23"/>
  <c r="H366" i="23"/>
  <c r="I366" i="23"/>
  <c r="J366" i="23"/>
  <c r="K366" i="23"/>
  <c r="L366" i="23"/>
  <c r="M366" i="23"/>
  <c r="N366" i="23"/>
  <c r="O366" i="23"/>
  <c r="P366" i="23"/>
  <c r="Q366" i="23"/>
  <c r="R366" i="23"/>
  <c r="G367" i="23"/>
  <c r="H367" i="23"/>
  <c r="I367" i="23"/>
  <c r="J367" i="23"/>
  <c r="K367" i="23"/>
  <c r="L367" i="23"/>
  <c r="M367" i="23"/>
  <c r="N367" i="23"/>
  <c r="O367" i="23"/>
  <c r="P367" i="23"/>
  <c r="Q367" i="23"/>
  <c r="R367" i="23"/>
  <c r="G368" i="23"/>
  <c r="H368" i="23"/>
  <c r="I368" i="23"/>
  <c r="J368" i="23"/>
  <c r="K368" i="23"/>
  <c r="L368" i="23"/>
  <c r="M368" i="23"/>
  <c r="N368" i="23"/>
  <c r="O368" i="23"/>
  <c r="P368" i="23"/>
  <c r="Q368" i="23"/>
  <c r="R368" i="23"/>
  <c r="G369" i="23"/>
  <c r="H369" i="23"/>
  <c r="I369" i="23"/>
  <c r="J369" i="23"/>
  <c r="K369" i="23"/>
  <c r="L369" i="23"/>
  <c r="M369" i="23"/>
  <c r="N369" i="23"/>
  <c r="O369" i="23"/>
  <c r="P369" i="23"/>
  <c r="Q369" i="23"/>
  <c r="R369" i="23"/>
  <c r="G370" i="23"/>
  <c r="H370" i="23"/>
  <c r="I370" i="23"/>
  <c r="J370" i="23"/>
  <c r="K370" i="23"/>
  <c r="L370" i="23"/>
  <c r="M370" i="23"/>
  <c r="N370" i="23"/>
  <c r="O370" i="23"/>
  <c r="P370" i="23"/>
  <c r="Q370" i="23"/>
  <c r="R370" i="23"/>
  <c r="G371" i="23"/>
  <c r="H371" i="23"/>
  <c r="I371" i="23"/>
  <c r="J371" i="23"/>
  <c r="K371" i="23"/>
  <c r="L371" i="23"/>
  <c r="M371" i="23"/>
  <c r="N371" i="23"/>
  <c r="O371" i="23"/>
  <c r="P371" i="23"/>
  <c r="Q371" i="23"/>
  <c r="R371" i="23"/>
  <c r="G372" i="23"/>
  <c r="H372" i="23"/>
  <c r="I372" i="23"/>
  <c r="J372" i="23"/>
  <c r="K372" i="23"/>
  <c r="L372" i="23"/>
  <c r="M372" i="23"/>
  <c r="N372" i="23"/>
  <c r="O372" i="23"/>
  <c r="P372" i="23"/>
  <c r="Q372" i="23"/>
  <c r="R372" i="23"/>
  <c r="G373" i="23"/>
  <c r="H373" i="23"/>
  <c r="I373" i="23"/>
  <c r="J373" i="23"/>
  <c r="K373" i="23"/>
  <c r="L373" i="23"/>
  <c r="M373" i="23"/>
  <c r="N373" i="23"/>
  <c r="O373" i="23"/>
  <c r="P373" i="23"/>
  <c r="Q373" i="23"/>
  <c r="R373" i="23"/>
  <c r="G374" i="23"/>
  <c r="H374" i="23"/>
  <c r="I374" i="23"/>
  <c r="J374" i="23"/>
  <c r="K374" i="23"/>
  <c r="L374" i="23"/>
  <c r="M374" i="23"/>
  <c r="N374" i="23"/>
  <c r="O374" i="23"/>
  <c r="P374" i="23"/>
  <c r="Q374" i="23"/>
  <c r="R374" i="23"/>
  <c r="G375" i="23"/>
  <c r="H375" i="23"/>
  <c r="I375" i="23"/>
  <c r="J375" i="23"/>
  <c r="K375" i="23"/>
  <c r="L375" i="23"/>
  <c r="M375" i="23"/>
  <c r="N375" i="23"/>
  <c r="O375" i="23"/>
  <c r="P375" i="23"/>
  <c r="Q375" i="23"/>
  <c r="R375" i="23"/>
  <c r="G376" i="23"/>
  <c r="H376" i="23"/>
  <c r="I376" i="23"/>
  <c r="J376" i="23"/>
  <c r="K376" i="23"/>
  <c r="L376" i="23"/>
  <c r="M376" i="23"/>
  <c r="N376" i="23"/>
  <c r="O376" i="23"/>
  <c r="P376" i="23"/>
  <c r="Q376" i="23"/>
  <c r="R376" i="23"/>
  <c r="G377" i="23"/>
  <c r="H377" i="23"/>
  <c r="I377" i="23"/>
  <c r="J377" i="23"/>
  <c r="K377" i="23"/>
  <c r="L377" i="23"/>
  <c r="M377" i="23"/>
  <c r="N377" i="23"/>
  <c r="O377" i="23"/>
  <c r="P377" i="23"/>
  <c r="Q377" i="23"/>
  <c r="R377" i="23"/>
  <c r="G378" i="23"/>
  <c r="H378" i="23"/>
  <c r="I378" i="23"/>
  <c r="J378" i="23"/>
  <c r="K378" i="23"/>
  <c r="L378" i="23"/>
  <c r="M378" i="23"/>
  <c r="N378" i="23"/>
  <c r="O378" i="23"/>
  <c r="P378" i="23"/>
  <c r="Q378" i="23"/>
  <c r="R378" i="23"/>
  <c r="G384" i="23"/>
  <c r="H384" i="23"/>
  <c r="I384" i="23"/>
  <c r="J384" i="23"/>
  <c r="K384" i="23"/>
  <c r="L384" i="23"/>
  <c r="M384" i="23"/>
  <c r="N384" i="23"/>
  <c r="O384" i="23"/>
  <c r="P384" i="23"/>
  <c r="Q384" i="23"/>
  <c r="R384" i="23"/>
  <c r="G385" i="23"/>
  <c r="H385" i="23"/>
  <c r="I385" i="23"/>
  <c r="J385" i="23"/>
  <c r="K385" i="23"/>
  <c r="L385" i="23"/>
  <c r="M385" i="23"/>
  <c r="N385" i="23"/>
  <c r="O385" i="23"/>
  <c r="P385" i="23"/>
  <c r="Q385" i="23"/>
  <c r="R385" i="23"/>
  <c r="G386" i="23"/>
  <c r="H386" i="23"/>
  <c r="I386" i="23"/>
  <c r="J386" i="23"/>
  <c r="K386" i="23"/>
  <c r="L386" i="23"/>
  <c r="M386" i="23"/>
  <c r="N386" i="23"/>
  <c r="O386" i="23"/>
  <c r="P386" i="23"/>
  <c r="Q386" i="23"/>
  <c r="R386" i="23"/>
  <c r="G387" i="23"/>
  <c r="H387" i="23"/>
  <c r="I387" i="23"/>
  <c r="J387" i="23"/>
  <c r="K387" i="23"/>
  <c r="L387" i="23"/>
  <c r="M387" i="23"/>
  <c r="N387" i="23"/>
  <c r="O387" i="23"/>
  <c r="P387" i="23"/>
  <c r="Q387" i="23"/>
  <c r="R387" i="23"/>
  <c r="G388" i="23"/>
  <c r="H388" i="23"/>
  <c r="I388" i="23"/>
  <c r="J388" i="23"/>
  <c r="K388" i="23"/>
  <c r="L388" i="23"/>
  <c r="M388" i="23"/>
  <c r="N388" i="23"/>
  <c r="O388" i="23"/>
  <c r="P388" i="23"/>
  <c r="Q388" i="23"/>
  <c r="R388" i="23"/>
  <c r="G389" i="23"/>
  <c r="H389" i="23"/>
  <c r="I389" i="23"/>
  <c r="J389" i="23"/>
  <c r="K389" i="23"/>
  <c r="L389" i="23"/>
  <c r="M389" i="23"/>
  <c r="N389" i="23"/>
  <c r="O389" i="23"/>
  <c r="P389" i="23"/>
  <c r="Q389" i="23"/>
  <c r="R389" i="23"/>
  <c r="G390" i="23"/>
  <c r="H390" i="23"/>
  <c r="I390" i="23"/>
  <c r="J390" i="23"/>
  <c r="K390" i="23"/>
  <c r="L390" i="23"/>
  <c r="M390" i="23"/>
  <c r="N390" i="23"/>
  <c r="O390" i="23"/>
  <c r="P390" i="23"/>
  <c r="Q390" i="23"/>
  <c r="R390" i="23"/>
  <c r="G391" i="23"/>
  <c r="H391" i="23"/>
  <c r="I391" i="23"/>
  <c r="J391" i="23"/>
  <c r="K391" i="23"/>
  <c r="L391" i="23"/>
  <c r="M391" i="23"/>
  <c r="N391" i="23"/>
  <c r="O391" i="23"/>
  <c r="P391" i="23"/>
  <c r="Q391" i="23"/>
  <c r="R391" i="23"/>
  <c r="G392" i="23"/>
  <c r="H392" i="23"/>
  <c r="I392" i="23"/>
  <c r="J392" i="23"/>
  <c r="K392" i="23"/>
  <c r="L392" i="23"/>
  <c r="M392" i="23"/>
  <c r="N392" i="23"/>
  <c r="O392" i="23"/>
  <c r="P392" i="23"/>
  <c r="Q392" i="23"/>
  <c r="R392" i="23"/>
  <c r="G393" i="23"/>
  <c r="H393" i="23"/>
  <c r="I393" i="23"/>
  <c r="J393" i="23"/>
  <c r="K393" i="23"/>
  <c r="L393" i="23"/>
  <c r="M393" i="23"/>
  <c r="N393" i="23"/>
  <c r="O393" i="23"/>
  <c r="P393" i="23"/>
  <c r="Q393" i="23"/>
  <c r="R393" i="23"/>
  <c r="G407" i="23"/>
  <c r="H407" i="23"/>
  <c r="I407" i="23"/>
  <c r="J407" i="23"/>
  <c r="K407" i="23"/>
  <c r="L407" i="23"/>
  <c r="M407" i="23"/>
  <c r="N407" i="23"/>
  <c r="O407" i="23"/>
  <c r="P407" i="23"/>
  <c r="Q407" i="23"/>
  <c r="R407" i="23"/>
  <c r="G408" i="23"/>
  <c r="H408" i="23"/>
  <c r="I408" i="23"/>
  <c r="J408" i="23"/>
  <c r="K408" i="23"/>
  <c r="L408" i="23"/>
  <c r="M408" i="23"/>
  <c r="N408" i="23"/>
  <c r="O408" i="23"/>
  <c r="P408" i="23"/>
  <c r="Q408" i="23"/>
  <c r="R408" i="23"/>
  <c r="G409" i="23"/>
  <c r="H409" i="23"/>
  <c r="I409" i="23"/>
  <c r="J409" i="23"/>
  <c r="K409" i="23"/>
  <c r="L409" i="23"/>
  <c r="M409" i="23"/>
  <c r="N409" i="23"/>
  <c r="O409" i="23"/>
  <c r="P409" i="23"/>
  <c r="Q409" i="23"/>
  <c r="R409" i="23"/>
  <c r="G410" i="23"/>
  <c r="H410" i="23"/>
  <c r="I410" i="23"/>
  <c r="J410" i="23"/>
  <c r="K410" i="23"/>
  <c r="L410" i="23"/>
  <c r="M410" i="23"/>
  <c r="N410" i="23"/>
  <c r="O410" i="23"/>
  <c r="P410" i="23"/>
  <c r="Q410" i="23"/>
  <c r="R410" i="23"/>
  <c r="G411" i="23"/>
  <c r="H411" i="23"/>
  <c r="I411" i="23"/>
  <c r="J411" i="23"/>
  <c r="K411" i="23"/>
  <c r="L411" i="23"/>
  <c r="M411" i="23"/>
  <c r="N411" i="23"/>
  <c r="O411" i="23"/>
  <c r="P411" i="23"/>
  <c r="Q411" i="23"/>
  <c r="R411" i="23"/>
  <c r="G412" i="23"/>
  <c r="H412" i="23"/>
  <c r="I412" i="23"/>
  <c r="J412" i="23"/>
  <c r="K412" i="23"/>
  <c r="L412" i="23"/>
  <c r="M412" i="23"/>
  <c r="N412" i="23"/>
  <c r="O412" i="23"/>
  <c r="P412" i="23"/>
  <c r="Q412" i="23"/>
  <c r="R412" i="23"/>
  <c r="G413" i="23"/>
  <c r="H413" i="23"/>
  <c r="I413" i="23"/>
  <c r="J413" i="23"/>
  <c r="K413" i="23"/>
  <c r="L413" i="23"/>
  <c r="M413" i="23"/>
  <c r="N413" i="23"/>
  <c r="O413" i="23"/>
  <c r="P413" i="23"/>
  <c r="Q413" i="23"/>
  <c r="R413" i="23"/>
  <c r="G414" i="23"/>
  <c r="H414" i="23"/>
  <c r="I414" i="23"/>
  <c r="J414" i="23"/>
  <c r="K414" i="23"/>
  <c r="L414" i="23"/>
  <c r="M414" i="23"/>
  <c r="N414" i="23"/>
  <c r="O414" i="23"/>
  <c r="P414" i="23"/>
  <c r="Q414" i="23"/>
  <c r="R414" i="23"/>
  <c r="G415" i="23"/>
  <c r="H415" i="23"/>
  <c r="I415" i="23"/>
  <c r="J415" i="23"/>
  <c r="K415" i="23"/>
  <c r="L415" i="23"/>
  <c r="M415" i="23"/>
  <c r="N415" i="23"/>
  <c r="O415" i="23"/>
  <c r="P415" i="23"/>
  <c r="Q415" i="23"/>
  <c r="R415" i="23"/>
  <c r="G416" i="23"/>
  <c r="H416" i="23"/>
  <c r="I416" i="23"/>
  <c r="J416" i="23"/>
  <c r="K416" i="23"/>
  <c r="L416" i="23"/>
  <c r="M416" i="23"/>
  <c r="N416" i="23"/>
  <c r="O416" i="23"/>
  <c r="P416" i="23"/>
  <c r="Q416" i="23"/>
  <c r="R416" i="23"/>
  <c r="G417" i="23"/>
  <c r="H417" i="23"/>
  <c r="I417" i="23"/>
  <c r="J417" i="23"/>
  <c r="K417" i="23"/>
  <c r="L417" i="23"/>
  <c r="M417" i="23"/>
  <c r="N417" i="23"/>
  <c r="O417" i="23"/>
  <c r="P417" i="23"/>
  <c r="Q417" i="23"/>
  <c r="R417" i="23"/>
  <c r="G418" i="23"/>
  <c r="H418" i="23"/>
  <c r="I418" i="23"/>
  <c r="J418" i="23"/>
  <c r="K418" i="23"/>
  <c r="L418" i="23"/>
  <c r="M418" i="23"/>
  <c r="N418" i="23"/>
  <c r="O418" i="23"/>
  <c r="P418" i="23"/>
  <c r="Q418" i="23"/>
  <c r="R418" i="23"/>
  <c r="G419" i="23"/>
  <c r="H419" i="23"/>
  <c r="I419" i="23"/>
  <c r="J419" i="23"/>
  <c r="K419" i="23"/>
  <c r="L419" i="23"/>
  <c r="M419" i="23"/>
  <c r="N419" i="23"/>
  <c r="O419" i="23"/>
  <c r="P419" i="23"/>
  <c r="Q419" i="23"/>
  <c r="R419" i="23"/>
  <c r="G420" i="23"/>
  <c r="H420" i="23"/>
  <c r="I420" i="23"/>
  <c r="J420" i="23"/>
  <c r="K420" i="23"/>
  <c r="L420" i="23"/>
  <c r="M420" i="23"/>
  <c r="N420" i="23"/>
  <c r="O420" i="23"/>
  <c r="P420" i="23"/>
  <c r="Q420" i="23"/>
  <c r="R420" i="23"/>
  <c r="G421" i="23"/>
  <c r="H421" i="23"/>
  <c r="I421" i="23"/>
  <c r="J421" i="23"/>
  <c r="K421" i="23"/>
  <c r="L421" i="23"/>
  <c r="M421" i="23"/>
  <c r="N421" i="23"/>
  <c r="O421" i="23"/>
  <c r="P421" i="23"/>
  <c r="Q421" i="23"/>
  <c r="R421" i="23"/>
  <c r="G422" i="23"/>
  <c r="H422" i="23"/>
  <c r="I422" i="23"/>
  <c r="J422" i="23"/>
  <c r="K422" i="23"/>
  <c r="L422" i="23"/>
  <c r="M422" i="23"/>
  <c r="N422" i="23"/>
  <c r="O422" i="23"/>
  <c r="P422" i="23"/>
  <c r="Q422" i="23"/>
  <c r="R422" i="23"/>
  <c r="G423" i="23"/>
  <c r="H423" i="23"/>
  <c r="I423" i="23"/>
  <c r="J423" i="23"/>
  <c r="K423" i="23"/>
  <c r="L423" i="23"/>
  <c r="M423" i="23"/>
  <c r="N423" i="23"/>
  <c r="O423" i="23"/>
  <c r="P423" i="23"/>
  <c r="Q423" i="23"/>
  <c r="R423" i="23"/>
  <c r="G424" i="23"/>
  <c r="H424" i="23"/>
  <c r="I424" i="23"/>
  <c r="J424" i="23"/>
  <c r="K424" i="23"/>
  <c r="L424" i="23"/>
  <c r="M424" i="23"/>
  <c r="N424" i="23"/>
  <c r="O424" i="23"/>
  <c r="P424" i="23"/>
  <c r="Q424" i="23"/>
  <c r="R424" i="23"/>
  <c r="G425" i="23"/>
  <c r="H425" i="23"/>
  <c r="I425" i="23"/>
  <c r="J425" i="23"/>
  <c r="K425" i="23"/>
  <c r="L425" i="23"/>
  <c r="M425" i="23"/>
  <c r="N425" i="23"/>
  <c r="O425" i="23"/>
  <c r="P425" i="23"/>
  <c r="Q425" i="23"/>
  <c r="R425" i="23"/>
  <c r="G430" i="23"/>
  <c r="H430" i="23"/>
  <c r="I430" i="23"/>
  <c r="J430" i="23"/>
  <c r="K430" i="23"/>
  <c r="L430" i="23"/>
  <c r="M430" i="23"/>
  <c r="N430" i="23"/>
  <c r="O430" i="23"/>
  <c r="P430" i="23"/>
  <c r="Q430" i="23"/>
  <c r="R430" i="23"/>
  <c r="G431" i="23"/>
  <c r="H431" i="23"/>
  <c r="I431" i="23"/>
  <c r="J431" i="23"/>
  <c r="K431" i="23"/>
  <c r="L431" i="23"/>
  <c r="M431" i="23"/>
  <c r="N431" i="23"/>
  <c r="O431" i="23"/>
  <c r="P431" i="23"/>
  <c r="Q431" i="23"/>
  <c r="R431" i="23"/>
  <c r="G432" i="23"/>
  <c r="H432" i="23"/>
  <c r="I432" i="23"/>
  <c r="J432" i="23"/>
  <c r="K432" i="23"/>
  <c r="L432" i="23"/>
  <c r="M432" i="23"/>
  <c r="N432" i="23"/>
  <c r="O432" i="23"/>
  <c r="P432" i="23"/>
  <c r="Q432" i="23"/>
  <c r="R432" i="23"/>
  <c r="G433" i="23"/>
  <c r="H433" i="23"/>
  <c r="I433" i="23"/>
  <c r="J433" i="23"/>
  <c r="K433" i="23"/>
  <c r="L433" i="23"/>
  <c r="M433" i="23"/>
  <c r="N433" i="23"/>
  <c r="O433" i="23"/>
  <c r="P433" i="23"/>
  <c r="Q433" i="23"/>
  <c r="R433" i="23"/>
  <c r="G434" i="23"/>
  <c r="H434" i="23"/>
  <c r="I434" i="23"/>
  <c r="J434" i="23"/>
  <c r="K434" i="23"/>
  <c r="L434" i="23"/>
  <c r="M434" i="23"/>
  <c r="N434" i="23"/>
  <c r="O434" i="23"/>
  <c r="P434" i="23"/>
  <c r="Q434" i="23"/>
  <c r="R434" i="23"/>
  <c r="G435" i="23"/>
  <c r="H435" i="23"/>
  <c r="I435" i="23"/>
  <c r="J435" i="23"/>
  <c r="K435" i="23"/>
  <c r="L435" i="23"/>
  <c r="M435" i="23"/>
  <c r="N435" i="23"/>
  <c r="O435" i="23"/>
  <c r="P435" i="23"/>
  <c r="Q435" i="23"/>
  <c r="R435" i="23"/>
  <c r="G436" i="23"/>
  <c r="H436" i="23"/>
  <c r="I436" i="23"/>
  <c r="J436" i="23"/>
  <c r="K436" i="23"/>
  <c r="L436" i="23"/>
  <c r="M436" i="23"/>
  <c r="N436" i="23"/>
  <c r="O436" i="23"/>
  <c r="P436" i="23"/>
  <c r="Q436" i="23"/>
  <c r="R436" i="23"/>
  <c r="G437" i="23"/>
  <c r="H437" i="23"/>
  <c r="I437" i="23"/>
  <c r="J437" i="23"/>
  <c r="K437" i="23"/>
  <c r="L437" i="23"/>
  <c r="M437" i="23"/>
  <c r="N437" i="23"/>
  <c r="O437" i="23"/>
  <c r="P437" i="23"/>
  <c r="Q437" i="23"/>
  <c r="R437" i="23"/>
  <c r="G438" i="23"/>
  <c r="H438" i="23"/>
  <c r="I438" i="23"/>
  <c r="J438" i="23"/>
  <c r="K438" i="23"/>
  <c r="L438" i="23"/>
  <c r="M438" i="23"/>
  <c r="N438" i="23"/>
  <c r="O438" i="23"/>
  <c r="P438" i="23"/>
  <c r="Q438" i="23"/>
  <c r="R438" i="23"/>
  <c r="G439" i="23"/>
  <c r="H439" i="23"/>
  <c r="I439" i="23"/>
  <c r="J439" i="23"/>
  <c r="K439" i="23"/>
  <c r="L439" i="23"/>
  <c r="M439" i="23"/>
  <c r="N439" i="23"/>
  <c r="O439" i="23"/>
  <c r="P439" i="23"/>
  <c r="Q439" i="23"/>
  <c r="R439" i="23"/>
  <c r="G440" i="23"/>
  <c r="H440" i="23"/>
  <c r="I440" i="23"/>
  <c r="J440" i="23"/>
  <c r="K440" i="23"/>
  <c r="L440" i="23"/>
  <c r="M440" i="23"/>
  <c r="N440" i="23"/>
  <c r="O440" i="23"/>
  <c r="P440" i="23"/>
  <c r="Q440" i="23"/>
  <c r="R440" i="23"/>
  <c r="G441" i="23"/>
  <c r="H441" i="23"/>
  <c r="I441" i="23"/>
  <c r="J441" i="23"/>
  <c r="K441" i="23"/>
  <c r="L441" i="23"/>
  <c r="M441" i="23"/>
  <c r="N441" i="23"/>
  <c r="O441" i="23"/>
  <c r="P441" i="23"/>
  <c r="Q441" i="23"/>
  <c r="R441" i="23"/>
  <c r="G442" i="23"/>
  <c r="H442" i="23"/>
  <c r="I442" i="23"/>
  <c r="J442" i="23"/>
  <c r="K442" i="23"/>
  <c r="L442" i="23"/>
  <c r="M442" i="23"/>
  <c r="N442" i="23"/>
  <c r="O442" i="23"/>
  <c r="P442" i="23"/>
  <c r="Q442" i="23"/>
  <c r="R442" i="23"/>
  <c r="G454" i="23"/>
  <c r="H454" i="23"/>
  <c r="I454" i="23"/>
  <c r="J454" i="23"/>
  <c r="K454" i="23"/>
  <c r="L454" i="23"/>
  <c r="M454" i="23"/>
  <c r="N454" i="23"/>
  <c r="O454" i="23"/>
  <c r="P454" i="23"/>
  <c r="Q454" i="23"/>
  <c r="R454" i="23"/>
  <c r="G455" i="23"/>
  <c r="H455" i="23"/>
  <c r="I455" i="23"/>
  <c r="J455" i="23"/>
  <c r="K455" i="23"/>
  <c r="L455" i="23"/>
  <c r="M455" i="23"/>
  <c r="N455" i="23"/>
  <c r="O455" i="23"/>
  <c r="P455" i="23"/>
  <c r="Q455" i="23"/>
  <c r="R455" i="23"/>
  <c r="G456" i="23"/>
  <c r="H456" i="23"/>
  <c r="I456" i="23"/>
  <c r="J456" i="23"/>
  <c r="K456" i="23"/>
  <c r="L456" i="23"/>
  <c r="M456" i="23"/>
  <c r="N456" i="23"/>
  <c r="O456" i="23"/>
  <c r="P456" i="23"/>
  <c r="Q456" i="23"/>
  <c r="R456" i="23"/>
  <c r="G457" i="23"/>
  <c r="H457" i="23"/>
  <c r="I457" i="23"/>
  <c r="J457" i="23"/>
  <c r="K457" i="23"/>
  <c r="L457" i="23"/>
  <c r="M457" i="23"/>
  <c r="N457" i="23"/>
  <c r="O457" i="23"/>
  <c r="P457" i="23"/>
  <c r="Q457" i="23"/>
  <c r="R457" i="23"/>
  <c r="G458" i="23"/>
  <c r="H458" i="23"/>
  <c r="I458" i="23"/>
  <c r="J458" i="23"/>
  <c r="K458" i="23"/>
  <c r="L458" i="23"/>
  <c r="M458" i="23"/>
  <c r="N458" i="23"/>
  <c r="O458" i="23"/>
  <c r="P458" i="23"/>
  <c r="Q458" i="23"/>
  <c r="R458" i="23"/>
  <c r="G459" i="23"/>
  <c r="H459" i="23"/>
  <c r="I459" i="23"/>
  <c r="J459" i="23"/>
  <c r="K459" i="23"/>
  <c r="L459" i="23"/>
  <c r="M459" i="23"/>
  <c r="N459" i="23"/>
  <c r="O459" i="23"/>
  <c r="P459" i="23"/>
  <c r="Q459" i="23"/>
  <c r="R459" i="23"/>
  <c r="G460" i="23"/>
  <c r="H460" i="23"/>
  <c r="I460" i="23"/>
  <c r="J460" i="23"/>
  <c r="K460" i="23"/>
  <c r="L460" i="23"/>
  <c r="M460" i="23"/>
  <c r="N460" i="23"/>
  <c r="O460" i="23"/>
  <c r="P460" i="23"/>
  <c r="Q460" i="23"/>
  <c r="R460" i="23"/>
  <c r="G461" i="23"/>
  <c r="H461" i="23"/>
  <c r="I461" i="23"/>
  <c r="J461" i="23"/>
  <c r="K461" i="23"/>
  <c r="L461" i="23"/>
  <c r="M461" i="23"/>
  <c r="N461" i="23"/>
  <c r="O461" i="23"/>
  <c r="P461" i="23"/>
  <c r="Q461" i="23"/>
  <c r="R461" i="23"/>
  <c r="G462" i="23"/>
  <c r="H462" i="23"/>
  <c r="I462" i="23"/>
  <c r="J462" i="23"/>
  <c r="K462" i="23"/>
  <c r="L462" i="23"/>
  <c r="M462" i="23"/>
  <c r="N462" i="23"/>
  <c r="O462" i="23"/>
  <c r="P462" i="23"/>
  <c r="Q462" i="23"/>
  <c r="R462" i="23"/>
  <c r="G463" i="23"/>
  <c r="H463" i="23"/>
  <c r="I463" i="23"/>
  <c r="J463" i="23"/>
  <c r="K463" i="23"/>
  <c r="L463" i="23"/>
  <c r="M463" i="23"/>
  <c r="N463" i="23"/>
  <c r="O463" i="23"/>
  <c r="P463" i="23"/>
  <c r="Q463" i="23"/>
  <c r="R463" i="23"/>
  <c r="G464" i="23"/>
  <c r="H464" i="23"/>
  <c r="I464" i="23"/>
  <c r="J464" i="23"/>
  <c r="K464" i="23"/>
  <c r="L464" i="23"/>
  <c r="M464" i="23"/>
  <c r="N464" i="23"/>
  <c r="O464" i="23"/>
  <c r="P464" i="23"/>
  <c r="Q464" i="23"/>
  <c r="R464" i="23"/>
  <c r="G465" i="23"/>
  <c r="H465" i="23"/>
  <c r="I465" i="23"/>
  <c r="J465" i="23"/>
  <c r="K465" i="23"/>
  <c r="L465" i="23"/>
  <c r="M465" i="23"/>
  <c r="N465" i="23"/>
  <c r="O465" i="23"/>
  <c r="P465" i="23"/>
  <c r="Q465" i="23"/>
  <c r="R465" i="23"/>
  <c r="G466" i="23"/>
  <c r="H466" i="23"/>
  <c r="I466" i="23"/>
  <c r="J466" i="23"/>
  <c r="K466" i="23"/>
  <c r="L466" i="23"/>
  <c r="M466" i="23"/>
  <c r="N466" i="23"/>
  <c r="O466" i="23"/>
  <c r="P466" i="23"/>
  <c r="Q466" i="23"/>
  <c r="R466" i="23"/>
  <c r="G467" i="23"/>
  <c r="H467" i="23"/>
  <c r="I467" i="23"/>
  <c r="J467" i="23"/>
  <c r="K467" i="23"/>
  <c r="L467" i="23"/>
  <c r="M467" i="23"/>
  <c r="N467" i="23"/>
  <c r="O467" i="23"/>
  <c r="P467" i="23"/>
  <c r="Q467" i="23"/>
  <c r="R467" i="23"/>
  <c r="G468" i="23"/>
  <c r="H468" i="23"/>
  <c r="I468" i="23"/>
  <c r="J468" i="23"/>
  <c r="K468" i="23"/>
  <c r="L468" i="23"/>
  <c r="M468" i="23"/>
  <c r="N468" i="23"/>
  <c r="O468" i="23"/>
  <c r="P468" i="23"/>
  <c r="Q468" i="23"/>
  <c r="R468" i="23"/>
  <c r="G469" i="23"/>
  <c r="H469" i="23"/>
  <c r="I469" i="23"/>
  <c r="J469" i="23"/>
  <c r="K469" i="23"/>
  <c r="L469" i="23"/>
  <c r="M469" i="23"/>
  <c r="N469" i="23"/>
  <c r="O469" i="23"/>
  <c r="P469" i="23"/>
  <c r="Q469" i="23"/>
  <c r="R469" i="23"/>
  <c r="G477" i="23"/>
  <c r="H477" i="23"/>
  <c r="I477" i="23"/>
  <c r="J477" i="23"/>
  <c r="K477" i="23"/>
  <c r="L477" i="23"/>
  <c r="M477" i="23"/>
  <c r="N477" i="23"/>
  <c r="O477" i="23"/>
  <c r="P477" i="23"/>
  <c r="Q477" i="23"/>
  <c r="R477" i="23"/>
  <c r="G478" i="23"/>
  <c r="I478" i="23"/>
  <c r="J478" i="23"/>
  <c r="K478" i="23"/>
  <c r="L478" i="23"/>
  <c r="M478" i="23"/>
  <c r="N478" i="23"/>
  <c r="O478" i="23"/>
  <c r="P478" i="23"/>
  <c r="Q478" i="23"/>
  <c r="R478" i="23"/>
  <c r="G479" i="23"/>
  <c r="H479" i="23"/>
  <c r="I479" i="23"/>
  <c r="J479" i="23"/>
  <c r="K479" i="23"/>
  <c r="L479" i="23"/>
  <c r="M479" i="23"/>
  <c r="N479" i="23"/>
  <c r="O479" i="23"/>
  <c r="P479" i="23"/>
  <c r="Q479" i="23"/>
  <c r="R479" i="23"/>
  <c r="G480" i="23"/>
  <c r="H480" i="23"/>
  <c r="I480" i="23"/>
  <c r="J480" i="23"/>
  <c r="K480" i="23"/>
  <c r="L480" i="23"/>
  <c r="M480" i="23"/>
  <c r="N480" i="23"/>
  <c r="O480" i="23"/>
  <c r="P480" i="23"/>
  <c r="Q480" i="23"/>
  <c r="R480" i="23"/>
  <c r="G481" i="23"/>
  <c r="H481" i="23"/>
  <c r="I481" i="23"/>
  <c r="J481" i="23"/>
  <c r="K481" i="23"/>
  <c r="L481" i="23"/>
  <c r="M481" i="23"/>
  <c r="N481" i="23"/>
  <c r="O481" i="23"/>
  <c r="P481" i="23"/>
  <c r="Q481" i="23"/>
  <c r="R481" i="23"/>
  <c r="G482" i="23"/>
  <c r="H482" i="23"/>
  <c r="I482" i="23"/>
  <c r="J482" i="23"/>
  <c r="K482" i="23"/>
  <c r="L482" i="23"/>
  <c r="M482" i="23"/>
  <c r="N482" i="23"/>
  <c r="O482" i="23"/>
  <c r="P482" i="23"/>
  <c r="Q482" i="23"/>
  <c r="R482" i="23"/>
  <c r="G483" i="23"/>
  <c r="H483" i="23"/>
  <c r="I483" i="23"/>
  <c r="J483" i="23"/>
  <c r="K483" i="23"/>
  <c r="L483" i="23"/>
  <c r="M483" i="23"/>
  <c r="N483" i="23"/>
  <c r="O483" i="23"/>
  <c r="P483" i="23"/>
  <c r="Q483" i="23"/>
  <c r="R483" i="23"/>
  <c r="G484" i="23"/>
  <c r="H484" i="23"/>
  <c r="I484" i="23"/>
  <c r="J484" i="23"/>
  <c r="K484" i="23"/>
  <c r="L484" i="23"/>
  <c r="M484" i="23"/>
  <c r="N484" i="23"/>
  <c r="O484" i="23"/>
  <c r="P484" i="23"/>
  <c r="Q484" i="23"/>
  <c r="R484" i="23"/>
  <c r="G485" i="23"/>
  <c r="H485" i="23"/>
  <c r="I485" i="23"/>
  <c r="J485" i="23"/>
  <c r="K485" i="23"/>
  <c r="L485" i="23"/>
  <c r="M485" i="23"/>
  <c r="N485" i="23"/>
  <c r="O485" i="23"/>
  <c r="P485" i="23"/>
  <c r="Q485" i="23"/>
  <c r="R485" i="23"/>
  <c r="G486" i="23"/>
  <c r="H486" i="23"/>
  <c r="I486" i="23"/>
  <c r="J486" i="23"/>
  <c r="K486" i="23"/>
  <c r="L486" i="23"/>
  <c r="M486" i="23"/>
  <c r="N486" i="23"/>
  <c r="O486" i="23"/>
  <c r="P486" i="23"/>
  <c r="Q486" i="23"/>
  <c r="R486" i="23"/>
  <c r="G487" i="23"/>
  <c r="H487" i="23"/>
  <c r="I487" i="23"/>
  <c r="J487" i="23"/>
  <c r="K487" i="23"/>
  <c r="L487" i="23"/>
  <c r="M487" i="23"/>
  <c r="N487" i="23"/>
  <c r="O487" i="23"/>
  <c r="P487" i="23"/>
  <c r="Q487" i="23"/>
  <c r="R487" i="23"/>
  <c r="G488" i="23"/>
  <c r="H488" i="23"/>
  <c r="I488" i="23"/>
  <c r="J488" i="23"/>
  <c r="K488" i="23"/>
  <c r="L488" i="23"/>
  <c r="M488" i="23"/>
  <c r="N488" i="23"/>
  <c r="O488" i="23"/>
  <c r="P488" i="23"/>
  <c r="Q488" i="23"/>
  <c r="R488" i="23"/>
  <c r="G489" i="23"/>
  <c r="H489" i="23"/>
  <c r="I489" i="23"/>
  <c r="J489" i="23"/>
  <c r="K489" i="23"/>
  <c r="L489" i="23"/>
  <c r="M489" i="23"/>
  <c r="N489" i="23"/>
  <c r="O489" i="23"/>
  <c r="P489" i="23"/>
  <c r="Q489" i="23"/>
  <c r="R489" i="23"/>
  <c r="G490" i="23"/>
  <c r="H490" i="23"/>
  <c r="I490" i="23"/>
  <c r="J490" i="23"/>
  <c r="K490" i="23"/>
  <c r="L490" i="23"/>
  <c r="M490" i="23"/>
  <c r="N490" i="23"/>
  <c r="O490" i="23"/>
  <c r="P490" i="23"/>
  <c r="Q490" i="23"/>
  <c r="R490" i="23"/>
  <c r="G491" i="23"/>
  <c r="H491" i="23"/>
  <c r="I491" i="23"/>
  <c r="J491" i="23"/>
  <c r="K491" i="23"/>
  <c r="L491" i="23"/>
  <c r="M491" i="23"/>
  <c r="N491" i="23"/>
  <c r="O491" i="23"/>
  <c r="P491" i="23"/>
  <c r="Q491" i="23"/>
  <c r="R491" i="23"/>
  <c r="G492" i="23"/>
  <c r="H492" i="23"/>
  <c r="I492" i="23"/>
  <c r="J492" i="23"/>
  <c r="K492" i="23"/>
  <c r="L492" i="23"/>
  <c r="M492" i="23"/>
  <c r="N492" i="23"/>
  <c r="O492" i="23"/>
  <c r="P492" i="23"/>
  <c r="Q492" i="23"/>
  <c r="R492" i="23"/>
  <c r="G493" i="23"/>
  <c r="H493" i="23"/>
  <c r="I493" i="23"/>
  <c r="J493" i="23"/>
  <c r="K493" i="23"/>
  <c r="L493" i="23"/>
  <c r="M493" i="23"/>
  <c r="N493" i="23"/>
  <c r="O493" i="23"/>
  <c r="P493" i="23"/>
  <c r="Q493" i="23"/>
  <c r="R493" i="23"/>
  <c r="G499" i="23"/>
  <c r="H499" i="23"/>
  <c r="I499" i="23"/>
  <c r="J499" i="23"/>
  <c r="K499" i="23"/>
  <c r="L499" i="23"/>
  <c r="M499" i="23"/>
  <c r="N499" i="23"/>
  <c r="O499" i="23"/>
  <c r="P499" i="23"/>
  <c r="Q499" i="23"/>
  <c r="R499" i="23"/>
  <c r="G500" i="23"/>
  <c r="H500" i="23"/>
  <c r="I500" i="23"/>
  <c r="J500" i="23"/>
  <c r="K500" i="23"/>
  <c r="L500" i="23"/>
  <c r="M500" i="23"/>
  <c r="N500" i="23"/>
  <c r="O500" i="23"/>
  <c r="P500" i="23"/>
  <c r="Q500" i="23"/>
  <c r="R500" i="23"/>
  <c r="G501" i="23"/>
  <c r="H501" i="23"/>
  <c r="I501" i="23"/>
  <c r="J501" i="23"/>
  <c r="K501" i="23"/>
  <c r="L501" i="23"/>
  <c r="M501" i="23"/>
  <c r="N501" i="23"/>
  <c r="O501" i="23"/>
  <c r="P501" i="23"/>
  <c r="Q501" i="23"/>
  <c r="R501" i="23"/>
  <c r="G502" i="23"/>
  <c r="H502" i="23"/>
  <c r="I502" i="23"/>
  <c r="J502" i="23"/>
  <c r="K502" i="23"/>
  <c r="L502" i="23"/>
  <c r="M502" i="23"/>
  <c r="N502" i="23"/>
  <c r="O502" i="23"/>
  <c r="P502" i="23"/>
  <c r="Q502" i="23"/>
  <c r="R502" i="23"/>
  <c r="G503" i="23"/>
  <c r="H503" i="23"/>
  <c r="I503" i="23"/>
  <c r="J503" i="23"/>
  <c r="K503" i="23"/>
  <c r="L503" i="23"/>
  <c r="M503" i="23"/>
  <c r="N503" i="23"/>
  <c r="O503" i="23"/>
  <c r="P503" i="23"/>
  <c r="Q503" i="23"/>
  <c r="R503" i="23"/>
  <c r="G504" i="23"/>
  <c r="H504" i="23"/>
  <c r="I504" i="23"/>
  <c r="J504" i="23"/>
  <c r="K504" i="23"/>
  <c r="L504" i="23"/>
  <c r="M504" i="23"/>
  <c r="N504" i="23"/>
  <c r="O504" i="23"/>
  <c r="P504" i="23"/>
  <c r="Q504" i="23"/>
  <c r="R504" i="23"/>
  <c r="G505" i="23"/>
  <c r="H505" i="23"/>
  <c r="I505" i="23"/>
  <c r="J505" i="23"/>
  <c r="K505" i="23"/>
  <c r="L505" i="23"/>
  <c r="M505" i="23"/>
  <c r="N505" i="23"/>
  <c r="O505" i="23"/>
  <c r="P505" i="23"/>
  <c r="Q505" i="23"/>
  <c r="R505" i="23"/>
  <c r="G506" i="23"/>
  <c r="H506" i="23"/>
  <c r="I506" i="23"/>
  <c r="J506" i="23"/>
  <c r="K506" i="23"/>
  <c r="L506" i="23"/>
  <c r="M506" i="23"/>
  <c r="N506" i="23"/>
  <c r="O506" i="23"/>
  <c r="P506" i="23"/>
  <c r="Q506" i="23"/>
  <c r="R506" i="23"/>
  <c r="G507" i="23"/>
  <c r="H507" i="23"/>
  <c r="I507" i="23"/>
  <c r="J507" i="23"/>
  <c r="K507" i="23"/>
  <c r="L507" i="23"/>
  <c r="M507" i="23"/>
  <c r="N507" i="23"/>
  <c r="O507" i="23"/>
  <c r="P507" i="23"/>
  <c r="Q507" i="23"/>
  <c r="R507" i="23"/>
  <c r="G508" i="23"/>
  <c r="H508" i="23"/>
  <c r="I508" i="23"/>
  <c r="J508" i="23"/>
  <c r="K508" i="23"/>
  <c r="L508" i="23"/>
  <c r="M508" i="23"/>
  <c r="N508" i="23"/>
  <c r="O508" i="23"/>
  <c r="P508" i="23"/>
  <c r="Q508" i="23"/>
  <c r="R508" i="23"/>
  <c r="G509" i="23"/>
  <c r="H509" i="23"/>
  <c r="I509" i="23"/>
  <c r="J509" i="23"/>
  <c r="K509" i="23"/>
  <c r="L509" i="23"/>
  <c r="M509" i="23"/>
  <c r="N509" i="23"/>
  <c r="O509" i="23"/>
  <c r="P509" i="23"/>
  <c r="Q509" i="23"/>
  <c r="R509" i="23"/>
  <c r="G510" i="23"/>
  <c r="H510" i="23"/>
  <c r="I510" i="23"/>
  <c r="J510" i="23"/>
  <c r="K510" i="23"/>
  <c r="L510" i="23"/>
  <c r="M510" i="23"/>
  <c r="N510" i="23"/>
  <c r="O510" i="23"/>
  <c r="P510" i="23"/>
  <c r="Q510" i="23"/>
  <c r="R510" i="23"/>
  <c r="G511" i="23"/>
  <c r="H511" i="23"/>
  <c r="I511" i="23"/>
  <c r="J511" i="23"/>
  <c r="K511" i="23"/>
  <c r="L511" i="23"/>
  <c r="M511" i="23"/>
  <c r="N511" i="23"/>
  <c r="O511" i="23"/>
  <c r="P511" i="23"/>
  <c r="Q511" i="23"/>
  <c r="R511" i="23"/>
  <c r="G512" i="23"/>
  <c r="H512" i="23"/>
  <c r="I512" i="23"/>
  <c r="J512" i="23"/>
  <c r="K512" i="23"/>
  <c r="L512" i="23"/>
  <c r="M512" i="23"/>
  <c r="N512" i="23"/>
  <c r="O512" i="23"/>
  <c r="P512" i="23"/>
  <c r="Q512" i="23"/>
  <c r="R512" i="23"/>
  <c r="G513" i="23"/>
  <c r="H513" i="23"/>
  <c r="I513" i="23"/>
  <c r="J513" i="23"/>
  <c r="K513" i="23"/>
  <c r="L513" i="23"/>
  <c r="M513" i="23"/>
  <c r="N513" i="23"/>
  <c r="O513" i="23"/>
  <c r="P513" i="23"/>
  <c r="Q513" i="23"/>
  <c r="R513" i="23"/>
  <c r="G514" i="23"/>
  <c r="H514" i="23"/>
  <c r="I514" i="23"/>
  <c r="J514" i="23"/>
  <c r="K514" i="23"/>
  <c r="L514" i="23"/>
  <c r="M514" i="23"/>
  <c r="N514" i="23"/>
  <c r="O514" i="23"/>
  <c r="P514" i="23"/>
  <c r="Q514" i="23"/>
  <c r="R514" i="23"/>
  <c r="G515" i="23"/>
  <c r="H515" i="23"/>
  <c r="I515" i="23"/>
  <c r="J515" i="23"/>
  <c r="K515" i="23"/>
  <c r="L515" i="23"/>
  <c r="M515" i="23"/>
  <c r="N515" i="23"/>
  <c r="O515" i="23"/>
  <c r="P515" i="23"/>
  <c r="Q515" i="23"/>
  <c r="R515" i="23"/>
  <c r="G516" i="23"/>
  <c r="H516" i="23"/>
  <c r="I516" i="23"/>
  <c r="J516" i="23"/>
  <c r="K516" i="23"/>
  <c r="L516" i="23"/>
  <c r="M516" i="23"/>
  <c r="N516" i="23"/>
  <c r="O516" i="23"/>
  <c r="P516" i="23"/>
  <c r="Q516" i="23"/>
  <c r="R516" i="23"/>
  <c r="G517" i="23"/>
  <c r="H517" i="23"/>
  <c r="I517" i="23"/>
  <c r="J517" i="23"/>
  <c r="K517" i="23"/>
  <c r="L517" i="23"/>
  <c r="M517" i="23"/>
  <c r="N517" i="23"/>
  <c r="O517" i="23"/>
  <c r="P517" i="23"/>
  <c r="Q517" i="23"/>
  <c r="R517" i="23"/>
  <c r="G518" i="23"/>
  <c r="H518" i="23"/>
  <c r="I518" i="23"/>
  <c r="J518" i="23"/>
  <c r="K518" i="23"/>
  <c r="L518" i="23"/>
  <c r="M518" i="23"/>
  <c r="N518" i="23"/>
  <c r="O518" i="23"/>
  <c r="P518" i="23"/>
  <c r="Q518" i="23"/>
  <c r="R518" i="23"/>
  <c r="G519" i="23"/>
  <c r="H519" i="23"/>
  <c r="I519" i="23"/>
  <c r="J519" i="23"/>
  <c r="K519" i="23"/>
  <c r="L519" i="23"/>
  <c r="M519" i="23"/>
  <c r="N519" i="23"/>
  <c r="O519" i="23"/>
  <c r="P519" i="23"/>
  <c r="Q519" i="23"/>
  <c r="R519" i="23"/>
  <c r="G521" i="23"/>
  <c r="H521" i="23"/>
  <c r="I521" i="23"/>
  <c r="J521" i="23"/>
  <c r="K521" i="23"/>
  <c r="L521" i="23"/>
  <c r="M521" i="23"/>
  <c r="N521" i="23"/>
  <c r="O521" i="23"/>
  <c r="P521" i="23"/>
  <c r="Q521" i="23"/>
  <c r="R521" i="23"/>
  <c r="G522" i="23"/>
  <c r="H522" i="23"/>
  <c r="I522" i="23"/>
  <c r="J522" i="23"/>
  <c r="K522" i="23"/>
  <c r="L522" i="23"/>
  <c r="M522" i="23"/>
  <c r="N522" i="23"/>
  <c r="O522" i="23"/>
  <c r="P522" i="23"/>
  <c r="Q522" i="23"/>
  <c r="R522" i="23"/>
  <c r="G523" i="23"/>
  <c r="H523" i="23"/>
  <c r="I523" i="23"/>
  <c r="J523" i="23"/>
  <c r="K523" i="23"/>
  <c r="L523" i="23"/>
  <c r="M523" i="23"/>
  <c r="N523" i="23"/>
  <c r="O523" i="23"/>
  <c r="P523" i="23"/>
  <c r="Q523" i="23"/>
  <c r="R523" i="23"/>
  <c r="G524" i="23"/>
  <c r="H524" i="23"/>
  <c r="I524" i="23"/>
  <c r="J524" i="23"/>
  <c r="K524" i="23"/>
  <c r="L524" i="23"/>
  <c r="M524" i="23"/>
  <c r="N524" i="23"/>
  <c r="O524" i="23"/>
  <c r="P524" i="23"/>
  <c r="Q524" i="23"/>
  <c r="R524" i="23"/>
  <c r="G525" i="23"/>
  <c r="H525" i="23"/>
  <c r="I525" i="23"/>
  <c r="J525" i="23"/>
  <c r="K525" i="23"/>
  <c r="L525" i="23"/>
  <c r="M525" i="23"/>
  <c r="N525" i="23"/>
  <c r="O525" i="23"/>
  <c r="P525" i="23"/>
  <c r="Q525" i="23"/>
  <c r="R525" i="23"/>
  <c r="G526" i="23"/>
  <c r="H526" i="23"/>
  <c r="I526" i="23"/>
  <c r="J526" i="23"/>
  <c r="K526" i="23"/>
  <c r="L526" i="23"/>
  <c r="M526" i="23"/>
  <c r="N526" i="23"/>
  <c r="O526" i="23"/>
  <c r="P526" i="23"/>
  <c r="Q526" i="23"/>
  <c r="R526" i="23"/>
  <c r="G527" i="23"/>
  <c r="H527" i="23"/>
  <c r="I527" i="23"/>
  <c r="J527" i="23"/>
  <c r="K527" i="23"/>
  <c r="L527" i="23"/>
  <c r="M527" i="23"/>
  <c r="N527" i="23"/>
  <c r="O527" i="23"/>
  <c r="P527" i="23"/>
  <c r="Q527" i="23"/>
  <c r="R527" i="23"/>
  <c r="G528" i="23"/>
  <c r="H528" i="23"/>
  <c r="I528" i="23"/>
  <c r="J528" i="23"/>
  <c r="K528" i="23"/>
  <c r="L528" i="23"/>
  <c r="M528" i="23"/>
  <c r="N528" i="23"/>
  <c r="O528" i="23"/>
  <c r="P528" i="23"/>
  <c r="Q528" i="23"/>
  <c r="R528" i="23"/>
  <c r="G529" i="23"/>
  <c r="H529" i="23"/>
  <c r="I529" i="23"/>
  <c r="J529" i="23"/>
  <c r="K529" i="23"/>
  <c r="L529" i="23"/>
  <c r="M529" i="23"/>
  <c r="N529" i="23"/>
  <c r="O529" i="23"/>
  <c r="P529" i="23"/>
  <c r="Q529" i="23"/>
  <c r="R529" i="23"/>
  <c r="G530" i="23"/>
  <c r="H530" i="23"/>
  <c r="I530" i="23"/>
  <c r="J530" i="23"/>
  <c r="K530" i="23"/>
  <c r="L530" i="23"/>
  <c r="M530" i="23"/>
  <c r="N530" i="23"/>
  <c r="O530" i="23"/>
  <c r="P530" i="23"/>
  <c r="Q530" i="23"/>
  <c r="R530" i="23"/>
  <c r="G531" i="23"/>
  <c r="H531" i="23"/>
  <c r="I531" i="23"/>
  <c r="J531" i="23"/>
  <c r="K531" i="23"/>
  <c r="L531" i="23"/>
  <c r="M531" i="23"/>
  <c r="N531" i="23"/>
  <c r="O531" i="23"/>
  <c r="P531" i="23"/>
  <c r="Q531" i="23"/>
  <c r="R531" i="23"/>
  <c r="G532" i="23"/>
  <c r="H532" i="23"/>
  <c r="I532" i="23"/>
  <c r="J532" i="23"/>
  <c r="K532" i="23"/>
  <c r="L532" i="23"/>
  <c r="M532" i="23"/>
  <c r="N532" i="23"/>
  <c r="O532" i="23"/>
  <c r="P532" i="23"/>
  <c r="Q532" i="23"/>
  <c r="R532" i="23"/>
  <c r="G533" i="23"/>
  <c r="H533" i="23"/>
  <c r="I533" i="23"/>
  <c r="J533" i="23"/>
  <c r="K533" i="23"/>
  <c r="L533" i="23"/>
  <c r="M533" i="23"/>
  <c r="N533" i="23"/>
  <c r="O533" i="23"/>
  <c r="P533" i="23"/>
  <c r="Q533" i="23"/>
  <c r="R533" i="23"/>
  <c r="G543" i="23"/>
  <c r="H543" i="23"/>
  <c r="I543" i="23"/>
  <c r="J543" i="23"/>
  <c r="K543" i="23"/>
  <c r="L543" i="23"/>
  <c r="M543" i="23"/>
  <c r="N543" i="23"/>
  <c r="O543" i="23"/>
  <c r="P543" i="23"/>
  <c r="Q543" i="23"/>
  <c r="R543" i="23"/>
  <c r="G544" i="23"/>
  <c r="H544" i="23"/>
  <c r="I544" i="23"/>
  <c r="J544" i="23"/>
  <c r="K544" i="23"/>
  <c r="L544" i="23"/>
  <c r="M544" i="23"/>
  <c r="N544" i="23"/>
  <c r="O544" i="23"/>
  <c r="P544" i="23"/>
  <c r="Q544" i="23"/>
  <c r="R544" i="23"/>
  <c r="G545" i="23"/>
  <c r="H545" i="23"/>
  <c r="I545" i="23"/>
  <c r="J545" i="23"/>
  <c r="K545" i="23"/>
  <c r="L545" i="23"/>
  <c r="M545" i="23"/>
  <c r="N545" i="23"/>
  <c r="O545" i="23"/>
  <c r="P545" i="23"/>
  <c r="Q545" i="23"/>
  <c r="R545" i="23"/>
  <c r="G546" i="23"/>
  <c r="H546" i="23"/>
  <c r="I546" i="23"/>
  <c r="J546" i="23"/>
  <c r="K546" i="23"/>
  <c r="L546" i="23"/>
  <c r="M546" i="23"/>
  <c r="N546" i="23"/>
  <c r="O546" i="23"/>
  <c r="P546" i="23"/>
  <c r="Q546" i="23"/>
  <c r="R546" i="23"/>
  <c r="G547" i="23"/>
  <c r="H547" i="23"/>
  <c r="I547" i="23"/>
  <c r="J547" i="23"/>
  <c r="K547" i="23"/>
  <c r="L547" i="23"/>
  <c r="M547" i="23"/>
  <c r="N547" i="23"/>
  <c r="O547" i="23"/>
  <c r="P547" i="23"/>
  <c r="Q547" i="23"/>
  <c r="R547" i="23"/>
  <c r="G548" i="23"/>
  <c r="H548" i="23"/>
  <c r="I548" i="23"/>
  <c r="J548" i="23"/>
  <c r="K548" i="23"/>
  <c r="L548" i="23"/>
  <c r="M548" i="23"/>
  <c r="N548" i="23"/>
  <c r="O548" i="23"/>
  <c r="P548" i="23"/>
  <c r="Q548" i="23"/>
  <c r="R548" i="23"/>
  <c r="G549" i="23"/>
  <c r="H549" i="23"/>
  <c r="I549" i="23"/>
  <c r="J549" i="23"/>
  <c r="K549" i="23"/>
  <c r="L549" i="23"/>
  <c r="M549" i="23"/>
  <c r="N549" i="23"/>
  <c r="O549" i="23"/>
  <c r="P549" i="23"/>
  <c r="Q549" i="23"/>
  <c r="R549" i="23"/>
  <c r="G550" i="23"/>
  <c r="H550" i="23"/>
  <c r="I550" i="23"/>
  <c r="J550" i="23"/>
  <c r="K550" i="23"/>
  <c r="L550" i="23"/>
  <c r="M550" i="23"/>
  <c r="N550" i="23"/>
  <c r="O550" i="23"/>
  <c r="P550" i="23"/>
  <c r="Q550" i="23"/>
  <c r="R550" i="23"/>
  <c r="G551" i="23"/>
  <c r="H551" i="23"/>
  <c r="I551" i="23"/>
  <c r="J551" i="23"/>
  <c r="K551" i="23"/>
  <c r="L551" i="23"/>
  <c r="M551" i="23"/>
  <c r="N551" i="23"/>
  <c r="O551" i="23"/>
  <c r="P551" i="23"/>
  <c r="Q551" i="23"/>
  <c r="R551" i="23"/>
  <c r="G552" i="23"/>
  <c r="H552" i="23"/>
  <c r="I552" i="23"/>
  <c r="J552" i="23"/>
  <c r="K552" i="23"/>
  <c r="L552" i="23"/>
  <c r="M552" i="23"/>
  <c r="N552" i="23"/>
  <c r="O552" i="23"/>
  <c r="P552" i="23"/>
  <c r="Q552" i="23"/>
  <c r="R552" i="23"/>
  <c r="G553" i="23"/>
  <c r="H553" i="23"/>
  <c r="I553" i="23"/>
  <c r="J553" i="23"/>
  <c r="K553" i="23"/>
  <c r="L553" i="23"/>
  <c r="M553" i="23"/>
  <c r="N553" i="23"/>
  <c r="O553" i="23"/>
  <c r="P553" i="23"/>
  <c r="Q553" i="23"/>
  <c r="R553" i="23"/>
  <c r="G554" i="23"/>
  <c r="H554" i="23"/>
  <c r="I554" i="23"/>
  <c r="J554" i="23"/>
  <c r="K554" i="23"/>
  <c r="L554" i="23"/>
  <c r="M554" i="23"/>
  <c r="N554" i="23"/>
  <c r="O554" i="23"/>
  <c r="P554" i="23"/>
  <c r="Q554" i="23"/>
  <c r="R554" i="23"/>
  <c r="G555" i="23"/>
  <c r="H555" i="23"/>
  <c r="I555" i="23"/>
  <c r="J555" i="23"/>
  <c r="K555" i="23"/>
  <c r="L555" i="23"/>
  <c r="M555" i="23"/>
  <c r="N555" i="23"/>
  <c r="O555" i="23"/>
  <c r="P555" i="23"/>
  <c r="Q555" i="23"/>
  <c r="R555" i="23"/>
  <c r="G556" i="23"/>
  <c r="H556" i="23"/>
  <c r="I556" i="23"/>
  <c r="J556" i="23"/>
  <c r="K556" i="23"/>
  <c r="L556" i="23"/>
  <c r="M556" i="23"/>
  <c r="N556" i="23"/>
  <c r="O556" i="23"/>
  <c r="P556" i="23"/>
  <c r="Q556" i="23"/>
  <c r="R556" i="23"/>
  <c r="G557" i="23"/>
  <c r="H557" i="23"/>
  <c r="I557" i="23"/>
  <c r="J557" i="23"/>
  <c r="K557" i="23"/>
  <c r="L557" i="23"/>
  <c r="M557" i="23"/>
  <c r="N557" i="23"/>
  <c r="O557" i="23"/>
  <c r="P557" i="23"/>
  <c r="Q557" i="23"/>
  <c r="R557" i="23"/>
  <c r="G558" i="23"/>
  <c r="H558" i="23"/>
  <c r="I558" i="23"/>
  <c r="J558" i="23"/>
  <c r="K558" i="23"/>
  <c r="L558" i="23"/>
  <c r="M558" i="23"/>
  <c r="N558" i="23"/>
  <c r="O558" i="23"/>
  <c r="P558" i="23"/>
  <c r="Q558" i="23"/>
  <c r="R558" i="23"/>
  <c r="G559" i="23"/>
  <c r="H559" i="23"/>
  <c r="I559" i="23"/>
  <c r="J559" i="23"/>
  <c r="K559" i="23"/>
  <c r="L559" i="23"/>
  <c r="M559" i="23"/>
  <c r="N559" i="23"/>
  <c r="O559" i="23"/>
  <c r="P559" i="23"/>
  <c r="Q559" i="23"/>
  <c r="R559" i="23"/>
  <c r="G560" i="23"/>
  <c r="H560" i="23"/>
  <c r="I560" i="23"/>
  <c r="J560" i="23"/>
  <c r="K560" i="23"/>
  <c r="L560" i="23"/>
  <c r="M560" i="23"/>
  <c r="N560" i="23"/>
  <c r="O560" i="23"/>
  <c r="P560" i="23"/>
  <c r="Q560" i="23"/>
  <c r="R560" i="23"/>
  <c r="G561" i="23"/>
  <c r="H561" i="23"/>
  <c r="I561" i="23"/>
  <c r="J561" i="23"/>
  <c r="K561" i="23"/>
  <c r="L561" i="23"/>
  <c r="M561" i="23"/>
  <c r="N561" i="23"/>
  <c r="O561" i="23"/>
  <c r="P561" i="23"/>
  <c r="Q561" i="23"/>
  <c r="R561" i="23"/>
  <c r="G562" i="23"/>
  <c r="H562" i="23"/>
  <c r="I562" i="23"/>
  <c r="J562" i="23"/>
  <c r="K562" i="23"/>
  <c r="L562" i="23"/>
  <c r="M562" i="23"/>
  <c r="N562" i="23"/>
  <c r="O562" i="23"/>
  <c r="P562" i="23"/>
  <c r="Q562" i="23"/>
  <c r="R562" i="23"/>
  <c r="G566" i="23"/>
  <c r="H566" i="23"/>
  <c r="I566" i="23"/>
  <c r="J566" i="23"/>
  <c r="K566" i="23"/>
  <c r="L566" i="23"/>
  <c r="M566" i="23"/>
  <c r="N566" i="23"/>
  <c r="O566" i="23"/>
  <c r="P566" i="23"/>
  <c r="Q566" i="23"/>
  <c r="R566" i="23"/>
  <c r="G567" i="23"/>
  <c r="H567" i="23"/>
  <c r="I567" i="23"/>
  <c r="J567" i="23"/>
  <c r="K567" i="23"/>
  <c r="L567" i="23"/>
  <c r="M567" i="23"/>
  <c r="N567" i="23"/>
  <c r="O567" i="23"/>
  <c r="P567" i="23"/>
  <c r="Q567" i="23"/>
  <c r="R567" i="23"/>
  <c r="G568" i="23"/>
  <c r="H568" i="23"/>
  <c r="I568" i="23"/>
  <c r="J568" i="23"/>
  <c r="K568" i="23"/>
  <c r="L568" i="23"/>
  <c r="M568" i="23"/>
  <c r="N568" i="23"/>
  <c r="O568" i="23"/>
  <c r="P568" i="23"/>
  <c r="Q568" i="23"/>
  <c r="R568" i="23"/>
  <c r="G569" i="23"/>
  <c r="H569" i="23"/>
  <c r="I569" i="23"/>
  <c r="J569" i="23"/>
  <c r="K569" i="23"/>
  <c r="L569" i="23"/>
  <c r="M569" i="23"/>
  <c r="N569" i="23"/>
  <c r="O569" i="23"/>
  <c r="P569" i="23"/>
  <c r="Q569" i="23"/>
  <c r="R569" i="23"/>
  <c r="G570" i="23"/>
  <c r="H570" i="23"/>
  <c r="I570" i="23"/>
  <c r="J570" i="23"/>
  <c r="K570" i="23"/>
  <c r="L570" i="23"/>
  <c r="M570" i="23"/>
  <c r="N570" i="23"/>
  <c r="O570" i="23"/>
  <c r="P570" i="23"/>
  <c r="Q570" i="23"/>
  <c r="R570" i="23"/>
  <c r="G571" i="23"/>
  <c r="H571" i="23"/>
  <c r="I571" i="23"/>
  <c r="J571" i="23"/>
  <c r="K571" i="23"/>
  <c r="L571" i="23"/>
  <c r="M571" i="23"/>
  <c r="N571" i="23"/>
  <c r="O571" i="23"/>
  <c r="P571" i="23"/>
  <c r="Q571" i="23"/>
  <c r="R571" i="23"/>
  <c r="G572" i="23"/>
  <c r="H572" i="23"/>
  <c r="I572" i="23"/>
  <c r="J572" i="23"/>
  <c r="K572" i="23"/>
  <c r="L572" i="23"/>
  <c r="M572" i="23"/>
  <c r="N572" i="23"/>
  <c r="O572" i="23"/>
  <c r="P572" i="23"/>
  <c r="Q572" i="23"/>
  <c r="R572" i="23"/>
  <c r="G573" i="23"/>
  <c r="H573" i="23"/>
  <c r="I573" i="23"/>
  <c r="J573" i="23"/>
  <c r="K573" i="23"/>
  <c r="L573" i="23"/>
  <c r="M573" i="23"/>
  <c r="N573" i="23"/>
  <c r="O573" i="23"/>
  <c r="P573" i="23"/>
  <c r="Q573" i="23"/>
  <c r="R573" i="23"/>
  <c r="G574" i="23"/>
  <c r="H574" i="23"/>
  <c r="I574" i="23"/>
  <c r="J574" i="23"/>
  <c r="K574" i="23"/>
  <c r="L574" i="23"/>
  <c r="M574" i="23"/>
  <c r="N574" i="23"/>
  <c r="O574" i="23"/>
  <c r="P574" i="23"/>
  <c r="Q574" i="23"/>
  <c r="R574" i="23"/>
  <c r="G575" i="23"/>
  <c r="H575" i="23"/>
  <c r="I575" i="23"/>
  <c r="J575" i="23"/>
  <c r="K575" i="23"/>
  <c r="L575" i="23"/>
  <c r="M575" i="23"/>
  <c r="N575" i="23"/>
  <c r="O575" i="23"/>
  <c r="P575" i="23"/>
  <c r="Q575" i="23"/>
  <c r="R575" i="23"/>
  <c r="G576" i="23"/>
  <c r="H576" i="23"/>
  <c r="I576" i="23"/>
  <c r="J576" i="23"/>
  <c r="K576" i="23"/>
  <c r="L576" i="23"/>
  <c r="M576" i="23"/>
  <c r="N576" i="23"/>
  <c r="O576" i="23"/>
  <c r="P576" i="23"/>
  <c r="Q576" i="23"/>
  <c r="R576" i="23"/>
  <c r="G577" i="23"/>
  <c r="H577" i="23"/>
  <c r="I577" i="23"/>
  <c r="J577" i="23"/>
  <c r="K577" i="23"/>
  <c r="L577" i="23"/>
  <c r="M577" i="23"/>
  <c r="N577" i="23"/>
  <c r="O577" i="23"/>
  <c r="P577" i="23"/>
  <c r="Q577" i="23"/>
  <c r="R577" i="23"/>
  <c r="G578" i="23"/>
  <c r="H578" i="23"/>
  <c r="I578" i="23"/>
  <c r="J578" i="23"/>
  <c r="K578" i="23"/>
  <c r="L578" i="23"/>
  <c r="M578" i="23"/>
  <c r="N578" i="23"/>
  <c r="O578" i="23"/>
  <c r="P578" i="23"/>
  <c r="Q578" i="23"/>
  <c r="R578" i="23"/>
  <c r="G579" i="23"/>
  <c r="H579" i="23"/>
  <c r="I579" i="23"/>
  <c r="J579" i="23"/>
  <c r="K579" i="23"/>
  <c r="L579" i="23"/>
  <c r="M579" i="23"/>
  <c r="N579" i="23"/>
  <c r="O579" i="23"/>
  <c r="P579" i="23"/>
  <c r="Q579" i="23"/>
  <c r="R579" i="23"/>
  <c r="G580" i="23"/>
  <c r="H580" i="23"/>
  <c r="I580" i="23"/>
  <c r="J580" i="23"/>
  <c r="K580" i="23"/>
  <c r="L580" i="23"/>
  <c r="M580" i="23"/>
  <c r="N580" i="23"/>
  <c r="O580" i="23"/>
  <c r="P580" i="23"/>
  <c r="Q580" i="23"/>
  <c r="R580" i="23"/>
  <c r="G581" i="23"/>
  <c r="H581" i="23"/>
  <c r="I581" i="23"/>
  <c r="J581" i="23"/>
  <c r="K581" i="23"/>
  <c r="L581" i="23"/>
  <c r="M581" i="23"/>
  <c r="N581" i="23"/>
  <c r="O581" i="23"/>
  <c r="P581" i="23"/>
  <c r="Q581" i="23"/>
  <c r="R581" i="23"/>
  <c r="G582" i="23"/>
  <c r="H582" i="23"/>
  <c r="I582" i="23"/>
  <c r="J582" i="23"/>
  <c r="K582" i="23"/>
  <c r="L582" i="23"/>
  <c r="M582" i="23"/>
  <c r="N582" i="23"/>
  <c r="O582" i="23"/>
  <c r="P582" i="23"/>
  <c r="Q582" i="23"/>
  <c r="R582" i="23"/>
  <c r="G583" i="23"/>
  <c r="H583" i="23"/>
  <c r="I583" i="23"/>
  <c r="J583" i="23"/>
  <c r="K583" i="23"/>
  <c r="L583" i="23"/>
  <c r="M583" i="23"/>
  <c r="N583" i="23"/>
  <c r="O583" i="23"/>
  <c r="P583" i="23"/>
  <c r="Q583" i="23"/>
  <c r="R583" i="23"/>
  <c r="G584" i="23"/>
  <c r="H584" i="23"/>
  <c r="I584" i="23"/>
  <c r="J584" i="23"/>
  <c r="K584" i="23"/>
  <c r="L584" i="23"/>
  <c r="M584" i="23"/>
  <c r="N584" i="23"/>
  <c r="O584" i="23"/>
  <c r="P584" i="23"/>
  <c r="Q584" i="23"/>
  <c r="R584" i="23"/>
  <c r="G588" i="23"/>
  <c r="H588" i="23"/>
  <c r="I588" i="23"/>
  <c r="J588" i="23"/>
  <c r="K588" i="23"/>
  <c r="L588" i="23"/>
  <c r="M588" i="23"/>
  <c r="N588" i="23"/>
  <c r="O588" i="23"/>
  <c r="P588" i="23"/>
  <c r="Q588" i="23"/>
  <c r="R588" i="23"/>
  <c r="G589" i="23"/>
  <c r="H589" i="23"/>
  <c r="I589" i="23"/>
  <c r="J589" i="23"/>
  <c r="K589" i="23"/>
  <c r="L589" i="23"/>
  <c r="M589" i="23"/>
  <c r="N589" i="23"/>
  <c r="O589" i="23"/>
  <c r="P589" i="23"/>
  <c r="Q589" i="23"/>
  <c r="R589" i="23"/>
  <c r="G590" i="23"/>
  <c r="H590" i="23"/>
  <c r="I590" i="23"/>
  <c r="J590" i="23"/>
  <c r="K590" i="23"/>
  <c r="L590" i="23"/>
  <c r="M590" i="23"/>
  <c r="N590" i="23"/>
  <c r="O590" i="23"/>
  <c r="P590" i="23"/>
  <c r="Q590" i="23"/>
  <c r="R590" i="23"/>
  <c r="G591" i="23"/>
  <c r="H591" i="23"/>
  <c r="I591" i="23"/>
  <c r="J591" i="23"/>
  <c r="K591" i="23"/>
  <c r="L591" i="23"/>
  <c r="M591" i="23"/>
  <c r="N591" i="23"/>
  <c r="O591" i="23"/>
  <c r="P591" i="23"/>
  <c r="Q591" i="23"/>
  <c r="R591" i="23"/>
  <c r="G592" i="23"/>
  <c r="H592" i="23"/>
  <c r="I592" i="23"/>
  <c r="J592" i="23"/>
  <c r="K592" i="23"/>
  <c r="L592" i="23"/>
  <c r="M592" i="23"/>
  <c r="N592" i="23"/>
  <c r="O592" i="23"/>
  <c r="P592" i="23"/>
  <c r="Q592" i="23"/>
  <c r="R592" i="23"/>
  <c r="G593" i="23"/>
  <c r="H593" i="23"/>
  <c r="I593" i="23"/>
  <c r="J593" i="23"/>
  <c r="K593" i="23"/>
  <c r="L593" i="23"/>
  <c r="M593" i="23"/>
  <c r="N593" i="23"/>
  <c r="O593" i="23"/>
  <c r="P593" i="23"/>
  <c r="Q593" i="23"/>
  <c r="R593" i="23"/>
  <c r="G594" i="23"/>
  <c r="H594" i="23"/>
  <c r="I594" i="23"/>
  <c r="J594" i="23"/>
  <c r="K594" i="23"/>
  <c r="L594" i="23"/>
  <c r="M594" i="23"/>
  <c r="N594" i="23"/>
  <c r="O594" i="23"/>
  <c r="P594" i="23"/>
  <c r="Q594" i="23"/>
  <c r="R594" i="23"/>
  <c r="G595" i="23"/>
  <c r="H595" i="23"/>
  <c r="I595" i="23"/>
  <c r="J595" i="23"/>
  <c r="K595" i="23"/>
  <c r="L595" i="23"/>
  <c r="M595" i="23"/>
  <c r="N595" i="23"/>
  <c r="O595" i="23"/>
  <c r="P595" i="23"/>
  <c r="Q595" i="23"/>
  <c r="R595" i="23"/>
  <c r="F595" i="23"/>
  <c r="F594" i="23"/>
  <c r="F593" i="23"/>
  <c r="F592" i="23"/>
  <c r="F591" i="23"/>
  <c r="F590" i="23"/>
  <c r="F589" i="23"/>
  <c r="F588" i="23"/>
  <c r="F584" i="23"/>
  <c r="F583" i="23"/>
  <c r="F582" i="23"/>
  <c r="F581" i="23"/>
  <c r="F580" i="23"/>
  <c r="F579" i="23"/>
  <c r="F578" i="23"/>
  <c r="F577" i="23"/>
  <c r="F576" i="23"/>
  <c r="F575" i="23"/>
  <c r="F574" i="23"/>
  <c r="F573" i="23"/>
  <c r="F572" i="23"/>
  <c r="F571" i="23"/>
  <c r="F570" i="23"/>
  <c r="F569" i="23"/>
  <c r="F568" i="23"/>
  <c r="F567" i="23"/>
  <c r="F566" i="23"/>
  <c r="F562" i="23"/>
  <c r="F561" i="23"/>
  <c r="F560" i="23"/>
  <c r="F559" i="23"/>
  <c r="F558" i="23"/>
  <c r="F557" i="23"/>
  <c r="F556" i="23"/>
  <c r="F555" i="23"/>
  <c r="F554" i="23"/>
  <c r="F553" i="23"/>
  <c r="F552" i="23"/>
  <c r="F551" i="23"/>
  <c r="F550" i="23"/>
  <c r="F549" i="23"/>
  <c r="F548" i="23"/>
  <c r="F547" i="23"/>
  <c r="F546" i="23"/>
  <c r="F545" i="23"/>
  <c r="F544" i="23"/>
  <c r="F543" i="23"/>
  <c r="F534" i="23"/>
  <c r="F533" i="23"/>
  <c r="F532" i="23"/>
  <c r="F531" i="23"/>
  <c r="F530" i="23"/>
  <c r="F529" i="23"/>
  <c r="F528" i="23"/>
  <c r="F527" i="23"/>
  <c r="F526" i="23"/>
  <c r="F525" i="23"/>
  <c r="F524" i="23"/>
  <c r="F523" i="23"/>
  <c r="F522" i="23"/>
  <c r="F521" i="23"/>
  <c r="F519" i="23"/>
  <c r="F518" i="23"/>
  <c r="F517" i="23"/>
  <c r="F516" i="23"/>
  <c r="F515" i="23"/>
  <c r="F514" i="23"/>
  <c r="F513" i="23"/>
  <c r="F512" i="23"/>
  <c r="F511" i="23"/>
  <c r="F510" i="23"/>
  <c r="F509" i="23"/>
  <c r="F508" i="23"/>
  <c r="F507" i="23"/>
  <c r="F506" i="23"/>
  <c r="F505" i="23"/>
  <c r="F504" i="23"/>
  <c r="F503" i="23"/>
  <c r="F502" i="23"/>
  <c r="F501" i="23"/>
  <c r="F500" i="23"/>
  <c r="F499" i="23"/>
  <c r="F493" i="23"/>
  <c r="F492" i="23"/>
  <c r="F491" i="23"/>
  <c r="F490" i="23"/>
  <c r="F489" i="23"/>
  <c r="F488" i="23"/>
  <c r="F487" i="23"/>
  <c r="F486" i="23"/>
  <c r="F485" i="23"/>
  <c r="F484" i="23"/>
  <c r="F483" i="23"/>
  <c r="F482" i="23"/>
  <c r="F481" i="23"/>
  <c r="F480" i="23"/>
  <c r="F479" i="23"/>
  <c r="F478" i="23"/>
  <c r="F477" i="23"/>
  <c r="F469" i="23"/>
  <c r="F468" i="23"/>
  <c r="F467" i="23"/>
  <c r="F466" i="23"/>
  <c r="F465" i="23"/>
  <c r="F464" i="23"/>
  <c r="F463" i="23"/>
  <c r="F462" i="23"/>
  <c r="F461" i="23"/>
  <c r="F460" i="23"/>
  <c r="F459" i="23"/>
  <c r="F458" i="23"/>
  <c r="F457" i="23"/>
  <c r="F456" i="23"/>
  <c r="F455" i="23"/>
  <c r="F454" i="23"/>
  <c r="F442" i="23"/>
  <c r="F441" i="23"/>
  <c r="F440" i="23"/>
  <c r="F439" i="23"/>
  <c r="F438" i="23"/>
  <c r="F437" i="23"/>
  <c r="F436" i="23"/>
  <c r="F435" i="23"/>
  <c r="F434" i="23"/>
  <c r="F433" i="23"/>
  <c r="F432" i="23"/>
  <c r="F431" i="23"/>
  <c r="F430" i="23"/>
  <c r="F425" i="23"/>
  <c r="F424" i="23"/>
  <c r="F423" i="23"/>
  <c r="F422" i="23"/>
  <c r="F421" i="23"/>
  <c r="F420" i="23"/>
  <c r="F419" i="23"/>
  <c r="F418" i="23"/>
  <c r="F417" i="23"/>
  <c r="F416" i="23"/>
  <c r="F415" i="23"/>
  <c r="F414" i="23"/>
  <c r="F413" i="23"/>
  <c r="F412" i="23"/>
  <c r="F411" i="23"/>
  <c r="F410" i="23"/>
  <c r="F409" i="23"/>
  <c r="F408" i="23"/>
  <c r="F407" i="23"/>
  <c r="F393" i="23"/>
  <c r="F392" i="23"/>
  <c r="F391" i="23"/>
  <c r="F390" i="23"/>
  <c r="F389" i="23"/>
  <c r="F388" i="23"/>
  <c r="F387" i="23"/>
  <c r="F386" i="23"/>
  <c r="F385" i="23"/>
  <c r="F384" i="23"/>
  <c r="F378" i="23"/>
  <c r="F377" i="23"/>
  <c r="F376" i="23"/>
  <c r="F375" i="23"/>
  <c r="F374" i="23"/>
  <c r="F373" i="23"/>
  <c r="F372" i="23"/>
  <c r="F371" i="23"/>
  <c r="F370" i="23"/>
  <c r="F369" i="23"/>
  <c r="F368" i="23"/>
  <c r="F367" i="23"/>
  <c r="F366" i="23"/>
  <c r="F365" i="23"/>
  <c r="F364" i="23"/>
  <c r="F363" i="23"/>
  <c r="F362" i="23"/>
  <c r="F351" i="23"/>
  <c r="F350" i="23"/>
  <c r="F349" i="23"/>
  <c r="F348" i="23"/>
  <c r="F347" i="23"/>
  <c r="F346" i="23"/>
  <c r="F345" i="23"/>
  <c r="F344" i="23"/>
  <c r="F343" i="23"/>
  <c r="F342" i="23"/>
  <c r="F341" i="23"/>
  <c r="F340" i="23"/>
  <c r="F338" i="23"/>
  <c r="F337" i="23"/>
  <c r="F336" i="23"/>
  <c r="F335" i="23"/>
  <c r="F334" i="23"/>
  <c r="F333" i="23"/>
  <c r="F332" i="23"/>
  <c r="F331" i="23"/>
  <c r="F330" i="23"/>
  <c r="F329" i="23"/>
  <c r="F328" i="23"/>
  <c r="F327" i="23"/>
  <c r="F326" i="23"/>
  <c r="F325" i="23"/>
  <c r="F324" i="23"/>
  <c r="F323" i="23"/>
  <c r="F322" i="23"/>
  <c r="F321" i="23"/>
  <c r="F320" i="23"/>
  <c r="F319" i="23"/>
  <c r="F312" i="23"/>
  <c r="F311" i="23"/>
  <c r="F310" i="23"/>
  <c r="F309" i="23"/>
  <c r="F308" i="23"/>
  <c r="F307" i="23"/>
  <c r="F306" i="23"/>
  <c r="F305" i="23"/>
  <c r="F304" i="23"/>
  <c r="F303" i="23"/>
  <c r="F302" i="23"/>
  <c r="F301" i="23"/>
  <c r="F300" i="23"/>
  <c r="F299" i="23"/>
  <c r="F298" i="23"/>
  <c r="F297" i="23"/>
  <c r="F296" i="23"/>
  <c r="F294" i="23"/>
  <c r="F293" i="23"/>
  <c r="F292" i="23"/>
  <c r="F291" i="23"/>
  <c r="F290" i="23"/>
  <c r="F289" i="23"/>
  <c r="F288" i="23"/>
  <c r="F287" i="23"/>
  <c r="F286" i="23"/>
  <c r="F285" i="23"/>
  <c r="F284" i="23"/>
  <c r="F283" i="23"/>
  <c r="F282" i="23"/>
  <c r="F281" i="23"/>
  <c r="F280" i="23"/>
  <c r="F279" i="23"/>
  <c r="F278" i="23"/>
  <c r="F277" i="23"/>
  <c r="F276" i="23"/>
  <c r="F275" i="23"/>
  <c r="F274" i="23"/>
  <c r="F263" i="23"/>
  <c r="F262" i="23"/>
  <c r="F261" i="23"/>
  <c r="F260" i="23"/>
  <c r="F259" i="23"/>
  <c r="F258" i="23"/>
  <c r="F257" i="23"/>
  <c r="F256" i="23"/>
  <c r="F255" i="23"/>
  <c r="F254" i="23"/>
  <c r="F253" i="23"/>
  <c r="F252" i="23"/>
  <c r="F230" i="23"/>
  <c r="F229" i="23"/>
  <c r="F228" i="23"/>
  <c r="F227" i="23"/>
  <c r="F226" i="23"/>
  <c r="F225" i="23"/>
  <c r="F224" i="23"/>
  <c r="F223" i="23"/>
  <c r="F215" i="23"/>
  <c r="F214" i="23"/>
  <c r="F213" i="23"/>
  <c r="F212" i="23"/>
  <c r="F211" i="23"/>
  <c r="F210" i="23"/>
  <c r="F209" i="23"/>
  <c r="F208" i="23"/>
  <c r="F207" i="23"/>
  <c r="F179" i="23"/>
  <c r="F178" i="23"/>
  <c r="F177" i="23"/>
  <c r="F176" i="23"/>
  <c r="F175" i="23"/>
  <c r="F174" i="23"/>
  <c r="F173" i="23"/>
  <c r="F172" i="23"/>
  <c r="F163" i="23"/>
  <c r="F162" i="23"/>
  <c r="F161" i="23"/>
  <c r="F160" i="23"/>
  <c r="F159" i="23"/>
  <c r="F158" i="23"/>
  <c r="F157" i="23"/>
  <c r="F156" i="23"/>
  <c r="F155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R5" i="23"/>
  <c r="R6" i="23"/>
  <c r="R7" i="23"/>
  <c r="R8" i="23"/>
  <c r="R9" i="23"/>
  <c r="R10" i="23"/>
  <c r="R11" i="23"/>
  <c r="R12" i="23"/>
  <c r="R13" i="23"/>
  <c r="R14" i="23"/>
  <c r="R15" i="23"/>
  <c r="R16" i="23"/>
  <c r="R25" i="23"/>
  <c r="R26" i="23"/>
  <c r="R27" i="23"/>
  <c r="R28" i="23"/>
  <c r="R29" i="23"/>
  <c r="R30" i="23"/>
  <c r="R31" i="23"/>
  <c r="R32" i="23"/>
  <c r="R33" i="23"/>
  <c r="R34" i="23"/>
  <c r="R35" i="23"/>
  <c r="R36" i="23"/>
  <c r="AB384" i="23" l="1"/>
  <c r="AB521" i="23"/>
  <c r="AB112" i="23"/>
  <c r="AB155" i="23"/>
  <c r="AB319" i="23"/>
  <c r="AB543" i="23"/>
  <c r="AB499" i="23"/>
  <c r="AB588" i="23"/>
  <c r="AB296" i="23"/>
  <c r="AB454" i="23"/>
  <c r="AB207" i="23"/>
  <c r="AB430" i="23"/>
  <c r="AB340" i="23"/>
  <c r="AB362" i="23"/>
  <c r="AB252" i="23"/>
  <c r="AB407" i="23"/>
  <c r="AB566" i="23"/>
  <c r="R46" i="23"/>
  <c r="R610" i="23"/>
  <c r="P29" i="11" l="1"/>
  <c r="G61" i="11"/>
  <c r="H61" i="11" s="1"/>
  <c r="I61" i="11"/>
  <c r="J61" i="11" s="1"/>
  <c r="K61" i="11"/>
  <c r="L61" i="11" s="1"/>
  <c r="M61" i="11"/>
  <c r="N61" i="11" s="1"/>
  <c r="O61" i="11"/>
  <c r="P61" i="11" s="1"/>
  <c r="Q61" i="11"/>
  <c r="R61" i="11" s="1"/>
  <c r="S61" i="11"/>
  <c r="T61" i="11" s="1"/>
  <c r="E31" i="11"/>
  <c r="E61" i="11" s="1"/>
  <c r="D22" i="33"/>
  <c r="F22" i="33" s="1"/>
  <c r="G22" i="33" s="1"/>
  <c r="K21" i="30"/>
  <c r="L21" i="30" s="1"/>
  <c r="E21" i="30"/>
  <c r="F21" i="30" s="1"/>
  <c r="G21" i="30" l="1"/>
  <c r="H21" i="30"/>
  <c r="M21" i="30" s="1"/>
  <c r="U39" i="24" s="1"/>
  <c r="E23" i="29"/>
  <c r="F23" i="29" l="1"/>
  <c r="H25" i="29"/>
  <c r="G25" i="29"/>
  <c r="O107" i="1"/>
  <c r="O106" i="1"/>
  <c r="O101" i="1"/>
  <c r="O100" i="1"/>
  <c r="O89" i="1"/>
  <c r="O88" i="1"/>
  <c r="O86" i="1"/>
  <c r="O85" i="1"/>
  <c r="O84" i="1"/>
  <c r="O83" i="1"/>
  <c r="O78" i="1"/>
  <c r="T37" i="25"/>
  <c r="M37" i="25"/>
  <c r="I37" i="25"/>
  <c r="U37" i="25" l="1"/>
  <c r="T52" i="28" l="1"/>
  <c r="R52" i="28"/>
  <c r="N52" i="28"/>
  <c r="J50" i="28"/>
  <c r="J49" i="28"/>
  <c r="J48" i="28"/>
  <c r="J47" i="28"/>
  <c r="J46" i="28"/>
  <c r="J45" i="28"/>
  <c r="J44" i="28"/>
  <c r="J43" i="28"/>
  <c r="J41" i="28"/>
  <c r="J40" i="28"/>
  <c r="J39" i="28"/>
  <c r="J38" i="28"/>
  <c r="J37" i="28"/>
  <c r="J36" i="28"/>
  <c r="I50" i="28"/>
  <c r="H50" i="28"/>
  <c r="G50" i="28"/>
  <c r="F50" i="28"/>
  <c r="I49" i="28"/>
  <c r="H49" i="28"/>
  <c r="G49" i="28"/>
  <c r="F49" i="28"/>
  <c r="I48" i="28"/>
  <c r="H48" i="28"/>
  <c r="G48" i="28"/>
  <c r="F48" i="28"/>
  <c r="I47" i="28"/>
  <c r="H47" i="28"/>
  <c r="G47" i="28"/>
  <c r="F47" i="28"/>
  <c r="I46" i="28"/>
  <c r="H46" i="28"/>
  <c r="G46" i="28"/>
  <c r="F46" i="28"/>
  <c r="I45" i="28"/>
  <c r="H45" i="28"/>
  <c r="G45" i="28"/>
  <c r="F45" i="28"/>
  <c r="I44" i="28"/>
  <c r="H44" i="28"/>
  <c r="G44" i="28"/>
  <c r="F44" i="28"/>
  <c r="I43" i="28"/>
  <c r="H43" i="28"/>
  <c r="G43" i="28"/>
  <c r="F43" i="28"/>
  <c r="I41" i="28"/>
  <c r="H41" i="28"/>
  <c r="G41" i="28"/>
  <c r="F41" i="28"/>
  <c r="I40" i="28"/>
  <c r="H40" i="28"/>
  <c r="G40" i="28"/>
  <c r="F40" i="28"/>
  <c r="I39" i="28"/>
  <c r="H39" i="28"/>
  <c r="G39" i="28"/>
  <c r="F39" i="28"/>
  <c r="I38" i="28"/>
  <c r="H38" i="28"/>
  <c r="G38" i="28"/>
  <c r="F38" i="28"/>
  <c r="I37" i="28"/>
  <c r="H37" i="28"/>
  <c r="G37" i="28"/>
  <c r="F37" i="28"/>
  <c r="I36" i="28"/>
  <c r="I52" i="28" s="1"/>
  <c r="H36" i="28"/>
  <c r="G36" i="28"/>
  <c r="F36" i="28"/>
  <c r="E50" i="28"/>
  <c r="E49" i="28"/>
  <c r="L49" i="28" s="1"/>
  <c r="N49" i="28" s="1"/>
  <c r="R49" i="28" s="1"/>
  <c r="E48" i="28"/>
  <c r="E47" i="28"/>
  <c r="E46" i="28"/>
  <c r="L46" i="28" s="1"/>
  <c r="N46" i="28" s="1"/>
  <c r="E45" i="28"/>
  <c r="E44" i="28"/>
  <c r="E43" i="28"/>
  <c r="E41" i="28"/>
  <c r="E40" i="28"/>
  <c r="E39" i="28"/>
  <c r="E38" i="28"/>
  <c r="E37" i="28"/>
  <c r="D52" i="28"/>
  <c r="E36" i="28"/>
  <c r="J52" i="28" l="1"/>
  <c r="H52" i="28"/>
  <c r="F52" i="28"/>
  <c r="G52" i="28"/>
  <c r="E52" i="28"/>
  <c r="L47" i="28"/>
  <c r="N47" i="28" s="1"/>
  <c r="R47" i="28" s="1"/>
  <c r="L50" i="28"/>
  <c r="N50" i="28" s="1"/>
  <c r="R50" i="28" s="1"/>
  <c r="L40" i="28"/>
  <c r="N40" i="28" s="1"/>
  <c r="R40" i="28" s="1"/>
  <c r="L44" i="28"/>
  <c r="N44" i="28" s="1"/>
  <c r="R44" i="28" s="1"/>
  <c r="L41" i="28"/>
  <c r="L45" i="28"/>
  <c r="N45" i="28" s="1"/>
  <c r="R45" i="28" s="1"/>
  <c r="L48" i="28"/>
  <c r="N48" i="28" s="1"/>
  <c r="R48" i="28" s="1"/>
  <c r="T49" i="28"/>
  <c r="T42" i="28"/>
  <c r="R46" i="28"/>
  <c r="L43" i="28"/>
  <c r="N43" i="28" s="1"/>
  <c r="R43" i="28" s="1"/>
  <c r="L39" i="28"/>
  <c r="N39" i="28" s="1"/>
  <c r="R39" i="28" s="1"/>
  <c r="L38" i="28"/>
  <c r="N38" i="28" s="1"/>
  <c r="R38" i="28" s="1"/>
  <c r="L37" i="28"/>
  <c r="N37" i="28" s="1"/>
  <c r="R37" i="28" s="1"/>
  <c r="L36" i="28"/>
  <c r="Q35" i="25"/>
  <c r="R35" i="25" s="1"/>
  <c r="R31" i="25"/>
  <c r="R14" i="25"/>
  <c r="R11" i="25"/>
  <c r="R8" i="25"/>
  <c r="R6" i="25"/>
  <c r="O259" i="1"/>
  <c r="F649" i="7"/>
  <c r="F502" i="7"/>
  <c r="F324" i="7"/>
  <c r="F487" i="7"/>
  <c r="F488" i="7"/>
  <c r="F489" i="7"/>
  <c r="F472" i="7"/>
  <c r="F471" i="7"/>
  <c r="F473" i="7"/>
  <c r="F465" i="7"/>
  <c r="O200" i="1"/>
  <c r="O193" i="1"/>
  <c r="F311" i="7"/>
  <c r="F313" i="7" s="1"/>
  <c r="L66" i="12"/>
  <c r="L64" i="12"/>
  <c r="L63" i="12"/>
  <c r="L46" i="12"/>
  <c r="L45" i="12"/>
  <c r="L44" i="12"/>
  <c r="L43" i="12"/>
  <c r="L42" i="12"/>
  <c r="L41" i="12"/>
  <c r="L40" i="12"/>
  <c r="L39" i="12"/>
  <c r="L38" i="12"/>
  <c r="Q13" i="23"/>
  <c r="M259" i="1" l="1"/>
  <c r="T50" i="28"/>
  <c r="T40" i="28"/>
  <c r="N36" i="28"/>
  <c r="R36" i="28" s="1"/>
  <c r="L52" i="28"/>
  <c r="N41" i="28"/>
  <c r="R41" i="28" s="1"/>
  <c r="T41" i="28" s="1"/>
  <c r="T43" i="28"/>
  <c r="T37" i="28"/>
  <c r="T39" i="28"/>
  <c r="T38" i="28"/>
  <c r="T36" i="28"/>
  <c r="T44" i="28"/>
  <c r="T46" i="28"/>
  <c r="T45" i="28"/>
  <c r="T47" i="28"/>
  <c r="T48" i="28"/>
  <c r="M193" i="1"/>
  <c r="O467" i="1" l="1"/>
  <c r="F26" i="41"/>
  <c r="F28" i="41" s="1"/>
  <c r="J4" i="41"/>
  <c r="M467" i="1" l="1"/>
  <c r="Q36" i="23"/>
  <c r="P36" i="23"/>
  <c r="O36" i="23"/>
  <c r="N36" i="23"/>
  <c r="M36" i="23"/>
  <c r="L36" i="23"/>
  <c r="K36" i="23"/>
  <c r="J36" i="23"/>
  <c r="I36" i="23"/>
  <c r="H36" i="23"/>
  <c r="G36" i="23"/>
  <c r="F36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Q26" i="23"/>
  <c r="P26" i="23"/>
  <c r="O26" i="23"/>
  <c r="N26" i="23"/>
  <c r="M26" i="23"/>
  <c r="L26" i="23"/>
  <c r="K26" i="23"/>
  <c r="J26" i="23"/>
  <c r="I26" i="23"/>
  <c r="H26" i="23"/>
  <c r="G26" i="23"/>
  <c r="F26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D5" i="23"/>
  <c r="F14" i="23"/>
  <c r="G14" i="23"/>
  <c r="H14" i="23"/>
  <c r="I14" i="23"/>
  <c r="J14" i="23"/>
  <c r="K14" i="23"/>
  <c r="L14" i="23"/>
  <c r="M14" i="23"/>
  <c r="N14" i="23"/>
  <c r="O14" i="23"/>
  <c r="P14" i="23"/>
  <c r="Q14" i="23"/>
  <c r="F15" i="23"/>
  <c r="G15" i="23"/>
  <c r="H15" i="23"/>
  <c r="I15" i="23"/>
  <c r="J15" i="23"/>
  <c r="K15" i="23"/>
  <c r="L15" i="23"/>
  <c r="M15" i="23"/>
  <c r="N15" i="23"/>
  <c r="O15" i="23"/>
  <c r="P15" i="23"/>
  <c r="Q15" i="23"/>
  <c r="F16" i="23"/>
  <c r="G16" i="23"/>
  <c r="H16" i="23"/>
  <c r="I16" i="23"/>
  <c r="J16" i="23"/>
  <c r="K16" i="23"/>
  <c r="L16" i="23"/>
  <c r="M16" i="23"/>
  <c r="N16" i="23"/>
  <c r="O16" i="23"/>
  <c r="P16" i="23"/>
  <c r="Q16" i="23"/>
  <c r="P13" i="23"/>
  <c r="O13" i="23"/>
  <c r="N13" i="23"/>
  <c r="M13" i="23"/>
  <c r="L13" i="23"/>
  <c r="K13" i="23"/>
  <c r="J13" i="23"/>
  <c r="I13" i="23"/>
  <c r="H13" i="23"/>
  <c r="G13" i="23"/>
  <c r="Q12" i="23"/>
  <c r="P12" i="23"/>
  <c r="O12" i="23"/>
  <c r="N12" i="23"/>
  <c r="M12" i="23"/>
  <c r="L12" i="23"/>
  <c r="K12" i="23"/>
  <c r="J12" i="23"/>
  <c r="I12" i="23"/>
  <c r="H12" i="23"/>
  <c r="G12" i="23"/>
  <c r="Q11" i="23"/>
  <c r="P11" i="23"/>
  <c r="O11" i="23"/>
  <c r="N11" i="23"/>
  <c r="M11" i="23"/>
  <c r="L11" i="23"/>
  <c r="K11" i="23"/>
  <c r="J11" i="23"/>
  <c r="I11" i="23"/>
  <c r="H11" i="23"/>
  <c r="G11" i="23"/>
  <c r="Q10" i="23"/>
  <c r="P10" i="23"/>
  <c r="O10" i="23"/>
  <c r="N10" i="23"/>
  <c r="M10" i="23"/>
  <c r="L10" i="23"/>
  <c r="K10" i="23"/>
  <c r="J10" i="23"/>
  <c r="I10" i="23"/>
  <c r="H10" i="23"/>
  <c r="G10" i="23"/>
  <c r="Q9" i="23"/>
  <c r="P9" i="23"/>
  <c r="O9" i="23"/>
  <c r="N9" i="23"/>
  <c r="M9" i="23"/>
  <c r="L9" i="23"/>
  <c r="K9" i="23"/>
  <c r="J9" i="23"/>
  <c r="I9" i="23"/>
  <c r="H9" i="23"/>
  <c r="G9" i="23"/>
  <c r="Q8" i="23"/>
  <c r="P8" i="23"/>
  <c r="O8" i="23"/>
  <c r="N8" i="23"/>
  <c r="M8" i="23"/>
  <c r="L8" i="23"/>
  <c r="K8" i="23"/>
  <c r="J8" i="23"/>
  <c r="I8" i="23"/>
  <c r="H8" i="23"/>
  <c r="G8" i="23"/>
  <c r="Q7" i="23"/>
  <c r="P7" i="23"/>
  <c r="O7" i="23"/>
  <c r="N7" i="23"/>
  <c r="M7" i="23"/>
  <c r="L7" i="23"/>
  <c r="K7" i="23"/>
  <c r="J7" i="23"/>
  <c r="I7" i="23"/>
  <c r="H7" i="23"/>
  <c r="G7" i="23"/>
  <c r="Q6" i="23"/>
  <c r="P6" i="23"/>
  <c r="O6" i="23"/>
  <c r="N6" i="23"/>
  <c r="M6" i="23"/>
  <c r="L6" i="23"/>
  <c r="K6" i="23"/>
  <c r="J6" i="23"/>
  <c r="I6" i="23"/>
  <c r="H6" i="23"/>
  <c r="G6" i="23"/>
  <c r="Q5" i="23"/>
  <c r="P5" i="23"/>
  <c r="O5" i="23"/>
  <c r="N5" i="23"/>
  <c r="M5" i="23"/>
  <c r="L5" i="23"/>
  <c r="K5" i="23"/>
  <c r="J5" i="23"/>
  <c r="I5" i="23"/>
  <c r="H5" i="23"/>
  <c r="G5" i="23"/>
  <c r="F13" i="23"/>
  <c r="F12" i="23"/>
  <c r="F11" i="23"/>
  <c r="F10" i="23"/>
  <c r="F9" i="23"/>
  <c r="F8" i="23"/>
  <c r="F7" i="23"/>
  <c r="F6" i="23"/>
  <c r="F5" i="23"/>
  <c r="F545" i="20"/>
  <c r="AB5" i="23" l="1"/>
  <c r="AB25" i="23"/>
  <c r="Q46" i="23"/>
  <c r="D499" i="23" l="1"/>
  <c r="F673" i="18"/>
  <c r="F106" i="23"/>
  <c r="F107" i="23"/>
  <c r="F108" i="23"/>
  <c r="F109" i="23"/>
  <c r="F110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AB48" i="23" l="1"/>
  <c r="AG50" i="23" s="1"/>
  <c r="AH50" i="23" s="1"/>
  <c r="AB90" i="23"/>
  <c r="D274" i="23"/>
  <c r="Q294" i="23"/>
  <c r="Q610" i="23" l="1"/>
  <c r="AB274" i="23"/>
  <c r="I39" i="24"/>
  <c r="I38" i="24"/>
  <c r="I37" i="24"/>
  <c r="O37" i="24" l="1"/>
  <c r="N21" i="30" s="1"/>
  <c r="S37" i="24"/>
  <c r="T37" i="24" s="1"/>
  <c r="O38" i="24"/>
  <c r="S38" i="24"/>
  <c r="O39" i="24"/>
  <c r="S39" i="24"/>
  <c r="G60" i="11"/>
  <c r="H60" i="11" s="1"/>
  <c r="I60" i="11"/>
  <c r="J60" i="11" s="1"/>
  <c r="K60" i="11"/>
  <c r="L60" i="11" s="1"/>
  <c r="M60" i="11"/>
  <c r="N60" i="11" s="1"/>
  <c r="O60" i="11"/>
  <c r="P60" i="11" s="1"/>
  <c r="Q60" i="11"/>
  <c r="R60" i="11" s="1"/>
  <c r="S60" i="11"/>
  <c r="T60" i="11" s="1"/>
  <c r="E30" i="11"/>
  <c r="E60" i="11" s="1"/>
  <c r="BB41" i="40"/>
  <c r="BB39" i="40"/>
  <c r="BB37" i="40"/>
  <c r="BB35" i="40"/>
  <c r="BB33" i="40"/>
  <c r="BB30" i="40"/>
  <c r="BB29" i="40"/>
  <c r="BB28" i="40"/>
  <c r="BB27" i="40"/>
  <c r="BB26" i="40"/>
  <c r="BB25" i="40"/>
  <c r="BB23" i="40"/>
  <c r="BB21" i="40"/>
  <c r="BB20" i="40"/>
  <c r="BB19" i="40"/>
  <c r="BB18" i="40"/>
  <c r="BB17" i="40"/>
  <c r="BB16" i="40"/>
  <c r="BB15" i="40"/>
  <c r="BB13" i="40"/>
  <c r="BB11" i="40"/>
  <c r="BB10" i="40"/>
  <c r="BB9" i="40"/>
  <c r="BB8" i="40"/>
  <c r="BB7" i="40"/>
  <c r="BB6" i="40"/>
  <c r="BB4" i="40"/>
  <c r="D30" i="40"/>
  <c r="D29" i="40"/>
  <c r="D28" i="40"/>
  <c r="D27" i="40"/>
  <c r="D26" i="40"/>
  <c r="D25" i="40"/>
  <c r="D13" i="40"/>
  <c r="D11" i="40"/>
  <c r="D10" i="40"/>
  <c r="D9" i="40"/>
  <c r="D8" i="40"/>
  <c r="D7" i="40"/>
  <c r="D6" i="40"/>
  <c r="D4" i="40"/>
  <c r="K20" i="30"/>
  <c r="L20" i="30" s="1"/>
  <c r="E20" i="30"/>
  <c r="F20" i="30" s="1"/>
  <c r="F21" i="33"/>
  <c r="G21" i="33" s="1"/>
  <c r="H23" i="33" s="1"/>
  <c r="G19" i="16"/>
  <c r="L17" i="12"/>
  <c r="L18" i="12"/>
  <c r="T38" i="24" l="1"/>
  <c r="T39" i="24" s="1"/>
  <c r="V39" i="24" s="1"/>
  <c r="G20" i="30"/>
  <c r="H20" i="30" s="1"/>
  <c r="M20" i="30" s="1"/>
  <c r="U36" i="24" s="1"/>
  <c r="T41" i="24" l="1"/>
  <c r="V41" i="24" s="1"/>
  <c r="T44" i="24" l="1"/>
  <c r="T45" i="24" s="1"/>
  <c r="T46" i="24" s="1"/>
  <c r="T47" i="24" s="1"/>
  <c r="T48" i="24" s="1"/>
  <c r="T49" i="24" s="1"/>
  <c r="V49" i="24" s="1"/>
  <c r="F498" i="7"/>
  <c r="F497" i="7"/>
  <c r="F496" i="7"/>
  <c r="F405" i="7"/>
  <c r="F406" i="7"/>
  <c r="F404" i="7"/>
  <c r="F403" i="7"/>
  <c r="F407" i="7"/>
  <c r="F408" i="7" l="1"/>
  <c r="F501" i="7"/>
  <c r="F500" i="7"/>
  <c r="F499" i="7"/>
  <c r="I36" i="24"/>
  <c r="O36" i="24" l="1"/>
  <c r="N20" i="30" s="1"/>
  <c r="S36" i="24"/>
  <c r="T36" i="24" s="1"/>
  <c r="V36" i="24" s="1"/>
  <c r="F411" i="7"/>
  <c r="S533" i="1" l="1"/>
  <c r="S534" i="1" s="1"/>
  <c r="O227" i="1"/>
  <c r="M214" i="1"/>
  <c r="O214" i="1"/>
  <c r="O265" i="1"/>
  <c r="F709" i="7"/>
  <c r="F711" i="7" s="1"/>
  <c r="F657" i="7"/>
  <c r="O235" i="1"/>
  <c r="F560" i="7"/>
  <c r="F464" i="7"/>
  <c r="F463" i="7"/>
  <c r="F462" i="7"/>
  <c r="F461" i="7"/>
  <c r="O192" i="1"/>
  <c r="F305" i="7"/>
  <c r="F307" i="7" s="1"/>
  <c r="F14" i="35"/>
  <c r="I4" i="38"/>
  <c r="J4" i="38"/>
  <c r="I5" i="38"/>
  <c r="J5" i="38"/>
  <c r="I6" i="38"/>
  <c r="J6" i="38"/>
  <c r="I8" i="38"/>
  <c r="J8" i="38"/>
  <c r="I9" i="38"/>
  <c r="J9" i="38"/>
  <c r="I10" i="38"/>
  <c r="J10" i="38"/>
  <c r="I11" i="38"/>
  <c r="J11" i="38"/>
  <c r="I12" i="38"/>
  <c r="J12" i="38"/>
  <c r="I13" i="38"/>
  <c r="J13" i="38"/>
  <c r="I14" i="38"/>
  <c r="J14" i="38"/>
  <c r="I15" i="38"/>
  <c r="J15" i="38"/>
  <c r="I16" i="38"/>
  <c r="J16" i="38"/>
  <c r="I17" i="38"/>
  <c r="J17" i="38"/>
  <c r="I18" i="38"/>
  <c r="J18" i="38"/>
  <c r="I19" i="38"/>
  <c r="J19" i="38"/>
  <c r="I20" i="38"/>
  <c r="J20" i="38"/>
  <c r="I21" i="38"/>
  <c r="J21" i="38"/>
  <c r="I22" i="38"/>
  <c r="J22" i="38"/>
  <c r="I23" i="38"/>
  <c r="J23" i="38"/>
  <c r="I24" i="38"/>
  <c r="J24" i="38"/>
  <c r="I25" i="38"/>
  <c r="J25" i="38"/>
  <c r="I26" i="38"/>
  <c r="J26" i="38"/>
  <c r="I27" i="38"/>
  <c r="J27" i="38"/>
  <c r="I28" i="38"/>
  <c r="J28" i="38"/>
  <c r="I30" i="38"/>
  <c r="J30" i="38"/>
  <c r="I31" i="38"/>
  <c r="J31" i="38"/>
  <c r="I32" i="38"/>
  <c r="J32" i="38"/>
  <c r="I33" i="38"/>
  <c r="J33" i="38"/>
  <c r="I34" i="38"/>
  <c r="J34" i="38"/>
  <c r="I35" i="38"/>
  <c r="J35" i="38"/>
  <c r="I36" i="38"/>
  <c r="J36" i="38"/>
  <c r="I38" i="38"/>
  <c r="J38" i="38"/>
  <c r="I39" i="38"/>
  <c r="J39" i="38"/>
  <c r="I40" i="38"/>
  <c r="J40" i="38"/>
  <c r="I41" i="38"/>
  <c r="J41" i="38"/>
  <c r="I42" i="38"/>
  <c r="J42" i="38"/>
  <c r="I43" i="38"/>
  <c r="J43" i="38"/>
  <c r="I44" i="38"/>
  <c r="J44" i="38"/>
  <c r="I46" i="38"/>
  <c r="J46" i="38"/>
  <c r="I47" i="38"/>
  <c r="J47" i="38"/>
  <c r="I48" i="38"/>
  <c r="J48" i="38"/>
  <c r="F882" i="20"/>
  <c r="M396" i="1" s="1"/>
  <c r="H48" i="38"/>
  <c r="G48" i="38"/>
  <c r="F48" i="38"/>
  <c r="E48" i="38"/>
  <c r="D48" i="38"/>
  <c r="C48" i="38"/>
  <c r="H47" i="38"/>
  <c r="G47" i="38"/>
  <c r="F47" i="38"/>
  <c r="E47" i="38"/>
  <c r="D47" i="38"/>
  <c r="C47" i="38"/>
  <c r="H46" i="38"/>
  <c r="G46" i="38"/>
  <c r="F46" i="38"/>
  <c r="E46" i="38"/>
  <c r="D46" i="38"/>
  <c r="C46" i="38"/>
  <c r="H44" i="38"/>
  <c r="G44" i="38"/>
  <c r="F44" i="38"/>
  <c r="E44" i="38"/>
  <c r="D44" i="38"/>
  <c r="C44" i="38"/>
  <c r="H43" i="38"/>
  <c r="G43" i="38"/>
  <c r="F43" i="38"/>
  <c r="E43" i="38"/>
  <c r="D43" i="38"/>
  <c r="C43" i="38"/>
  <c r="H42" i="38"/>
  <c r="G42" i="38"/>
  <c r="F42" i="38"/>
  <c r="E42" i="38"/>
  <c r="D42" i="38"/>
  <c r="C42" i="38"/>
  <c r="H41" i="38"/>
  <c r="G41" i="38"/>
  <c r="F41" i="38"/>
  <c r="E41" i="38"/>
  <c r="D41" i="38"/>
  <c r="C41" i="38"/>
  <c r="H40" i="38"/>
  <c r="G40" i="38"/>
  <c r="F40" i="38"/>
  <c r="E40" i="38"/>
  <c r="D40" i="38"/>
  <c r="C40" i="38"/>
  <c r="H39" i="38"/>
  <c r="G39" i="38"/>
  <c r="F39" i="38"/>
  <c r="E39" i="38"/>
  <c r="D39" i="38"/>
  <c r="C39" i="38"/>
  <c r="H38" i="38"/>
  <c r="G38" i="38"/>
  <c r="F38" i="38"/>
  <c r="E38" i="38"/>
  <c r="D38" i="38"/>
  <c r="C38" i="38"/>
  <c r="H36" i="38"/>
  <c r="G36" i="38"/>
  <c r="F36" i="38"/>
  <c r="E36" i="38"/>
  <c r="D36" i="38"/>
  <c r="C36" i="38"/>
  <c r="H35" i="38"/>
  <c r="G35" i="38"/>
  <c r="F35" i="38"/>
  <c r="E35" i="38"/>
  <c r="D35" i="38"/>
  <c r="C35" i="38"/>
  <c r="H34" i="38"/>
  <c r="G34" i="38"/>
  <c r="F34" i="38"/>
  <c r="E34" i="38"/>
  <c r="D34" i="38"/>
  <c r="C34" i="38"/>
  <c r="H33" i="38"/>
  <c r="G33" i="38"/>
  <c r="F33" i="38"/>
  <c r="E33" i="38"/>
  <c r="D33" i="38"/>
  <c r="C33" i="38"/>
  <c r="H32" i="38"/>
  <c r="G32" i="38"/>
  <c r="F32" i="38"/>
  <c r="E32" i="38"/>
  <c r="D32" i="38"/>
  <c r="C32" i="38"/>
  <c r="H31" i="38"/>
  <c r="G31" i="38"/>
  <c r="F31" i="38"/>
  <c r="E31" i="38"/>
  <c r="D31" i="38"/>
  <c r="C31" i="38"/>
  <c r="H30" i="38"/>
  <c r="G30" i="38"/>
  <c r="F30" i="38"/>
  <c r="E30" i="38"/>
  <c r="D30" i="38"/>
  <c r="C30" i="38"/>
  <c r="H6" i="38"/>
  <c r="G6" i="38"/>
  <c r="F6" i="38"/>
  <c r="E6" i="38"/>
  <c r="D6" i="38"/>
  <c r="C6" i="38"/>
  <c r="H5" i="38"/>
  <c r="G5" i="38"/>
  <c r="F5" i="38"/>
  <c r="E5" i="38"/>
  <c r="D5" i="38"/>
  <c r="C5" i="38"/>
  <c r="H4" i="38"/>
  <c r="G4" i="38"/>
  <c r="F4" i="38"/>
  <c r="E4" i="38"/>
  <c r="D4" i="38"/>
  <c r="C4" i="38"/>
  <c r="C9" i="38"/>
  <c r="D9" i="38"/>
  <c r="E9" i="38"/>
  <c r="F9" i="38"/>
  <c r="G9" i="38"/>
  <c r="H9" i="38"/>
  <c r="C10" i="38"/>
  <c r="D10" i="38"/>
  <c r="E10" i="38"/>
  <c r="F10" i="38"/>
  <c r="G10" i="38"/>
  <c r="H10" i="38"/>
  <c r="C11" i="38"/>
  <c r="D11" i="38"/>
  <c r="E11" i="38"/>
  <c r="F11" i="38"/>
  <c r="G11" i="38"/>
  <c r="H11" i="38"/>
  <c r="C12" i="38"/>
  <c r="D12" i="38"/>
  <c r="E12" i="38"/>
  <c r="F12" i="38"/>
  <c r="G12" i="38"/>
  <c r="H12" i="38"/>
  <c r="C13" i="38"/>
  <c r="D13" i="38"/>
  <c r="E13" i="38"/>
  <c r="F13" i="38"/>
  <c r="G13" i="38"/>
  <c r="H13" i="38"/>
  <c r="C14" i="38"/>
  <c r="E14" i="38"/>
  <c r="G14" i="38"/>
  <c r="H14" i="38"/>
  <c r="C15" i="38"/>
  <c r="D15" i="38"/>
  <c r="E15" i="38"/>
  <c r="F15" i="38"/>
  <c r="G15" i="38"/>
  <c r="H15" i="38"/>
  <c r="C16" i="38"/>
  <c r="D16" i="38"/>
  <c r="E16" i="38"/>
  <c r="F16" i="38"/>
  <c r="G16" i="38"/>
  <c r="H16" i="38"/>
  <c r="C17" i="38"/>
  <c r="D17" i="38"/>
  <c r="E17" i="38"/>
  <c r="F17" i="38"/>
  <c r="G17" i="38"/>
  <c r="H17" i="38"/>
  <c r="C18" i="38"/>
  <c r="D18" i="38"/>
  <c r="E18" i="38"/>
  <c r="F18" i="38"/>
  <c r="G18" i="38"/>
  <c r="H18" i="38"/>
  <c r="C19" i="38"/>
  <c r="D19" i="38"/>
  <c r="E19" i="38"/>
  <c r="F19" i="38"/>
  <c r="G19" i="38"/>
  <c r="H19" i="38"/>
  <c r="C20" i="38"/>
  <c r="D20" i="38"/>
  <c r="E20" i="38"/>
  <c r="F20" i="38"/>
  <c r="G20" i="38"/>
  <c r="H20" i="38"/>
  <c r="C21" i="38"/>
  <c r="D21" i="38"/>
  <c r="E21" i="38"/>
  <c r="F21" i="38"/>
  <c r="G21" i="38"/>
  <c r="H21" i="38"/>
  <c r="C22" i="38"/>
  <c r="D22" i="38"/>
  <c r="E22" i="38"/>
  <c r="F22" i="38"/>
  <c r="G22" i="38"/>
  <c r="H22" i="38"/>
  <c r="C23" i="38"/>
  <c r="D23" i="38"/>
  <c r="E23" i="38"/>
  <c r="F23" i="38"/>
  <c r="G23" i="38"/>
  <c r="H23" i="38"/>
  <c r="C24" i="38"/>
  <c r="D24" i="38"/>
  <c r="E24" i="38"/>
  <c r="F24" i="38"/>
  <c r="G24" i="38"/>
  <c r="H24" i="38"/>
  <c r="C25" i="38"/>
  <c r="D25" i="38"/>
  <c r="E25" i="38"/>
  <c r="F25" i="38"/>
  <c r="G25" i="38"/>
  <c r="H25" i="38"/>
  <c r="C26" i="38"/>
  <c r="D26" i="38"/>
  <c r="E26" i="38"/>
  <c r="F26" i="38"/>
  <c r="G26" i="38"/>
  <c r="H26" i="38"/>
  <c r="C27" i="38"/>
  <c r="D27" i="38"/>
  <c r="E27" i="38"/>
  <c r="F27" i="38"/>
  <c r="G27" i="38"/>
  <c r="H27" i="38"/>
  <c r="C28" i="38"/>
  <c r="D28" i="38"/>
  <c r="E28" i="38"/>
  <c r="F28" i="38"/>
  <c r="G28" i="38"/>
  <c r="H28" i="38"/>
  <c r="H8" i="38"/>
  <c r="D8" i="38"/>
  <c r="E8" i="38"/>
  <c r="F8" i="38"/>
  <c r="G8" i="38"/>
  <c r="C8" i="38"/>
  <c r="S48" i="38"/>
  <c r="R48" i="38"/>
  <c r="Q48" i="38"/>
  <c r="P48" i="38"/>
  <c r="O48" i="38"/>
  <c r="N48" i="38"/>
  <c r="M48" i="38"/>
  <c r="L48" i="38"/>
  <c r="S47" i="38"/>
  <c r="R47" i="38"/>
  <c r="Q47" i="38"/>
  <c r="P47" i="38"/>
  <c r="O47" i="38"/>
  <c r="N47" i="38"/>
  <c r="M47" i="38"/>
  <c r="L47" i="38"/>
  <c r="S46" i="38"/>
  <c r="R46" i="38"/>
  <c r="Q46" i="38"/>
  <c r="P46" i="38"/>
  <c r="O46" i="38"/>
  <c r="N46" i="38"/>
  <c r="M46" i="38"/>
  <c r="L46" i="38"/>
  <c r="S44" i="38"/>
  <c r="R44" i="38"/>
  <c r="Q44" i="38"/>
  <c r="P44" i="38"/>
  <c r="O44" i="38"/>
  <c r="N44" i="38"/>
  <c r="M44" i="38"/>
  <c r="L44" i="38"/>
  <c r="S43" i="38"/>
  <c r="R43" i="38"/>
  <c r="Q43" i="38"/>
  <c r="P43" i="38"/>
  <c r="O43" i="38"/>
  <c r="N43" i="38"/>
  <c r="M43" i="38"/>
  <c r="L43" i="38"/>
  <c r="S42" i="38"/>
  <c r="R42" i="38"/>
  <c r="Q42" i="38"/>
  <c r="P42" i="38"/>
  <c r="O42" i="38"/>
  <c r="N42" i="38"/>
  <c r="M42" i="38"/>
  <c r="L42" i="38"/>
  <c r="S41" i="38"/>
  <c r="R41" i="38"/>
  <c r="Q41" i="38"/>
  <c r="P41" i="38"/>
  <c r="O41" i="38"/>
  <c r="N41" i="38"/>
  <c r="M41" i="38"/>
  <c r="L41" i="38"/>
  <c r="S40" i="38"/>
  <c r="R40" i="38"/>
  <c r="Q40" i="38"/>
  <c r="P40" i="38"/>
  <c r="O40" i="38"/>
  <c r="N40" i="38"/>
  <c r="M40" i="38"/>
  <c r="L40" i="38"/>
  <c r="S39" i="38"/>
  <c r="R39" i="38"/>
  <c r="Q39" i="38"/>
  <c r="P39" i="38"/>
  <c r="O39" i="38"/>
  <c r="N39" i="38"/>
  <c r="M39" i="38"/>
  <c r="L39" i="38"/>
  <c r="S38" i="38"/>
  <c r="R38" i="38"/>
  <c r="Q38" i="38"/>
  <c r="P38" i="38"/>
  <c r="O38" i="38"/>
  <c r="N38" i="38"/>
  <c r="M38" i="38"/>
  <c r="L38" i="38"/>
  <c r="S36" i="38"/>
  <c r="R36" i="38"/>
  <c r="Q36" i="38"/>
  <c r="P36" i="38"/>
  <c r="O36" i="38"/>
  <c r="N36" i="38"/>
  <c r="M36" i="38"/>
  <c r="L36" i="38"/>
  <c r="S35" i="38"/>
  <c r="R35" i="38"/>
  <c r="Q35" i="38"/>
  <c r="P35" i="38"/>
  <c r="O35" i="38"/>
  <c r="N35" i="38"/>
  <c r="M35" i="38"/>
  <c r="L35" i="38"/>
  <c r="S34" i="38"/>
  <c r="R34" i="38"/>
  <c r="Q34" i="38"/>
  <c r="P34" i="38"/>
  <c r="O34" i="38"/>
  <c r="N34" i="38"/>
  <c r="M34" i="38"/>
  <c r="L34" i="38"/>
  <c r="S33" i="38"/>
  <c r="R33" i="38"/>
  <c r="Q33" i="38"/>
  <c r="P33" i="38"/>
  <c r="O33" i="38"/>
  <c r="N33" i="38"/>
  <c r="M33" i="38"/>
  <c r="L33" i="38"/>
  <c r="S32" i="38"/>
  <c r="R32" i="38"/>
  <c r="Q32" i="38"/>
  <c r="P32" i="38"/>
  <c r="O32" i="38"/>
  <c r="N32" i="38"/>
  <c r="M32" i="38"/>
  <c r="L32" i="38"/>
  <c r="S31" i="38"/>
  <c r="R31" i="38"/>
  <c r="Q31" i="38"/>
  <c r="P31" i="38"/>
  <c r="O31" i="38"/>
  <c r="N31" i="38"/>
  <c r="M31" i="38"/>
  <c r="L31" i="38"/>
  <c r="S30" i="38"/>
  <c r="R30" i="38"/>
  <c r="Q30" i="38"/>
  <c r="P30" i="38"/>
  <c r="O30" i="38"/>
  <c r="N30" i="38"/>
  <c r="M30" i="38"/>
  <c r="L23" i="38"/>
  <c r="M23" i="38"/>
  <c r="N23" i="38"/>
  <c r="O23" i="38"/>
  <c r="P23" i="38"/>
  <c r="Q23" i="38"/>
  <c r="R23" i="38"/>
  <c r="S23" i="38"/>
  <c r="L24" i="38"/>
  <c r="M24" i="38"/>
  <c r="N24" i="38"/>
  <c r="O24" i="38"/>
  <c r="P24" i="38"/>
  <c r="Q24" i="38"/>
  <c r="R24" i="38"/>
  <c r="S24" i="38"/>
  <c r="L25" i="38"/>
  <c r="M25" i="38"/>
  <c r="N25" i="38"/>
  <c r="O25" i="38"/>
  <c r="P25" i="38"/>
  <c r="Q25" i="38"/>
  <c r="R25" i="38"/>
  <c r="S25" i="38"/>
  <c r="L26" i="38"/>
  <c r="M26" i="38"/>
  <c r="N26" i="38"/>
  <c r="O26" i="38"/>
  <c r="P26" i="38"/>
  <c r="Q26" i="38"/>
  <c r="R26" i="38"/>
  <c r="S26" i="38"/>
  <c r="L27" i="38"/>
  <c r="M27" i="38"/>
  <c r="N27" i="38"/>
  <c r="O27" i="38"/>
  <c r="P27" i="38"/>
  <c r="Q27" i="38"/>
  <c r="R27" i="38"/>
  <c r="S27" i="38"/>
  <c r="L28" i="38"/>
  <c r="M28" i="38"/>
  <c r="N28" i="38"/>
  <c r="O28" i="38"/>
  <c r="P28" i="38"/>
  <c r="Q28" i="38"/>
  <c r="R28" i="38"/>
  <c r="S28" i="38"/>
  <c r="L5" i="38"/>
  <c r="M5" i="38"/>
  <c r="N5" i="38"/>
  <c r="O5" i="38"/>
  <c r="P5" i="38"/>
  <c r="Q5" i="38"/>
  <c r="R5" i="38"/>
  <c r="S5" i="38"/>
  <c r="L6" i="38"/>
  <c r="M6" i="38"/>
  <c r="N6" i="38"/>
  <c r="O6" i="38"/>
  <c r="P6" i="38"/>
  <c r="Q6" i="38"/>
  <c r="R6" i="38"/>
  <c r="S6" i="38"/>
  <c r="L8" i="38"/>
  <c r="M8" i="38"/>
  <c r="N8" i="38"/>
  <c r="O8" i="38"/>
  <c r="P8" i="38"/>
  <c r="Q8" i="38"/>
  <c r="R8" i="38"/>
  <c r="S8" i="38"/>
  <c r="L9" i="38"/>
  <c r="M9" i="38"/>
  <c r="N9" i="38"/>
  <c r="O9" i="38"/>
  <c r="P9" i="38"/>
  <c r="Q9" i="38"/>
  <c r="R9" i="38"/>
  <c r="S9" i="38"/>
  <c r="L10" i="38"/>
  <c r="M10" i="38"/>
  <c r="N10" i="38"/>
  <c r="O10" i="38"/>
  <c r="P10" i="38"/>
  <c r="Q10" i="38"/>
  <c r="R10" i="38"/>
  <c r="S10" i="38"/>
  <c r="L11" i="38"/>
  <c r="M11" i="38"/>
  <c r="N11" i="38"/>
  <c r="O11" i="38"/>
  <c r="P11" i="38"/>
  <c r="Q11" i="38"/>
  <c r="R11" i="38"/>
  <c r="S11" i="38"/>
  <c r="L12" i="38"/>
  <c r="M12" i="38"/>
  <c r="N12" i="38"/>
  <c r="O12" i="38"/>
  <c r="P12" i="38"/>
  <c r="Q12" i="38"/>
  <c r="R12" i="38"/>
  <c r="S12" i="38"/>
  <c r="L13" i="38"/>
  <c r="M13" i="38"/>
  <c r="N13" i="38"/>
  <c r="O13" i="38"/>
  <c r="P13" i="38"/>
  <c r="Q13" i="38"/>
  <c r="R13" i="38"/>
  <c r="S13" i="38"/>
  <c r="L14" i="38"/>
  <c r="M14" i="38"/>
  <c r="N14" i="38"/>
  <c r="O14" i="38"/>
  <c r="P14" i="38"/>
  <c r="Q14" i="38"/>
  <c r="R14" i="38"/>
  <c r="S14" i="38"/>
  <c r="L15" i="38"/>
  <c r="M15" i="38"/>
  <c r="N15" i="38"/>
  <c r="O15" i="38"/>
  <c r="P15" i="38"/>
  <c r="Q15" i="38"/>
  <c r="R15" i="38"/>
  <c r="S15" i="38"/>
  <c r="L16" i="38"/>
  <c r="M16" i="38"/>
  <c r="N16" i="38"/>
  <c r="O16" i="38"/>
  <c r="P16" i="38"/>
  <c r="Q16" i="38"/>
  <c r="R16" i="38"/>
  <c r="S16" i="38"/>
  <c r="L17" i="38"/>
  <c r="M17" i="38"/>
  <c r="N17" i="38"/>
  <c r="O17" i="38"/>
  <c r="P17" i="38"/>
  <c r="Q17" i="38"/>
  <c r="R17" i="38"/>
  <c r="S17" i="38"/>
  <c r="L18" i="38"/>
  <c r="M18" i="38"/>
  <c r="N18" i="38"/>
  <c r="O18" i="38"/>
  <c r="P18" i="38"/>
  <c r="Q18" i="38"/>
  <c r="R18" i="38"/>
  <c r="S18" i="38"/>
  <c r="L19" i="38"/>
  <c r="M19" i="38"/>
  <c r="N19" i="38"/>
  <c r="O19" i="38"/>
  <c r="P19" i="38"/>
  <c r="Q19" i="38"/>
  <c r="R19" i="38"/>
  <c r="S19" i="38"/>
  <c r="L20" i="38"/>
  <c r="M20" i="38"/>
  <c r="N20" i="38"/>
  <c r="O20" i="38"/>
  <c r="P20" i="38"/>
  <c r="Q20" i="38"/>
  <c r="R20" i="38"/>
  <c r="S20" i="38"/>
  <c r="L21" i="38"/>
  <c r="M21" i="38"/>
  <c r="N21" i="38"/>
  <c r="O21" i="38"/>
  <c r="P21" i="38"/>
  <c r="Q21" i="38"/>
  <c r="R21" i="38"/>
  <c r="S21" i="38"/>
  <c r="L22" i="38"/>
  <c r="M22" i="38"/>
  <c r="N22" i="38"/>
  <c r="O22" i="38"/>
  <c r="P22" i="38"/>
  <c r="Q22" i="38"/>
  <c r="R22" i="38"/>
  <c r="S22" i="38"/>
  <c r="M4" i="38"/>
  <c r="N4" i="38"/>
  <c r="O4" i="38"/>
  <c r="P4" i="38"/>
  <c r="Q4" i="38"/>
  <c r="R4" i="38"/>
  <c r="S4" i="38"/>
  <c r="L4" i="38"/>
  <c r="D63" i="38" l="1"/>
  <c r="F506" i="7"/>
  <c r="M227" i="1" s="1"/>
  <c r="F413" i="7"/>
  <c r="M265" i="1"/>
  <c r="M235" i="1"/>
  <c r="M192" i="1"/>
  <c r="F508" i="7" l="1"/>
  <c r="J494" i="1" l="1"/>
  <c r="G59" i="11" l="1"/>
  <c r="H59" i="11" s="1"/>
  <c r="I59" i="11"/>
  <c r="J59" i="11" s="1"/>
  <c r="K59" i="11"/>
  <c r="L59" i="11" s="1"/>
  <c r="M59" i="11"/>
  <c r="N59" i="11" s="1"/>
  <c r="O59" i="11"/>
  <c r="P59" i="11" s="1"/>
  <c r="Q59" i="11"/>
  <c r="R59" i="11" s="1"/>
  <c r="S59" i="11"/>
  <c r="T59" i="11" s="1"/>
  <c r="E29" i="11"/>
  <c r="E59" i="11" s="1"/>
  <c r="P610" i="23" l="1"/>
  <c r="P46" i="23"/>
  <c r="K19" i="30" l="1"/>
  <c r="L19" i="30" s="1"/>
  <c r="E19" i="30"/>
  <c r="G19" i="30" s="1"/>
  <c r="E20" i="29"/>
  <c r="F20" i="29" s="1"/>
  <c r="G38" i="16"/>
  <c r="R17" i="25"/>
  <c r="F19" i="30" l="1"/>
  <c r="H19" i="30" s="1"/>
  <c r="M19" i="30" s="1"/>
  <c r="U35" i="24" s="1"/>
  <c r="F20" i="33"/>
  <c r="G20" i="33" s="1"/>
  <c r="H53" i="38" l="1"/>
  <c r="H54" i="38"/>
  <c r="H55" i="38"/>
  <c r="H56" i="38"/>
  <c r="H57" i="38"/>
  <c r="H58" i="38"/>
  <c r="H59" i="38"/>
  <c r="H60" i="38"/>
  <c r="H61" i="38"/>
  <c r="H62" i="38"/>
  <c r="H63" i="38"/>
  <c r="H64" i="38"/>
  <c r="H65" i="38"/>
  <c r="H52" i="38"/>
  <c r="D53" i="38"/>
  <c r="D52" i="38"/>
  <c r="D55" i="38"/>
  <c r="D56" i="38"/>
  <c r="D57" i="38"/>
  <c r="D58" i="38"/>
  <c r="D59" i="38"/>
  <c r="D60" i="38"/>
  <c r="D61" i="38"/>
  <c r="D62" i="38"/>
  <c r="D64" i="38"/>
  <c r="D65" i="38"/>
  <c r="D54" i="38"/>
  <c r="G67" i="38" l="1"/>
  <c r="T35" i="25"/>
  <c r="M35" i="25"/>
  <c r="U35" i="25" s="1"/>
  <c r="I35" i="25"/>
  <c r="O264" i="1" l="1"/>
  <c r="F703" i="7"/>
  <c r="F705" i="7" s="1"/>
  <c r="O262" i="1"/>
  <c r="F697" i="7"/>
  <c r="F699" i="7" s="1"/>
  <c r="F641" i="7"/>
  <c r="F460" i="7"/>
  <c r="F459" i="7"/>
  <c r="F452" i="7"/>
  <c r="F451" i="7"/>
  <c r="F450" i="7"/>
  <c r="O196" i="1"/>
  <c r="O209" i="1"/>
  <c r="O217" i="1"/>
  <c r="O222" i="1"/>
  <c r="F351" i="7"/>
  <c r="M264" i="1" l="1"/>
  <c r="M262" i="1"/>
  <c r="Q191" i="37" l="1"/>
  <c r="N191" i="37"/>
  <c r="K191" i="37"/>
  <c r="H191" i="37"/>
  <c r="E191" i="37"/>
  <c r="B191" i="37"/>
  <c r="O46" i="23" l="1"/>
  <c r="O610" i="23"/>
  <c r="I35" i="24" l="1"/>
  <c r="O35" i="24" l="1"/>
  <c r="N19" i="30" s="1"/>
  <c r="S35" i="24"/>
  <c r="T35" i="24" s="1"/>
  <c r="V35" i="24" s="1"/>
  <c r="K18" i="30"/>
  <c r="L18" i="30" s="1"/>
  <c r="E18" i="30"/>
  <c r="F18" i="30" s="1"/>
  <c r="F19" i="33"/>
  <c r="G19" i="33" s="1"/>
  <c r="E19" i="29"/>
  <c r="F19" i="29" s="1"/>
  <c r="G58" i="11"/>
  <c r="H58" i="11" s="1"/>
  <c r="I58" i="11"/>
  <c r="J58" i="11" s="1"/>
  <c r="K58" i="11"/>
  <c r="L58" i="11" s="1"/>
  <c r="M58" i="11"/>
  <c r="N58" i="11" s="1"/>
  <c r="O58" i="11"/>
  <c r="P58" i="11" s="1"/>
  <c r="Q58" i="11"/>
  <c r="R58" i="11" s="1"/>
  <c r="S58" i="11"/>
  <c r="T58" i="11" s="1"/>
  <c r="E28" i="11"/>
  <c r="E58" i="11" s="1"/>
  <c r="P119" i="1"/>
  <c r="M33" i="25"/>
  <c r="U33" i="25" s="1"/>
  <c r="I33" i="25"/>
  <c r="G18" i="30" l="1"/>
  <c r="H18" i="30" s="1"/>
  <c r="M18" i="30" s="1"/>
  <c r="U34" i="24" s="1"/>
  <c r="P29" i="25"/>
  <c r="G57" i="11"/>
  <c r="H57" i="11" s="1"/>
  <c r="I57" i="11"/>
  <c r="J57" i="11" s="1"/>
  <c r="K57" i="11"/>
  <c r="L57" i="11" s="1"/>
  <c r="M57" i="11"/>
  <c r="N57" i="11" s="1"/>
  <c r="O57" i="11"/>
  <c r="P57" i="11" s="1"/>
  <c r="Q57" i="11"/>
  <c r="R57" i="11" s="1"/>
  <c r="S57" i="11"/>
  <c r="T57" i="11" s="1"/>
  <c r="E27" i="11"/>
  <c r="E57" i="11" s="1"/>
  <c r="I32" i="24"/>
  <c r="I33" i="24"/>
  <c r="I34" i="24"/>
  <c r="O34" i="24" l="1"/>
  <c r="S34" i="24"/>
  <c r="O32" i="24"/>
  <c r="S32" i="24"/>
  <c r="T32" i="24" s="1"/>
  <c r="O33" i="24"/>
  <c r="S33" i="24"/>
  <c r="N18" i="30"/>
  <c r="K17" i="30"/>
  <c r="L17" i="30" s="1"/>
  <c r="I23" i="25"/>
  <c r="R23" i="25" s="1"/>
  <c r="L32" i="25"/>
  <c r="I32" i="25"/>
  <c r="T31" i="25"/>
  <c r="I31" i="25"/>
  <c r="M31" i="25"/>
  <c r="U31" i="25" s="1"/>
  <c r="Q32" i="25" l="1"/>
  <c r="M32" i="25"/>
  <c r="T32" i="25"/>
  <c r="F486" i="7"/>
  <c r="F448" i="7"/>
  <c r="R32" i="25" l="1"/>
  <c r="U32" i="25" s="1"/>
  <c r="O392" i="1"/>
  <c r="F722" i="20"/>
  <c r="M392" i="1" s="1"/>
  <c r="F724" i="20" l="1"/>
  <c r="O341" i="1"/>
  <c r="Q347" i="1"/>
  <c r="S347" i="1"/>
  <c r="Q342" i="1"/>
  <c r="S342" i="1"/>
  <c r="Q337" i="1"/>
  <c r="O384" i="1" l="1"/>
  <c r="C46" i="23"/>
  <c r="F547" i="20"/>
  <c r="M384" i="1" l="1"/>
  <c r="N610" i="23"/>
  <c r="D46" i="23"/>
  <c r="L46" i="23"/>
  <c r="J46" i="23"/>
  <c r="N46" i="23"/>
  <c r="K46" i="23"/>
  <c r="AC25" i="23"/>
  <c r="M46" i="23"/>
  <c r="H46" i="23"/>
  <c r="I46" i="23"/>
  <c r="G46" i="23"/>
  <c r="F46" i="23"/>
  <c r="AG49" i="23" l="1"/>
  <c r="AH49" i="23" s="1"/>
  <c r="AC5" i="23"/>
  <c r="AC46" i="23" s="1"/>
  <c r="AG48" i="23"/>
  <c r="AH48" i="23" s="1"/>
  <c r="AB46" i="23"/>
  <c r="F656" i="7"/>
  <c r="F648" i="7"/>
  <c r="F640" i="7"/>
  <c r="F449" i="7"/>
  <c r="F380" i="7"/>
  <c r="F379" i="7"/>
  <c r="O204" i="1"/>
  <c r="E17" i="29" l="1"/>
  <c r="F17" i="29" l="1"/>
  <c r="F458" i="7"/>
  <c r="J335" i="1" l="1"/>
  <c r="J331" i="1"/>
  <c r="T29" i="25"/>
  <c r="M29" i="25"/>
  <c r="I29" i="25"/>
  <c r="R29" i="25" l="1"/>
  <c r="U29" i="25" s="1"/>
  <c r="G19" i="15"/>
  <c r="P32" i="28" l="1"/>
  <c r="O252" i="1" l="1"/>
  <c r="F661" i="7"/>
  <c r="F663" i="7" s="1"/>
  <c r="O224" i="1"/>
  <c r="F479" i="7"/>
  <c r="F481" i="7" s="1"/>
  <c r="O219" i="1"/>
  <c r="F440" i="7"/>
  <c r="F442" i="7" s="1"/>
  <c r="O211" i="1"/>
  <c r="F391" i="7"/>
  <c r="M211" i="1" s="1"/>
  <c r="Q482" i="1"/>
  <c r="S482" i="1"/>
  <c r="Q473" i="1"/>
  <c r="I472" i="1"/>
  <c r="S473" i="1"/>
  <c r="I471" i="1"/>
  <c r="Q469" i="1"/>
  <c r="S469" i="1"/>
  <c r="I468" i="1"/>
  <c r="I467" i="1"/>
  <c r="J399" i="1"/>
  <c r="J400" i="1" s="1"/>
  <c r="J396" i="1"/>
  <c r="J397" i="1" s="1"/>
  <c r="J385" i="1"/>
  <c r="Q368" i="1"/>
  <c r="S368" i="1"/>
  <c r="S266" i="1"/>
  <c r="Q266" i="1"/>
  <c r="S265" i="1"/>
  <c r="Q265" i="1"/>
  <c r="S264" i="1"/>
  <c r="Q264" i="1"/>
  <c r="S263" i="1"/>
  <c r="Q257" i="1"/>
  <c r="O256" i="1"/>
  <c r="I257" i="1"/>
  <c r="I256" i="1"/>
  <c r="J392" i="1" l="1"/>
  <c r="J393" i="1" s="1"/>
  <c r="M252" i="1"/>
  <c r="M224" i="1"/>
  <c r="M219" i="1"/>
  <c r="F393" i="7"/>
  <c r="J403" i="1"/>
  <c r="J404" i="1" s="1"/>
  <c r="J409" i="1"/>
  <c r="J405" i="1"/>
  <c r="J407" i="1"/>
  <c r="J408" i="1" s="1"/>
  <c r="U117" i="36" l="1"/>
  <c r="S117" i="36"/>
  <c r="Q117" i="36"/>
  <c r="O117" i="36"/>
  <c r="M117" i="36"/>
  <c r="K117" i="36"/>
  <c r="I117" i="36"/>
  <c r="G117" i="36"/>
  <c r="E117" i="36"/>
  <c r="C117" i="36"/>
  <c r="A117" i="36"/>
  <c r="U116" i="36"/>
  <c r="S116" i="36"/>
  <c r="Q116" i="36"/>
  <c r="O116" i="36"/>
  <c r="M116" i="36"/>
  <c r="K116" i="36"/>
  <c r="I116" i="36"/>
  <c r="G116" i="36"/>
  <c r="E116" i="36"/>
  <c r="C116" i="36"/>
  <c r="A116" i="36"/>
  <c r="W115" i="36"/>
  <c r="W114" i="36"/>
  <c r="W113" i="36"/>
  <c r="W112" i="36"/>
  <c r="W111" i="36"/>
  <c r="W110" i="36"/>
  <c r="W109" i="36"/>
  <c r="W108" i="36"/>
  <c r="W107" i="36"/>
  <c r="W106" i="36"/>
  <c r="W105" i="36"/>
  <c r="W104" i="36"/>
  <c r="W103" i="36"/>
  <c r="W102" i="36"/>
  <c r="W101" i="36"/>
  <c r="W100" i="36"/>
  <c r="W99" i="36"/>
  <c r="W98" i="36"/>
  <c r="W97" i="36"/>
  <c r="W96" i="36"/>
  <c r="W95" i="36"/>
  <c r="W94" i="36"/>
  <c r="W93" i="36"/>
  <c r="W92" i="36"/>
  <c r="W91" i="36"/>
  <c r="W90" i="36"/>
  <c r="W89" i="36"/>
  <c r="W88" i="36"/>
  <c r="W87" i="36"/>
  <c r="W86" i="36"/>
  <c r="W85" i="36"/>
  <c r="W84" i="36"/>
  <c r="W83" i="36"/>
  <c r="W82" i="36"/>
  <c r="W81" i="36"/>
  <c r="W80" i="36"/>
  <c r="W79" i="36"/>
  <c r="W78" i="36"/>
  <c r="W77" i="36"/>
  <c r="W76" i="36"/>
  <c r="W75" i="36"/>
  <c r="W74" i="36"/>
  <c r="W73" i="36"/>
  <c r="W72" i="36"/>
  <c r="W71" i="36"/>
  <c r="W70" i="36"/>
  <c r="W69" i="36"/>
  <c r="W68" i="36"/>
  <c r="W67" i="36"/>
  <c r="W66" i="36"/>
  <c r="W65" i="36"/>
  <c r="W64" i="36"/>
  <c r="Y58" i="36"/>
  <c r="W58" i="36"/>
  <c r="U58" i="36"/>
  <c r="S58" i="36"/>
  <c r="Q58" i="36"/>
  <c r="O58" i="36"/>
  <c r="M58" i="36"/>
  <c r="K58" i="36"/>
  <c r="I58" i="36"/>
  <c r="G58" i="36"/>
  <c r="E58" i="36"/>
  <c r="C58" i="36"/>
  <c r="A58" i="36"/>
  <c r="Y57" i="36"/>
  <c r="W57" i="36"/>
  <c r="U57" i="36"/>
  <c r="S57" i="36"/>
  <c r="Q57" i="36"/>
  <c r="O57" i="36"/>
  <c r="M57" i="36"/>
  <c r="K57" i="36"/>
  <c r="I57" i="36"/>
  <c r="G57" i="36"/>
  <c r="E57" i="36"/>
  <c r="C57" i="36"/>
  <c r="A57" i="36"/>
  <c r="W116" i="36" l="1"/>
  <c r="W117" i="36"/>
  <c r="O528" i="1" l="1"/>
  <c r="M528" i="1"/>
  <c r="J4" i="35"/>
  <c r="F16" i="35"/>
  <c r="M27" i="25"/>
  <c r="R27" i="25" s="1"/>
  <c r="U27" i="25" s="1"/>
  <c r="I29" i="24"/>
  <c r="I30" i="24"/>
  <c r="I31" i="24"/>
  <c r="O31" i="24" l="1"/>
  <c r="S31" i="24"/>
  <c r="O30" i="24"/>
  <c r="S30" i="24"/>
  <c r="O29" i="24"/>
  <c r="N17" i="30" s="1"/>
  <c r="S29" i="24"/>
  <c r="T29" i="24" s="1"/>
  <c r="Q528" i="1"/>
  <c r="F647" i="7"/>
  <c r="F652" i="7" s="1"/>
  <c r="O251" i="1"/>
  <c r="O231" i="1"/>
  <c r="F525" i="7"/>
  <c r="O223" i="1"/>
  <c r="F467" i="7"/>
  <c r="F469" i="7" s="1"/>
  <c r="F447" i="7"/>
  <c r="F535" i="7" l="1"/>
  <c r="F537" i="7" s="1"/>
  <c r="F654" i="7"/>
  <c r="M251" i="1"/>
  <c r="M223" i="1"/>
  <c r="M231" i="1" l="1"/>
  <c r="O385" i="1" l="1"/>
  <c r="F576" i="20"/>
  <c r="M385" i="1" s="1"/>
  <c r="B6" i="34" l="1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5" i="34"/>
  <c r="I56" i="11"/>
  <c r="J56" i="11" s="1"/>
  <c r="M610" i="23" l="1"/>
  <c r="O298" i="1"/>
  <c r="F138" i="8"/>
  <c r="F137" i="8"/>
  <c r="F117" i="8"/>
  <c r="K16" i="30"/>
  <c r="L16" i="30" s="1"/>
  <c r="G56" i="11"/>
  <c r="H56" i="11" s="1"/>
  <c r="K56" i="11"/>
  <c r="L56" i="11" s="1"/>
  <c r="M56" i="11"/>
  <c r="N56" i="11" s="1"/>
  <c r="O56" i="11"/>
  <c r="P56" i="11" s="1"/>
  <c r="Q56" i="11"/>
  <c r="R56" i="11" s="1"/>
  <c r="S56" i="11"/>
  <c r="T56" i="11" s="1"/>
  <c r="E26" i="11"/>
  <c r="E56" i="11" s="1"/>
  <c r="F140" i="8" l="1"/>
  <c r="F142" i="8" s="1"/>
  <c r="M298" i="1"/>
  <c r="C32" i="33"/>
  <c r="F9" i="33"/>
  <c r="G9" i="33" s="1"/>
  <c r="F5" i="33"/>
  <c r="G5" i="33" s="1"/>
  <c r="F17" i="33"/>
  <c r="G17" i="33" s="1"/>
  <c r="F16" i="33"/>
  <c r="G16" i="33" s="1"/>
  <c r="E15" i="33"/>
  <c r="D15" i="33"/>
  <c r="D18" i="33" s="1"/>
  <c r="F14" i="33"/>
  <c r="G14" i="33" s="1"/>
  <c r="F13" i="33"/>
  <c r="G13" i="33" s="1"/>
  <c r="F12" i="33"/>
  <c r="G12" i="33" s="1"/>
  <c r="F11" i="33"/>
  <c r="G11" i="33" s="1"/>
  <c r="F10" i="33"/>
  <c r="G10" i="33" s="1"/>
  <c r="F8" i="33"/>
  <c r="G8" i="33" s="1"/>
  <c r="F7" i="33"/>
  <c r="G7" i="33" s="1"/>
  <c r="F6" i="33"/>
  <c r="G6" i="33" s="1"/>
  <c r="F4" i="33"/>
  <c r="G4" i="33" s="1"/>
  <c r="E18" i="33" l="1"/>
  <c r="F18" i="33" s="1"/>
  <c r="G18" i="33" s="1"/>
  <c r="C42" i="33" s="1"/>
  <c r="F15" i="33"/>
  <c r="G15" i="33" s="1"/>
  <c r="H15" i="33" s="1"/>
  <c r="C40" i="33" s="1"/>
  <c r="D32" i="33"/>
  <c r="E16" i="29"/>
  <c r="F16" i="29" s="1"/>
  <c r="T27" i="25"/>
  <c r="T23" i="25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7" i="28"/>
  <c r="J28" i="28"/>
  <c r="J29" i="28"/>
  <c r="J30" i="28"/>
  <c r="H20" i="33" l="1"/>
  <c r="H32" i="33" s="1"/>
  <c r="E32" i="33"/>
  <c r="F32" i="33"/>
  <c r="G32" i="33"/>
  <c r="J32" i="28"/>
  <c r="F131" i="8"/>
  <c r="F130" i="8"/>
  <c r="I9" i="33" l="1"/>
  <c r="I4" i="33"/>
  <c r="I32" i="33" s="1"/>
  <c r="F722" i="7"/>
  <c r="F691" i="7"/>
  <c r="F679" i="7"/>
  <c r="F667" i="7"/>
  <c r="F575" i="7"/>
  <c r="F565" i="7"/>
  <c r="F549" i="7"/>
  <c r="F434" i="7"/>
  <c r="F428" i="7"/>
  <c r="M217" i="1" s="1"/>
  <c r="F318" i="7"/>
  <c r="M196" i="1" s="1"/>
  <c r="F299" i="7"/>
  <c r="F293" i="7"/>
  <c r="F287" i="7"/>
  <c r="F281" i="7"/>
  <c r="F275" i="7"/>
  <c r="F269" i="7"/>
  <c r="F263" i="7"/>
  <c r="F257" i="7"/>
  <c r="F251" i="7"/>
  <c r="F244" i="7"/>
  <c r="F238" i="7"/>
  <c r="F232" i="7"/>
  <c r="F226" i="7"/>
  <c r="F219" i="7"/>
  <c r="F213" i="7"/>
  <c r="F207" i="7"/>
  <c r="F201" i="7"/>
  <c r="F195" i="7"/>
  <c r="F189" i="7"/>
  <c r="F181" i="7"/>
  <c r="F165" i="7"/>
  <c r="F157" i="7"/>
  <c r="F152" i="7"/>
  <c r="F146" i="7"/>
  <c r="F140" i="7"/>
  <c r="F134" i="7"/>
  <c r="F128" i="7"/>
  <c r="F102" i="7"/>
  <c r="F95" i="7"/>
  <c r="F89" i="7"/>
  <c r="F71" i="7"/>
  <c r="F44" i="7"/>
  <c r="F38" i="7"/>
  <c r="F31" i="7"/>
  <c r="F17" i="7"/>
  <c r="F11" i="7"/>
  <c r="F970" i="20"/>
  <c r="C39" i="33" l="1"/>
  <c r="C41" i="33" s="1"/>
  <c r="C43" i="33" s="1"/>
  <c r="M403" i="1"/>
  <c r="F978" i="20"/>
  <c r="M404" i="1" s="1"/>
  <c r="O404" i="1"/>
  <c r="O403" i="1"/>
  <c r="F972" i="20"/>
  <c r="F639" i="7"/>
  <c r="F980" i="20" l="1"/>
  <c r="I28" i="24"/>
  <c r="I27" i="24"/>
  <c r="I26" i="24"/>
  <c r="I25" i="24"/>
  <c r="O27" i="24" l="1"/>
  <c r="S27" i="24"/>
  <c r="O25" i="24"/>
  <c r="N16" i="30" s="1"/>
  <c r="S25" i="24"/>
  <c r="T25" i="24" s="1"/>
  <c r="O26" i="24"/>
  <c r="S26" i="24"/>
  <c r="O28" i="24"/>
  <c r="S28" i="24"/>
  <c r="K15" i="30"/>
  <c r="L15" i="30" s="1"/>
  <c r="E15" i="30"/>
  <c r="G15" i="30" s="1"/>
  <c r="E15" i="29"/>
  <c r="F15" i="29" s="1"/>
  <c r="D32" i="28"/>
  <c r="I30" i="28"/>
  <c r="H30" i="28"/>
  <c r="G30" i="28"/>
  <c r="F30" i="28"/>
  <c r="E30" i="28"/>
  <c r="I29" i="28"/>
  <c r="H29" i="28"/>
  <c r="G29" i="28"/>
  <c r="F29" i="28"/>
  <c r="E29" i="28"/>
  <c r="I28" i="28"/>
  <c r="H28" i="28"/>
  <c r="G28" i="28"/>
  <c r="F28" i="28"/>
  <c r="E28" i="28"/>
  <c r="I27" i="28"/>
  <c r="H27" i="28"/>
  <c r="G27" i="28"/>
  <c r="F27" i="28"/>
  <c r="E27" i="28"/>
  <c r="F4" i="28"/>
  <c r="G4" i="28"/>
  <c r="H4" i="28"/>
  <c r="I4" i="28"/>
  <c r="F5" i="28"/>
  <c r="G5" i="28"/>
  <c r="H5" i="28"/>
  <c r="I5" i="28"/>
  <c r="F6" i="28"/>
  <c r="G6" i="28"/>
  <c r="H6" i="28"/>
  <c r="I6" i="28"/>
  <c r="F7" i="28"/>
  <c r="G7" i="28"/>
  <c r="H7" i="28"/>
  <c r="I7" i="28"/>
  <c r="F8" i="28"/>
  <c r="G8" i="28"/>
  <c r="H8" i="28"/>
  <c r="I8" i="28"/>
  <c r="F9" i="28"/>
  <c r="G9" i="28"/>
  <c r="H9" i="28"/>
  <c r="I9" i="28"/>
  <c r="F10" i="28"/>
  <c r="G10" i="28"/>
  <c r="H10" i="28"/>
  <c r="I10" i="28"/>
  <c r="F11" i="28"/>
  <c r="G11" i="28"/>
  <c r="H11" i="28"/>
  <c r="I11" i="28"/>
  <c r="F12" i="28"/>
  <c r="G12" i="28"/>
  <c r="H12" i="28"/>
  <c r="I12" i="28"/>
  <c r="F13" i="28"/>
  <c r="G13" i="28"/>
  <c r="H13" i="28"/>
  <c r="I13" i="28"/>
  <c r="F14" i="28"/>
  <c r="G14" i="28"/>
  <c r="H14" i="28"/>
  <c r="I14" i="28"/>
  <c r="F15" i="28"/>
  <c r="G15" i="28"/>
  <c r="H15" i="28"/>
  <c r="I15" i="28"/>
  <c r="F16" i="28"/>
  <c r="G16" i="28"/>
  <c r="H16" i="28"/>
  <c r="I16" i="28"/>
  <c r="F17" i="28"/>
  <c r="G17" i="28"/>
  <c r="H17" i="28"/>
  <c r="I17" i="28"/>
  <c r="F18" i="28"/>
  <c r="G18" i="28"/>
  <c r="H18" i="28"/>
  <c r="I18" i="28"/>
  <c r="F19" i="28"/>
  <c r="G19" i="28"/>
  <c r="H19" i="28"/>
  <c r="I19" i="28"/>
  <c r="F20" i="28"/>
  <c r="G20" i="28"/>
  <c r="H20" i="28"/>
  <c r="I20" i="28"/>
  <c r="F21" i="28"/>
  <c r="G21" i="28"/>
  <c r="H21" i="28"/>
  <c r="I21" i="28"/>
  <c r="F22" i="28"/>
  <c r="G22" i="28"/>
  <c r="H22" i="28"/>
  <c r="I22" i="28"/>
  <c r="F23" i="28"/>
  <c r="G23" i="28"/>
  <c r="H23" i="28"/>
  <c r="I23" i="28"/>
  <c r="F24" i="28"/>
  <c r="G24" i="28"/>
  <c r="H24" i="28"/>
  <c r="I24" i="28"/>
  <c r="F25" i="28"/>
  <c r="G25" i="28"/>
  <c r="H25" i="28"/>
  <c r="I25" i="28"/>
  <c r="E5" i="28"/>
  <c r="L5" i="28" s="1"/>
  <c r="E6" i="28"/>
  <c r="L6" i="28" s="1"/>
  <c r="E7" i="28"/>
  <c r="N7" i="28" s="1"/>
  <c r="R7" i="28" s="1"/>
  <c r="E8" i="28"/>
  <c r="L8" i="28" s="1"/>
  <c r="E9" i="28"/>
  <c r="L9" i="28" s="1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4" i="28"/>
  <c r="G55" i="11"/>
  <c r="H55" i="11" s="1"/>
  <c r="I55" i="11"/>
  <c r="J55" i="11" s="1"/>
  <c r="K55" i="11"/>
  <c r="L55" i="11" s="1"/>
  <c r="M55" i="11"/>
  <c r="N55" i="11" s="1"/>
  <c r="O55" i="11"/>
  <c r="P55" i="11" s="1"/>
  <c r="Q55" i="11"/>
  <c r="R55" i="11" s="1"/>
  <c r="S55" i="11"/>
  <c r="T55" i="11" s="1"/>
  <c r="E25" i="11"/>
  <c r="E55" i="11" s="1"/>
  <c r="O25" i="28" l="1"/>
  <c r="L4" i="28"/>
  <c r="O4" i="28"/>
  <c r="O32" i="28" s="1"/>
  <c r="F15" i="30"/>
  <c r="H15" i="30" s="1"/>
  <c r="M15" i="30" s="1"/>
  <c r="U24" i="24" s="1"/>
  <c r="N14" i="28"/>
  <c r="R14" i="28" s="1"/>
  <c r="L13" i="28"/>
  <c r="L18" i="28"/>
  <c r="N21" i="28"/>
  <c r="R21" i="28" s="1"/>
  <c r="N29" i="28"/>
  <c r="R29" i="28" s="1"/>
  <c r="N27" i="28"/>
  <c r="R27" i="28" s="1"/>
  <c r="N28" i="28"/>
  <c r="R28" i="28" s="1"/>
  <c r="N25" i="28"/>
  <c r="R25" i="28" s="1"/>
  <c r="L10" i="28"/>
  <c r="N30" i="28"/>
  <c r="R30" i="28" s="1"/>
  <c r="L16" i="28"/>
  <c r="N4" i="28"/>
  <c r="L11" i="28"/>
  <c r="N5" i="28"/>
  <c r="R5" i="28" s="1"/>
  <c r="T5" i="28" s="1"/>
  <c r="N22" i="28"/>
  <c r="R22" i="28" s="1"/>
  <c r="N6" i="28"/>
  <c r="R6" i="28" s="1"/>
  <c r="T6" i="28" s="1"/>
  <c r="N23" i="28"/>
  <c r="R23" i="28" s="1"/>
  <c r="N24" i="28"/>
  <c r="R24" i="28" s="1"/>
  <c r="N12" i="28"/>
  <c r="R12" i="28" s="1"/>
  <c r="N20" i="28"/>
  <c r="R20" i="28" s="1"/>
  <c r="N19" i="28"/>
  <c r="R19" i="28" s="1"/>
  <c r="N17" i="28"/>
  <c r="R17" i="28" s="1"/>
  <c r="N15" i="28"/>
  <c r="R15" i="28" s="1"/>
  <c r="N18" i="28"/>
  <c r="R18" i="28" s="1"/>
  <c r="N16" i="28"/>
  <c r="R16" i="28" s="1"/>
  <c r="N8" i="28"/>
  <c r="R8" i="28" s="1"/>
  <c r="T8" i="28" s="1"/>
  <c r="N13" i="28"/>
  <c r="R13" i="28" s="1"/>
  <c r="T13" i="28" s="1"/>
  <c r="N11" i="28"/>
  <c r="R11" i="28" s="1"/>
  <c r="N10" i="28"/>
  <c r="R10" i="28" s="1"/>
  <c r="N9" i="28"/>
  <c r="R9" i="28" s="1"/>
  <c r="T9" i="28" s="1"/>
  <c r="L12" i="28"/>
  <c r="L7" i="28"/>
  <c r="T7" i="28" s="1"/>
  <c r="L14" i="28"/>
  <c r="I32" i="28"/>
  <c r="H32" i="28"/>
  <c r="L17" i="28"/>
  <c r="G32" i="28"/>
  <c r="L15" i="28"/>
  <c r="F32" i="28"/>
  <c r="L29" i="28"/>
  <c r="L24" i="28"/>
  <c r="L23" i="28"/>
  <c r="L27" i="28"/>
  <c r="T27" i="28" s="1"/>
  <c r="L21" i="28"/>
  <c r="L28" i="28"/>
  <c r="L30" i="28"/>
  <c r="E32" i="28"/>
  <c r="L22" i="28"/>
  <c r="L25" i="28"/>
  <c r="L20" i="28"/>
  <c r="L19" i="28"/>
  <c r="R4" i="28" l="1"/>
  <c r="T4" i="28" s="1"/>
  <c r="T23" i="28"/>
  <c r="T28" i="28"/>
  <c r="T14" i="28"/>
  <c r="T10" i="28"/>
  <c r="T29" i="28"/>
  <c r="T21" i="28"/>
  <c r="T18" i="28"/>
  <c r="T16" i="28"/>
  <c r="T12" i="28"/>
  <c r="T24" i="28"/>
  <c r="T30" i="28"/>
  <c r="T20" i="28"/>
  <c r="T15" i="28"/>
  <c r="T25" i="28"/>
  <c r="T11" i="28"/>
  <c r="T19" i="28"/>
  <c r="T22" i="28"/>
  <c r="T17" i="28"/>
  <c r="R32" i="28"/>
  <c r="N32" i="28"/>
  <c r="L32" i="28"/>
  <c r="T32" i="28" l="1"/>
  <c r="T119" i="31"/>
  <c r="T118" i="31"/>
  <c r="T121" i="31"/>
  <c r="T122" i="31"/>
  <c r="T120" i="31"/>
  <c r="T140" i="31" l="1"/>
  <c r="L610" i="23"/>
  <c r="O218" i="1"/>
  <c r="F436" i="7"/>
  <c r="G37" i="16"/>
  <c r="M218" i="1" l="1"/>
  <c r="F378" i="7" l="1"/>
  <c r="L24" i="25" l="1"/>
  <c r="T24" i="25" s="1"/>
  <c r="I24" i="25"/>
  <c r="R25" i="25" l="1"/>
  <c r="R24" i="25"/>
  <c r="M24" i="25"/>
  <c r="U24" i="25" l="1"/>
  <c r="Q19" i="25"/>
  <c r="Q16" i="25"/>
  <c r="R16" i="25" s="1"/>
  <c r="M23" i="25"/>
  <c r="U23" i="25" s="1"/>
  <c r="M16" i="25"/>
  <c r="L21" i="25"/>
  <c r="L19" i="25"/>
  <c r="L16" i="25"/>
  <c r="L14" i="25"/>
  <c r="T14" i="25" s="1"/>
  <c r="L13" i="25"/>
  <c r="L11" i="25"/>
  <c r="T11" i="25" s="1"/>
  <c r="L10" i="25"/>
  <c r="L8" i="25"/>
  <c r="T8" i="25" s="1"/>
  <c r="L6" i="25"/>
  <c r="T6" i="25" s="1"/>
  <c r="T16" i="25" l="1"/>
  <c r="U16" i="25"/>
  <c r="T19" i="25"/>
  <c r="F377" i="7"/>
  <c r="F382" i="7" s="1"/>
  <c r="G114" i="31" l="1"/>
  <c r="J114" i="31"/>
  <c r="K114" i="31" l="1"/>
  <c r="I33" i="27" s="1"/>
  <c r="F116" i="8"/>
  <c r="D14" i="29"/>
  <c r="C14" i="29"/>
  <c r="E14" i="29" l="1"/>
  <c r="G18" i="29" s="1"/>
  <c r="Q21" i="25"/>
  <c r="T21" i="25" s="1"/>
  <c r="Q10" i="25"/>
  <c r="T10" i="25" s="1"/>
  <c r="Q13" i="25"/>
  <c r="T13" i="25" s="1"/>
  <c r="F14" i="29" l="1"/>
  <c r="H18" i="29"/>
  <c r="O210" i="1"/>
  <c r="F384" i="7"/>
  <c r="O150" i="1"/>
  <c r="F159" i="7"/>
  <c r="O147" i="1"/>
  <c r="F148" i="7"/>
  <c r="O396" i="1"/>
  <c r="O507" i="1"/>
  <c r="M507" i="1"/>
  <c r="I83" i="27" l="1"/>
  <c r="M210" i="1"/>
  <c r="M150" i="1"/>
  <c r="M147" i="1"/>
  <c r="J105" i="31" l="1"/>
  <c r="J104" i="31"/>
  <c r="G105" i="31"/>
  <c r="G104" i="31"/>
  <c r="K104" i="31" l="1"/>
  <c r="K105" i="31"/>
  <c r="J116" i="31"/>
  <c r="G116" i="31"/>
  <c r="G115" i="31"/>
  <c r="J115" i="31"/>
  <c r="J113" i="31"/>
  <c r="G113" i="31"/>
  <c r="J112" i="31"/>
  <c r="G112" i="31"/>
  <c r="J111" i="31"/>
  <c r="G111" i="31"/>
  <c r="J110" i="31"/>
  <c r="G110" i="31"/>
  <c r="G109" i="31"/>
  <c r="J109" i="31"/>
  <c r="J108" i="31"/>
  <c r="G108" i="31"/>
  <c r="G107" i="31"/>
  <c r="J107" i="31"/>
  <c r="J106" i="31"/>
  <c r="G106" i="31"/>
  <c r="K107" i="31" l="1"/>
  <c r="K109" i="31"/>
  <c r="I29" i="27"/>
  <c r="T105" i="31"/>
  <c r="T104" i="31"/>
  <c r="I28" i="27"/>
  <c r="K115" i="31"/>
  <c r="K111" i="31"/>
  <c r="K112" i="31"/>
  <c r="K113" i="31"/>
  <c r="K116" i="31"/>
  <c r="T111" i="31" s="1"/>
  <c r="K108" i="31"/>
  <c r="K106" i="31"/>
  <c r="K110" i="31"/>
  <c r="Q54" i="11"/>
  <c r="R54" i="11" s="1"/>
  <c r="G54" i="11"/>
  <c r="H54" i="11" s="1"/>
  <c r="I54" i="11"/>
  <c r="J54" i="11" s="1"/>
  <c r="K54" i="11"/>
  <c r="L54" i="11" s="1"/>
  <c r="M54" i="11"/>
  <c r="N54" i="11" s="1"/>
  <c r="O54" i="11"/>
  <c r="P54" i="11" s="1"/>
  <c r="S54" i="11"/>
  <c r="T54" i="11" s="1"/>
  <c r="E24" i="11"/>
  <c r="E54" i="11" s="1"/>
  <c r="O389" i="1"/>
  <c r="F634" i="20"/>
  <c r="M389" i="1" s="1"/>
  <c r="T106" i="31" l="1"/>
  <c r="I30" i="27"/>
  <c r="I31" i="27"/>
  <c r="T107" i="31"/>
  <c r="I35" i="27"/>
  <c r="T110" i="31"/>
  <c r="T108" i="31"/>
  <c r="I32" i="27"/>
  <c r="T109" i="31"/>
  <c r="I34" i="27"/>
  <c r="F636" i="20"/>
  <c r="F884" i="20"/>
  <c r="F1098" i="20" s="1"/>
  <c r="T112" i="31" l="1"/>
  <c r="K610" i="23" l="1"/>
  <c r="G43" i="15"/>
  <c r="I24" i="24"/>
  <c r="I23" i="24"/>
  <c r="O23" i="24" l="1"/>
  <c r="N15" i="30" s="1"/>
  <c r="S23" i="24"/>
  <c r="T23" i="24" s="1"/>
  <c r="O24" i="24"/>
  <c r="S24" i="24"/>
  <c r="F153" i="8"/>
  <c r="O297" i="1"/>
  <c r="F133" i="8"/>
  <c r="F115" i="8"/>
  <c r="F135" i="8" l="1"/>
  <c r="M297" i="1"/>
  <c r="K14" i="30"/>
  <c r="L14" i="30" s="1"/>
  <c r="D14" i="30"/>
  <c r="F152" i="8"/>
  <c r="E14" i="30" l="1"/>
  <c r="F14" i="30" s="1"/>
  <c r="D16" i="30"/>
  <c r="E16" i="30" s="1"/>
  <c r="I21" i="25"/>
  <c r="C407" i="23"/>
  <c r="AF67" i="23" s="1"/>
  <c r="G14" i="30" l="1"/>
  <c r="H14" i="30" s="1"/>
  <c r="M14" i="30" s="1"/>
  <c r="U22" i="24" s="1"/>
  <c r="M21" i="25"/>
  <c r="R21" i="25"/>
  <c r="D17" i="30"/>
  <c r="E17" i="30" s="1"/>
  <c r="F16" i="30"/>
  <c r="G16" i="30"/>
  <c r="F524" i="7"/>
  <c r="F527" i="7" s="1"/>
  <c r="U21" i="25" l="1"/>
  <c r="F17" i="30"/>
  <c r="G17" i="30"/>
  <c r="H17" i="30" s="1"/>
  <c r="M17" i="30" s="1"/>
  <c r="U31" i="24" s="1"/>
  <c r="H16" i="30"/>
  <c r="M16" i="30" s="1"/>
  <c r="U28" i="24" s="1"/>
  <c r="F673" i="7"/>
  <c r="M256" i="1" s="1"/>
  <c r="S256" i="1" s="1"/>
  <c r="Q256" i="1" l="1"/>
  <c r="F114" i="8"/>
  <c r="F503" i="18" l="1"/>
  <c r="J138" i="23" l="1"/>
  <c r="F596" i="18"/>
  <c r="F597" i="18" s="1"/>
  <c r="F541" i="18"/>
  <c r="F542" i="18" s="1"/>
  <c r="D108" i="44" l="1"/>
  <c r="L108" i="44"/>
  <c r="D296" i="23"/>
  <c r="AB134" i="23"/>
  <c r="AG54" i="23" s="1"/>
  <c r="AH54" i="23" s="1"/>
  <c r="T173" i="23"/>
  <c r="D223" i="23"/>
  <c r="T225" i="23"/>
  <c r="J173" i="23"/>
  <c r="D172" i="23"/>
  <c r="J225" i="23"/>
  <c r="G53" i="11"/>
  <c r="H53" i="11" s="1"/>
  <c r="AB223" i="23" l="1"/>
  <c r="AB172" i="23"/>
  <c r="T610" i="23"/>
  <c r="J83" i="31"/>
  <c r="G83" i="31"/>
  <c r="J79" i="31"/>
  <c r="G79" i="31"/>
  <c r="G75" i="31"/>
  <c r="J75" i="31"/>
  <c r="G86" i="31"/>
  <c r="J86" i="31"/>
  <c r="J95" i="31"/>
  <c r="G95" i="31"/>
  <c r="K79" i="31" l="1"/>
  <c r="K86" i="31"/>
  <c r="K95" i="31"/>
  <c r="K75" i="31"/>
  <c r="K83" i="31"/>
  <c r="F113" i="8"/>
  <c r="F675" i="7" l="1"/>
  <c r="Q297" i="1" l="1"/>
  <c r="G80" i="31" l="1"/>
  <c r="J80" i="31"/>
  <c r="G81" i="31"/>
  <c r="J81" i="31"/>
  <c r="G82" i="31"/>
  <c r="J82" i="31"/>
  <c r="G76" i="31"/>
  <c r="J76" i="31"/>
  <c r="G77" i="31"/>
  <c r="J77" i="31"/>
  <c r="G78" i="31"/>
  <c r="J78" i="31"/>
  <c r="G91" i="31"/>
  <c r="J91" i="31"/>
  <c r="G92" i="31"/>
  <c r="J92" i="31"/>
  <c r="I19" i="25"/>
  <c r="Q4" i="31"/>
  <c r="F10" i="27" s="1"/>
  <c r="R4" i="31"/>
  <c r="S4" i="31"/>
  <c r="Q5" i="31"/>
  <c r="R5" i="31"/>
  <c r="S5" i="31"/>
  <c r="S3" i="31"/>
  <c r="R3" i="31"/>
  <c r="Q3" i="31"/>
  <c r="I53" i="11"/>
  <c r="J53" i="11" s="1"/>
  <c r="K53" i="11"/>
  <c r="L53" i="11" s="1"/>
  <c r="O53" i="11"/>
  <c r="P53" i="11" s="1"/>
  <c r="Q53" i="11"/>
  <c r="R53" i="11" s="1"/>
  <c r="S53" i="11"/>
  <c r="T53" i="11" s="1"/>
  <c r="E23" i="11"/>
  <c r="E53" i="11" s="1"/>
  <c r="R20" i="25" l="1"/>
  <c r="R19" i="25"/>
  <c r="M19" i="25"/>
  <c r="K92" i="31"/>
  <c r="K78" i="31"/>
  <c r="G9" i="27"/>
  <c r="H9" i="27"/>
  <c r="H11" i="27"/>
  <c r="G11" i="27"/>
  <c r="F11" i="27"/>
  <c r="H10" i="27"/>
  <c r="F9" i="27"/>
  <c r="G10" i="27"/>
  <c r="K81" i="31"/>
  <c r="K76" i="31"/>
  <c r="K80" i="31"/>
  <c r="K77" i="31"/>
  <c r="K82" i="31"/>
  <c r="K91" i="31"/>
  <c r="M53" i="11"/>
  <c r="N53" i="11" s="1"/>
  <c r="G41" i="31"/>
  <c r="J41" i="31"/>
  <c r="G42" i="31"/>
  <c r="J42" i="31"/>
  <c r="G50" i="31"/>
  <c r="J50" i="31"/>
  <c r="U19" i="25" l="1"/>
  <c r="K41" i="31"/>
  <c r="K42" i="31"/>
  <c r="K50" i="31"/>
  <c r="G71" i="31" l="1"/>
  <c r="J71" i="31"/>
  <c r="K71" i="31" l="1"/>
  <c r="G102" i="31" l="1"/>
  <c r="G101" i="31"/>
  <c r="G99" i="31"/>
  <c r="G100" i="31"/>
  <c r="G98" i="31"/>
  <c r="G97" i="31"/>
  <c r="G96" i="31"/>
  <c r="G94" i="31"/>
  <c r="G93" i="31"/>
  <c r="G90" i="31"/>
  <c r="G89" i="31"/>
  <c r="G88" i="31"/>
  <c r="G87" i="31"/>
  <c r="G85" i="31"/>
  <c r="G84" i="31"/>
  <c r="J72" i="31"/>
  <c r="J73" i="31"/>
  <c r="J74" i="31"/>
  <c r="J84" i="31"/>
  <c r="J85" i="31"/>
  <c r="J87" i="31"/>
  <c r="J88" i="31"/>
  <c r="J89" i="31"/>
  <c r="J90" i="31"/>
  <c r="J93" i="31"/>
  <c r="J94" i="31"/>
  <c r="J96" i="31"/>
  <c r="J97" i="31"/>
  <c r="J98" i="31"/>
  <c r="J99" i="31"/>
  <c r="J100" i="31"/>
  <c r="J101" i="31"/>
  <c r="J102" i="31"/>
  <c r="G73" i="31"/>
  <c r="G74" i="31"/>
  <c r="G72" i="31"/>
  <c r="K100" i="31" l="1"/>
  <c r="K101" i="31"/>
  <c r="K88" i="31"/>
  <c r="K99" i="31"/>
  <c r="K96" i="31"/>
  <c r="K84" i="31"/>
  <c r="K90" i="31"/>
  <c r="K94" i="31"/>
  <c r="K97" i="31"/>
  <c r="K85" i="31"/>
  <c r="K93" i="31"/>
  <c r="I24" i="27" s="1"/>
  <c r="K102" i="31"/>
  <c r="K98" i="31"/>
  <c r="K89" i="31"/>
  <c r="K87" i="31"/>
  <c r="K74" i="31"/>
  <c r="K73" i="31"/>
  <c r="K72" i="31"/>
  <c r="G63" i="31"/>
  <c r="J63" i="31"/>
  <c r="I27" i="27" l="1"/>
  <c r="T48" i="31"/>
  <c r="I25" i="27"/>
  <c r="T49" i="31"/>
  <c r="I26" i="27"/>
  <c r="T47" i="31"/>
  <c r="T50" i="31"/>
  <c r="T44" i="31"/>
  <c r="I21" i="27"/>
  <c r="I20" i="27"/>
  <c r="T41" i="31"/>
  <c r="T42" i="31"/>
  <c r="I18" i="27"/>
  <c r="T45" i="31"/>
  <c r="I22" i="27"/>
  <c r="T46" i="31"/>
  <c r="I23" i="27"/>
  <c r="T40" i="31"/>
  <c r="I17" i="27"/>
  <c r="T43" i="31"/>
  <c r="I19" i="27"/>
  <c r="K63" i="31"/>
  <c r="J64" i="31" l="1"/>
  <c r="J65" i="31"/>
  <c r="J66" i="31"/>
  <c r="J67" i="31"/>
  <c r="J68" i="31"/>
  <c r="J69" i="31"/>
  <c r="J70" i="31"/>
  <c r="G65" i="31"/>
  <c r="G66" i="31"/>
  <c r="G67" i="31"/>
  <c r="G68" i="31"/>
  <c r="G69" i="31"/>
  <c r="G70" i="31"/>
  <c r="G64" i="31"/>
  <c r="G58" i="31"/>
  <c r="J58" i="31"/>
  <c r="G59" i="31"/>
  <c r="J59" i="31"/>
  <c r="G60" i="31"/>
  <c r="J60" i="31"/>
  <c r="G61" i="31"/>
  <c r="J61" i="31"/>
  <c r="G62" i="31"/>
  <c r="J62" i="31"/>
  <c r="J57" i="31"/>
  <c r="G57" i="31"/>
  <c r="G51" i="31"/>
  <c r="G52" i="31"/>
  <c r="G53" i="31"/>
  <c r="G54" i="31"/>
  <c r="G55" i="31"/>
  <c r="G56" i="31"/>
  <c r="G44" i="31"/>
  <c r="G45" i="31"/>
  <c r="G46" i="31"/>
  <c r="G47" i="31"/>
  <c r="G48" i="31"/>
  <c r="G49" i="31"/>
  <c r="G43" i="31"/>
  <c r="J4" i="31"/>
  <c r="J5" i="31"/>
  <c r="J6" i="31"/>
  <c r="J7" i="31"/>
  <c r="J8" i="31"/>
  <c r="J9" i="31"/>
  <c r="J10" i="31"/>
  <c r="J11" i="31"/>
  <c r="J12" i="31"/>
  <c r="J13" i="31"/>
  <c r="J14" i="31"/>
  <c r="J15" i="31"/>
  <c r="J16" i="31"/>
  <c r="J17" i="31"/>
  <c r="J18" i="31"/>
  <c r="J19" i="31"/>
  <c r="J20" i="31"/>
  <c r="J21" i="31"/>
  <c r="J22" i="31"/>
  <c r="J23" i="31"/>
  <c r="J24" i="31"/>
  <c r="J25" i="31"/>
  <c r="J26" i="31"/>
  <c r="J27" i="31"/>
  <c r="J28" i="31"/>
  <c r="J29" i="31"/>
  <c r="J30" i="31"/>
  <c r="J31" i="31"/>
  <c r="J32" i="31"/>
  <c r="J33" i="31"/>
  <c r="J35" i="31"/>
  <c r="J36" i="31"/>
  <c r="J37" i="31"/>
  <c r="J38" i="31"/>
  <c r="J39" i="31"/>
  <c r="J40" i="31"/>
  <c r="J43" i="31"/>
  <c r="J44" i="31"/>
  <c r="J45" i="31"/>
  <c r="J46" i="31"/>
  <c r="J47" i="31"/>
  <c r="J48" i="31"/>
  <c r="J49" i="31"/>
  <c r="J51" i="31"/>
  <c r="J52" i="31"/>
  <c r="J53" i="31"/>
  <c r="J54" i="31"/>
  <c r="J55" i="31"/>
  <c r="J56" i="31"/>
  <c r="J3" i="31"/>
  <c r="G40" i="31"/>
  <c r="G39" i="31"/>
  <c r="G38" i="31"/>
  <c r="G37" i="31"/>
  <c r="G36" i="31"/>
  <c r="G35" i="31"/>
  <c r="G24" i="31"/>
  <c r="G25" i="31"/>
  <c r="G26" i="31"/>
  <c r="G27" i="31"/>
  <c r="G28" i="31"/>
  <c r="G29" i="31"/>
  <c r="G30" i="31"/>
  <c r="G31" i="31"/>
  <c r="G32" i="31"/>
  <c r="G33" i="31"/>
  <c r="G23" i="31"/>
  <c r="G14" i="31"/>
  <c r="G15" i="31"/>
  <c r="G16" i="31"/>
  <c r="G17" i="31"/>
  <c r="G18" i="31"/>
  <c r="G19" i="31"/>
  <c r="G20" i="31"/>
  <c r="G21" i="31"/>
  <c r="G22" i="31"/>
  <c r="G13" i="31"/>
  <c r="G4" i="31"/>
  <c r="G5" i="31"/>
  <c r="G6" i="31"/>
  <c r="G7" i="31"/>
  <c r="G8" i="31"/>
  <c r="G9" i="31"/>
  <c r="G10" i="31"/>
  <c r="G11" i="31"/>
  <c r="G12" i="31"/>
  <c r="G3" i="31"/>
  <c r="K61" i="31" l="1"/>
  <c r="K60" i="31"/>
  <c r="K69" i="31"/>
  <c r="K51" i="31"/>
  <c r="K46" i="31"/>
  <c r="K52" i="31"/>
  <c r="K44" i="31"/>
  <c r="K70" i="31"/>
  <c r="K45" i="31"/>
  <c r="K40" i="31"/>
  <c r="K68" i="31"/>
  <c r="K39" i="31"/>
  <c r="K67" i="31"/>
  <c r="K66" i="31"/>
  <c r="K65" i="31"/>
  <c r="K64" i="31"/>
  <c r="K59" i="31"/>
  <c r="K58" i="31"/>
  <c r="K57" i="31"/>
  <c r="K62" i="31"/>
  <c r="K33" i="31"/>
  <c r="K56" i="31"/>
  <c r="K54" i="31"/>
  <c r="K55" i="31"/>
  <c r="K53" i="31"/>
  <c r="K31" i="31"/>
  <c r="K38" i="31"/>
  <c r="K37" i="31"/>
  <c r="K36" i="31"/>
  <c r="K35" i="31"/>
  <c r="K48" i="31"/>
  <c r="K49" i="31"/>
  <c r="K47" i="31"/>
  <c r="K43" i="31"/>
  <c r="K4" i="31"/>
  <c r="K29" i="31"/>
  <c r="K27" i="31"/>
  <c r="K6" i="31"/>
  <c r="K5" i="31"/>
  <c r="K15" i="31"/>
  <c r="K3" i="31"/>
  <c r="K14" i="31"/>
  <c r="K30" i="31"/>
  <c r="K24" i="31"/>
  <c r="K23" i="31"/>
  <c r="K28" i="31"/>
  <c r="K17" i="31"/>
  <c r="K16" i="31"/>
  <c r="K7" i="31"/>
  <c r="K9" i="31"/>
  <c r="K8" i="31"/>
  <c r="K11" i="31"/>
  <c r="K19" i="31"/>
  <c r="K26" i="31"/>
  <c r="K12" i="31"/>
  <c r="K10" i="31"/>
  <c r="K25" i="31"/>
  <c r="K32" i="31"/>
  <c r="K22" i="31"/>
  <c r="K21" i="31"/>
  <c r="K20" i="31"/>
  <c r="K18" i="31"/>
  <c r="K13" i="31"/>
  <c r="K252" i="31" l="1"/>
  <c r="K254" i="31" s="1"/>
  <c r="T4" i="31"/>
  <c r="I10" i="27"/>
  <c r="T36" i="31"/>
  <c r="I13" i="27"/>
  <c r="T5" i="31"/>
  <c r="I11" i="27"/>
  <c r="I15" i="27"/>
  <c r="T38" i="31"/>
  <c r="T35" i="31"/>
  <c r="I12" i="27"/>
  <c r="I9" i="27"/>
  <c r="T3" i="31"/>
  <c r="T39" i="31"/>
  <c r="I16" i="27"/>
  <c r="T37" i="31"/>
  <c r="I14" i="27"/>
  <c r="O381" i="1"/>
  <c r="I57" i="27" l="1"/>
  <c r="M494" i="1" s="1"/>
  <c r="T51" i="31"/>
  <c r="T6" i="31"/>
  <c r="F303" i="20"/>
  <c r="M381" i="1" s="1"/>
  <c r="I59" i="27" l="1"/>
  <c r="J610" i="23"/>
  <c r="H60" i="24"/>
  <c r="K60" i="24"/>
  <c r="L60" i="24"/>
  <c r="M60" i="24"/>
  <c r="N60" i="24"/>
  <c r="G60" i="24"/>
  <c r="I17" i="24"/>
  <c r="I18" i="24"/>
  <c r="I19" i="24"/>
  <c r="I20" i="24"/>
  <c r="I21" i="24"/>
  <c r="I22" i="24"/>
  <c r="O19" i="24" l="1"/>
  <c r="S19" i="24"/>
  <c r="O17" i="24"/>
  <c r="S17" i="24"/>
  <c r="T17" i="24" s="1"/>
  <c r="O22" i="24"/>
  <c r="S22" i="24"/>
  <c r="O20" i="24"/>
  <c r="S20" i="24"/>
  <c r="O18" i="24"/>
  <c r="S18" i="24"/>
  <c r="O21" i="24"/>
  <c r="S21" i="24"/>
  <c r="N13" i="30"/>
  <c r="N8" i="30"/>
  <c r="N7" i="30"/>
  <c r="N6" i="30"/>
  <c r="N5" i="30"/>
  <c r="J11" i="30"/>
  <c r="I13" i="30"/>
  <c r="K12" i="30"/>
  <c r="I8" i="30"/>
  <c r="I7" i="30"/>
  <c r="I6" i="30"/>
  <c r="K6" i="30" s="1"/>
  <c r="I5" i="30"/>
  <c r="E13" i="30"/>
  <c r="G13" i="30" s="1"/>
  <c r="E12" i="30"/>
  <c r="G12" i="30" s="1"/>
  <c r="E11" i="30"/>
  <c r="F11" i="30" s="1"/>
  <c r="E10" i="30"/>
  <c r="F10" i="30" s="1"/>
  <c r="E9" i="30"/>
  <c r="F9" i="30" s="1"/>
  <c r="E8" i="30"/>
  <c r="E7" i="30"/>
  <c r="G7" i="30" s="1"/>
  <c r="E6" i="30"/>
  <c r="F6" i="30" s="1"/>
  <c r="E5" i="30"/>
  <c r="D30" i="30"/>
  <c r="N14" i="30" l="1"/>
  <c r="F12" i="30"/>
  <c r="H12" i="30" s="1"/>
  <c r="G9" i="30"/>
  <c r="H9" i="30" s="1"/>
  <c r="G11" i="30"/>
  <c r="H11" i="30" s="1"/>
  <c r="I30" i="30"/>
  <c r="S12" i="30" s="1"/>
  <c r="J6" i="30"/>
  <c r="L6" i="30" s="1"/>
  <c r="F13" i="30"/>
  <c r="H13" i="30" s="1"/>
  <c r="J5" i="30"/>
  <c r="K8" i="30"/>
  <c r="J8" i="30"/>
  <c r="L8" i="30" s="1"/>
  <c r="K5" i="30"/>
  <c r="K11" i="30"/>
  <c r="J9" i="30"/>
  <c r="K9" i="30"/>
  <c r="J7" i="30"/>
  <c r="J13" i="30"/>
  <c r="K7" i="30"/>
  <c r="K10" i="30"/>
  <c r="K13" i="30"/>
  <c r="L12" i="30"/>
  <c r="J10" i="30"/>
  <c r="G10" i="30"/>
  <c r="H10" i="30" s="1"/>
  <c r="G6" i="30"/>
  <c r="H6" i="30" s="1"/>
  <c r="M6" i="30" s="1"/>
  <c r="O6" i="30" s="1"/>
  <c r="F7" i="30"/>
  <c r="H7" i="30" s="1"/>
  <c r="G5" i="30"/>
  <c r="G8" i="30"/>
  <c r="E30" i="30"/>
  <c r="R12" i="30" s="1"/>
  <c r="F5" i="30"/>
  <c r="F8" i="30"/>
  <c r="T12" i="30" l="1"/>
  <c r="R43" i="16" s="1"/>
  <c r="H8" i="30"/>
  <c r="M8" i="30" s="1"/>
  <c r="O8" i="30" s="1"/>
  <c r="M12" i="30"/>
  <c r="U16" i="24" s="1"/>
  <c r="L5" i="30"/>
  <c r="L7" i="30"/>
  <c r="M7" i="30" s="1"/>
  <c r="O7" i="30" s="1"/>
  <c r="L11" i="30"/>
  <c r="M11" i="30" s="1"/>
  <c r="U13" i="24" s="1"/>
  <c r="K30" i="30"/>
  <c r="S14" i="30" s="1"/>
  <c r="L10" i="30"/>
  <c r="M10" i="30" s="1"/>
  <c r="U11" i="24" s="1"/>
  <c r="J30" i="30"/>
  <c r="S13" i="30" s="1"/>
  <c r="L13" i="30"/>
  <c r="M13" i="30" s="1"/>
  <c r="O13" i="30" s="1"/>
  <c r="L9" i="30"/>
  <c r="M9" i="30" s="1"/>
  <c r="U7" i="24" s="1"/>
  <c r="F30" i="30"/>
  <c r="R13" i="30" s="1"/>
  <c r="R15" i="30" s="1"/>
  <c r="G30" i="30"/>
  <c r="R14" i="30" s="1"/>
  <c r="H5" i="30"/>
  <c r="T14" i="30" l="1"/>
  <c r="R50" i="16"/>
  <c r="R49" i="16"/>
  <c r="U60" i="24"/>
  <c r="S15" i="30"/>
  <c r="T13" i="30"/>
  <c r="H30" i="30"/>
  <c r="M5" i="30"/>
  <c r="L30" i="30"/>
  <c r="R46" i="16" l="1"/>
  <c r="R45" i="16"/>
  <c r="R44" i="16"/>
  <c r="T15" i="30"/>
  <c r="M30" i="30"/>
  <c r="G70" i="24" s="1"/>
  <c r="O5" i="30"/>
  <c r="O63" i="24" l="1"/>
  <c r="G41" i="15"/>
  <c r="O303" i="1" l="1"/>
  <c r="F168" i="8"/>
  <c r="F170" i="8" s="1"/>
  <c r="O296" i="1"/>
  <c r="F126" i="8"/>
  <c r="F128" i="8" s="1"/>
  <c r="O288" i="1"/>
  <c r="F77" i="8"/>
  <c r="F79" i="8" s="1"/>
  <c r="O261" i="1"/>
  <c r="F693" i="7"/>
  <c r="F601" i="7"/>
  <c r="O239" i="1"/>
  <c r="O238" i="1"/>
  <c r="F577" i="7"/>
  <c r="F567" i="7"/>
  <c r="O230" i="1"/>
  <c r="F485" i="7"/>
  <c r="F446" i="7"/>
  <c r="F397" i="7"/>
  <c r="F371" i="7"/>
  <c r="O168" i="1"/>
  <c r="F228" i="7"/>
  <c r="M303" i="1" l="1"/>
  <c r="M296" i="1"/>
  <c r="M288" i="1"/>
  <c r="M261" i="1"/>
  <c r="M239" i="1"/>
  <c r="M238" i="1"/>
  <c r="F529" i="7"/>
  <c r="M230" i="1"/>
  <c r="M168" i="1"/>
  <c r="F713" i="6" l="1"/>
  <c r="F715" i="6" s="1"/>
  <c r="F696" i="6"/>
  <c r="F698" i="6" s="1"/>
  <c r="F654" i="6"/>
  <c r="F656" i="6" s="1"/>
  <c r="M106" i="1" l="1"/>
  <c r="M107" i="1"/>
  <c r="M100" i="1"/>
  <c r="F673" i="6"/>
  <c r="F675" i="6" l="1"/>
  <c r="M101" i="1"/>
  <c r="F568" i="6" l="1"/>
  <c r="F556" i="6"/>
  <c r="F558" i="6" s="1"/>
  <c r="F549" i="6"/>
  <c r="F551" i="6" s="1"/>
  <c r="F540" i="6"/>
  <c r="F542" i="6" s="1"/>
  <c r="F531" i="6"/>
  <c r="F533" i="6" s="1"/>
  <c r="F522" i="6"/>
  <c r="F524" i="6" s="1"/>
  <c r="F422" i="6"/>
  <c r="F570" i="6" l="1"/>
  <c r="M89" i="1"/>
  <c r="M78" i="1"/>
  <c r="F424" i="6"/>
  <c r="M84" i="1"/>
  <c r="M85" i="1"/>
  <c r="M86" i="1"/>
  <c r="M83" i="1"/>
  <c r="M88" i="1"/>
  <c r="G33" i="16" l="1"/>
  <c r="E12" i="29" l="1"/>
  <c r="F12" i="29" s="1"/>
  <c r="E11" i="29"/>
  <c r="F11" i="29" s="1"/>
  <c r="E10" i="29"/>
  <c r="F10" i="29" s="1"/>
  <c r="E9" i="29"/>
  <c r="F9" i="29" s="1"/>
  <c r="E8" i="29"/>
  <c r="F8" i="29" s="1"/>
  <c r="E7" i="29"/>
  <c r="F7" i="29" s="1"/>
  <c r="E6" i="29"/>
  <c r="F6" i="29" s="1"/>
  <c r="E5" i="29"/>
  <c r="F5" i="29" s="1"/>
  <c r="E4" i="29"/>
  <c r="F4" i="29" l="1"/>
  <c r="H13" i="29"/>
  <c r="G13" i="29"/>
  <c r="O494" i="1" l="1"/>
  <c r="U71" i="27"/>
  <c r="T71" i="27"/>
  <c r="S71" i="27"/>
  <c r="W69" i="27"/>
  <c r="V69" i="27"/>
  <c r="W66" i="27"/>
  <c r="Y66" i="27" s="1"/>
  <c r="X66" i="27" l="1"/>
  <c r="F111" i="8" l="1"/>
  <c r="F151" i="8"/>
  <c r="F112" i="8" l="1"/>
  <c r="F119" i="8" l="1"/>
  <c r="M295" i="1" s="1"/>
  <c r="O180" i="1"/>
  <c r="F277" i="7"/>
  <c r="O301" i="1"/>
  <c r="F155" i="8"/>
  <c r="F157" i="8" s="1"/>
  <c r="M180" i="1" l="1"/>
  <c r="M301" i="1"/>
  <c r="Q301" i="1" s="1"/>
  <c r="F594" i="7" l="1"/>
  <c r="AG73" i="23" l="1"/>
  <c r="AH73" i="23" s="1"/>
  <c r="I52" i="11"/>
  <c r="J52" i="11" s="1"/>
  <c r="G52" i="11"/>
  <c r="H52" i="11" s="1"/>
  <c r="S52" i="11"/>
  <c r="T52" i="11" s="1"/>
  <c r="Q52" i="11"/>
  <c r="R52" i="11" s="1"/>
  <c r="O52" i="11"/>
  <c r="P52" i="11" s="1"/>
  <c r="M52" i="11"/>
  <c r="N52" i="11" s="1"/>
  <c r="K52" i="11"/>
  <c r="L52" i="11" s="1"/>
  <c r="E22" i="11"/>
  <c r="E52" i="11" s="1"/>
  <c r="I610" i="23" l="1"/>
  <c r="O295" i="1"/>
  <c r="F121" i="8" l="1"/>
  <c r="F1043" i="18" l="1"/>
  <c r="H70" i="23" l="1"/>
  <c r="D69" i="23"/>
  <c r="F874" i="18"/>
  <c r="AB69" i="23" l="1"/>
  <c r="AG51" i="23" s="1"/>
  <c r="AH51" i="23" s="1"/>
  <c r="H478" i="23"/>
  <c r="AB477" i="23" s="1"/>
  <c r="O244" i="1"/>
  <c r="F600" i="7"/>
  <c r="F603" i="7" l="1"/>
  <c r="F605" i="7" s="1"/>
  <c r="F638" i="7"/>
  <c r="M244" i="1" l="1"/>
  <c r="G39" i="16" l="1"/>
  <c r="I14" i="25" l="1"/>
  <c r="M14" i="25" s="1"/>
  <c r="U14" i="25" s="1"/>
  <c r="I13" i="25"/>
  <c r="I16" i="24"/>
  <c r="S16" i="24" s="1"/>
  <c r="I15" i="24"/>
  <c r="S15" i="24" s="1"/>
  <c r="I14" i="24"/>
  <c r="S14" i="24" s="1"/>
  <c r="T14" i="24" s="1"/>
  <c r="I13" i="24"/>
  <c r="S13" i="24" s="1"/>
  <c r="I12" i="24"/>
  <c r="S12" i="24" s="1"/>
  <c r="T12" i="24" s="1"/>
  <c r="I11" i="24"/>
  <c r="S11" i="24" s="1"/>
  <c r="I10" i="24"/>
  <c r="S10" i="24" s="1"/>
  <c r="I9" i="24"/>
  <c r="S9" i="24" s="1"/>
  <c r="I8" i="24"/>
  <c r="S8" i="24" s="1"/>
  <c r="T8" i="24" s="1"/>
  <c r="I7" i="24"/>
  <c r="S7" i="24" s="1"/>
  <c r="I6" i="24"/>
  <c r="S6" i="24" s="1"/>
  <c r="I5" i="24"/>
  <c r="H5" i="24"/>
  <c r="S60" i="24" l="1"/>
  <c r="U62" i="24" s="1"/>
  <c r="T9" i="24"/>
  <c r="T10" i="24" s="1"/>
  <c r="T11" i="24" s="1"/>
  <c r="V11" i="24" s="1"/>
  <c r="T6" i="24"/>
  <c r="T7" i="24" s="1"/>
  <c r="V7" i="24" s="1"/>
  <c r="M13" i="25"/>
  <c r="R13" i="25"/>
  <c r="I60" i="24"/>
  <c r="I11" i="25"/>
  <c r="M11" i="25" s="1"/>
  <c r="U11" i="25" s="1"/>
  <c r="I10" i="25"/>
  <c r="G68" i="24" l="1"/>
  <c r="G72" i="24" s="1"/>
  <c r="Q43" i="16" s="1"/>
  <c r="T13" i="24"/>
  <c r="V13" i="24" s="1"/>
  <c r="U13" i="25"/>
  <c r="M10" i="25"/>
  <c r="R10" i="25"/>
  <c r="R46" i="25" s="1"/>
  <c r="F593" i="7"/>
  <c r="F596" i="7" s="1"/>
  <c r="F484" i="7"/>
  <c r="F445" i="7"/>
  <c r="F483" i="7"/>
  <c r="F444" i="7"/>
  <c r="F396" i="7"/>
  <c r="F395" i="7"/>
  <c r="F370" i="7"/>
  <c r="F369" i="7"/>
  <c r="T15" i="24" l="1"/>
  <c r="T16" i="24" s="1"/>
  <c r="V16" i="24" s="1"/>
  <c r="U10" i="25"/>
  <c r="F38" i="16"/>
  <c r="H38" i="16" s="1"/>
  <c r="F454" i="7"/>
  <c r="M222" i="1" s="1"/>
  <c r="F373" i="7"/>
  <c r="M209" i="1" s="1"/>
  <c r="F492" i="7"/>
  <c r="F399" i="7"/>
  <c r="T18" i="24" l="1"/>
  <c r="T19" i="24" s="1"/>
  <c r="T20" i="24" s="1"/>
  <c r="T21" i="24" s="1"/>
  <c r="T22" i="24" s="1"/>
  <c r="V22" i="24" s="1"/>
  <c r="AJ7" i="23"/>
  <c r="AL7" i="23" s="1"/>
  <c r="AJ6" i="23"/>
  <c r="AL6" i="23" s="1"/>
  <c r="AJ8" i="23"/>
  <c r="AL8" i="23" s="1"/>
  <c r="C610" i="23"/>
  <c r="T24" i="24" l="1"/>
  <c r="V24" i="24" s="1"/>
  <c r="G610" i="23"/>
  <c r="F610" i="23"/>
  <c r="H610" i="23"/>
  <c r="AG53" i="23"/>
  <c r="AH53" i="23" s="1"/>
  <c r="AG66" i="23"/>
  <c r="AH66" i="23" s="1"/>
  <c r="AJ65" i="23" s="1"/>
  <c r="AG62" i="23"/>
  <c r="AH62" i="23" s="1"/>
  <c r="AG63" i="23"/>
  <c r="AH63" i="23" s="1"/>
  <c r="AG52" i="23"/>
  <c r="AH52" i="23" s="1"/>
  <c r="AG55" i="23"/>
  <c r="AG58" i="23"/>
  <c r="AG60" i="23"/>
  <c r="AG64" i="23"/>
  <c r="AH64" i="23" s="1"/>
  <c r="AG72" i="23"/>
  <c r="AH72" i="23" s="1"/>
  <c r="AG61" i="23"/>
  <c r="AH61" i="23" s="1"/>
  <c r="AG71" i="23"/>
  <c r="AH71" i="23" s="1"/>
  <c r="AG69" i="23"/>
  <c r="AH69" i="23" s="1"/>
  <c r="AG67" i="23"/>
  <c r="AH67" i="23" s="1"/>
  <c r="AG65" i="23"/>
  <c r="AH65" i="23" s="1"/>
  <c r="AG70" i="23"/>
  <c r="AH70" i="23" s="1"/>
  <c r="AG68" i="23"/>
  <c r="AH68" i="23" s="1"/>
  <c r="AG74" i="23"/>
  <c r="AH74" i="23" s="1"/>
  <c r="AG75" i="23"/>
  <c r="AH75" i="23" s="1"/>
  <c r="T26" i="24" l="1"/>
  <c r="T27" i="24" s="1"/>
  <c r="T28" i="24" s="1"/>
  <c r="V28" i="24" s="1"/>
  <c r="AH58" i="23"/>
  <c r="AH55" i="23"/>
  <c r="AH60" i="23"/>
  <c r="F637" i="7"/>
  <c r="F643" i="7" s="1"/>
  <c r="G42" i="15"/>
  <c r="R48" i="25"/>
  <c r="I8" i="25"/>
  <c r="M8" i="25" s="1"/>
  <c r="U8" i="25" s="1"/>
  <c r="I6" i="25"/>
  <c r="M6" i="25" s="1"/>
  <c r="M46" i="25" s="1"/>
  <c r="T30" i="24" l="1"/>
  <c r="T31" i="24" s="1"/>
  <c r="V31" i="24" s="1"/>
  <c r="U6" i="25"/>
  <c r="U46" i="25" s="1"/>
  <c r="F37" i="16"/>
  <c r="H43" i="15"/>
  <c r="F43" i="15" s="1"/>
  <c r="O44" i="11"/>
  <c r="P44" i="11" s="1"/>
  <c r="O45" i="11"/>
  <c r="P45" i="11" s="1"/>
  <c r="O46" i="11"/>
  <c r="P46" i="11" s="1"/>
  <c r="O47" i="11"/>
  <c r="P47" i="11" s="1"/>
  <c r="O48" i="11"/>
  <c r="P48" i="11" s="1"/>
  <c r="O49" i="11"/>
  <c r="P49" i="11" s="1"/>
  <c r="O50" i="11"/>
  <c r="P50" i="11" s="1"/>
  <c r="O51" i="11"/>
  <c r="P51" i="11" s="1"/>
  <c r="T33" i="24" l="1"/>
  <c r="T34" i="24" s="1"/>
  <c r="V34" i="24" s="1"/>
  <c r="H37" i="16"/>
  <c r="F39" i="16"/>
  <c r="M48" i="25"/>
  <c r="H42" i="15" s="1"/>
  <c r="F42" i="15" s="1"/>
  <c r="G44" i="15"/>
  <c r="O15" i="24"/>
  <c r="O14" i="24"/>
  <c r="O13" i="24"/>
  <c r="O11" i="24"/>
  <c r="O12" i="24"/>
  <c r="V60" i="24" l="1"/>
  <c r="H39" i="16"/>
  <c r="N11" i="30"/>
  <c r="O11" i="30" s="1"/>
  <c r="O10" i="24"/>
  <c r="O9" i="24"/>
  <c r="O8" i="24"/>
  <c r="O7" i="24"/>
  <c r="O6" i="24"/>
  <c r="O5" i="24"/>
  <c r="N10" i="30" l="1"/>
  <c r="O10" i="30" s="1"/>
  <c r="N9" i="30"/>
  <c r="O16" i="24"/>
  <c r="O60" i="24" s="1"/>
  <c r="O62" i="24" s="1"/>
  <c r="N12" i="30" l="1"/>
  <c r="O12" i="30" s="1"/>
  <c r="O9" i="30"/>
  <c r="N30" i="30" l="1"/>
  <c r="O30" i="30"/>
  <c r="O64" i="24"/>
  <c r="H44" i="15" s="1"/>
  <c r="I51" i="11"/>
  <c r="J51" i="11" s="1"/>
  <c r="K51" i="11"/>
  <c r="L51" i="11" s="1"/>
  <c r="M51" i="11"/>
  <c r="N51" i="11" s="1"/>
  <c r="Q51" i="11"/>
  <c r="R51" i="11" s="1"/>
  <c r="S51" i="11"/>
  <c r="T51" i="11" s="1"/>
  <c r="E21" i="11"/>
  <c r="E51" i="11" s="1"/>
  <c r="AC69" i="23" l="1"/>
  <c r="AC155" i="23"/>
  <c r="AC172" i="23"/>
  <c r="AC207" i="23"/>
  <c r="AC223" i="23"/>
  <c r="AC252" i="23"/>
  <c r="AC274" i="23"/>
  <c r="AC296" i="23"/>
  <c r="AC319" i="23"/>
  <c r="AC384" i="23"/>
  <c r="AC407" i="23"/>
  <c r="AC430" i="23"/>
  <c r="AC454" i="23"/>
  <c r="AC499" i="23"/>
  <c r="AC521" i="23"/>
  <c r="AC566" i="23"/>
  <c r="AC588" i="23"/>
  <c r="F609" i="7"/>
  <c r="O156" i="1"/>
  <c r="M156" i="1"/>
  <c r="F191" i="7" l="1"/>
  <c r="F246" i="20" l="1"/>
  <c r="M380" i="1" s="1"/>
  <c r="O383" i="1"/>
  <c r="O294" i="1"/>
  <c r="F107" i="8"/>
  <c r="F109" i="8" s="1"/>
  <c r="F248" i="20" l="1"/>
  <c r="F305" i="20"/>
  <c r="M294" i="1"/>
  <c r="Q294" i="1" s="1"/>
  <c r="G25" i="13" l="1"/>
  <c r="F502" i="20" l="1"/>
  <c r="M383" i="1" s="1"/>
  <c r="F504" i="20" l="1"/>
  <c r="F578" i="20" s="1"/>
  <c r="O250" i="1"/>
  <c r="F645" i="7" l="1"/>
  <c r="M250" i="1"/>
  <c r="I50" i="11"/>
  <c r="J50" i="11" s="1"/>
  <c r="K50" i="11"/>
  <c r="L50" i="11" s="1"/>
  <c r="M50" i="11"/>
  <c r="N50" i="11" s="1"/>
  <c r="Q50" i="11"/>
  <c r="R50" i="11" s="1"/>
  <c r="S50" i="11"/>
  <c r="T50" i="11" s="1"/>
  <c r="G51" i="11"/>
  <c r="H51" i="11" s="1"/>
  <c r="E20" i="11"/>
  <c r="E50" i="11" s="1"/>
  <c r="G50" i="11" l="1"/>
  <c r="H50" i="11" s="1"/>
  <c r="D23" i="22"/>
  <c r="E19" i="22"/>
  <c r="E13" i="22"/>
  <c r="E15" i="22"/>
  <c r="E17" i="22"/>
  <c r="E11" i="22"/>
  <c r="E9" i="22"/>
  <c r="E7" i="22"/>
  <c r="E23" i="22" s="1"/>
  <c r="O380" i="1"/>
  <c r="O302" i="1"/>
  <c r="F161" i="8"/>
  <c r="O243" i="1"/>
  <c r="F598" i="7"/>
  <c r="O197" i="1"/>
  <c r="F326" i="7"/>
  <c r="O187" i="1"/>
  <c r="O186" i="1"/>
  <c r="O184" i="1"/>
  <c r="O183" i="1"/>
  <c r="F301" i="7"/>
  <c r="F295" i="7"/>
  <c r="F289" i="7"/>
  <c r="F283" i="7"/>
  <c r="O144" i="1"/>
  <c r="F136" i="7"/>
  <c r="O143" i="1"/>
  <c r="F130" i="7"/>
  <c r="F338" i="7" l="1"/>
  <c r="M200" i="1"/>
  <c r="F353" i="7"/>
  <c r="M204" i="1"/>
  <c r="F163" i="8"/>
  <c r="M302" i="1"/>
  <c r="M243" i="1"/>
  <c r="M183" i="1"/>
  <c r="M197" i="1"/>
  <c r="M184" i="1"/>
  <c r="M186" i="1"/>
  <c r="M187" i="1"/>
  <c r="M144" i="1"/>
  <c r="M143" i="1"/>
  <c r="O81" i="1" l="1"/>
  <c r="O80" i="1"/>
  <c r="O61" i="1" l="1"/>
  <c r="S49" i="11" l="1"/>
  <c r="T49" i="11" s="1"/>
  <c r="Q49" i="11"/>
  <c r="R49" i="11" s="1"/>
  <c r="M49" i="11"/>
  <c r="N49" i="11" s="1"/>
  <c r="I49" i="11"/>
  <c r="J49" i="11" s="1"/>
  <c r="K49" i="11"/>
  <c r="L49" i="11" s="1"/>
  <c r="G49" i="11"/>
  <c r="H49" i="11" s="1"/>
  <c r="E19" i="11"/>
  <c r="E49" i="11" s="1"/>
  <c r="F587" i="7"/>
  <c r="F608" i="7"/>
  <c r="O258" i="1"/>
  <c r="F681" i="7"/>
  <c r="O269" i="1"/>
  <c r="M258" i="1" l="1"/>
  <c r="O320" i="1" l="1"/>
  <c r="E13" i="42" s="1"/>
  <c r="O318" i="1"/>
  <c r="E11" i="42" s="1"/>
  <c r="G11" i="42" s="1"/>
  <c r="K11" i="42" l="1"/>
  <c r="L11" i="42" s="1"/>
  <c r="H11" i="42"/>
  <c r="O300" i="1"/>
  <c r="F147" i="8"/>
  <c r="F149" i="8" s="1"/>
  <c r="O287" i="1"/>
  <c r="F71" i="8"/>
  <c r="F73" i="8" s="1"/>
  <c r="O286" i="1"/>
  <c r="F65" i="8"/>
  <c r="F67" i="8" s="1"/>
  <c r="O284" i="1"/>
  <c r="F59" i="8"/>
  <c r="F61" i="8" s="1"/>
  <c r="F31" i="8"/>
  <c r="F30" i="8"/>
  <c r="F29" i="8"/>
  <c r="F28" i="8"/>
  <c r="D134" i="23" l="1"/>
  <c r="AC134" i="23" s="1"/>
  <c r="M300" i="1"/>
  <c r="M318" i="1"/>
  <c r="X318" i="1" s="1"/>
  <c r="M287" i="1"/>
  <c r="M286" i="1"/>
  <c r="M284" i="1"/>
  <c r="AC362" i="23" l="1"/>
  <c r="D340" i="23"/>
  <c r="AC340" i="23" s="1"/>
  <c r="O132" i="1"/>
  <c r="F44" i="15"/>
  <c r="M320" i="1" l="1"/>
  <c r="X320" i="1" s="1"/>
  <c r="F91" i="7"/>
  <c r="M132" i="1"/>
  <c r="F13" i="8"/>
  <c r="F15" i="8" s="1"/>
  <c r="F19" i="8"/>
  <c r="F20" i="8"/>
  <c r="F21" i="8"/>
  <c r="F22" i="8"/>
  <c r="F23" i="8"/>
  <c r="F24" i="8"/>
  <c r="F25" i="8"/>
  <c r="F26" i="8"/>
  <c r="F27" i="8"/>
  <c r="F41" i="8"/>
  <c r="F43" i="8" s="1"/>
  <c r="F50" i="8"/>
  <c r="F52" i="8" s="1"/>
  <c r="F84" i="8"/>
  <c r="F86" i="8" s="1"/>
  <c r="F91" i="8"/>
  <c r="F93" i="8" s="1"/>
  <c r="F97" i="8"/>
  <c r="F99" i="8" s="1"/>
  <c r="F183" i="8"/>
  <c r="F185" i="8" s="1"/>
  <c r="F189" i="8"/>
  <c r="F191" i="8" s="1"/>
  <c r="F1194" i="18" l="1"/>
  <c r="M321" i="1"/>
  <c r="X321" i="1" s="1"/>
  <c r="O335" i="1"/>
  <c r="O330" i="1"/>
  <c r="F33" i="8"/>
  <c r="F35" i="8" s="1"/>
  <c r="Q156" i="1"/>
  <c r="Q150" i="1"/>
  <c r="Q147" i="1"/>
  <c r="O246" i="1"/>
  <c r="O242" i="1"/>
  <c r="O234" i="1"/>
  <c r="O226" i="1"/>
  <c r="O213" i="1"/>
  <c r="F607" i="7"/>
  <c r="F611" i="7" s="1"/>
  <c r="F586" i="7"/>
  <c r="F589" i="7" s="1"/>
  <c r="M226" i="1"/>
  <c r="F1206" i="18" l="1"/>
  <c r="F1212" i="18"/>
  <c r="F1214" i="18" s="1"/>
  <c r="F1208" i="18"/>
  <c r="M322" i="1"/>
  <c r="X322" i="1" s="1"/>
  <c r="O254" i="1"/>
  <c r="F669" i="7"/>
  <c r="M234" i="1"/>
  <c r="M213" i="1"/>
  <c r="F375" i="7"/>
  <c r="F320" i="7"/>
  <c r="Q322" i="1" l="1"/>
  <c r="S322" i="1"/>
  <c r="F494" i="7"/>
  <c r="F551" i="7"/>
  <c r="F591" i="7"/>
  <c r="M242" i="1"/>
  <c r="F613" i="7"/>
  <c r="M246" i="1"/>
  <c r="F430" i="7"/>
  <c r="M254" i="1"/>
  <c r="F401" i="7"/>
  <c r="F456" i="7"/>
  <c r="G47" i="11" l="1"/>
  <c r="H47" i="11" s="1"/>
  <c r="I48" i="11"/>
  <c r="J48" i="11" s="1"/>
  <c r="K48" i="11"/>
  <c r="L48" i="11" s="1"/>
  <c r="M48" i="11"/>
  <c r="N48" i="11" s="1"/>
  <c r="Q48" i="11"/>
  <c r="R48" i="11" s="1"/>
  <c r="S48" i="11"/>
  <c r="T48" i="11" s="1"/>
  <c r="G48" i="11"/>
  <c r="H48" i="11" s="1"/>
  <c r="E18" i="11"/>
  <c r="E48" i="11" s="1"/>
  <c r="O317" i="1"/>
  <c r="E9" i="42" s="1"/>
  <c r="G9" i="42" s="1"/>
  <c r="O290" i="1"/>
  <c r="O289" i="1"/>
  <c r="K9" i="42" l="1"/>
  <c r="L9" i="42" s="1"/>
  <c r="H9" i="42"/>
  <c r="M317" i="1"/>
  <c r="X317" i="1" s="1"/>
  <c r="M289" i="1"/>
  <c r="M290" i="1"/>
  <c r="O73" i="1" l="1"/>
  <c r="O72" i="1"/>
  <c r="F357" i="6"/>
  <c r="M73" i="1" s="1"/>
  <c r="F344" i="6"/>
  <c r="M72" i="1" s="1"/>
  <c r="F359" i="6" l="1"/>
  <c r="F346" i="6"/>
  <c r="Q290" i="1" l="1"/>
  <c r="S14" i="1" l="1"/>
  <c r="S16" i="1"/>
  <c r="S26" i="1"/>
  <c r="S29" i="1"/>
  <c r="S30" i="1"/>
  <c r="S33" i="1"/>
  <c r="S36" i="1"/>
  <c r="S39" i="1"/>
  <c r="S42" i="1"/>
  <c r="S45" i="1"/>
  <c r="S48" i="1"/>
  <c r="S51" i="1"/>
  <c r="S54" i="1"/>
  <c r="S57" i="1"/>
  <c r="S60" i="1"/>
  <c r="S62" i="1"/>
  <c r="S65" i="1"/>
  <c r="S68" i="1"/>
  <c r="S70" i="1"/>
  <c r="S72" i="1"/>
  <c r="S73" i="1"/>
  <c r="S77" i="1"/>
  <c r="S78" i="1"/>
  <c r="S79" i="1"/>
  <c r="S83" i="1"/>
  <c r="S84" i="1"/>
  <c r="S85" i="1"/>
  <c r="S86" i="1"/>
  <c r="S87" i="1"/>
  <c r="S88" i="1"/>
  <c r="S89" i="1"/>
  <c r="S90" i="1"/>
  <c r="S91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4" i="1"/>
  <c r="S115" i="1"/>
  <c r="S116" i="1"/>
  <c r="S117" i="1"/>
  <c r="S118" i="1"/>
  <c r="S119" i="1"/>
  <c r="S120" i="1"/>
  <c r="S121" i="1"/>
  <c r="S126" i="1"/>
  <c r="S127" i="1"/>
  <c r="S130" i="1"/>
  <c r="S132" i="1"/>
  <c r="S133" i="1"/>
  <c r="S135" i="1"/>
  <c r="S136" i="1"/>
  <c r="S139" i="1"/>
  <c r="S140" i="1"/>
  <c r="S141" i="1"/>
  <c r="S142" i="1"/>
  <c r="S143" i="1"/>
  <c r="S144" i="1"/>
  <c r="S145" i="1"/>
  <c r="S147" i="1"/>
  <c r="S148" i="1"/>
  <c r="S150" i="1"/>
  <c r="S151" i="1"/>
  <c r="S153" i="1"/>
  <c r="S154" i="1"/>
  <c r="S156" i="1"/>
  <c r="S157" i="1"/>
  <c r="S160" i="1"/>
  <c r="S161" i="1"/>
  <c r="S164" i="1"/>
  <c r="S167" i="1"/>
  <c r="S168" i="1"/>
  <c r="S169" i="1"/>
  <c r="S170" i="1"/>
  <c r="S173" i="1"/>
  <c r="S176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5" i="1"/>
  <c r="S258" i="1"/>
  <c r="S259" i="1"/>
  <c r="S260" i="1"/>
  <c r="S261" i="1"/>
  <c r="S262" i="1"/>
  <c r="S267" i="1"/>
  <c r="S270" i="1"/>
  <c r="S271" i="1"/>
  <c r="S272" i="1"/>
  <c r="S273" i="1"/>
  <c r="S274" i="1"/>
  <c r="S275" i="1"/>
  <c r="S276" i="1"/>
  <c r="S277" i="1"/>
  <c r="S280" i="1"/>
  <c r="S281" i="1"/>
  <c r="S284" i="1"/>
  <c r="S285" i="1"/>
  <c r="S286" i="1"/>
  <c r="S287" i="1"/>
  <c r="S288" i="1"/>
  <c r="S289" i="1"/>
  <c r="S290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10" i="1"/>
  <c r="S311" i="1"/>
  <c r="S312" i="1"/>
  <c r="S313" i="1"/>
  <c r="S314" i="1"/>
  <c r="S315" i="1"/>
  <c r="S317" i="1"/>
  <c r="S318" i="1"/>
  <c r="S319" i="1"/>
  <c r="S320" i="1"/>
  <c r="S321" i="1"/>
  <c r="S323" i="1"/>
  <c r="S325" i="1"/>
  <c r="S326" i="1"/>
  <c r="S327" i="1"/>
  <c r="S329" i="1"/>
  <c r="S332" i="1"/>
  <c r="S333" i="1"/>
  <c r="S338" i="1"/>
  <c r="S339" i="1"/>
  <c r="S343" i="1"/>
  <c r="S348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2" i="1"/>
  <c r="S383" i="1"/>
  <c r="S387" i="1"/>
  <c r="S388" i="1"/>
  <c r="S391" i="1"/>
  <c r="S394" i="1"/>
  <c r="S395" i="1"/>
  <c r="S398" i="1"/>
  <c r="S401" i="1"/>
  <c r="S402" i="1"/>
  <c r="S403" i="1"/>
  <c r="S405" i="1"/>
  <c r="S406" i="1"/>
  <c r="S407" i="1"/>
  <c r="S409" i="1"/>
  <c r="S410" i="1"/>
  <c r="S419" i="1"/>
  <c r="S420" i="1"/>
  <c r="S423" i="1"/>
  <c r="S426" i="1"/>
  <c r="S429" i="1"/>
  <c r="S432" i="1"/>
  <c r="S433" i="1"/>
  <c r="S436" i="1"/>
  <c r="S439" i="1"/>
  <c r="S440" i="1"/>
  <c r="S444" i="1"/>
  <c r="S448" i="1"/>
  <c r="S449" i="1"/>
  <c r="S453" i="1"/>
  <c r="S457" i="1"/>
  <c r="S458" i="1"/>
  <c r="S459" i="1"/>
  <c r="S460" i="1"/>
  <c r="S461" i="1"/>
  <c r="S464" i="1"/>
  <c r="S466" i="1"/>
  <c r="S467" i="1"/>
  <c r="S468" i="1"/>
  <c r="S470" i="1"/>
  <c r="S474" i="1"/>
  <c r="S475" i="1"/>
  <c r="S478" i="1"/>
  <c r="S479" i="1"/>
  <c r="S480" i="1"/>
  <c r="S481" i="1"/>
  <c r="S483" i="1"/>
  <c r="S486" i="1"/>
  <c r="S488" i="1"/>
  <c r="S489" i="1"/>
  <c r="S490" i="1"/>
  <c r="S491" i="1"/>
  <c r="S492" i="1"/>
  <c r="S493" i="1"/>
  <c r="S496" i="1"/>
  <c r="S498" i="1"/>
  <c r="S501" i="1"/>
  <c r="S504" i="1"/>
  <c r="S506" i="1"/>
  <c r="S508" i="1"/>
  <c r="S509" i="1"/>
  <c r="S510" i="1"/>
  <c r="S512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O138" i="1"/>
  <c r="O134" i="1"/>
  <c r="O59" i="1"/>
  <c r="M155" i="1" l="1"/>
  <c r="O155" i="1"/>
  <c r="O152" i="1"/>
  <c r="M152" i="1"/>
  <c r="Q152" i="1" l="1"/>
  <c r="Q155" i="1"/>
  <c r="F726" i="7"/>
  <c r="F183" i="7"/>
  <c r="S155" i="1"/>
  <c r="F167" i="7"/>
  <c r="S152" i="1"/>
  <c r="O309" i="1"/>
  <c r="O308" i="1"/>
  <c r="M308" i="1"/>
  <c r="F727" i="7" l="1"/>
  <c r="F729" i="7" s="1"/>
  <c r="S308" i="1"/>
  <c r="M309" i="1"/>
  <c r="S309" i="1" s="1"/>
  <c r="Q111" i="7"/>
  <c r="Q110" i="7"/>
  <c r="Q109" i="7"/>
  <c r="Q108" i="7"/>
  <c r="Q107" i="7"/>
  <c r="Q106" i="7"/>
  <c r="M107" i="7"/>
  <c r="M108" i="7"/>
  <c r="M109" i="7"/>
  <c r="M106" i="7"/>
  <c r="Q113" i="7" l="1"/>
  <c r="F106" i="7" s="1"/>
  <c r="F109" i="7" s="1"/>
  <c r="M110" i="7"/>
  <c r="Q119" i="7" l="1"/>
  <c r="M138" i="1"/>
  <c r="O316" i="1"/>
  <c r="E7" i="42" s="1"/>
  <c r="G7" i="42" s="1"/>
  <c r="F1137" i="18"/>
  <c r="D543" i="23" l="1"/>
  <c r="AC543" i="23" s="1"/>
  <c r="K7" i="42"/>
  <c r="L7" i="42" s="1"/>
  <c r="H7" i="42"/>
  <c r="M316" i="1"/>
  <c r="Q138" i="1"/>
  <c r="F1139" i="18"/>
  <c r="D90" i="23" s="1"/>
  <c r="F111" i="7"/>
  <c r="Q317" i="1"/>
  <c r="Q318" i="1"/>
  <c r="F1143" i="18" l="1"/>
  <c r="S316" i="1"/>
  <c r="X316" i="1"/>
  <c r="AC90" i="23"/>
  <c r="S138" i="1"/>
  <c r="D477" i="23" l="1"/>
  <c r="AC477" i="23" s="1"/>
  <c r="F1145" i="18"/>
  <c r="F1149" i="18" s="1"/>
  <c r="M269" i="1"/>
  <c r="S269" i="1" s="1"/>
  <c r="F731" i="7"/>
  <c r="S47" i="11"/>
  <c r="T47" i="11" s="1"/>
  <c r="Q47" i="11"/>
  <c r="R47" i="11" s="1"/>
  <c r="M47" i="11"/>
  <c r="N47" i="11" s="1"/>
  <c r="K47" i="11"/>
  <c r="L47" i="11" s="1"/>
  <c r="I47" i="11"/>
  <c r="J47" i="11" s="1"/>
  <c r="E17" i="11"/>
  <c r="E47" i="11" s="1"/>
  <c r="F1151" i="18" l="1"/>
  <c r="D112" i="23"/>
  <c r="F1177" i="18"/>
  <c r="F1179" i="18" s="1"/>
  <c r="F1228" i="18" s="1"/>
  <c r="O268" i="1"/>
  <c r="O279" i="1"/>
  <c r="O163" i="1"/>
  <c r="O159" i="1"/>
  <c r="O149" i="1"/>
  <c r="O146" i="1"/>
  <c r="O137" i="1"/>
  <c r="O129" i="1"/>
  <c r="O113" i="1"/>
  <c r="O97" i="1"/>
  <c r="O96" i="1"/>
  <c r="O95" i="1"/>
  <c r="O94" i="1"/>
  <c r="O93" i="1"/>
  <c r="O92" i="1"/>
  <c r="O76" i="1"/>
  <c r="O75" i="1"/>
  <c r="O74" i="1"/>
  <c r="O71" i="1"/>
  <c r="O69" i="1"/>
  <c r="O67" i="1"/>
  <c r="O66" i="1"/>
  <c r="O64" i="1"/>
  <c r="O58" i="1"/>
  <c r="O53" i="1"/>
  <c r="O52" i="1"/>
  <c r="O46" i="1"/>
  <c r="O28" i="1"/>
  <c r="O27" i="1"/>
  <c r="O25" i="1"/>
  <c r="O23" i="1"/>
  <c r="O22" i="1"/>
  <c r="E17" i="15"/>
  <c r="F1230" i="18" l="1"/>
  <c r="M335" i="1"/>
  <c r="AC112" i="23"/>
  <c r="D610" i="23"/>
  <c r="F1221" i="18"/>
  <c r="E23" i="13"/>
  <c r="E22" i="13"/>
  <c r="E21" i="13"/>
  <c r="E20" i="13"/>
  <c r="E19" i="13"/>
  <c r="E18" i="13"/>
  <c r="E17" i="13"/>
  <c r="F235" i="6"/>
  <c r="M53" i="1" s="1"/>
  <c r="S53" i="1" s="1"/>
  <c r="F120" i="6"/>
  <c r="F122" i="6" s="1"/>
  <c r="F114" i="6"/>
  <c r="F116" i="6" s="1"/>
  <c r="F128" i="6"/>
  <c r="M23" i="1"/>
  <c r="S23" i="1" s="1"/>
  <c r="M22" i="1"/>
  <c r="S22" i="1" s="1"/>
  <c r="F724" i="7"/>
  <c r="F215" i="7"/>
  <c r="F203" i="7"/>
  <c r="F154" i="7"/>
  <c r="F142" i="7"/>
  <c r="F104" i="7"/>
  <c r="F97" i="7"/>
  <c r="F46" i="7"/>
  <c r="F745" i="6"/>
  <c r="F646" i="6"/>
  <c r="F648" i="6" s="1"/>
  <c r="F633" i="6"/>
  <c r="F635" i="6" s="1"/>
  <c r="F620" i="6"/>
  <c r="F622" i="6" s="1"/>
  <c r="F607" i="6"/>
  <c r="F609" i="6" s="1"/>
  <c r="F594" i="6"/>
  <c r="F596" i="6" s="1"/>
  <c r="F581" i="6"/>
  <c r="F583" i="6" s="1"/>
  <c r="F412" i="6"/>
  <c r="M76" i="1" s="1"/>
  <c r="F391" i="6"/>
  <c r="M75" i="1" s="1"/>
  <c r="F370" i="6"/>
  <c r="M74" i="1" s="1"/>
  <c r="M330" i="1" l="1"/>
  <c r="F1223" i="18"/>
  <c r="Q335" i="1"/>
  <c r="S335" i="1"/>
  <c r="F747" i="6"/>
  <c r="M113" i="1"/>
  <c r="S113" i="1" s="1"/>
  <c r="F393" i="6"/>
  <c r="S75" i="1"/>
  <c r="F414" i="6"/>
  <c r="S76" i="1"/>
  <c r="F372" i="6"/>
  <c r="M279" i="1"/>
  <c r="S279" i="1" s="1"/>
  <c r="S254" i="1"/>
  <c r="M268" i="1"/>
  <c r="S268" i="1" s="1"/>
  <c r="M146" i="1"/>
  <c r="S146" i="1" s="1"/>
  <c r="M134" i="1"/>
  <c r="S134" i="1" s="1"/>
  <c r="F237" i="6"/>
  <c r="M163" i="1"/>
  <c r="S163" i="1" s="1"/>
  <c r="M149" i="1"/>
  <c r="S149" i="1" s="1"/>
  <c r="M129" i="1"/>
  <c r="S129" i="1" s="1"/>
  <c r="M137" i="1"/>
  <c r="S137" i="1" s="1"/>
  <c r="M159" i="1"/>
  <c r="S159" i="1" s="1"/>
  <c r="M27" i="1"/>
  <c r="S27" i="1" s="1"/>
  <c r="M28" i="1"/>
  <c r="S28" i="1" s="1"/>
  <c r="S74" i="1"/>
  <c r="M92" i="1"/>
  <c r="M93" i="1"/>
  <c r="M94" i="1"/>
  <c r="M95" i="1"/>
  <c r="M96" i="1"/>
  <c r="M97" i="1"/>
  <c r="F331" i="6"/>
  <c r="M71" i="1" s="1"/>
  <c r="F318" i="6"/>
  <c r="M69" i="1" s="1"/>
  <c r="F296" i="6"/>
  <c r="F289" i="6"/>
  <c r="F282" i="6"/>
  <c r="F268" i="6"/>
  <c r="F255" i="6"/>
  <c r="F228" i="6"/>
  <c r="F201" i="6"/>
  <c r="M46" i="1" s="1"/>
  <c r="F108" i="6"/>
  <c r="F94" i="6"/>
  <c r="F96" i="6" s="1"/>
  <c r="F88" i="6"/>
  <c r="F90" i="6" s="1"/>
  <c r="S92" i="1" l="1"/>
  <c r="S96" i="1"/>
  <c r="S93" i="1"/>
  <c r="S95" i="1"/>
  <c r="S97" i="1"/>
  <c r="S94" i="1"/>
  <c r="Q279" i="1"/>
  <c r="M64" i="1"/>
  <c r="S64" i="1" s="1"/>
  <c r="Q46" i="1"/>
  <c r="S46" i="1"/>
  <c r="F230" i="6"/>
  <c r="M52" i="1"/>
  <c r="S52" i="1" s="1"/>
  <c r="F257" i="6"/>
  <c r="M58" i="1"/>
  <c r="S58" i="1" s="1"/>
  <c r="F284" i="6"/>
  <c r="F270" i="6"/>
  <c r="M61" i="1"/>
  <c r="S61" i="1" s="1"/>
  <c r="F291" i="6"/>
  <c r="M66" i="1"/>
  <c r="S66" i="1" s="1"/>
  <c r="F298" i="6"/>
  <c r="M67" i="1"/>
  <c r="S67" i="1" s="1"/>
  <c r="F320" i="6"/>
  <c r="S69" i="1"/>
  <c r="F110" i="6"/>
  <c r="M25" i="1"/>
  <c r="S25" i="1" s="1"/>
  <c r="F203" i="6"/>
  <c r="F333" i="6"/>
  <c r="S71" i="1"/>
  <c r="K46" i="11"/>
  <c r="L46" i="11" s="1"/>
  <c r="D6" i="13"/>
  <c r="J4" i="7" l="1"/>
  <c r="J4" i="8"/>
  <c r="J4" i="20"/>
  <c r="N4" i="27" s="1"/>
  <c r="J1123" i="18"/>
  <c r="I46" i="11"/>
  <c r="J46" i="11" s="1"/>
  <c r="M46" i="11"/>
  <c r="N46" i="11" s="1"/>
  <c r="Q46" i="11"/>
  <c r="R46" i="11" s="1"/>
  <c r="S46" i="11"/>
  <c r="T46" i="11" s="1"/>
  <c r="E16" i="11"/>
  <c r="E46" i="11" s="1"/>
  <c r="BA41" i="17"/>
  <c r="D39" i="17"/>
  <c r="BA39" i="17" s="1"/>
  <c r="D37" i="17"/>
  <c r="BA37" i="17" s="1"/>
  <c r="D35" i="17"/>
  <c r="BA35" i="17" s="1"/>
  <c r="D33" i="17"/>
  <c r="BA33" i="17" s="1"/>
  <c r="D30" i="17"/>
  <c r="BA30" i="17" s="1"/>
  <c r="D29" i="17"/>
  <c r="BA29" i="17" s="1"/>
  <c r="D28" i="17"/>
  <c r="BA28" i="17" s="1"/>
  <c r="D27" i="17"/>
  <c r="D26" i="17"/>
  <c r="BA26" i="17" s="1"/>
  <c r="D25" i="17"/>
  <c r="BA25" i="17" s="1"/>
  <c r="D23" i="17"/>
  <c r="BA23" i="17" s="1"/>
  <c r="D13" i="17"/>
  <c r="BA13" i="17" s="1"/>
  <c r="BA40" i="17"/>
  <c r="BA38" i="17"/>
  <c r="BA36" i="17"/>
  <c r="BA34" i="17"/>
  <c r="BA27" i="17"/>
  <c r="BA21" i="17"/>
  <c r="BA20" i="17"/>
  <c r="BA19" i="17"/>
  <c r="BA18" i="17"/>
  <c r="BA17" i="17"/>
  <c r="BA16" i="17"/>
  <c r="BA15" i="17"/>
  <c r="D11" i="17"/>
  <c r="BA11" i="17" s="1"/>
  <c r="D10" i="17"/>
  <c r="BA10" i="17" s="1"/>
  <c r="D9" i="17"/>
  <c r="BA9" i="17" s="1"/>
  <c r="D8" i="17"/>
  <c r="BA8" i="17" s="1"/>
  <c r="D7" i="17"/>
  <c r="BA7" i="17" s="1"/>
  <c r="D6" i="17"/>
  <c r="BA6" i="17" s="1"/>
  <c r="D4" i="17"/>
  <c r="BA4" i="17" s="1"/>
  <c r="C13" i="37" l="1"/>
  <c r="F1249" i="18"/>
  <c r="R189" i="37"/>
  <c r="R171" i="37"/>
  <c r="R153" i="37"/>
  <c r="R135" i="37"/>
  <c r="R117" i="37"/>
  <c r="R99" i="37"/>
  <c r="R81" i="37"/>
  <c r="R63" i="37"/>
  <c r="R45" i="37"/>
  <c r="R27" i="37"/>
  <c r="R9" i="37"/>
  <c r="O177" i="37"/>
  <c r="O159" i="37"/>
  <c r="O141" i="37"/>
  <c r="O123" i="37"/>
  <c r="O105" i="37"/>
  <c r="O87" i="37"/>
  <c r="O69" i="37"/>
  <c r="O51" i="37"/>
  <c r="O33" i="37"/>
  <c r="O15" i="37"/>
  <c r="L183" i="37"/>
  <c r="L165" i="37"/>
  <c r="L147" i="37"/>
  <c r="L129" i="37"/>
  <c r="L111" i="37"/>
  <c r="L93" i="37"/>
  <c r="L75" i="37"/>
  <c r="L57" i="37"/>
  <c r="L39" i="37"/>
  <c r="L21" i="37"/>
  <c r="F189" i="37"/>
  <c r="F171" i="37"/>
  <c r="F153" i="37"/>
  <c r="F135" i="37"/>
  <c r="F117" i="37"/>
  <c r="F99" i="37"/>
  <c r="F81" i="37"/>
  <c r="F63" i="37"/>
  <c r="F45" i="37"/>
  <c r="F27" i="37"/>
  <c r="F9" i="37"/>
  <c r="C177" i="37"/>
  <c r="C159" i="37"/>
  <c r="C141" i="37"/>
  <c r="C123" i="37"/>
  <c r="C105" i="37"/>
  <c r="C87" i="37"/>
  <c r="C69" i="37"/>
  <c r="C51" i="37"/>
  <c r="C33" i="37"/>
  <c r="C15" i="37"/>
  <c r="I175" i="37"/>
  <c r="I164" i="37"/>
  <c r="I146" i="37"/>
  <c r="I56" i="37"/>
  <c r="O155" i="37"/>
  <c r="L125" i="37"/>
  <c r="F5" i="37"/>
  <c r="I160" i="37"/>
  <c r="R188" i="37"/>
  <c r="R170" i="37"/>
  <c r="R152" i="37"/>
  <c r="R134" i="37"/>
  <c r="R116" i="37"/>
  <c r="R98" i="37"/>
  <c r="R80" i="37"/>
  <c r="R62" i="37"/>
  <c r="R44" i="37"/>
  <c r="R26" i="37"/>
  <c r="R8" i="37"/>
  <c r="O176" i="37"/>
  <c r="O158" i="37"/>
  <c r="O140" i="37"/>
  <c r="O122" i="37"/>
  <c r="O104" i="37"/>
  <c r="O86" i="37"/>
  <c r="O68" i="37"/>
  <c r="O50" i="37"/>
  <c r="O32" i="37"/>
  <c r="O14" i="37"/>
  <c r="L182" i="37"/>
  <c r="L164" i="37"/>
  <c r="L146" i="37"/>
  <c r="L128" i="37"/>
  <c r="L110" i="37"/>
  <c r="L92" i="37"/>
  <c r="L74" i="37"/>
  <c r="L56" i="37"/>
  <c r="L38" i="37"/>
  <c r="L20" i="37"/>
  <c r="F188" i="37"/>
  <c r="F170" i="37"/>
  <c r="F152" i="37"/>
  <c r="F134" i="37"/>
  <c r="F116" i="37"/>
  <c r="F98" i="37"/>
  <c r="F80" i="37"/>
  <c r="F62" i="37"/>
  <c r="F44" i="37"/>
  <c r="F26" i="37"/>
  <c r="F8" i="37"/>
  <c r="C176" i="37"/>
  <c r="C158" i="37"/>
  <c r="C140" i="37"/>
  <c r="C122" i="37"/>
  <c r="C104" i="37"/>
  <c r="C86" i="37"/>
  <c r="C68" i="37"/>
  <c r="C50" i="37"/>
  <c r="C32" i="37"/>
  <c r="C14" i="37"/>
  <c r="I176" i="37"/>
  <c r="I163" i="37"/>
  <c r="I145" i="37"/>
  <c r="I127" i="37"/>
  <c r="I109" i="37"/>
  <c r="I91" i="37"/>
  <c r="I73" i="37"/>
  <c r="I55" i="37"/>
  <c r="I37" i="37"/>
  <c r="I19" i="37"/>
  <c r="F25" i="37"/>
  <c r="C175" i="37"/>
  <c r="C139" i="37"/>
  <c r="C103" i="37"/>
  <c r="C67" i="37"/>
  <c r="C31" i="37"/>
  <c r="I177" i="37"/>
  <c r="I144" i="37"/>
  <c r="I108" i="37"/>
  <c r="I72" i="37"/>
  <c r="I54" i="37"/>
  <c r="I18" i="37"/>
  <c r="I178" i="37"/>
  <c r="I125" i="37"/>
  <c r="I71" i="37"/>
  <c r="I53" i="37"/>
  <c r="R167" i="37"/>
  <c r="R23" i="37"/>
  <c r="O65" i="37"/>
  <c r="L107" i="37"/>
  <c r="F113" i="37"/>
  <c r="C101" i="37"/>
  <c r="I106" i="37"/>
  <c r="R187" i="37"/>
  <c r="R169" i="37"/>
  <c r="R151" i="37"/>
  <c r="R133" i="37"/>
  <c r="R115" i="37"/>
  <c r="R97" i="37"/>
  <c r="R79" i="37"/>
  <c r="R61" i="37"/>
  <c r="R43" i="37"/>
  <c r="R25" i="37"/>
  <c r="R7" i="37"/>
  <c r="O175" i="37"/>
  <c r="O157" i="37"/>
  <c r="O139" i="37"/>
  <c r="O121" i="37"/>
  <c r="O103" i="37"/>
  <c r="O85" i="37"/>
  <c r="O67" i="37"/>
  <c r="O49" i="37"/>
  <c r="O31" i="37"/>
  <c r="O13" i="37"/>
  <c r="L181" i="37"/>
  <c r="L163" i="37"/>
  <c r="L145" i="37"/>
  <c r="L127" i="37"/>
  <c r="L109" i="37"/>
  <c r="L91" i="37"/>
  <c r="L73" i="37"/>
  <c r="L55" i="37"/>
  <c r="L37" i="37"/>
  <c r="L19" i="37"/>
  <c r="F187" i="37"/>
  <c r="F169" i="37"/>
  <c r="F151" i="37"/>
  <c r="F133" i="37"/>
  <c r="F115" i="37"/>
  <c r="F97" i="37"/>
  <c r="F79" i="37"/>
  <c r="F61" i="37"/>
  <c r="F43" i="37"/>
  <c r="F7" i="37"/>
  <c r="C157" i="37"/>
  <c r="C121" i="37"/>
  <c r="C85" i="37"/>
  <c r="C49" i="37"/>
  <c r="C12" i="37"/>
  <c r="I162" i="37"/>
  <c r="I126" i="37"/>
  <c r="I90" i="37"/>
  <c r="I36" i="37"/>
  <c r="C30" i="37"/>
  <c r="I143" i="37"/>
  <c r="I89" i="37"/>
  <c r="I35" i="37"/>
  <c r="R149" i="37"/>
  <c r="O119" i="37"/>
  <c r="F185" i="37"/>
  <c r="C155" i="37"/>
  <c r="I124" i="37"/>
  <c r="R186" i="37"/>
  <c r="R168" i="37"/>
  <c r="R150" i="37"/>
  <c r="R132" i="37"/>
  <c r="R114" i="37"/>
  <c r="R96" i="37"/>
  <c r="R78" i="37"/>
  <c r="R60" i="37"/>
  <c r="R42" i="37"/>
  <c r="R24" i="37"/>
  <c r="R6" i="37"/>
  <c r="O174" i="37"/>
  <c r="O156" i="37"/>
  <c r="O138" i="37"/>
  <c r="O120" i="37"/>
  <c r="O102" i="37"/>
  <c r="O84" i="37"/>
  <c r="O66" i="37"/>
  <c r="O48" i="37"/>
  <c r="O30" i="37"/>
  <c r="O12" i="37"/>
  <c r="L180" i="37"/>
  <c r="L162" i="37"/>
  <c r="L144" i="37"/>
  <c r="L126" i="37"/>
  <c r="L108" i="37"/>
  <c r="L90" i="37"/>
  <c r="L72" i="37"/>
  <c r="L54" i="37"/>
  <c r="L36" i="37"/>
  <c r="L18" i="37"/>
  <c r="F186" i="37"/>
  <c r="F168" i="37"/>
  <c r="F150" i="37"/>
  <c r="F132" i="37"/>
  <c r="F114" i="37"/>
  <c r="F96" i="37"/>
  <c r="F78" i="37"/>
  <c r="F60" i="37"/>
  <c r="F42" i="37"/>
  <c r="F24" i="37"/>
  <c r="F6" i="37"/>
  <c r="C174" i="37"/>
  <c r="C156" i="37"/>
  <c r="C138" i="37"/>
  <c r="C120" i="37"/>
  <c r="C102" i="37"/>
  <c r="C84" i="37"/>
  <c r="C66" i="37"/>
  <c r="C48" i="37"/>
  <c r="C11" i="37"/>
  <c r="I161" i="37"/>
  <c r="I107" i="37"/>
  <c r="I17" i="37"/>
  <c r="R131" i="37"/>
  <c r="O83" i="37"/>
  <c r="F167" i="37"/>
  <c r="C137" i="37"/>
  <c r="I88" i="37"/>
  <c r="R185" i="37"/>
  <c r="R184" i="37"/>
  <c r="R166" i="37"/>
  <c r="R148" i="37"/>
  <c r="R130" i="37"/>
  <c r="R112" i="37"/>
  <c r="R94" i="37"/>
  <c r="R76" i="37"/>
  <c r="R58" i="37"/>
  <c r="R40" i="37"/>
  <c r="R22" i="37"/>
  <c r="R4" i="37"/>
  <c r="O172" i="37"/>
  <c r="O154" i="37"/>
  <c r="O136" i="37"/>
  <c r="O118" i="37"/>
  <c r="O100" i="37"/>
  <c r="O82" i="37"/>
  <c r="O64" i="37"/>
  <c r="O46" i="37"/>
  <c r="O28" i="37"/>
  <c r="O10" i="37"/>
  <c r="L178" i="37"/>
  <c r="L160" i="37"/>
  <c r="L142" i="37"/>
  <c r="L124" i="37"/>
  <c r="L106" i="37"/>
  <c r="L88" i="37"/>
  <c r="L70" i="37"/>
  <c r="L52" i="37"/>
  <c r="L34" i="37"/>
  <c r="L16" i="37"/>
  <c r="F184" i="37"/>
  <c r="F166" i="37"/>
  <c r="F148" i="37"/>
  <c r="F130" i="37"/>
  <c r="F112" i="37"/>
  <c r="F94" i="37"/>
  <c r="F76" i="37"/>
  <c r="F58" i="37"/>
  <c r="F40" i="37"/>
  <c r="F22" i="37"/>
  <c r="F4" i="37"/>
  <c r="C172" i="37"/>
  <c r="C154" i="37"/>
  <c r="C136" i="37"/>
  <c r="C118" i="37"/>
  <c r="C100" i="37"/>
  <c r="C82" i="37"/>
  <c r="C64" i="37"/>
  <c r="C46" i="37"/>
  <c r="C28" i="37"/>
  <c r="C9" i="37"/>
  <c r="I180" i="37"/>
  <c r="I159" i="37"/>
  <c r="I141" i="37"/>
  <c r="I123" i="37"/>
  <c r="I105" i="37"/>
  <c r="I87" i="37"/>
  <c r="I15" i="37"/>
  <c r="R183" i="37"/>
  <c r="R182" i="37"/>
  <c r="R181" i="37"/>
  <c r="R163" i="37"/>
  <c r="R145" i="37"/>
  <c r="R127" i="37"/>
  <c r="R109" i="37"/>
  <c r="R91" i="37"/>
  <c r="R73" i="37"/>
  <c r="R55" i="37"/>
  <c r="R37" i="37"/>
  <c r="R19" i="37"/>
  <c r="O187" i="37"/>
  <c r="O169" i="37"/>
  <c r="O151" i="37"/>
  <c r="O133" i="37"/>
  <c r="O115" i="37"/>
  <c r="O97" i="37"/>
  <c r="O79" i="37"/>
  <c r="O61" i="37"/>
  <c r="O43" i="37"/>
  <c r="O25" i="37"/>
  <c r="O7" i="37"/>
  <c r="L175" i="37"/>
  <c r="L157" i="37"/>
  <c r="L139" i="37"/>
  <c r="L121" i="37"/>
  <c r="L103" i="37"/>
  <c r="L85" i="37"/>
  <c r="L67" i="37"/>
  <c r="L49" i="37"/>
  <c r="L31" i="37"/>
  <c r="L13" i="37"/>
  <c r="F181" i="37"/>
  <c r="F163" i="37"/>
  <c r="F145" i="37"/>
  <c r="F127" i="37"/>
  <c r="F109" i="37"/>
  <c r="F91" i="37"/>
  <c r="F73" i="37"/>
  <c r="F55" i="37"/>
  <c r="F37" i="37"/>
  <c r="F19" i="37"/>
  <c r="C187" i="37"/>
  <c r="C169" i="37"/>
  <c r="C151" i="37"/>
  <c r="C133" i="37"/>
  <c r="C115" i="37"/>
  <c r="C97" i="37"/>
  <c r="C79" i="37"/>
  <c r="C61" i="37"/>
  <c r="C43" i="37"/>
  <c r="C25" i="37"/>
  <c r="C6" i="37"/>
  <c r="I183" i="37"/>
  <c r="I156" i="37"/>
  <c r="I138" i="37"/>
  <c r="I120" i="37"/>
  <c r="I102" i="37"/>
  <c r="I84" i="37"/>
  <c r="I66" i="37"/>
  <c r="I48" i="37"/>
  <c r="I30" i="37"/>
  <c r="I12" i="37"/>
  <c r="I11" i="37"/>
  <c r="I28" i="37"/>
  <c r="R180" i="37"/>
  <c r="R162" i="37"/>
  <c r="R144" i="37"/>
  <c r="R126" i="37"/>
  <c r="R108" i="37"/>
  <c r="R90" i="37"/>
  <c r="R72" i="37"/>
  <c r="R54" i="37"/>
  <c r="R36" i="37"/>
  <c r="R18" i="37"/>
  <c r="O186" i="37"/>
  <c r="O168" i="37"/>
  <c r="O150" i="37"/>
  <c r="O132" i="37"/>
  <c r="O114" i="37"/>
  <c r="O96" i="37"/>
  <c r="O78" i="37"/>
  <c r="O60" i="37"/>
  <c r="O42" i="37"/>
  <c r="O24" i="37"/>
  <c r="O6" i="37"/>
  <c r="L174" i="37"/>
  <c r="L156" i="37"/>
  <c r="L138" i="37"/>
  <c r="L120" i="37"/>
  <c r="L102" i="37"/>
  <c r="L84" i="37"/>
  <c r="L66" i="37"/>
  <c r="L48" i="37"/>
  <c r="L30" i="37"/>
  <c r="L12" i="37"/>
  <c r="F180" i="37"/>
  <c r="F162" i="37"/>
  <c r="F144" i="37"/>
  <c r="F126" i="37"/>
  <c r="F108" i="37"/>
  <c r="F90" i="37"/>
  <c r="F72" i="37"/>
  <c r="F54" i="37"/>
  <c r="F36" i="37"/>
  <c r="F18" i="37"/>
  <c r="C186" i="37"/>
  <c r="C168" i="37"/>
  <c r="C150" i="37"/>
  <c r="C132" i="37"/>
  <c r="C114" i="37"/>
  <c r="C96" i="37"/>
  <c r="C78" i="37"/>
  <c r="C60" i="37"/>
  <c r="C42" i="37"/>
  <c r="C24" i="37"/>
  <c r="C5" i="37"/>
  <c r="I184" i="37"/>
  <c r="I155" i="37"/>
  <c r="I137" i="37"/>
  <c r="I119" i="37"/>
  <c r="I101" i="37"/>
  <c r="I83" i="37"/>
  <c r="I65" i="37"/>
  <c r="I47" i="37"/>
  <c r="I29" i="37"/>
  <c r="I64" i="37"/>
  <c r="I10" i="37"/>
  <c r="R179" i="37"/>
  <c r="R161" i="37"/>
  <c r="R143" i="37"/>
  <c r="R125" i="37"/>
  <c r="R107" i="37"/>
  <c r="R89" i="37"/>
  <c r="R71" i="37"/>
  <c r="R53" i="37"/>
  <c r="R35" i="37"/>
  <c r="R17" i="37"/>
  <c r="O185" i="37"/>
  <c r="O167" i="37"/>
  <c r="O149" i="37"/>
  <c r="O131" i="37"/>
  <c r="O113" i="37"/>
  <c r="O95" i="37"/>
  <c r="O77" i="37"/>
  <c r="O59" i="37"/>
  <c r="O41" i="37"/>
  <c r="O23" i="37"/>
  <c r="O5" i="37"/>
  <c r="L173" i="37"/>
  <c r="L155" i="37"/>
  <c r="L137" i="37"/>
  <c r="L119" i="37"/>
  <c r="L101" i="37"/>
  <c r="L83" i="37"/>
  <c r="L65" i="37"/>
  <c r="L47" i="37"/>
  <c r="L29" i="37"/>
  <c r="L11" i="37"/>
  <c r="F179" i="37"/>
  <c r="F161" i="37"/>
  <c r="F143" i="37"/>
  <c r="F125" i="37"/>
  <c r="F107" i="37"/>
  <c r="F89" i="37"/>
  <c r="F71" i="37"/>
  <c r="F53" i="37"/>
  <c r="F35" i="37"/>
  <c r="F17" i="37"/>
  <c r="C185" i="37"/>
  <c r="C167" i="37"/>
  <c r="C149" i="37"/>
  <c r="C131" i="37"/>
  <c r="C113" i="37"/>
  <c r="C95" i="37"/>
  <c r="C77" i="37"/>
  <c r="C59" i="37"/>
  <c r="C41" i="37"/>
  <c r="C23" i="37"/>
  <c r="C4" i="37"/>
  <c r="I185" i="37"/>
  <c r="I154" i="37"/>
  <c r="I136" i="37"/>
  <c r="I118" i="37"/>
  <c r="I100" i="37"/>
  <c r="I82" i="37"/>
  <c r="I46" i="37"/>
  <c r="I33" i="37"/>
  <c r="R178" i="37"/>
  <c r="R160" i="37"/>
  <c r="R142" i="37"/>
  <c r="R124" i="37"/>
  <c r="R106" i="37"/>
  <c r="R88" i="37"/>
  <c r="R70" i="37"/>
  <c r="R52" i="37"/>
  <c r="R34" i="37"/>
  <c r="R16" i="37"/>
  <c r="O184" i="37"/>
  <c r="O166" i="37"/>
  <c r="O148" i="37"/>
  <c r="O130" i="37"/>
  <c r="O112" i="37"/>
  <c r="O94" i="37"/>
  <c r="O76" i="37"/>
  <c r="O58" i="37"/>
  <c r="O40" i="37"/>
  <c r="O22" i="37"/>
  <c r="O4" i="37"/>
  <c r="L172" i="37"/>
  <c r="L154" i="37"/>
  <c r="L136" i="37"/>
  <c r="L118" i="37"/>
  <c r="L100" i="37"/>
  <c r="L82" i="37"/>
  <c r="L64" i="37"/>
  <c r="L46" i="37"/>
  <c r="L28" i="37"/>
  <c r="L10" i="37"/>
  <c r="F178" i="37"/>
  <c r="F160" i="37"/>
  <c r="F142" i="37"/>
  <c r="F124" i="37"/>
  <c r="F106" i="37"/>
  <c r="F88" i="37"/>
  <c r="F70" i="37"/>
  <c r="F52" i="37"/>
  <c r="F34" i="37"/>
  <c r="F16" i="37"/>
  <c r="C184" i="37"/>
  <c r="C166" i="37"/>
  <c r="C148" i="37"/>
  <c r="C130" i="37"/>
  <c r="C112" i="37"/>
  <c r="C94" i="37"/>
  <c r="C76" i="37"/>
  <c r="C58" i="37"/>
  <c r="C40" i="37"/>
  <c r="C22" i="37"/>
  <c r="I168" i="37"/>
  <c r="I189" i="37"/>
  <c r="I153" i="37"/>
  <c r="I135" i="37"/>
  <c r="I117" i="37"/>
  <c r="I99" i="37"/>
  <c r="I81" i="37"/>
  <c r="I63" i="37"/>
  <c r="I45" i="37"/>
  <c r="I27" i="37"/>
  <c r="I9" i="37"/>
  <c r="C75" i="37"/>
  <c r="C39" i="37"/>
  <c r="I169" i="37"/>
  <c r="I152" i="37"/>
  <c r="I116" i="37"/>
  <c r="I80" i="37"/>
  <c r="I44" i="37"/>
  <c r="I8" i="37"/>
  <c r="I61" i="37"/>
  <c r="I7" i="37"/>
  <c r="I94" i="37"/>
  <c r="C178" i="37"/>
  <c r="C52" i="37"/>
  <c r="I111" i="37"/>
  <c r="I74" i="37"/>
  <c r="R59" i="37"/>
  <c r="O29" i="37"/>
  <c r="L53" i="37"/>
  <c r="F59" i="37"/>
  <c r="C29" i="37"/>
  <c r="I34" i="37"/>
  <c r="R177" i="37"/>
  <c r="R159" i="37"/>
  <c r="R141" i="37"/>
  <c r="R123" i="37"/>
  <c r="R105" i="37"/>
  <c r="R87" i="37"/>
  <c r="R69" i="37"/>
  <c r="R51" i="37"/>
  <c r="R33" i="37"/>
  <c r="R15" i="37"/>
  <c r="O183" i="37"/>
  <c r="O165" i="37"/>
  <c r="O147" i="37"/>
  <c r="O129" i="37"/>
  <c r="O111" i="37"/>
  <c r="O93" i="37"/>
  <c r="O75" i="37"/>
  <c r="O57" i="37"/>
  <c r="O39" i="37"/>
  <c r="O21" i="37"/>
  <c r="L189" i="37"/>
  <c r="L171" i="37"/>
  <c r="L153" i="37"/>
  <c r="L135" i="37"/>
  <c r="L117" i="37"/>
  <c r="L99" i="37"/>
  <c r="L81" i="37"/>
  <c r="L63" i="37"/>
  <c r="L45" i="37"/>
  <c r="L27" i="37"/>
  <c r="L9" i="37"/>
  <c r="F177" i="37"/>
  <c r="F159" i="37"/>
  <c r="F141" i="37"/>
  <c r="F123" i="37"/>
  <c r="F105" i="37"/>
  <c r="F87" i="37"/>
  <c r="F69" i="37"/>
  <c r="F51" i="37"/>
  <c r="F33" i="37"/>
  <c r="F15" i="37"/>
  <c r="C183" i="37"/>
  <c r="C165" i="37"/>
  <c r="C147" i="37"/>
  <c r="C129" i="37"/>
  <c r="C111" i="37"/>
  <c r="C93" i="37"/>
  <c r="C57" i="37"/>
  <c r="C21" i="37"/>
  <c r="I188" i="37"/>
  <c r="I134" i="37"/>
  <c r="I98" i="37"/>
  <c r="I62" i="37"/>
  <c r="I26" i="37"/>
  <c r="I97" i="37"/>
  <c r="I43" i="37"/>
  <c r="I148" i="37"/>
  <c r="I40" i="37"/>
  <c r="C106" i="37"/>
  <c r="I165" i="37"/>
  <c r="I39" i="37"/>
  <c r="I20" i="37"/>
  <c r="O173" i="37"/>
  <c r="L161" i="37"/>
  <c r="F149" i="37"/>
  <c r="C173" i="37"/>
  <c r="I179" i="37"/>
  <c r="I51" i="37"/>
  <c r="R176" i="37"/>
  <c r="R158" i="37"/>
  <c r="R140" i="37"/>
  <c r="R122" i="37"/>
  <c r="R104" i="37"/>
  <c r="R86" i="37"/>
  <c r="R68" i="37"/>
  <c r="R50" i="37"/>
  <c r="R32" i="37"/>
  <c r="R14" i="37"/>
  <c r="O182" i="37"/>
  <c r="O164" i="37"/>
  <c r="O146" i="37"/>
  <c r="O128" i="37"/>
  <c r="O110" i="37"/>
  <c r="O92" i="37"/>
  <c r="O74" i="37"/>
  <c r="O56" i="37"/>
  <c r="O38" i="37"/>
  <c r="O20" i="37"/>
  <c r="L188" i="37"/>
  <c r="L170" i="37"/>
  <c r="L152" i="37"/>
  <c r="L134" i="37"/>
  <c r="L116" i="37"/>
  <c r="L98" i="37"/>
  <c r="L80" i="37"/>
  <c r="L62" i="37"/>
  <c r="L44" i="37"/>
  <c r="L26" i="37"/>
  <c r="L8" i="37"/>
  <c r="F176" i="37"/>
  <c r="F158" i="37"/>
  <c r="F140" i="37"/>
  <c r="F122" i="37"/>
  <c r="F104" i="37"/>
  <c r="F86" i="37"/>
  <c r="F68" i="37"/>
  <c r="F50" i="37"/>
  <c r="F32" i="37"/>
  <c r="F14" i="37"/>
  <c r="C182" i="37"/>
  <c r="C164" i="37"/>
  <c r="C146" i="37"/>
  <c r="C128" i="37"/>
  <c r="C110" i="37"/>
  <c r="C92" i="37"/>
  <c r="C74" i="37"/>
  <c r="C56" i="37"/>
  <c r="C38" i="37"/>
  <c r="C20" i="37"/>
  <c r="I170" i="37"/>
  <c r="I187" i="37"/>
  <c r="I151" i="37"/>
  <c r="I133" i="37"/>
  <c r="I115" i="37"/>
  <c r="I79" i="37"/>
  <c r="I25" i="37"/>
  <c r="I130" i="37"/>
  <c r="I4" i="37"/>
  <c r="C70" i="37"/>
  <c r="I129" i="37"/>
  <c r="I128" i="37"/>
  <c r="R77" i="37"/>
  <c r="O101" i="37"/>
  <c r="L89" i="37"/>
  <c r="F95" i="37"/>
  <c r="C65" i="37"/>
  <c r="I70" i="37"/>
  <c r="R175" i="37"/>
  <c r="R157" i="37"/>
  <c r="R139" i="37"/>
  <c r="R121" i="37"/>
  <c r="R103" i="37"/>
  <c r="R85" i="37"/>
  <c r="R67" i="37"/>
  <c r="R49" i="37"/>
  <c r="R31" i="37"/>
  <c r="R13" i="37"/>
  <c r="O181" i="37"/>
  <c r="O163" i="37"/>
  <c r="O145" i="37"/>
  <c r="O127" i="37"/>
  <c r="O109" i="37"/>
  <c r="O91" i="37"/>
  <c r="O73" i="37"/>
  <c r="O55" i="37"/>
  <c r="O37" i="37"/>
  <c r="O19" i="37"/>
  <c r="L187" i="37"/>
  <c r="L169" i="37"/>
  <c r="L151" i="37"/>
  <c r="L133" i="37"/>
  <c r="L115" i="37"/>
  <c r="L97" i="37"/>
  <c r="L79" i="37"/>
  <c r="L61" i="37"/>
  <c r="L43" i="37"/>
  <c r="L25" i="37"/>
  <c r="L7" i="37"/>
  <c r="F175" i="37"/>
  <c r="F157" i="37"/>
  <c r="F139" i="37"/>
  <c r="F121" i="37"/>
  <c r="F103" i="37"/>
  <c r="F85" i="37"/>
  <c r="F67" i="37"/>
  <c r="F49" i="37"/>
  <c r="F31" i="37"/>
  <c r="F13" i="37"/>
  <c r="C181" i="37"/>
  <c r="C163" i="37"/>
  <c r="C145" i="37"/>
  <c r="C127" i="37"/>
  <c r="C109" i="37"/>
  <c r="C91" i="37"/>
  <c r="C73" i="37"/>
  <c r="C55" i="37"/>
  <c r="C37" i="37"/>
  <c r="C19" i="37"/>
  <c r="I171" i="37"/>
  <c r="I186" i="37"/>
  <c r="I150" i="37"/>
  <c r="I132" i="37"/>
  <c r="I114" i="37"/>
  <c r="I96" i="37"/>
  <c r="I78" i="37"/>
  <c r="I60" i="37"/>
  <c r="I42" i="37"/>
  <c r="I24" i="37"/>
  <c r="I6" i="37"/>
  <c r="L185" i="37"/>
  <c r="L95" i="37"/>
  <c r="L41" i="37"/>
  <c r="F173" i="37"/>
  <c r="F119" i="37"/>
  <c r="F65" i="37"/>
  <c r="F11" i="37"/>
  <c r="C143" i="37"/>
  <c r="C107" i="37"/>
  <c r="C53" i="37"/>
  <c r="I173" i="37"/>
  <c r="I76" i="37"/>
  <c r="C160" i="37"/>
  <c r="C34" i="37"/>
  <c r="I75" i="37"/>
  <c r="I110" i="37"/>
  <c r="R95" i="37"/>
  <c r="O47" i="37"/>
  <c r="L71" i="37"/>
  <c r="F77" i="37"/>
  <c r="C83" i="37"/>
  <c r="I52" i="37"/>
  <c r="R174" i="37"/>
  <c r="R156" i="37"/>
  <c r="R138" i="37"/>
  <c r="R120" i="37"/>
  <c r="R102" i="37"/>
  <c r="R84" i="37"/>
  <c r="R66" i="37"/>
  <c r="R48" i="37"/>
  <c r="R30" i="37"/>
  <c r="R12" i="37"/>
  <c r="O180" i="37"/>
  <c r="O162" i="37"/>
  <c r="O144" i="37"/>
  <c r="O126" i="37"/>
  <c r="O108" i="37"/>
  <c r="O90" i="37"/>
  <c r="O72" i="37"/>
  <c r="O54" i="37"/>
  <c r="O36" i="37"/>
  <c r="O18" i="37"/>
  <c r="L186" i="37"/>
  <c r="L168" i="37"/>
  <c r="L150" i="37"/>
  <c r="L132" i="37"/>
  <c r="L114" i="37"/>
  <c r="L96" i="37"/>
  <c r="L78" i="37"/>
  <c r="L60" i="37"/>
  <c r="L42" i="37"/>
  <c r="L24" i="37"/>
  <c r="L6" i="37"/>
  <c r="F174" i="37"/>
  <c r="F156" i="37"/>
  <c r="F138" i="37"/>
  <c r="F120" i="37"/>
  <c r="F102" i="37"/>
  <c r="F84" i="37"/>
  <c r="F66" i="37"/>
  <c r="F48" i="37"/>
  <c r="F30" i="37"/>
  <c r="F12" i="37"/>
  <c r="C180" i="37"/>
  <c r="C162" i="37"/>
  <c r="C144" i="37"/>
  <c r="C126" i="37"/>
  <c r="C108" i="37"/>
  <c r="C90" i="37"/>
  <c r="C72" i="37"/>
  <c r="C54" i="37"/>
  <c r="C36" i="37"/>
  <c r="C18" i="37"/>
  <c r="I172" i="37"/>
  <c r="I167" i="37"/>
  <c r="I149" i="37"/>
  <c r="I131" i="37"/>
  <c r="I113" i="37"/>
  <c r="I95" i="37"/>
  <c r="I77" i="37"/>
  <c r="I59" i="37"/>
  <c r="I41" i="37"/>
  <c r="I23" i="37"/>
  <c r="I5" i="37"/>
  <c r="O35" i="37"/>
  <c r="L149" i="37"/>
  <c r="L131" i="37"/>
  <c r="L77" i="37"/>
  <c r="L23" i="37"/>
  <c r="F155" i="37"/>
  <c r="F101" i="37"/>
  <c r="F47" i="37"/>
  <c r="C179" i="37"/>
  <c r="C125" i="37"/>
  <c r="C71" i="37"/>
  <c r="C17" i="37"/>
  <c r="I112" i="37"/>
  <c r="I22" i="37"/>
  <c r="C88" i="37"/>
  <c r="I147" i="37"/>
  <c r="I21" i="37"/>
  <c r="R113" i="37"/>
  <c r="O137" i="37"/>
  <c r="L143" i="37"/>
  <c r="F131" i="37"/>
  <c r="C119" i="37"/>
  <c r="I142" i="37"/>
  <c r="R173" i="37"/>
  <c r="R155" i="37"/>
  <c r="R137" i="37"/>
  <c r="R119" i="37"/>
  <c r="R101" i="37"/>
  <c r="R83" i="37"/>
  <c r="R65" i="37"/>
  <c r="R47" i="37"/>
  <c r="R29" i="37"/>
  <c r="R11" i="37"/>
  <c r="O179" i="37"/>
  <c r="O161" i="37"/>
  <c r="O143" i="37"/>
  <c r="O125" i="37"/>
  <c r="O107" i="37"/>
  <c r="O89" i="37"/>
  <c r="O71" i="37"/>
  <c r="O53" i="37"/>
  <c r="O17" i="37"/>
  <c r="L167" i="37"/>
  <c r="L113" i="37"/>
  <c r="L59" i="37"/>
  <c r="L5" i="37"/>
  <c r="F137" i="37"/>
  <c r="F83" i="37"/>
  <c r="F29" i="37"/>
  <c r="C161" i="37"/>
  <c r="C89" i="37"/>
  <c r="C35" i="37"/>
  <c r="I166" i="37"/>
  <c r="I58" i="37"/>
  <c r="C142" i="37"/>
  <c r="C16" i="37"/>
  <c r="I93" i="37"/>
  <c r="I92" i="37"/>
  <c r="R41" i="37"/>
  <c r="O11" i="37"/>
  <c r="L35" i="37"/>
  <c r="F41" i="37"/>
  <c r="C47" i="37"/>
  <c r="I16" i="37"/>
  <c r="R172" i="37"/>
  <c r="R154" i="37"/>
  <c r="R136" i="37"/>
  <c r="R118" i="37"/>
  <c r="R100" i="37"/>
  <c r="R82" i="37"/>
  <c r="R64" i="37"/>
  <c r="R46" i="37"/>
  <c r="R28" i="37"/>
  <c r="R10" i="37"/>
  <c r="O178" i="37"/>
  <c r="O160" i="37"/>
  <c r="O142" i="37"/>
  <c r="O124" i="37"/>
  <c r="O106" i="37"/>
  <c r="O88" i="37"/>
  <c r="O70" i="37"/>
  <c r="O52" i="37"/>
  <c r="O34" i="37"/>
  <c r="O16" i="37"/>
  <c r="L184" i="37"/>
  <c r="L166" i="37"/>
  <c r="L148" i="37"/>
  <c r="L130" i="37"/>
  <c r="L112" i="37"/>
  <c r="L94" i="37"/>
  <c r="L76" i="37"/>
  <c r="L58" i="37"/>
  <c r="L40" i="37"/>
  <c r="L22" i="37"/>
  <c r="L4" i="37"/>
  <c r="F172" i="37"/>
  <c r="F154" i="37"/>
  <c r="F136" i="37"/>
  <c r="F118" i="37"/>
  <c r="F100" i="37"/>
  <c r="F82" i="37"/>
  <c r="F64" i="37"/>
  <c r="F46" i="37"/>
  <c r="F28" i="37"/>
  <c r="F10" i="37"/>
  <c r="C124" i="37"/>
  <c r="I174" i="37"/>
  <c r="I57" i="37"/>
  <c r="I38" i="37"/>
  <c r="R5" i="37"/>
  <c r="L179" i="37"/>
  <c r="L17" i="37"/>
  <c r="F23" i="37"/>
  <c r="C10" i="37"/>
  <c r="I69" i="37"/>
  <c r="R165" i="37"/>
  <c r="O189" i="37"/>
  <c r="O27" i="37"/>
  <c r="L51" i="37"/>
  <c r="F75" i="37"/>
  <c r="C99" i="37"/>
  <c r="I122" i="37"/>
  <c r="F111" i="37"/>
  <c r="C117" i="37"/>
  <c r="R164" i="37"/>
  <c r="O188" i="37"/>
  <c r="O26" i="37"/>
  <c r="L50" i="37"/>
  <c r="F74" i="37"/>
  <c r="C98" i="37"/>
  <c r="I121" i="37"/>
  <c r="L87" i="37"/>
  <c r="O44" i="37"/>
  <c r="R147" i="37"/>
  <c r="O171" i="37"/>
  <c r="O9" i="37"/>
  <c r="L33" i="37"/>
  <c r="F57" i="37"/>
  <c r="C81" i="37"/>
  <c r="I104" i="37"/>
  <c r="C80" i="37"/>
  <c r="I86" i="37"/>
  <c r="F128" i="37"/>
  <c r="O62" i="37"/>
  <c r="R20" i="37"/>
  <c r="R146" i="37"/>
  <c r="O170" i="37"/>
  <c r="O8" i="37"/>
  <c r="L32" i="37"/>
  <c r="F56" i="37"/>
  <c r="I103" i="37"/>
  <c r="I13" i="37"/>
  <c r="I157" i="37"/>
  <c r="R129" i="37"/>
  <c r="O153" i="37"/>
  <c r="L177" i="37"/>
  <c r="L15" i="37"/>
  <c r="F39" i="37"/>
  <c r="C63" i="37"/>
  <c r="C7" i="37"/>
  <c r="R38" i="37"/>
  <c r="R128" i="37"/>
  <c r="O152" i="37"/>
  <c r="L176" i="37"/>
  <c r="L14" i="37"/>
  <c r="F38" i="37"/>
  <c r="C62" i="37"/>
  <c r="I85" i="37"/>
  <c r="R39" i="37"/>
  <c r="O45" i="37"/>
  <c r="R111" i="37"/>
  <c r="O135" i="37"/>
  <c r="L159" i="37"/>
  <c r="F183" i="37"/>
  <c r="F21" i="37"/>
  <c r="C45" i="37"/>
  <c r="I68" i="37"/>
  <c r="F146" i="37"/>
  <c r="C152" i="37"/>
  <c r="F110" i="37"/>
  <c r="F92" i="37"/>
  <c r="R110" i="37"/>
  <c r="O134" i="37"/>
  <c r="L158" i="37"/>
  <c r="F182" i="37"/>
  <c r="F20" i="37"/>
  <c r="C44" i="37"/>
  <c r="I67" i="37"/>
  <c r="C171" i="37"/>
  <c r="O80" i="37"/>
  <c r="C134" i="37"/>
  <c r="I140" i="37"/>
  <c r="R93" i="37"/>
  <c r="O117" i="37"/>
  <c r="L141" i="37"/>
  <c r="F165" i="37"/>
  <c r="C189" i="37"/>
  <c r="C27" i="37"/>
  <c r="I50" i="37"/>
  <c r="C8" i="37"/>
  <c r="L104" i="37"/>
  <c r="L86" i="37"/>
  <c r="L68" i="37"/>
  <c r="R92" i="37"/>
  <c r="O116" i="37"/>
  <c r="L140" i="37"/>
  <c r="F164" i="37"/>
  <c r="C188" i="37"/>
  <c r="C26" i="37"/>
  <c r="I49" i="37"/>
  <c r="I31" i="37"/>
  <c r="C135" i="37"/>
  <c r="L69" i="37"/>
  <c r="R75" i="37"/>
  <c r="O99" i="37"/>
  <c r="L123" i="37"/>
  <c r="F147" i="37"/>
  <c r="I32" i="37"/>
  <c r="I182" i="37"/>
  <c r="R21" i="37"/>
  <c r="R74" i="37"/>
  <c r="O98" i="37"/>
  <c r="L122" i="37"/>
  <c r="C170" i="37"/>
  <c r="O63" i="37"/>
  <c r="C116" i="37"/>
  <c r="R57" i="37"/>
  <c r="O81" i="37"/>
  <c r="L105" i="37"/>
  <c r="F129" i="37"/>
  <c r="C153" i="37"/>
  <c r="I181" i="37"/>
  <c r="I14" i="37"/>
  <c r="R56" i="37"/>
  <c r="I158" i="37"/>
  <c r="F93" i="37"/>
  <c r="I139" i="37"/>
  <c r="H21" i="16"/>
  <c r="H20" i="16"/>
  <c r="H11" i="16"/>
  <c r="G49" i="13"/>
  <c r="K196" i="37" l="1"/>
  <c r="E196" i="37"/>
  <c r="K197" i="37"/>
  <c r="E197" i="37"/>
  <c r="E203" i="37"/>
  <c r="K198" i="37"/>
  <c r="E198" i="37"/>
  <c r="K199" i="37"/>
  <c r="E199" i="37"/>
  <c r="K200" i="37"/>
  <c r="E200" i="37"/>
  <c r="Q204" i="37"/>
  <c r="K201" i="37"/>
  <c r="E201" i="37"/>
  <c r="Q195" i="37"/>
  <c r="K202" i="37"/>
  <c r="E202" i="37"/>
  <c r="Q196" i="37"/>
  <c r="K203" i="37"/>
  <c r="Q205" i="37"/>
  <c r="Q197" i="37"/>
  <c r="K204" i="37"/>
  <c r="E204" i="37"/>
  <c r="Q198" i="37"/>
  <c r="K205" i="37"/>
  <c r="E205" i="37"/>
  <c r="Q199" i="37"/>
  <c r="K206" i="37"/>
  <c r="E206" i="37"/>
  <c r="Q203" i="37"/>
  <c r="Q200" i="37"/>
  <c r="K195" i="37"/>
  <c r="E195" i="37"/>
  <c r="Q201" i="37"/>
  <c r="Q202" i="37"/>
  <c r="Q206" i="37"/>
  <c r="Y121" i="36"/>
  <c r="G121" i="36"/>
  <c r="E121" i="36"/>
  <c r="X121" i="36"/>
  <c r="F121" i="36"/>
  <c r="W121" i="36"/>
  <c r="V121" i="36"/>
  <c r="D121" i="36"/>
  <c r="U121" i="36"/>
  <c r="K121" i="36"/>
  <c r="T121" i="36"/>
  <c r="S121" i="36"/>
  <c r="J121" i="36"/>
  <c r="R121" i="36"/>
  <c r="Q121" i="36"/>
  <c r="I121" i="36"/>
  <c r="P121" i="36"/>
  <c r="O121" i="36"/>
  <c r="L121" i="36"/>
  <c r="N121" i="36"/>
  <c r="M121" i="36"/>
  <c r="H121" i="36"/>
  <c r="O191" i="37"/>
  <c r="R191" i="37"/>
  <c r="L191" i="37"/>
  <c r="M341" i="1"/>
  <c r="F1251" i="18"/>
  <c r="I191" i="37"/>
  <c r="C204" i="37"/>
  <c r="O202" i="37"/>
  <c r="C202" i="37"/>
  <c r="C203" i="37"/>
  <c r="C205" i="37"/>
  <c r="O198" i="37"/>
  <c r="O203" i="37"/>
  <c r="O204" i="37"/>
  <c r="C206" i="37"/>
  <c r="I205" i="37"/>
  <c r="O205" i="37"/>
  <c r="C200" i="37"/>
  <c r="O206" i="37"/>
  <c r="C195" i="37"/>
  <c r="C191" i="37"/>
  <c r="O195" i="37"/>
  <c r="O200" i="37"/>
  <c r="I196" i="37"/>
  <c r="C201" i="37"/>
  <c r="I197" i="37"/>
  <c r="I198" i="37"/>
  <c r="I199" i="37"/>
  <c r="C196" i="37"/>
  <c r="O197" i="37"/>
  <c r="C197" i="37"/>
  <c r="I204" i="37"/>
  <c r="O199" i="37"/>
  <c r="I206" i="37"/>
  <c r="I200" i="37"/>
  <c r="I201" i="37"/>
  <c r="I203" i="37"/>
  <c r="C198" i="37"/>
  <c r="C199" i="37"/>
  <c r="O196" i="37"/>
  <c r="I202" i="37"/>
  <c r="O201" i="37"/>
  <c r="I195" i="37"/>
  <c r="F191" i="37"/>
  <c r="G25" i="16"/>
  <c r="F25" i="16" s="1"/>
  <c r="G24" i="16"/>
  <c r="H27" i="13"/>
  <c r="E210" i="37" l="1"/>
  <c r="Q341" i="1"/>
  <c r="S341" i="1"/>
  <c r="Z121" i="36"/>
  <c r="E209" i="37"/>
  <c r="F24" i="16"/>
  <c r="H21" i="15"/>
  <c r="H30" i="15"/>
  <c r="H29" i="15"/>
  <c r="H20" i="15"/>
  <c r="H11" i="15"/>
  <c r="G28" i="15" l="1"/>
  <c r="F28" i="15" s="1"/>
  <c r="G27" i="15"/>
  <c r="H31" i="15"/>
  <c r="G30" i="15" l="1"/>
  <c r="G29" i="15"/>
  <c r="G31" i="15" s="1"/>
  <c r="F27" i="15"/>
  <c r="F29" i="15" s="1"/>
  <c r="F30" i="15" l="1"/>
  <c r="F31" i="15" l="1"/>
  <c r="O158" i="1" l="1"/>
  <c r="F197" i="7"/>
  <c r="O63" i="1"/>
  <c r="O56" i="1"/>
  <c r="O50" i="1"/>
  <c r="O44" i="1"/>
  <c r="O38" i="1"/>
  <c r="O32" i="1"/>
  <c r="F262" i="6"/>
  <c r="F248" i="6"/>
  <c r="M56" i="1" s="1"/>
  <c r="F221" i="6"/>
  <c r="F223" i="6" s="1"/>
  <c r="F193" i="6"/>
  <c r="F195" i="6" s="1"/>
  <c r="F164" i="6"/>
  <c r="F166" i="6" s="1"/>
  <c r="F135" i="6"/>
  <c r="F137" i="6" s="1"/>
  <c r="Q515" i="1"/>
  <c r="Q509" i="1"/>
  <c r="Q510" i="1"/>
  <c r="J511" i="1"/>
  <c r="S511" i="1" s="1"/>
  <c r="J507" i="1"/>
  <c r="S507" i="1" s="1"/>
  <c r="F496" i="1"/>
  <c r="F498" i="1" s="1"/>
  <c r="F501" i="1" s="1"/>
  <c r="F504" i="1" s="1"/>
  <c r="F506" i="1" s="1"/>
  <c r="F512" i="1" s="1"/>
  <c r="Q480" i="1"/>
  <c r="Q481" i="1"/>
  <c r="J487" i="1"/>
  <c r="S487" i="1" s="1"/>
  <c r="J484" i="1"/>
  <c r="J477" i="1"/>
  <c r="S477" i="1" s="1"/>
  <c r="J476" i="1"/>
  <c r="S476" i="1" s="1"/>
  <c r="J465" i="1"/>
  <c r="S465" i="1" s="1"/>
  <c r="F464" i="1"/>
  <c r="F466" i="1" s="1"/>
  <c r="F470" i="1" s="1"/>
  <c r="F474" i="1" s="1"/>
  <c r="F478" i="1" s="1"/>
  <c r="F483" i="1" s="1"/>
  <c r="F488" i="1" s="1"/>
  <c r="J463" i="1"/>
  <c r="S463" i="1" s="1"/>
  <c r="J462" i="1"/>
  <c r="S462" i="1" s="1"/>
  <c r="Q450" i="1"/>
  <c r="Q451" i="1"/>
  <c r="Q452" i="1"/>
  <c r="Q454" i="1"/>
  <c r="Q455" i="1"/>
  <c r="Q456" i="1"/>
  <c r="Q446" i="1"/>
  <c r="Q442" i="1"/>
  <c r="Q384" i="1"/>
  <c r="Q383" i="1"/>
  <c r="I447" i="1"/>
  <c r="I443" i="1"/>
  <c r="S438" i="1"/>
  <c r="I438" i="1"/>
  <c r="I437" i="1"/>
  <c r="S435" i="1"/>
  <c r="I435" i="1"/>
  <c r="I434" i="1"/>
  <c r="I431" i="1"/>
  <c r="I430" i="1"/>
  <c r="I428" i="1"/>
  <c r="I427" i="1"/>
  <c r="I425" i="1"/>
  <c r="S424" i="1"/>
  <c r="I424" i="1"/>
  <c r="I422" i="1"/>
  <c r="I421" i="1"/>
  <c r="S404" i="1"/>
  <c r="I387" i="1"/>
  <c r="S386" i="1"/>
  <c r="S384" i="1"/>
  <c r="J381" i="1"/>
  <c r="Q334" i="1"/>
  <c r="Q359" i="1"/>
  <c r="Q363" i="1"/>
  <c r="Q367" i="1"/>
  <c r="Q371" i="1"/>
  <c r="Q372" i="1"/>
  <c r="Q374" i="1"/>
  <c r="J349" i="1"/>
  <c r="S340" i="1"/>
  <c r="J336" i="1"/>
  <c r="J337" i="1" s="1"/>
  <c r="S337" i="1" s="1"/>
  <c r="J334" i="1"/>
  <c r="S334" i="1" s="1"/>
  <c r="S331" i="1"/>
  <c r="S330" i="1"/>
  <c r="S328" i="1"/>
  <c r="S324" i="1"/>
  <c r="F280" i="1"/>
  <c r="F292" i="1" s="1"/>
  <c r="F299" i="1" s="1"/>
  <c r="F304" i="1" s="1"/>
  <c r="F307" i="1" s="1"/>
  <c r="F310" i="1" s="1"/>
  <c r="S411" i="1" l="1"/>
  <c r="S437" i="1"/>
  <c r="J350" i="1"/>
  <c r="S350" i="1" s="1"/>
  <c r="S349" i="1"/>
  <c r="J428" i="1"/>
  <c r="S428" i="1" s="1"/>
  <c r="S427" i="1"/>
  <c r="S397" i="1"/>
  <c r="S396" i="1"/>
  <c r="S400" i="1"/>
  <c r="S399" i="1"/>
  <c r="J431" i="1"/>
  <c r="S431" i="1" s="1"/>
  <c r="S430" i="1"/>
  <c r="S441" i="1"/>
  <c r="S434" i="1"/>
  <c r="J389" i="1"/>
  <c r="J390" i="1" s="1"/>
  <c r="S390" i="1" s="1"/>
  <c r="S381" i="1"/>
  <c r="S392" i="1"/>
  <c r="S385" i="1"/>
  <c r="J485" i="1"/>
  <c r="S485" i="1" s="1"/>
  <c r="S484" i="1"/>
  <c r="J495" i="1"/>
  <c r="S472" i="1"/>
  <c r="S471" i="1"/>
  <c r="S336" i="1"/>
  <c r="S425" i="1"/>
  <c r="S408" i="1"/>
  <c r="Q56" i="1"/>
  <c r="F250" i="6"/>
  <c r="S56" i="1"/>
  <c r="F264" i="6"/>
  <c r="M59" i="1"/>
  <c r="S59" i="1" s="1"/>
  <c r="M158" i="1"/>
  <c r="S158" i="1" s="1"/>
  <c r="M50" i="1"/>
  <c r="S50" i="1" s="1"/>
  <c r="M38" i="1"/>
  <c r="S38" i="1" s="1"/>
  <c r="M44" i="1"/>
  <c r="S44" i="1" s="1"/>
  <c r="M32" i="1"/>
  <c r="S32" i="1" s="1"/>
  <c r="S393" i="1"/>
  <c r="S389" i="1" l="1"/>
  <c r="S445" i="1"/>
  <c r="S443" i="1"/>
  <c r="S494" i="1"/>
  <c r="J497" i="1"/>
  <c r="S495" i="1"/>
  <c r="S344" i="1"/>
  <c r="J422" i="1"/>
  <c r="S422" i="1" s="1"/>
  <c r="S421" i="1"/>
  <c r="S447" i="1"/>
  <c r="S446" i="1"/>
  <c r="Q259" i="1"/>
  <c r="Q193" i="1"/>
  <c r="Q192" i="1"/>
  <c r="S454" i="1" l="1"/>
  <c r="S450" i="1"/>
  <c r="S442" i="1"/>
  <c r="S346" i="1"/>
  <c r="S345" i="1"/>
  <c r="S456" i="1"/>
  <c r="S455" i="1"/>
  <c r="J499" i="1"/>
  <c r="S497" i="1"/>
  <c r="S452" i="1"/>
  <c r="S451" i="1"/>
  <c r="O112" i="1"/>
  <c r="M112" i="1"/>
  <c r="J500" i="1" l="1"/>
  <c r="S499" i="1"/>
  <c r="Q112" i="1"/>
  <c r="S112" i="1"/>
  <c r="F727" i="6"/>
  <c r="Q61" i="1"/>
  <c r="J502" i="1" l="1"/>
  <c r="S500" i="1"/>
  <c r="F29" i="1"/>
  <c r="F68" i="1" s="1"/>
  <c r="F77" i="1" s="1"/>
  <c r="F114" i="1" s="1"/>
  <c r="F126" i="1"/>
  <c r="F135" i="1" s="1"/>
  <c r="F194" i="1" s="1"/>
  <c r="F267" i="1" s="1"/>
  <c r="F271" i="1" s="1"/>
  <c r="F527" i="1"/>
  <c r="Q355" i="1"/>
  <c r="Q273" i="1"/>
  <c r="J503" i="1" l="1"/>
  <c r="S502" i="1"/>
  <c r="G38" i="13"/>
  <c r="H38" i="13"/>
  <c r="F37" i="13"/>
  <c r="F36" i="13"/>
  <c r="J505" i="1" l="1"/>
  <c r="S503" i="1"/>
  <c r="F38" i="13"/>
  <c r="M45" i="11"/>
  <c r="N45" i="11" s="1"/>
  <c r="S45" i="11"/>
  <c r="T45" i="11" s="1"/>
  <c r="Q45" i="11"/>
  <c r="R45" i="11" s="1"/>
  <c r="K45" i="11"/>
  <c r="L45" i="11" s="1"/>
  <c r="I45" i="11"/>
  <c r="J45" i="11" s="1"/>
  <c r="J513" i="1" l="1"/>
  <c r="S505" i="1"/>
  <c r="G45" i="11"/>
  <c r="H45" i="11" s="1"/>
  <c r="G46" i="11"/>
  <c r="H46" i="11" s="1"/>
  <c r="E15" i="11"/>
  <c r="E45" i="11" s="1"/>
  <c r="O291" i="1"/>
  <c r="O283" i="1"/>
  <c r="O282" i="1"/>
  <c r="O278" i="1"/>
  <c r="O178" i="1"/>
  <c r="O177" i="1"/>
  <c r="O175" i="1"/>
  <c r="O174" i="1"/>
  <c r="O172" i="1"/>
  <c r="O171" i="1"/>
  <c r="O166" i="1"/>
  <c r="O165" i="1"/>
  <c r="O162" i="1"/>
  <c r="O131" i="1"/>
  <c r="O128" i="1"/>
  <c r="O125" i="1"/>
  <c r="O82" i="1"/>
  <c r="O55" i="1"/>
  <c r="O49" i="1"/>
  <c r="O47" i="1"/>
  <c r="O43" i="1"/>
  <c r="O41" i="1"/>
  <c r="O40" i="1"/>
  <c r="O37" i="1"/>
  <c r="O35" i="1"/>
  <c r="O34" i="1"/>
  <c r="O31" i="1"/>
  <c r="O24" i="1"/>
  <c r="O21" i="1"/>
  <c r="O20" i="1"/>
  <c r="O19" i="1"/>
  <c r="O18" i="1"/>
  <c r="O17" i="1"/>
  <c r="O15" i="1"/>
  <c r="O13" i="1"/>
  <c r="O12" i="1"/>
  <c r="O11" i="1"/>
  <c r="O10" i="1"/>
  <c r="O9" i="1"/>
  <c r="Q526" i="1"/>
  <c r="Q525" i="1"/>
  <c r="Q524" i="1"/>
  <c r="Q523" i="1"/>
  <c r="Q521" i="1"/>
  <c r="Q520" i="1"/>
  <c r="Q516" i="1"/>
  <c r="Q514" i="1"/>
  <c r="Q513" i="1"/>
  <c r="Q511" i="1"/>
  <c r="Q508" i="1"/>
  <c r="Q507" i="1"/>
  <c r="Q505" i="1"/>
  <c r="Q503" i="1"/>
  <c r="Q502" i="1"/>
  <c r="Q500" i="1"/>
  <c r="Q499" i="1"/>
  <c r="Q497" i="1"/>
  <c r="Q495" i="1"/>
  <c r="Q494" i="1"/>
  <c r="Q490" i="1"/>
  <c r="Q489" i="1"/>
  <c r="Q487" i="1"/>
  <c r="Q486" i="1"/>
  <c r="Q485" i="1"/>
  <c r="Q484" i="1"/>
  <c r="Q479" i="1"/>
  <c r="Q477" i="1"/>
  <c r="Q476" i="1"/>
  <c r="Q475" i="1"/>
  <c r="Q472" i="1"/>
  <c r="Q471" i="1"/>
  <c r="Q468" i="1"/>
  <c r="Q467" i="1"/>
  <c r="Q465" i="1"/>
  <c r="Q463" i="1"/>
  <c r="Q462" i="1"/>
  <c r="Q458" i="1"/>
  <c r="Q447" i="1"/>
  <c r="Q445" i="1"/>
  <c r="Q443" i="1"/>
  <c r="Q441" i="1"/>
  <c r="Q438" i="1"/>
  <c r="Q437" i="1"/>
  <c r="Q435" i="1"/>
  <c r="Q434" i="1"/>
  <c r="Q431" i="1"/>
  <c r="Q430" i="1"/>
  <c r="Q428" i="1"/>
  <c r="Q427" i="1"/>
  <c r="Q425" i="1"/>
  <c r="Q424" i="1"/>
  <c r="Q422" i="1"/>
  <c r="Q421" i="1"/>
  <c r="Q409" i="1"/>
  <c r="Q408" i="1"/>
  <c r="Q407" i="1"/>
  <c r="Q405" i="1"/>
  <c r="Q404" i="1"/>
  <c r="Q403" i="1"/>
  <c r="Q400" i="1"/>
  <c r="Q399" i="1"/>
  <c r="Q397" i="1"/>
  <c r="Q396" i="1"/>
  <c r="Q393" i="1"/>
  <c r="Q392" i="1"/>
  <c r="Q390" i="1"/>
  <c r="Q389" i="1"/>
  <c r="Q386" i="1"/>
  <c r="Q385" i="1"/>
  <c r="Q381" i="1"/>
  <c r="Q380" i="1"/>
  <c r="Q375" i="1"/>
  <c r="Q370" i="1"/>
  <c r="Q366" i="1"/>
  <c r="Q365" i="1"/>
  <c r="Q362" i="1"/>
  <c r="Q361" i="1"/>
  <c r="Q358" i="1"/>
  <c r="Q357" i="1"/>
  <c r="Q354" i="1"/>
  <c r="Q353" i="1"/>
  <c r="Q352" i="1"/>
  <c r="Q351" i="1"/>
  <c r="Q350" i="1"/>
  <c r="Q349" i="1"/>
  <c r="Q346" i="1"/>
  <c r="Q345" i="1"/>
  <c r="Q344" i="1"/>
  <c r="Q340" i="1"/>
  <c r="Q339" i="1"/>
  <c r="Q336" i="1"/>
  <c r="Q333" i="1"/>
  <c r="Q331" i="1"/>
  <c r="Q330" i="1"/>
  <c r="Q328" i="1"/>
  <c r="Q326" i="1"/>
  <c r="Q324" i="1"/>
  <c r="Q320" i="1"/>
  <c r="G13" i="42" s="1"/>
  <c r="Q321" i="1"/>
  <c r="Q316" i="1"/>
  <c r="Q312" i="1"/>
  <c r="Q311" i="1"/>
  <c r="Q309" i="1"/>
  <c r="Q308" i="1"/>
  <c r="Q306" i="1"/>
  <c r="Q305" i="1"/>
  <c r="Q303" i="1"/>
  <c r="Q302" i="1"/>
  <c r="Q300" i="1"/>
  <c r="Q298" i="1"/>
  <c r="Q296" i="1"/>
  <c r="Q295" i="1"/>
  <c r="Q289" i="1"/>
  <c r="Q288" i="1"/>
  <c r="Q287" i="1"/>
  <c r="Q286" i="1"/>
  <c r="Q284" i="1"/>
  <c r="Q274" i="1"/>
  <c r="Q272" i="1"/>
  <c r="Q270" i="1"/>
  <c r="Q269" i="1"/>
  <c r="Q268" i="1"/>
  <c r="Q262" i="1"/>
  <c r="Q261" i="1"/>
  <c r="Q258" i="1"/>
  <c r="Q254" i="1"/>
  <c r="Q252" i="1"/>
  <c r="Q251" i="1"/>
  <c r="Q250" i="1"/>
  <c r="Q248" i="1"/>
  <c r="Q247" i="1"/>
  <c r="Q246" i="1"/>
  <c r="Q244" i="1"/>
  <c r="Q243" i="1"/>
  <c r="Q242" i="1"/>
  <c r="Q240" i="1"/>
  <c r="Q239" i="1"/>
  <c r="Q238" i="1"/>
  <c r="Q236" i="1"/>
  <c r="Q235" i="1"/>
  <c r="Q234" i="1"/>
  <c r="Q232" i="1"/>
  <c r="Q231" i="1"/>
  <c r="Q230" i="1"/>
  <c r="Q228" i="1"/>
  <c r="Q227" i="1"/>
  <c r="Q226" i="1"/>
  <c r="Q224" i="1"/>
  <c r="Q223" i="1"/>
  <c r="Q222" i="1"/>
  <c r="Q219" i="1"/>
  <c r="Q218" i="1"/>
  <c r="Q217" i="1"/>
  <c r="Q215" i="1"/>
  <c r="Q214" i="1"/>
  <c r="Q213" i="1"/>
  <c r="Q211" i="1"/>
  <c r="Q210" i="1"/>
  <c r="Q209" i="1"/>
  <c r="Q206" i="1"/>
  <c r="Q205" i="1"/>
  <c r="Q204" i="1"/>
  <c r="Q202" i="1"/>
  <c r="Q201" i="1"/>
  <c r="Q200" i="1"/>
  <c r="Q198" i="1"/>
  <c r="Q197" i="1"/>
  <c r="Q196" i="1"/>
  <c r="Q190" i="1"/>
  <c r="Q189" i="1"/>
  <c r="Q187" i="1"/>
  <c r="Q186" i="1"/>
  <c r="Q184" i="1"/>
  <c r="Q183" i="1"/>
  <c r="Q181" i="1"/>
  <c r="Q180" i="1"/>
  <c r="Q169" i="1"/>
  <c r="Q168" i="1"/>
  <c r="Q163" i="1"/>
  <c r="Q159" i="1"/>
  <c r="Q158" i="1"/>
  <c r="Q153" i="1"/>
  <c r="Q149" i="1"/>
  <c r="Q146" i="1"/>
  <c r="Q144" i="1"/>
  <c r="Q143" i="1"/>
  <c r="Q141" i="1"/>
  <c r="Q140" i="1"/>
  <c r="Q137" i="1"/>
  <c r="F271" i="7"/>
  <c r="F265" i="7"/>
  <c r="F259" i="7"/>
  <c r="F253" i="7"/>
  <c r="F246" i="7"/>
  <c r="F240" i="7"/>
  <c r="F234" i="7"/>
  <c r="F221" i="7"/>
  <c r="F209" i="7"/>
  <c r="Q132" i="1"/>
  <c r="F40" i="7"/>
  <c r="Q129" i="1"/>
  <c r="F25" i="7"/>
  <c r="O124" i="1" s="1"/>
  <c r="F18" i="7"/>
  <c r="O123" i="1" s="1"/>
  <c r="F12" i="7"/>
  <c r="O122" i="1" s="1"/>
  <c r="Q118" i="1"/>
  <c r="Q117" i="1"/>
  <c r="Q116" i="1"/>
  <c r="Q115" i="1"/>
  <c r="Q113" i="1"/>
  <c r="Q110" i="1"/>
  <c r="Q109" i="1"/>
  <c r="Q107" i="1"/>
  <c r="Q106" i="1"/>
  <c r="Q104" i="1"/>
  <c r="Q103" i="1"/>
  <c r="Q101" i="1"/>
  <c r="Q100" i="1"/>
  <c r="Q97" i="1"/>
  <c r="Q96" i="1"/>
  <c r="Q95" i="1"/>
  <c r="Q94" i="1"/>
  <c r="Q93" i="1"/>
  <c r="Q92" i="1"/>
  <c r="Q89" i="1"/>
  <c r="Q88" i="1"/>
  <c r="Q86" i="1"/>
  <c r="Q85" i="1"/>
  <c r="Q84" i="1"/>
  <c r="Q83" i="1"/>
  <c r="Q78" i="1"/>
  <c r="F509" i="6"/>
  <c r="F480" i="6"/>
  <c r="F451" i="6"/>
  <c r="Q76" i="1"/>
  <c r="Q75" i="1"/>
  <c r="Q74" i="1"/>
  <c r="Q73" i="1"/>
  <c r="Q72" i="1"/>
  <c r="Q71" i="1"/>
  <c r="Q69" i="1"/>
  <c r="Q67" i="1"/>
  <c r="Q66" i="1"/>
  <c r="Q64" i="1"/>
  <c r="Q53" i="1"/>
  <c r="Q52" i="1"/>
  <c r="Q58" i="1"/>
  <c r="Q50" i="1"/>
  <c r="F214" i="6"/>
  <c r="F216" i="6" s="1"/>
  <c r="F241" i="6"/>
  <c r="F243" i="6" s="1"/>
  <c r="F275" i="6"/>
  <c r="F208" i="6"/>
  <c r="F210" i="6" s="1"/>
  <c r="F186" i="6"/>
  <c r="F188" i="6" s="1"/>
  <c r="F180" i="6"/>
  <c r="F182" i="6" s="1"/>
  <c r="F172" i="6"/>
  <c r="F174" i="6" s="1"/>
  <c r="F157" i="6"/>
  <c r="F159" i="6" s="1"/>
  <c r="F151" i="6"/>
  <c r="F153" i="6" s="1"/>
  <c r="F144" i="6"/>
  <c r="F146" i="6" s="1"/>
  <c r="F130" i="6"/>
  <c r="Q32" i="1"/>
  <c r="Q38" i="1"/>
  <c r="Q44" i="1"/>
  <c r="Q28" i="1"/>
  <c r="Q27" i="1"/>
  <c r="Q25" i="1"/>
  <c r="Q23" i="1"/>
  <c r="Q22" i="1"/>
  <c r="M21" i="1"/>
  <c r="S21" i="1" s="1"/>
  <c r="M20" i="1"/>
  <c r="S20" i="1" s="1"/>
  <c r="M19" i="1"/>
  <c r="S19" i="1" s="1"/>
  <c r="F101" i="6"/>
  <c r="F82" i="6"/>
  <c r="F84" i="6" s="1"/>
  <c r="F76" i="6"/>
  <c r="F78" i="6" s="1"/>
  <c r="F70" i="6"/>
  <c r="F72" i="6" s="1"/>
  <c r="F64" i="6"/>
  <c r="F57" i="6"/>
  <c r="F50" i="6"/>
  <c r="F42" i="6"/>
  <c r="F44" i="6" s="1"/>
  <c r="F35" i="6"/>
  <c r="F37" i="6" s="1"/>
  <c r="F28" i="6"/>
  <c r="F30" i="6" s="1"/>
  <c r="F21" i="6"/>
  <c r="F23" i="6" s="1"/>
  <c r="F14" i="6"/>
  <c r="F16" i="6" s="1"/>
  <c r="K13" i="42" l="1"/>
  <c r="L13" i="42" s="1"/>
  <c r="L15" i="42" s="1"/>
  <c r="H13" i="42"/>
  <c r="H15" i="42" s="1"/>
  <c r="S513" i="1"/>
  <c r="J515" i="1"/>
  <c r="S515" i="1" s="1"/>
  <c r="J514" i="1"/>
  <c r="M63" i="1"/>
  <c r="Q63" i="1" s="1"/>
  <c r="F33" i="7"/>
  <c r="M125" i="1"/>
  <c r="F482" i="6"/>
  <c r="M81" i="1"/>
  <c r="F103" i="6"/>
  <c r="M24" i="1"/>
  <c r="F511" i="6"/>
  <c r="M82" i="1"/>
  <c r="F59" i="6"/>
  <c r="M17" i="1"/>
  <c r="F52" i="6"/>
  <c r="M15" i="1"/>
  <c r="F66" i="6"/>
  <c r="M18" i="1"/>
  <c r="F453" i="6"/>
  <c r="M80" i="1"/>
  <c r="M278" i="1"/>
  <c r="M291" i="1"/>
  <c r="F73" i="7"/>
  <c r="M131" i="1"/>
  <c r="F13" i="7"/>
  <c r="F277" i="6"/>
  <c r="Q21" i="1"/>
  <c r="Q134" i="1"/>
  <c r="Q20" i="1"/>
  <c r="Q19" i="1"/>
  <c r="F19" i="7"/>
  <c r="Q59" i="1"/>
  <c r="M283" i="1"/>
  <c r="M282" i="1"/>
  <c r="M123" i="1"/>
  <c r="M122" i="1"/>
  <c r="M178" i="1"/>
  <c r="M177" i="1"/>
  <c r="M175" i="1"/>
  <c r="M174" i="1"/>
  <c r="M172" i="1"/>
  <c r="M171" i="1"/>
  <c r="M166" i="1"/>
  <c r="M165" i="1"/>
  <c r="M162" i="1"/>
  <c r="M128" i="1"/>
  <c r="M47" i="1"/>
  <c r="M41" i="1"/>
  <c r="M35" i="1"/>
  <c r="M40" i="1"/>
  <c r="M34" i="1"/>
  <c r="M55" i="1"/>
  <c r="M49" i="1"/>
  <c r="M43" i="1"/>
  <c r="M37" i="1"/>
  <c r="M31" i="1"/>
  <c r="M13" i="1"/>
  <c r="S13" i="1" s="1"/>
  <c r="M12" i="1"/>
  <c r="M11" i="1"/>
  <c r="M9" i="1"/>
  <c r="J516" i="1" l="1"/>
  <c r="S516" i="1" s="1"/>
  <c r="S514" i="1"/>
  <c r="S63" i="1"/>
  <c r="Q162" i="1"/>
  <c r="S162" i="1"/>
  <c r="Q172" i="1"/>
  <c r="S172" i="1"/>
  <c r="Q171" i="1"/>
  <c r="S171" i="1"/>
  <c r="Q174" i="1"/>
  <c r="S174" i="1"/>
  <c r="Q175" i="1"/>
  <c r="S175" i="1"/>
  <c r="Q128" i="1"/>
  <c r="S128" i="1"/>
  <c r="Q177" i="1"/>
  <c r="S177" i="1"/>
  <c r="Q131" i="1"/>
  <c r="S131" i="1"/>
  <c r="Q125" i="1"/>
  <c r="S125" i="1"/>
  <c r="Q178" i="1"/>
  <c r="S178" i="1"/>
  <c r="Q165" i="1"/>
  <c r="S165" i="1"/>
  <c r="Q122" i="1"/>
  <c r="S122" i="1"/>
  <c r="Q166" i="1"/>
  <c r="S166" i="1"/>
  <c r="Q123" i="1"/>
  <c r="S123" i="1"/>
  <c r="Q283" i="1"/>
  <c r="S283" i="1"/>
  <c r="Q291" i="1"/>
  <c r="S291" i="1"/>
  <c r="Q278" i="1"/>
  <c r="S278" i="1"/>
  <c r="Q282" i="1"/>
  <c r="S282" i="1"/>
  <c r="Q15" i="1"/>
  <c r="S15" i="1"/>
  <c r="Q41" i="1"/>
  <c r="S41" i="1"/>
  <c r="Q37" i="1"/>
  <c r="S37" i="1"/>
  <c r="Q47" i="1"/>
  <c r="S47" i="1"/>
  <c r="Q17" i="1"/>
  <c r="S17" i="1"/>
  <c r="Q31" i="1"/>
  <c r="S31" i="1"/>
  <c r="Q43" i="1"/>
  <c r="S43" i="1"/>
  <c r="Q81" i="1"/>
  <c r="S81" i="1"/>
  <c r="Q49" i="1"/>
  <c r="S49" i="1"/>
  <c r="Q80" i="1"/>
  <c r="S80" i="1"/>
  <c r="Q82" i="1"/>
  <c r="S82" i="1"/>
  <c r="Q9" i="1"/>
  <c r="S9" i="1"/>
  <c r="Q34" i="1"/>
  <c r="S34" i="1"/>
  <c r="Q18" i="1"/>
  <c r="S18" i="1"/>
  <c r="Q24" i="1"/>
  <c r="S24" i="1"/>
  <c r="Q35" i="1"/>
  <c r="S35" i="1"/>
  <c r="Q55" i="1"/>
  <c r="S55" i="1"/>
  <c r="Q11" i="1"/>
  <c r="S11" i="1"/>
  <c r="Q12" i="1"/>
  <c r="S12" i="1"/>
  <c r="Q40" i="1"/>
  <c r="S40" i="1"/>
  <c r="Q13" i="1"/>
  <c r="M10" i="1"/>
  <c r="S10" i="1" s="1"/>
  <c r="F21" i="7"/>
  <c r="O4" i="1"/>
  <c r="K4" i="12" s="1"/>
  <c r="S4" i="11" s="1"/>
  <c r="Q4" i="1"/>
  <c r="F26" i="13"/>
  <c r="H21" i="13"/>
  <c r="H20" i="13"/>
  <c r="H11" i="13"/>
  <c r="G27" i="13" s="1"/>
  <c r="M4" i="12" l="1"/>
  <c r="U4" i="11" s="1"/>
  <c r="H3" i="6"/>
  <c r="V16" i="11"/>
  <c r="W16" i="11" s="1"/>
  <c r="Q10" i="1"/>
  <c r="F22" i="7"/>
  <c r="F24" i="7" s="1"/>
  <c r="F25" i="13"/>
  <c r="F27" i="13" s="1"/>
  <c r="J81" i="12"/>
  <c r="F81" i="12"/>
  <c r="J80" i="12"/>
  <c r="E80" i="12"/>
  <c r="F72" i="12"/>
  <c r="F73" i="12" s="1"/>
  <c r="F74" i="12" s="1"/>
  <c r="F75" i="12" s="1"/>
  <c r="F76" i="12" s="1"/>
  <c r="F77" i="12" s="1"/>
  <c r="E71" i="12"/>
  <c r="J76" i="12" s="1"/>
  <c r="F62" i="12"/>
  <c r="F63" i="12" s="1"/>
  <c r="F64" i="12" s="1"/>
  <c r="F65" i="12" s="1"/>
  <c r="F66" i="12" s="1"/>
  <c r="F67" i="12" s="1"/>
  <c r="F68" i="12" s="1"/>
  <c r="E61" i="12"/>
  <c r="I50" i="12"/>
  <c r="E49" i="12"/>
  <c r="J55" i="12" s="1"/>
  <c r="E32" i="12"/>
  <c r="J39" i="12" s="1"/>
  <c r="F24" i="12"/>
  <c r="F25" i="12" s="1"/>
  <c r="F26" i="12" s="1"/>
  <c r="F27" i="12" s="1"/>
  <c r="F28" i="12" s="1"/>
  <c r="F29" i="12" s="1"/>
  <c r="E23" i="12"/>
  <c r="J29" i="12" s="1"/>
  <c r="F16" i="12"/>
  <c r="F17" i="12" s="1"/>
  <c r="F18" i="12" s="1"/>
  <c r="F19" i="12" s="1"/>
  <c r="F20" i="12" s="1"/>
  <c r="E15" i="12"/>
  <c r="J17" i="12" s="1"/>
  <c r="F9" i="12"/>
  <c r="F10" i="12" s="1"/>
  <c r="F11" i="12" s="1"/>
  <c r="F12" i="12" s="1"/>
  <c r="E8" i="12"/>
  <c r="V17" i="11" l="1"/>
  <c r="W17" i="11" s="1"/>
  <c r="F26" i="7"/>
  <c r="M124" i="1"/>
  <c r="J71" i="12"/>
  <c r="J50" i="12"/>
  <c r="J72" i="12"/>
  <c r="J73" i="12"/>
  <c r="J40" i="12"/>
  <c r="J42" i="12"/>
  <c r="J18" i="12"/>
  <c r="J23" i="12"/>
  <c r="J26" i="12"/>
  <c r="J27" i="12"/>
  <c r="J25" i="12"/>
  <c r="J35" i="12"/>
  <c r="J49" i="12"/>
  <c r="J52" i="12"/>
  <c r="J75" i="12"/>
  <c r="J77" i="12"/>
  <c r="J16" i="12"/>
  <c r="J28" i="12"/>
  <c r="J56" i="12"/>
  <c r="J74" i="12"/>
  <c r="J10" i="12"/>
  <c r="J11" i="12"/>
  <c r="J9" i="12"/>
  <c r="J8" i="12"/>
  <c r="J12" i="12"/>
  <c r="J65" i="12"/>
  <c r="J64" i="12"/>
  <c r="J63" i="12"/>
  <c r="J62" i="12"/>
  <c r="J61" i="12"/>
  <c r="J67" i="12"/>
  <c r="J68" i="12"/>
  <c r="J66" i="12"/>
  <c r="J19" i="12"/>
  <c r="J20" i="12"/>
  <c r="J15" i="12"/>
  <c r="J46" i="12"/>
  <c r="J44" i="12"/>
  <c r="J38" i="12"/>
  <c r="J34" i="12"/>
  <c r="J37" i="12"/>
  <c r="J33" i="12"/>
  <c r="J32" i="12"/>
  <c r="J45" i="12"/>
  <c r="J41" i="12"/>
  <c r="J43" i="12"/>
  <c r="J36" i="12"/>
  <c r="J24" i="12"/>
  <c r="J58" i="12"/>
  <c r="J51" i="12"/>
  <c r="J57" i="12"/>
  <c r="J54" i="12"/>
  <c r="J53" i="12"/>
  <c r="S44" i="11"/>
  <c r="T44" i="11" s="1"/>
  <c r="Q44" i="11"/>
  <c r="R44" i="11" s="1"/>
  <c r="M44" i="11"/>
  <c r="N44" i="11" s="1"/>
  <c r="K44" i="11"/>
  <c r="L44" i="11" s="1"/>
  <c r="I44" i="11"/>
  <c r="J44" i="11" s="1"/>
  <c r="G44" i="11"/>
  <c r="H44" i="11" s="1"/>
  <c r="E14" i="11"/>
  <c r="E44" i="11" s="1"/>
  <c r="V18" i="11" l="1"/>
  <c r="W18" i="11" s="1"/>
  <c r="Q124" i="1"/>
  <c r="S124" i="1"/>
  <c r="V14" i="11"/>
  <c r="W14" i="11" s="1"/>
  <c r="V19" i="11" l="1"/>
  <c r="W19" i="11" s="1"/>
  <c r="K527" i="1"/>
  <c r="K528" i="1" s="1"/>
  <c r="K519" i="1"/>
  <c r="E519" i="1"/>
  <c r="E493" i="1"/>
  <c r="K504" i="1" s="1"/>
  <c r="K505" i="1" s="1"/>
  <c r="E461" i="1"/>
  <c r="K483" i="1" s="1"/>
  <c r="E378" i="1"/>
  <c r="E315" i="1"/>
  <c r="E277" i="1"/>
  <c r="K292" i="1" s="1"/>
  <c r="E121" i="1"/>
  <c r="E8" i="1"/>
  <c r="V20" i="11" l="1"/>
  <c r="W20" i="11" s="1"/>
  <c r="L528" i="1"/>
  <c r="K526" i="1"/>
  <c r="K114" i="1"/>
  <c r="K68" i="1"/>
  <c r="K77" i="1"/>
  <c r="K90" i="1" s="1"/>
  <c r="L90" i="1" s="1"/>
  <c r="N90" i="1" s="1"/>
  <c r="R90" i="1" s="1"/>
  <c r="K523" i="1"/>
  <c r="K525" i="1"/>
  <c r="K524" i="1"/>
  <c r="K520" i="1"/>
  <c r="K521" i="1"/>
  <c r="K432" i="1"/>
  <c r="K378" i="1"/>
  <c r="K126" i="1"/>
  <c r="K267" i="1"/>
  <c r="K194" i="1"/>
  <c r="K271" i="1"/>
  <c r="K319" i="1"/>
  <c r="K322" i="1" s="1"/>
  <c r="L322" i="1" s="1"/>
  <c r="N322" i="1" s="1"/>
  <c r="R322" i="1" s="1"/>
  <c r="K369" i="1"/>
  <c r="K373" i="1"/>
  <c r="K323" i="1"/>
  <c r="K324" i="1" s="1"/>
  <c r="K338" i="1"/>
  <c r="K342" i="1" s="1"/>
  <c r="L342" i="1" s="1"/>
  <c r="N342" i="1" s="1"/>
  <c r="R342" i="1" s="1"/>
  <c r="K325" i="1"/>
  <c r="K326" i="1" s="1"/>
  <c r="K327" i="1"/>
  <c r="K328" i="1" s="1"/>
  <c r="K343" i="1"/>
  <c r="K347" i="1" s="1"/>
  <c r="L347" i="1" s="1"/>
  <c r="N347" i="1" s="1"/>
  <c r="R347" i="1" s="1"/>
  <c r="K356" i="1"/>
  <c r="K359" i="1" s="1"/>
  <c r="L359" i="1" s="1"/>
  <c r="K329" i="1"/>
  <c r="K360" i="1"/>
  <c r="K363" i="1" s="1"/>
  <c r="L363" i="1" s="1"/>
  <c r="K315" i="1"/>
  <c r="K332" i="1"/>
  <c r="K337" i="1" s="1"/>
  <c r="L337" i="1" s="1"/>
  <c r="N337" i="1" s="1"/>
  <c r="R337" i="1" s="1"/>
  <c r="K348" i="1"/>
  <c r="K355" i="1" s="1"/>
  <c r="L355" i="1" s="1"/>
  <c r="K364" i="1"/>
  <c r="K299" i="1"/>
  <c r="K277" i="1"/>
  <c r="K304" i="1"/>
  <c r="K280" i="1"/>
  <c r="K290" i="1" s="1"/>
  <c r="L290" i="1" s="1"/>
  <c r="K307" i="1"/>
  <c r="K310" i="1"/>
  <c r="K512" i="1"/>
  <c r="K515" i="1" s="1"/>
  <c r="L515" i="1" s="1"/>
  <c r="K498" i="1"/>
  <c r="K496" i="1"/>
  <c r="K497" i="1" s="1"/>
  <c r="K501" i="1"/>
  <c r="K506" i="1"/>
  <c r="K419" i="1"/>
  <c r="K29" i="1"/>
  <c r="K439" i="1"/>
  <c r="K394" i="1"/>
  <c r="K410" i="1"/>
  <c r="K461" i="1"/>
  <c r="K464" i="1"/>
  <c r="K401" i="1"/>
  <c r="K466" i="1"/>
  <c r="K469" i="1" s="1"/>
  <c r="L469" i="1" s="1"/>
  <c r="K8" i="1"/>
  <c r="K470" i="1"/>
  <c r="K478" i="1"/>
  <c r="K474" i="1"/>
  <c r="K448" i="1"/>
  <c r="K488" i="1"/>
  <c r="K457" i="1"/>
  <c r="K458" i="1" s="1"/>
  <c r="K493" i="1"/>
  <c r="K487" i="1"/>
  <c r="K486" i="1"/>
  <c r="K484" i="1"/>
  <c r="K485" i="1"/>
  <c r="K387" i="1"/>
  <c r="K121" i="1"/>
  <c r="K135" i="1"/>
  <c r="K418" i="1" l="1"/>
  <c r="L418" i="1" s="1"/>
  <c r="N418" i="1" s="1"/>
  <c r="R418" i="1" s="1"/>
  <c r="K417" i="1"/>
  <c r="L417" i="1" s="1"/>
  <c r="N417" i="1" s="1"/>
  <c r="R417" i="1" s="1"/>
  <c r="K413" i="1"/>
  <c r="L413" i="1" s="1"/>
  <c r="N413" i="1" s="1"/>
  <c r="R413" i="1" s="1"/>
  <c r="K416" i="1"/>
  <c r="L416" i="1" s="1"/>
  <c r="N416" i="1" s="1"/>
  <c r="R416" i="1" s="1"/>
  <c r="K414" i="1"/>
  <c r="L414" i="1" s="1"/>
  <c r="N414" i="1" s="1"/>
  <c r="R414" i="1" s="1"/>
  <c r="K412" i="1"/>
  <c r="L412" i="1" s="1"/>
  <c r="N412" i="1" s="1"/>
  <c r="N469" i="1"/>
  <c r="R469" i="1" s="1"/>
  <c r="K334" i="1"/>
  <c r="L334" i="1" s="1"/>
  <c r="N334" i="1" s="1"/>
  <c r="R334" i="1" s="1"/>
  <c r="K472" i="1"/>
  <c r="L472" i="1" s="1"/>
  <c r="K473" i="1"/>
  <c r="L473" i="1" s="1"/>
  <c r="N473" i="1" s="1"/>
  <c r="R473" i="1" s="1"/>
  <c r="K471" i="1"/>
  <c r="L471" i="1" s="1"/>
  <c r="K480" i="1"/>
  <c r="L480" i="1" s="1"/>
  <c r="K481" i="1"/>
  <c r="L481" i="1" s="1"/>
  <c r="K482" i="1"/>
  <c r="L482" i="1" s="1"/>
  <c r="N482" i="1" s="1"/>
  <c r="R482" i="1" s="1"/>
  <c r="K479" i="1"/>
  <c r="L479" i="1" s="1"/>
  <c r="K465" i="1"/>
  <c r="L465" i="1" s="1"/>
  <c r="K367" i="1"/>
  <c r="L367" i="1" s="1"/>
  <c r="K368" i="1"/>
  <c r="L368" i="1" s="1"/>
  <c r="K265" i="1"/>
  <c r="L265" i="1" s="1"/>
  <c r="K266" i="1"/>
  <c r="L266" i="1" s="1"/>
  <c r="N266" i="1" s="1"/>
  <c r="R266" i="1" s="1"/>
  <c r="K264" i="1"/>
  <c r="L264" i="1" s="1"/>
  <c r="N264" i="1" s="1"/>
  <c r="R264" i="1" s="1"/>
  <c r="K256" i="1"/>
  <c r="L256" i="1" s="1"/>
  <c r="N256" i="1" s="1"/>
  <c r="R256" i="1" s="1"/>
  <c r="K257" i="1"/>
  <c r="L257" i="1" s="1"/>
  <c r="N257" i="1" s="1"/>
  <c r="R257" i="1" s="1"/>
  <c r="K15" i="1"/>
  <c r="L15" i="1" s="1"/>
  <c r="N15" i="1" s="1"/>
  <c r="K531" i="1"/>
  <c r="K259" i="1"/>
  <c r="L259" i="1" s="1"/>
  <c r="N259" i="1" s="1"/>
  <c r="V21" i="11"/>
  <c r="W21" i="11" s="1"/>
  <c r="K316" i="1"/>
  <c r="L316" i="1" s="1"/>
  <c r="K318" i="1"/>
  <c r="L318" i="1" s="1"/>
  <c r="K317" i="1"/>
  <c r="L317" i="1" s="1"/>
  <c r="K455" i="1"/>
  <c r="L455" i="1" s="1"/>
  <c r="K456" i="1"/>
  <c r="L456" i="1" s="1"/>
  <c r="K454" i="1"/>
  <c r="L454" i="1" s="1"/>
  <c r="K450" i="1"/>
  <c r="L450" i="1" s="1"/>
  <c r="K451" i="1"/>
  <c r="L451" i="1" s="1"/>
  <c r="K452" i="1"/>
  <c r="L452" i="1" s="1"/>
  <c r="N515" i="1"/>
  <c r="K510" i="1"/>
  <c r="L510" i="1" s="1"/>
  <c r="K509" i="1"/>
  <c r="L509" i="1" s="1"/>
  <c r="K442" i="1"/>
  <c r="L442" i="1" s="1"/>
  <c r="K446" i="1"/>
  <c r="L446" i="1" s="1"/>
  <c r="K384" i="1"/>
  <c r="L384" i="1" s="1"/>
  <c r="K383" i="1"/>
  <c r="L383" i="1" s="1"/>
  <c r="K381" i="1"/>
  <c r="K380" i="1"/>
  <c r="K386" i="1"/>
  <c r="K385" i="1"/>
  <c r="N290" i="1"/>
  <c r="N363" i="1"/>
  <c r="R363" i="1" s="1"/>
  <c r="K375" i="1"/>
  <c r="L375" i="1" s="1"/>
  <c r="K374" i="1"/>
  <c r="L374" i="1" s="1"/>
  <c r="K370" i="1"/>
  <c r="L370" i="1" s="1"/>
  <c r="K372" i="1"/>
  <c r="L372" i="1" s="1"/>
  <c r="K371" i="1"/>
  <c r="L371" i="1" s="1"/>
  <c r="N359" i="1"/>
  <c r="R359" i="1" s="1"/>
  <c r="K193" i="1"/>
  <c r="L193" i="1" s="1"/>
  <c r="K192" i="1"/>
  <c r="L192" i="1" s="1"/>
  <c r="N355" i="1"/>
  <c r="R355" i="1" s="1"/>
  <c r="K272" i="1"/>
  <c r="L272" i="1" s="1"/>
  <c r="K273" i="1"/>
  <c r="L273" i="1" s="1"/>
  <c r="N528" i="1"/>
  <c r="R528" i="1" s="1"/>
  <c r="L81" i="12"/>
  <c r="K190" i="1"/>
  <c r="K178" i="1"/>
  <c r="K166" i="1"/>
  <c r="K174" i="1"/>
  <c r="K169" i="1"/>
  <c r="K168" i="1"/>
  <c r="K189" i="1"/>
  <c r="K177" i="1"/>
  <c r="K165" i="1"/>
  <c r="K186" i="1"/>
  <c r="K181" i="1"/>
  <c r="K187" i="1"/>
  <c r="K175" i="1"/>
  <c r="K163" i="1"/>
  <c r="K180" i="1"/>
  <c r="K162" i="1"/>
  <c r="K184" i="1"/>
  <c r="K172" i="1"/>
  <c r="K183" i="1"/>
  <c r="K171" i="1"/>
  <c r="K82" i="1"/>
  <c r="K81" i="1"/>
  <c r="K84" i="1"/>
  <c r="K80" i="1"/>
  <c r="K83" i="1"/>
  <c r="K258" i="1"/>
  <c r="K262" i="1"/>
  <c r="K261" i="1"/>
  <c r="K288" i="1"/>
  <c r="K287" i="1"/>
  <c r="K286" i="1"/>
  <c r="K282" i="1"/>
  <c r="K283" i="1"/>
  <c r="K284" i="1"/>
  <c r="K274" i="1"/>
  <c r="K231" i="1"/>
  <c r="K226" i="1"/>
  <c r="K214" i="1"/>
  <c r="K218" i="1"/>
  <c r="K230" i="1"/>
  <c r="K224" i="1"/>
  <c r="K228" i="1"/>
  <c r="K223" i="1"/>
  <c r="K222" i="1"/>
  <c r="K219" i="1"/>
  <c r="K227" i="1"/>
  <c r="K232" i="1"/>
  <c r="K215" i="1"/>
  <c r="K217" i="1"/>
  <c r="K213" i="1"/>
  <c r="K23" i="1"/>
  <c r="K21" i="1"/>
  <c r="K24" i="1"/>
  <c r="K17" i="1"/>
  <c r="K18" i="1"/>
  <c r="K25" i="1"/>
  <c r="K22" i="1"/>
  <c r="K19" i="1"/>
  <c r="K20" i="1"/>
  <c r="K89" i="1"/>
  <c r="K88" i="1"/>
  <c r="K74" i="1"/>
  <c r="K73" i="1"/>
  <c r="K71" i="1"/>
  <c r="K72" i="1"/>
  <c r="K64" i="1"/>
  <c r="K49" i="1"/>
  <c r="K37" i="1"/>
  <c r="K59" i="1"/>
  <c r="K47" i="1"/>
  <c r="K34" i="1"/>
  <c r="K50" i="1"/>
  <c r="K58" i="1"/>
  <c r="K46" i="1"/>
  <c r="K35" i="1"/>
  <c r="K56" i="1"/>
  <c r="K44" i="1"/>
  <c r="K43" i="1"/>
  <c r="K66" i="1"/>
  <c r="K41" i="1"/>
  <c r="K67" i="1"/>
  <c r="K38" i="1"/>
  <c r="K53" i="1"/>
  <c r="K52" i="1"/>
  <c r="K63" i="1"/>
  <c r="K55" i="1"/>
  <c r="K40" i="1"/>
  <c r="K27" i="1"/>
  <c r="K28" i="1"/>
  <c r="K308" i="1"/>
  <c r="K309" i="1"/>
  <c r="K134" i="1"/>
  <c r="K132" i="1"/>
  <c r="K248" i="1"/>
  <c r="K246" i="1"/>
  <c r="K247" i="1"/>
  <c r="K250" i="1"/>
  <c r="K251" i="1"/>
  <c r="K252" i="1"/>
  <c r="K149" i="1"/>
  <c r="K150" i="1"/>
  <c r="K128" i="1"/>
  <c r="K129" i="1"/>
  <c r="K113" i="1"/>
  <c r="K112" i="1"/>
  <c r="K110" i="1"/>
  <c r="K109" i="1"/>
  <c r="K107" i="1"/>
  <c r="K106" i="1"/>
  <c r="K104" i="1"/>
  <c r="K103" i="1"/>
  <c r="K101" i="1"/>
  <c r="K100" i="1"/>
  <c r="K507" i="1"/>
  <c r="K508" i="1"/>
  <c r="K78" i="1"/>
  <c r="K94" i="1"/>
  <c r="K93" i="1"/>
  <c r="K97" i="1"/>
  <c r="K92" i="1"/>
  <c r="K96" i="1"/>
  <c r="K85" i="1"/>
  <c r="K95" i="1"/>
  <c r="K86" i="1"/>
  <c r="K513" i="1"/>
  <c r="K514" i="1"/>
  <c r="K516" i="1"/>
  <c r="L497" i="1"/>
  <c r="L505" i="1"/>
  <c r="K494" i="1"/>
  <c r="K495" i="1"/>
  <c r="K463" i="1"/>
  <c r="K462" i="1"/>
  <c r="K425" i="1"/>
  <c r="K424" i="1"/>
  <c r="K422" i="1"/>
  <c r="K421" i="1"/>
  <c r="K430" i="1"/>
  <c r="K431" i="1"/>
  <c r="K428" i="1"/>
  <c r="K427" i="1"/>
  <c r="K408" i="1"/>
  <c r="K407" i="1"/>
  <c r="K405" i="1"/>
  <c r="K404" i="1"/>
  <c r="K403" i="1"/>
  <c r="K409" i="1"/>
  <c r="K437" i="1"/>
  <c r="K438" i="1"/>
  <c r="K435" i="1"/>
  <c r="K434" i="1"/>
  <c r="K389" i="1"/>
  <c r="K393" i="1"/>
  <c r="K392" i="1"/>
  <c r="K390" i="1"/>
  <c r="K396" i="1"/>
  <c r="K400" i="1"/>
  <c r="K399" i="1"/>
  <c r="K397" i="1"/>
  <c r="K447" i="1"/>
  <c r="K445" i="1"/>
  <c r="K443" i="1"/>
  <c r="K441" i="1"/>
  <c r="K331" i="1"/>
  <c r="K330" i="1"/>
  <c r="K357" i="1"/>
  <c r="K358" i="1"/>
  <c r="K345" i="1"/>
  <c r="K344" i="1"/>
  <c r="K346" i="1"/>
  <c r="L328" i="1"/>
  <c r="K352" i="1"/>
  <c r="K353" i="1"/>
  <c r="K354" i="1"/>
  <c r="K349" i="1"/>
  <c r="K350" i="1"/>
  <c r="K351" i="1"/>
  <c r="K362" i="1"/>
  <c r="K361" i="1"/>
  <c r="K366" i="1"/>
  <c r="K365" i="1"/>
  <c r="K336" i="1"/>
  <c r="K333" i="1"/>
  <c r="K335" i="1"/>
  <c r="K340" i="1"/>
  <c r="K341" i="1"/>
  <c r="K339" i="1"/>
  <c r="L326" i="1"/>
  <c r="L324" i="1"/>
  <c r="K321" i="1"/>
  <c r="K320" i="1"/>
  <c r="K312" i="1"/>
  <c r="K311" i="1"/>
  <c r="K75" i="1"/>
  <c r="K69" i="1"/>
  <c r="K76" i="1"/>
  <c r="K155" i="1"/>
  <c r="K141" i="1"/>
  <c r="K144" i="1"/>
  <c r="K152" i="1"/>
  <c r="L152" i="1" s="1"/>
  <c r="K138" i="1"/>
  <c r="K143" i="1"/>
  <c r="K153" i="1"/>
  <c r="K147" i="1"/>
  <c r="K159" i="1"/>
  <c r="K158" i="1"/>
  <c r="K146" i="1"/>
  <c r="K156" i="1"/>
  <c r="K137" i="1"/>
  <c r="K140" i="1"/>
  <c r="K116" i="1"/>
  <c r="K117" i="1"/>
  <c r="K118" i="1"/>
  <c r="K115" i="1"/>
  <c r="K254" i="1"/>
  <c r="K238" i="1"/>
  <c r="K204" i="1"/>
  <c r="K239" i="1"/>
  <c r="K196" i="1"/>
  <c r="K206" i="1"/>
  <c r="K205" i="1"/>
  <c r="K236" i="1"/>
  <c r="K197" i="1"/>
  <c r="K235" i="1"/>
  <c r="K209" i="1"/>
  <c r="K240" i="1"/>
  <c r="K202" i="1"/>
  <c r="K211" i="1"/>
  <c r="K243" i="1"/>
  <c r="K234" i="1"/>
  <c r="K198" i="1"/>
  <c r="K242" i="1"/>
  <c r="K210" i="1"/>
  <c r="K201" i="1"/>
  <c r="K244" i="1"/>
  <c r="K200" i="1"/>
  <c r="L487" i="1"/>
  <c r="L520" i="1"/>
  <c r="L521" i="1"/>
  <c r="L485" i="1"/>
  <c r="L524" i="1"/>
  <c r="L526" i="1"/>
  <c r="L484" i="1"/>
  <c r="L525" i="1"/>
  <c r="L486" i="1"/>
  <c r="L523" i="1"/>
  <c r="K298" i="1"/>
  <c r="K297" i="1"/>
  <c r="K296" i="1"/>
  <c r="K295" i="1"/>
  <c r="K294" i="1"/>
  <c r="K503" i="1"/>
  <c r="K502" i="1"/>
  <c r="K500" i="1"/>
  <c r="K499" i="1"/>
  <c r="K477" i="1"/>
  <c r="K489" i="1"/>
  <c r="K490" i="1"/>
  <c r="K131" i="1"/>
  <c r="K303" i="1"/>
  <c r="K302" i="1"/>
  <c r="K278" i="1"/>
  <c r="K279" i="1"/>
  <c r="K300" i="1"/>
  <c r="K301" i="1"/>
  <c r="K268" i="1"/>
  <c r="K270" i="1"/>
  <c r="K269" i="1"/>
  <c r="K289" i="1"/>
  <c r="K291" i="1"/>
  <c r="K306" i="1"/>
  <c r="K305" i="1"/>
  <c r="K61" i="1"/>
  <c r="K31" i="1"/>
  <c r="K32" i="1"/>
  <c r="K12" i="1"/>
  <c r="K511" i="1"/>
  <c r="K468" i="1"/>
  <c r="K467" i="1"/>
  <c r="K11" i="1"/>
  <c r="K475" i="1"/>
  <c r="K10" i="1"/>
  <c r="K13" i="1"/>
  <c r="K476" i="1"/>
  <c r="K9" i="1"/>
  <c r="K125" i="1"/>
  <c r="K124" i="1"/>
  <c r="K123" i="1"/>
  <c r="K122" i="1"/>
  <c r="R412" i="1" l="1"/>
  <c r="M53" i="12" s="1"/>
  <c r="K53" i="12"/>
  <c r="N265" i="1"/>
  <c r="R265" i="1" s="1"/>
  <c r="N367" i="1"/>
  <c r="R367" i="1" s="1"/>
  <c r="N317" i="1"/>
  <c r="N368" i="1"/>
  <c r="R368" i="1" s="1"/>
  <c r="N318" i="1"/>
  <c r="R515" i="1"/>
  <c r="L32" i="12"/>
  <c r="N509" i="1"/>
  <c r="N510" i="1"/>
  <c r="N481" i="1"/>
  <c r="N480" i="1"/>
  <c r="N450" i="1"/>
  <c r="N452" i="1"/>
  <c r="N451" i="1"/>
  <c r="N454" i="1"/>
  <c r="N455" i="1"/>
  <c r="N456" i="1"/>
  <c r="N383" i="1"/>
  <c r="R383" i="1" s="1"/>
  <c r="N446" i="1"/>
  <c r="N384" i="1"/>
  <c r="N442" i="1"/>
  <c r="R290" i="1"/>
  <c r="N371" i="1"/>
  <c r="R371" i="1" s="1"/>
  <c r="N372" i="1"/>
  <c r="R372" i="1" s="1"/>
  <c r="N374" i="1"/>
  <c r="R259" i="1"/>
  <c r="N192" i="1"/>
  <c r="N193" i="1"/>
  <c r="R15" i="1"/>
  <c r="N272" i="1"/>
  <c r="R272" i="1" s="1"/>
  <c r="N273" i="1"/>
  <c r="N520" i="1"/>
  <c r="N525" i="1"/>
  <c r="N326" i="1"/>
  <c r="L35" i="12"/>
  <c r="N487" i="1"/>
  <c r="N484" i="1"/>
  <c r="N505" i="1"/>
  <c r="L75" i="12"/>
  <c r="N328" i="1"/>
  <c r="L36" i="12"/>
  <c r="N324" i="1"/>
  <c r="R324" i="1" s="1"/>
  <c r="L34" i="12"/>
  <c r="N526" i="1"/>
  <c r="N375" i="1"/>
  <c r="R375" i="1" s="1"/>
  <c r="N497" i="1"/>
  <c r="L72" i="12"/>
  <c r="N521" i="1"/>
  <c r="N486" i="1"/>
  <c r="N479" i="1"/>
  <c r="N524" i="1"/>
  <c r="N465" i="1"/>
  <c r="L62" i="12"/>
  <c r="N523" i="1"/>
  <c r="N485" i="1"/>
  <c r="N370" i="1"/>
  <c r="N316" i="1"/>
  <c r="L181" i="1"/>
  <c r="L172" i="1"/>
  <c r="L162" i="1"/>
  <c r="L190" i="1"/>
  <c r="L180" i="1"/>
  <c r="L171" i="1"/>
  <c r="L189" i="1"/>
  <c r="L169" i="1"/>
  <c r="L187" i="1"/>
  <c r="L178" i="1"/>
  <c r="L168" i="1"/>
  <c r="L186" i="1"/>
  <c r="L177" i="1"/>
  <c r="L163" i="1"/>
  <c r="L175" i="1"/>
  <c r="L166" i="1"/>
  <c r="L184" i="1"/>
  <c r="L174" i="1"/>
  <c r="L165" i="1"/>
  <c r="L183" i="1"/>
  <c r="K81" i="12"/>
  <c r="L116" i="1"/>
  <c r="L312" i="1"/>
  <c r="L311" i="1"/>
  <c r="L117" i="1"/>
  <c r="L508" i="1"/>
  <c r="L125" i="1"/>
  <c r="L507" i="1"/>
  <c r="L118" i="1"/>
  <c r="L128" i="1"/>
  <c r="L40" i="1"/>
  <c r="L66" i="1"/>
  <c r="L34" i="1"/>
  <c r="L71" i="1"/>
  <c r="T71" i="1" s="1"/>
  <c r="L25" i="1"/>
  <c r="L283" i="1"/>
  <c r="L55" i="1"/>
  <c r="L43" i="1"/>
  <c r="L47" i="1"/>
  <c r="L73" i="1"/>
  <c r="T73" i="1" s="1"/>
  <c r="L18" i="1"/>
  <c r="L282" i="1"/>
  <c r="L76" i="1"/>
  <c r="T76" i="1" s="1"/>
  <c r="L63" i="1"/>
  <c r="L44" i="1"/>
  <c r="L59" i="1"/>
  <c r="L74" i="1"/>
  <c r="T74" i="1" s="1"/>
  <c r="L17" i="1"/>
  <c r="L286" i="1"/>
  <c r="L52" i="1"/>
  <c r="L56" i="1"/>
  <c r="L37" i="1"/>
  <c r="L24" i="1"/>
  <c r="L287" i="1"/>
  <c r="L83" i="1"/>
  <c r="T83" i="1" s="1"/>
  <c r="L309" i="1"/>
  <c r="N309" i="1" s="1"/>
  <c r="L53" i="1"/>
  <c r="L35" i="1"/>
  <c r="L49" i="1"/>
  <c r="L21" i="1"/>
  <c r="L274" i="1"/>
  <c r="L288" i="1"/>
  <c r="L80" i="1"/>
  <c r="N80" i="1" s="1"/>
  <c r="L38" i="1"/>
  <c r="L46" i="1"/>
  <c r="L64" i="1"/>
  <c r="L20" i="1"/>
  <c r="L23" i="1"/>
  <c r="L261" i="1"/>
  <c r="L84" i="1"/>
  <c r="T84" i="1" s="1"/>
  <c r="L69" i="1"/>
  <c r="T69" i="1" s="1"/>
  <c r="L75" i="1"/>
  <c r="T75" i="1" s="1"/>
  <c r="L67" i="1"/>
  <c r="L58" i="1"/>
  <c r="L19" i="1"/>
  <c r="L262" i="1"/>
  <c r="L81" i="1"/>
  <c r="N81" i="1" s="1"/>
  <c r="L78" i="1"/>
  <c r="T78" i="1" s="1"/>
  <c r="L129" i="1"/>
  <c r="L41" i="1"/>
  <c r="L50" i="1"/>
  <c r="L72" i="1"/>
  <c r="T72" i="1" s="1"/>
  <c r="L22" i="1"/>
  <c r="L284" i="1"/>
  <c r="L82" i="1"/>
  <c r="N82" i="1" s="1"/>
  <c r="L258" i="1"/>
  <c r="L223" i="1"/>
  <c r="L213" i="1"/>
  <c r="L228" i="1"/>
  <c r="L215" i="1"/>
  <c r="L230" i="1"/>
  <c r="L232" i="1"/>
  <c r="L218" i="1"/>
  <c r="L224" i="1"/>
  <c r="L227" i="1"/>
  <c r="L214" i="1"/>
  <c r="L217" i="1"/>
  <c r="L219" i="1"/>
  <c r="L226" i="1"/>
  <c r="L222" i="1"/>
  <c r="L231" i="1"/>
  <c r="L88" i="1"/>
  <c r="L89" i="1"/>
  <c r="L28" i="1"/>
  <c r="L27" i="1"/>
  <c r="L308" i="1"/>
  <c r="L134" i="1"/>
  <c r="L132" i="1"/>
  <c r="L247" i="1"/>
  <c r="L246" i="1"/>
  <c r="L248" i="1"/>
  <c r="L252" i="1"/>
  <c r="L251" i="1"/>
  <c r="L250" i="1"/>
  <c r="L150" i="1"/>
  <c r="L149" i="1"/>
  <c r="L112" i="1"/>
  <c r="N112" i="1" s="1"/>
  <c r="L113" i="1"/>
  <c r="L109" i="1"/>
  <c r="L110" i="1"/>
  <c r="L106" i="1"/>
  <c r="L107" i="1"/>
  <c r="L103" i="1"/>
  <c r="L104" i="1"/>
  <c r="L100" i="1"/>
  <c r="L101" i="1"/>
  <c r="L95" i="1"/>
  <c r="L97" i="1"/>
  <c r="L85" i="1"/>
  <c r="T85" i="1" s="1"/>
  <c r="L96" i="1"/>
  <c r="L93" i="1"/>
  <c r="L92" i="1"/>
  <c r="L94" i="1"/>
  <c r="L86" i="1"/>
  <c r="T86" i="1" s="1"/>
  <c r="L495" i="1"/>
  <c r="L494" i="1"/>
  <c r="N494" i="1" s="1"/>
  <c r="L389" i="1"/>
  <c r="L393" i="1"/>
  <c r="L392" i="1"/>
  <c r="L462" i="1"/>
  <c r="L463" i="1"/>
  <c r="L390" i="1"/>
  <c r="L115" i="1"/>
  <c r="L404" i="1"/>
  <c r="L361" i="1"/>
  <c r="L158" i="1"/>
  <c r="L236" i="1"/>
  <c r="L397" i="1"/>
  <c r="L499" i="1"/>
  <c r="L298" i="1"/>
  <c r="L10" i="1"/>
  <c r="L443" i="1"/>
  <c r="L468" i="1"/>
  <c r="L291" i="1"/>
  <c r="L339" i="1"/>
  <c r="L350" i="1"/>
  <c r="L321" i="1"/>
  <c r="L489" i="1"/>
  <c r="L138" i="1"/>
  <c r="L202" i="1"/>
  <c r="L206" i="1"/>
  <c r="L399" i="1"/>
  <c r="L500" i="1"/>
  <c r="L365" i="1"/>
  <c r="L12" i="1"/>
  <c r="L244" i="1"/>
  <c r="L32" i="1"/>
  <c r="L143" i="1"/>
  <c r="L209" i="1"/>
  <c r="L366" i="1"/>
  <c r="L122" i="1"/>
  <c r="L428" i="1"/>
  <c r="L431" i="1"/>
  <c r="L31" i="1"/>
  <c r="L330" i="1"/>
  <c r="L333" i="1"/>
  <c r="L345" i="1"/>
  <c r="L279" i="1"/>
  <c r="L357" i="1"/>
  <c r="L159" i="1"/>
  <c r="L137" i="1"/>
  <c r="L156" i="1"/>
  <c r="L147" i="1"/>
  <c r="L243" i="1"/>
  <c r="L424" i="1"/>
  <c r="L503" i="1"/>
  <c r="L61" i="1"/>
  <c r="L476" i="1"/>
  <c r="L289" i="1"/>
  <c r="L358" i="1"/>
  <c r="L234" i="1"/>
  <c r="L409" i="1"/>
  <c r="L502" i="1"/>
  <c r="L123" i="1"/>
  <c r="L386" i="1"/>
  <c r="L11" i="1"/>
  <c r="L430" i="1"/>
  <c r="L331" i="1"/>
  <c r="L269" i="1"/>
  <c r="L336" i="1"/>
  <c r="L344" i="1"/>
  <c r="L278" i="1"/>
  <c r="L434" i="1"/>
  <c r="L141" i="1"/>
  <c r="L144" i="1"/>
  <c r="L198" i="1"/>
  <c r="L196" i="1"/>
  <c r="L447" i="1"/>
  <c r="L294" i="1"/>
  <c r="L408" i="1"/>
  <c r="L340" i="1"/>
  <c r="L153" i="1"/>
  <c r="L335" i="1"/>
  <c r="L320" i="1"/>
  <c r="L146" i="1"/>
  <c r="L124" i="1"/>
  <c r="L351" i="1"/>
  <c r="L435" i="1"/>
  <c r="L239" i="1"/>
  <c r="L211" i="1"/>
  <c r="L210" i="1"/>
  <c r="L205" i="1"/>
  <c r="L477" i="1"/>
  <c r="L295" i="1"/>
  <c r="L467" i="1"/>
  <c r="L352" i="1"/>
  <c r="L490" i="1"/>
  <c r="L422" i="1"/>
  <c r="L441" i="1"/>
  <c r="L421" i="1"/>
  <c r="L305" i="1"/>
  <c r="L346" i="1"/>
  <c r="L403" i="1"/>
  <c r="L381" i="1"/>
  <c r="L306" i="1"/>
  <c r="L268" i="1"/>
  <c r="L354" i="1"/>
  <c r="L301" i="1"/>
  <c r="N301" i="1" s="1"/>
  <c r="L302" i="1"/>
  <c r="L437" i="1"/>
  <c r="L197" i="1"/>
  <c r="L200" i="1"/>
  <c r="L204" i="1"/>
  <c r="L240" i="1"/>
  <c r="L396" i="1"/>
  <c r="L458" i="1"/>
  <c r="L296" i="1"/>
  <c r="L445" i="1"/>
  <c r="L131" i="1"/>
  <c r="L475" i="1"/>
  <c r="L349" i="1"/>
  <c r="L140" i="1"/>
  <c r="L238" i="1"/>
  <c r="L427" i="1"/>
  <c r="L511" i="1"/>
  <c r="L270" i="1"/>
  <c r="L407" i="1"/>
  <c r="L13" i="1"/>
  <c r="L405" i="1"/>
  <c r="L425" i="1"/>
  <c r="L362" i="1"/>
  <c r="L341" i="1"/>
  <c r="L353" i="1"/>
  <c r="L300" i="1"/>
  <c r="L303" i="1"/>
  <c r="L438" i="1"/>
  <c r="L155" i="1"/>
  <c r="L242" i="1"/>
  <c r="L201" i="1"/>
  <c r="L235" i="1"/>
  <c r="L254" i="1"/>
  <c r="L400" i="1"/>
  <c r="L297" i="1"/>
  <c r="L9" i="1"/>
  <c r="L380" i="1"/>
  <c r="L385" i="1"/>
  <c r="K66" i="12" l="1"/>
  <c r="R374" i="1"/>
  <c r="M46" i="12" s="1"/>
  <c r="K46" i="12"/>
  <c r="R370" i="1"/>
  <c r="M45" i="12" s="1"/>
  <c r="K45" i="12"/>
  <c r="T101" i="1"/>
  <c r="N93" i="1"/>
  <c r="N96" i="1"/>
  <c r="N113" i="1"/>
  <c r="N97" i="1"/>
  <c r="N94" i="1"/>
  <c r="N92" i="1"/>
  <c r="N95" i="1"/>
  <c r="T89" i="1"/>
  <c r="T95" i="1"/>
  <c r="T81" i="1"/>
  <c r="T80" i="1"/>
  <c r="T92" i="1"/>
  <c r="T93" i="1"/>
  <c r="T96" i="1"/>
  <c r="T113" i="1"/>
  <c r="T94" i="1"/>
  <c r="T82" i="1"/>
  <c r="T97" i="1"/>
  <c r="R317" i="1"/>
  <c r="M81" i="12"/>
  <c r="K32" i="12"/>
  <c r="R318" i="1"/>
  <c r="R316" i="1"/>
  <c r="R384" i="1"/>
  <c r="R509" i="1"/>
  <c r="N10" i="1"/>
  <c r="R10" i="1" s="1"/>
  <c r="N13" i="1"/>
  <c r="R13" i="1" s="1"/>
  <c r="R510" i="1"/>
  <c r="R450" i="1"/>
  <c r="R480" i="1"/>
  <c r="R451" i="1"/>
  <c r="R481" i="1"/>
  <c r="R454" i="1"/>
  <c r="R446" i="1"/>
  <c r="R455" i="1"/>
  <c r="R442" i="1"/>
  <c r="R456" i="1"/>
  <c r="R452" i="1"/>
  <c r="R193" i="1"/>
  <c r="R192" i="1"/>
  <c r="R523" i="1"/>
  <c r="R486" i="1"/>
  <c r="R526" i="1"/>
  <c r="R484" i="1"/>
  <c r="R520" i="1"/>
  <c r="R273" i="1"/>
  <c r="R524" i="1"/>
  <c r="R497" i="1"/>
  <c r="R485" i="1"/>
  <c r="R479" i="1"/>
  <c r="R505" i="1"/>
  <c r="R525" i="1"/>
  <c r="R465" i="1"/>
  <c r="R521" i="1"/>
  <c r="R487" i="1"/>
  <c r="N303" i="1"/>
  <c r="N340" i="1"/>
  <c r="R340" i="1" s="1"/>
  <c r="N443" i="1"/>
  <c r="N508" i="1"/>
  <c r="N353" i="1"/>
  <c r="R353" i="1" s="1"/>
  <c r="N511" i="1"/>
  <c r="N296" i="1"/>
  <c r="N302" i="1"/>
  <c r="N305" i="1"/>
  <c r="N295" i="1"/>
  <c r="N351" i="1"/>
  <c r="R351" i="1" s="1"/>
  <c r="N408" i="1"/>
  <c r="N472" i="1"/>
  <c r="N495" i="1"/>
  <c r="N286" i="1"/>
  <c r="N407" i="1"/>
  <c r="N437" i="1"/>
  <c r="N404" i="1"/>
  <c r="N427" i="1"/>
  <c r="N458" i="1"/>
  <c r="N421" i="1"/>
  <c r="N294" i="1"/>
  <c r="N434" i="1"/>
  <c r="N386" i="1"/>
  <c r="N476" i="1"/>
  <c r="N471" i="1"/>
  <c r="N489" i="1"/>
  <c r="N298" i="1"/>
  <c r="N390" i="1"/>
  <c r="N288" i="1"/>
  <c r="N311" i="1"/>
  <c r="N352" i="1"/>
  <c r="R352" i="1" s="1"/>
  <c r="N331" i="1"/>
  <c r="R331" i="1" s="1"/>
  <c r="N361" i="1"/>
  <c r="N445" i="1"/>
  <c r="N330" i="1"/>
  <c r="R330" i="1" s="1"/>
  <c r="N354" i="1"/>
  <c r="R354" i="1" s="1"/>
  <c r="N431" i="1"/>
  <c r="N321" i="1"/>
  <c r="R321" i="1" s="1"/>
  <c r="N499" i="1"/>
  <c r="N463" i="1"/>
  <c r="N287" i="1"/>
  <c r="N312" i="1"/>
  <c r="N403" i="1"/>
  <c r="N468" i="1"/>
  <c r="N300" i="1"/>
  <c r="N435" i="1"/>
  <c r="N289" i="1"/>
  <c r="N282" i="1"/>
  <c r="R282" i="1" s="1"/>
  <c r="N385" i="1"/>
  <c r="N396" i="1"/>
  <c r="N477" i="1"/>
  <c r="N425" i="1"/>
  <c r="N447" i="1"/>
  <c r="N344" i="1"/>
  <c r="N502" i="1"/>
  <c r="N503" i="1"/>
  <c r="N357" i="1"/>
  <c r="N428" i="1"/>
  <c r="N365" i="1"/>
  <c r="N350" i="1"/>
  <c r="R350" i="1" s="1"/>
  <c r="N397" i="1"/>
  <c r="N462" i="1"/>
  <c r="N284" i="1"/>
  <c r="N333" i="1"/>
  <c r="R333" i="1" s="1"/>
  <c r="N467" i="1"/>
  <c r="N341" i="1"/>
  <c r="N349" i="1"/>
  <c r="N422" i="1"/>
  <c r="N320" i="1"/>
  <c r="N336" i="1"/>
  <c r="R336" i="1" s="1"/>
  <c r="N409" i="1"/>
  <c r="N279" i="1"/>
  <c r="N500" i="1"/>
  <c r="N339" i="1"/>
  <c r="R339" i="1" s="1"/>
  <c r="N392" i="1"/>
  <c r="N358" i="1"/>
  <c r="R358" i="1" s="1"/>
  <c r="N389" i="1"/>
  <c r="N400" i="1"/>
  <c r="N346" i="1"/>
  <c r="R346" i="1" s="1"/>
  <c r="N430" i="1"/>
  <c r="N362" i="1"/>
  <c r="R362" i="1" s="1"/>
  <c r="N441" i="1"/>
  <c r="N380" i="1"/>
  <c r="N405" i="1"/>
  <c r="N306" i="1"/>
  <c r="N297" i="1"/>
  <c r="R297" i="1" s="1"/>
  <c r="N438" i="1"/>
  <c r="N475" i="1"/>
  <c r="N381" i="1"/>
  <c r="N490" i="1"/>
  <c r="N335" i="1"/>
  <c r="N424" i="1"/>
  <c r="N345" i="1"/>
  <c r="R345" i="1" s="1"/>
  <c r="N366" i="1"/>
  <c r="R366" i="1" s="1"/>
  <c r="N399" i="1"/>
  <c r="N291" i="1"/>
  <c r="N393" i="1"/>
  <c r="N308" i="1"/>
  <c r="N283" i="1"/>
  <c r="R283" i="1" s="1"/>
  <c r="N507" i="1"/>
  <c r="R507" i="1" s="1"/>
  <c r="N274" i="1"/>
  <c r="L20" i="12"/>
  <c r="N269" i="1"/>
  <c r="N270" i="1"/>
  <c r="N268" i="1"/>
  <c r="N231" i="1"/>
  <c r="N240" i="1"/>
  <c r="N232" i="1"/>
  <c r="N252" i="1"/>
  <c r="R252" i="1" s="1"/>
  <c r="N214" i="1"/>
  <c r="R214" i="1" s="1"/>
  <c r="N254" i="1"/>
  <c r="N248" i="1"/>
  <c r="N227" i="1"/>
  <c r="N223" i="1"/>
  <c r="N201" i="1"/>
  <c r="N261" i="1"/>
  <c r="N205" i="1"/>
  <c r="N222" i="1"/>
  <c r="N202" i="1"/>
  <c r="N213" i="1"/>
  <c r="N235" i="1"/>
  <c r="N244" i="1"/>
  <c r="N246" i="1"/>
  <c r="N224" i="1"/>
  <c r="R224" i="1" s="1"/>
  <c r="N258" i="1"/>
  <c r="N238" i="1"/>
  <c r="N218" i="1"/>
  <c r="N210" i="1"/>
  <c r="N236" i="1"/>
  <c r="N226" i="1"/>
  <c r="N200" i="1"/>
  <c r="N211" i="1"/>
  <c r="R211" i="1" s="1"/>
  <c r="N234" i="1"/>
  <c r="N250" i="1"/>
  <c r="N219" i="1"/>
  <c r="N215" i="1"/>
  <c r="N247" i="1"/>
  <c r="N242" i="1"/>
  <c r="N262" i="1"/>
  <c r="N204" i="1"/>
  <c r="N196" i="1"/>
  <c r="N230" i="1"/>
  <c r="N197" i="1"/>
  <c r="N239" i="1"/>
  <c r="N198" i="1"/>
  <c r="N243" i="1"/>
  <c r="N209" i="1"/>
  <c r="N206" i="1"/>
  <c r="N251" i="1"/>
  <c r="N217" i="1"/>
  <c r="N228" i="1"/>
  <c r="N141" i="1"/>
  <c r="N163" i="1"/>
  <c r="R163" i="1" s="1"/>
  <c r="N171" i="1"/>
  <c r="R171" i="1" s="1"/>
  <c r="N177" i="1"/>
  <c r="R177" i="1" s="1"/>
  <c r="N180" i="1"/>
  <c r="N138" i="1"/>
  <c r="R138" i="1" s="1"/>
  <c r="N159" i="1"/>
  <c r="N190" i="1"/>
  <c r="N140" i="1"/>
  <c r="N152" i="1"/>
  <c r="R152" i="1" s="1"/>
  <c r="N146" i="1"/>
  <c r="N149" i="1"/>
  <c r="N165" i="1"/>
  <c r="R165" i="1" s="1"/>
  <c r="N168" i="1"/>
  <c r="N162" i="1"/>
  <c r="R162" i="1" s="1"/>
  <c r="N155" i="1"/>
  <c r="R155" i="1" s="1"/>
  <c r="N150" i="1"/>
  <c r="R150" i="1" s="1"/>
  <c r="N174" i="1"/>
  <c r="R174" i="1" s="1"/>
  <c r="N178" i="1"/>
  <c r="R178" i="1" s="1"/>
  <c r="N172" i="1"/>
  <c r="R172" i="1" s="1"/>
  <c r="N184" i="1"/>
  <c r="N187" i="1"/>
  <c r="N181" i="1"/>
  <c r="N186" i="1"/>
  <c r="N153" i="1"/>
  <c r="N166" i="1"/>
  <c r="R166" i="1" s="1"/>
  <c r="N169" i="1"/>
  <c r="R169" i="1" s="1"/>
  <c r="N156" i="1"/>
  <c r="R156" i="1" s="1"/>
  <c r="N183" i="1"/>
  <c r="N144" i="1"/>
  <c r="N147" i="1"/>
  <c r="R147" i="1" s="1"/>
  <c r="N143" i="1"/>
  <c r="N175" i="1"/>
  <c r="R175" i="1" s="1"/>
  <c r="N189" i="1"/>
  <c r="N129" i="1"/>
  <c r="R129" i="1" s="1"/>
  <c r="N132" i="1"/>
  <c r="R132" i="1" s="1"/>
  <c r="N128" i="1"/>
  <c r="R128" i="1" s="1"/>
  <c r="N134" i="1"/>
  <c r="N131" i="1"/>
  <c r="R131" i="1" s="1"/>
  <c r="N123" i="1"/>
  <c r="R123" i="1" s="1"/>
  <c r="N124" i="1"/>
  <c r="R124" i="1" s="1"/>
  <c r="N122" i="1"/>
  <c r="R122" i="1" s="1"/>
  <c r="N125" i="1"/>
  <c r="R125" i="1" s="1"/>
  <c r="N117" i="1"/>
  <c r="N116" i="1"/>
  <c r="N118" i="1"/>
  <c r="N115" i="1"/>
  <c r="N110" i="1"/>
  <c r="N89" i="1"/>
  <c r="N86" i="1"/>
  <c r="N101" i="1"/>
  <c r="N88" i="1"/>
  <c r="N78" i="1"/>
  <c r="N84" i="1"/>
  <c r="N83" i="1"/>
  <c r="N109" i="1"/>
  <c r="N100" i="1"/>
  <c r="N104" i="1"/>
  <c r="N107" i="1"/>
  <c r="T107" i="1" s="1"/>
  <c r="N103" i="1"/>
  <c r="N85" i="1"/>
  <c r="N106" i="1"/>
  <c r="N74" i="1"/>
  <c r="N73" i="1"/>
  <c r="N69" i="1"/>
  <c r="N72" i="1"/>
  <c r="N76" i="1"/>
  <c r="N75" i="1"/>
  <c r="N71" i="1"/>
  <c r="N34" i="1"/>
  <c r="R34" i="1" s="1"/>
  <c r="N66" i="1"/>
  <c r="N59" i="1"/>
  <c r="N43" i="1"/>
  <c r="R43" i="1" s="1"/>
  <c r="N40" i="1"/>
  <c r="R40" i="1" s="1"/>
  <c r="N49" i="1"/>
  <c r="R49" i="1" s="1"/>
  <c r="N37" i="1"/>
  <c r="R37" i="1" s="1"/>
  <c r="N44" i="1"/>
  <c r="R44" i="1" s="1"/>
  <c r="N55" i="1"/>
  <c r="R55" i="1" s="1"/>
  <c r="N61" i="1"/>
  <c r="N58" i="1"/>
  <c r="N64" i="1"/>
  <c r="N35" i="1"/>
  <c r="R35" i="1" s="1"/>
  <c r="N56" i="1"/>
  <c r="R56" i="1" s="1"/>
  <c r="N63" i="1"/>
  <c r="R63" i="1" s="1"/>
  <c r="N50" i="1"/>
  <c r="R50" i="1" s="1"/>
  <c r="N67" i="1"/>
  <c r="N46" i="1"/>
  <c r="R46" i="1" s="1"/>
  <c r="N53" i="1"/>
  <c r="R53" i="1" s="1"/>
  <c r="N52" i="1"/>
  <c r="R52" i="1" s="1"/>
  <c r="N31" i="1"/>
  <c r="R31" i="1" s="1"/>
  <c r="N47" i="1"/>
  <c r="R47" i="1" s="1"/>
  <c r="N41" i="1"/>
  <c r="R41" i="1" s="1"/>
  <c r="N38" i="1"/>
  <c r="R38" i="1" s="1"/>
  <c r="N11" i="1"/>
  <c r="R11" i="1" s="1"/>
  <c r="N18" i="1"/>
  <c r="N17" i="1"/>
  <c r="N12" i="1"/>
  <c r="R12" i="1" s="1"/>
  <c r="N23" i="1"/>
  <c r="N21" i="1"/>
  <c r="N24" i="1"/>
  <c r="N22" i="1"/>
  <c r="N19" i="1"/>
  <c r="N20" i="1"/>
  <c r="N9" i="1"/>
  <c r="N27" i="1"/>
  <c r="N25" i="1"/>
  <c r="N28" i="1"/>
  <c r="N158" i="1"/>
  <c r="N137" i="1"/>
  <c r="N278" i="1"/>
  <c r="R278" i="1" s="1"/>
  <c r="L67" i="12"/>
  <c r="L80" i="12"/>
  <c r="M34" i="12"/>
  <c r="M35" i="12"/>
  <c r="M36" i="12"/>
  <c r="K72" i="12"/>
  <c r="K75" i="12"/>
  <c r="P529" i="1"/>
  <c r="K62" i="12"/>
  <c r="K34" i="12"/>
  <c r="K35" i="12"/>
  <c r="K36" i="12"/>
  <c r="L82" i="12" l="1"/>
  <c r="L85" i="12" s="1"/>
  <c r="L91" i="12"/>
  <c r="K33" i="12"/>
  <c r="K64" i="12"/>
  <c r="M66" i="12"/>
  <c r="R361" i="1"/>
  <c r="M43" i="12" s="1"/>
  <c r="K43" i="12"/>
  <c r="R365" i="1"/>
  <c r="M44" i="12" s="1"/>
  <c r="K44" i="12"/>
  <c r="K63" i="12"/>
  <c r="K38" i="12"/>
  <c r="R349" i="1"/>
  <c r="M41" i="12" s="1"/>
  <c r="K41" i="12"/>
  <c r="R344" i="1"/>
  <c r="M40" i="12" s="1"/>
  <c r="K40" i="12"/>
  <c r="R357" i="1"/>
  <c r="M42" i="12" s="1"/>
  <c r="K42" i="12"/>
  <c r="R341" i="1"/>
  <c r="M39" i="12" s="1"/>
  <c r="K39" i="12"/>
  <c r="K18" i="12"/>
  <c r="R137" i="1"/>
  <c r="K17" i="12"/>
  <c r="R9" i="1"/>
  <c r="R335" i="1"/>
  <c r="M38" i="12" s="1"/>
  <c r="R380" i="1"/>
  <c r="M72" i="12"/>
  <c r="M62" i="12"/>
  <c r="M75" i="12"/>
  <c r="R168" i="1"/>
  <c r="M32" i="12"/>
  <c r="P532" i="1"/>
  <c r="I21" i="22"/>
  <c r="R320" i="1"/>
  <c r="M33" i="12" s="1"/>
  <c r="R158" i="1"/>
  <c r="R468" i="1"/>
  <c r="R463" i="1"/>
  <c r="R445" i="1"/>
  <c r="R311" i="1"/>
  <c r="R489" i="1"/>
  <c r="R434" i="1"/>
  <c r="R301" i="1"/>
  <c r="R437" i="1"/>
  <c r="R472" i="1"/>
  <c r="R305" i="1"/>
  <c r="R303" i="1"/>
  <c r="R17" i="1"/>
  <c r="M67" i="12"/>
  <c r="M80" i="12"/>
  <c r="M82" i="12" s="1"/>
  <c r="M85" i="12" s="1"/>
  <c r="R529" i="1"/>
  <c r="R75" i="1"/>
  <c r="R73" i="1"/>
  <c r="R103" i="1"/>
  <c r="R95" i="1"/>
  <c r="R81" i="1"/>
  <c r="R94" i="1"/>
  <c r="R84" i="1"/>
  <c r="R101" i="1"/>
  <c r="R89" i="1"/>
  <c r="R116" i="1"/>
  <c r="R217" i="1"/>
  <c r="R243" i="1"/>
  <c r="R230" i="1"/>
  <c r="R242" i="1"/>
  <c r="R250" i="1"/>
  <c r="R200" i="1"/>
  <c r="R218" i="1"/>
  <c r="R246" i="1"/>
  <c r="R202" i="1"/>
  <c r="R201" i="1"/>
  <c r="R254" i="1"/>
  <c r="R240" i="1"/>
  <c r="R269" i="1"/>
  <c r="R291" i="1"/>
  <c r="R424" i="1"/>
  <c r="R475" i="1"/>
  <c r="R25" i="1"/>
  <c r="R19" i="1"/>
  <c r="R23" i="1"/>
  <c r="R67" i="1"/>
  <c r="R64" i="1"/>
  <c r="R144" i="1"/>
  <c r="R153" i="1"/>
  <c r="R184" i="1"/>
  <c r="R399" i="1"/>
  <c r="R438" i="1"/>
  <c r="R405" i="1"/>
  <c r="R309" i="1"/>
  <c r="R400" i="1"/>
  <c r="R462" i="1"/>
  <c r="R428" i="1"/>
  <c r="R72" i="1"/>
  <c r="R106" i="1"/>
  <c r="R96" i="1"/>
  <c r="R104" i="1"/>
  <c r="R112" i="1"/>
  <c r="R88" i="1"/>
  <c r="R115" i="1"/>
  <c r="R141" i="1"/>
  <c r="R206" i="1"/>
  <c r="R239" i="1"/>
  <c r="R204" i="1"/>
  <c r="R215" i="1"/>
  <c r="R236" i="1"/>
  <c r="R258" i="1"/>
  <c r="R235" i="1"/>
  <c r="R205" i="1"/>
  <c r="R227" i="1"/>
  <c r="R435" i="1"/>
  <c r="R312" i="1"/>
  <c r="R390" i="1"/>
  <c r="R476" i="1"/>
  <c r="R300" i="1"/>
  <c r="R287" i="1"/>
  <c r="R431" i="1"/>
  <c r="R298" i="1"/>
  <c r="R308" i="1"/>
  <c r="R490" i="1"/>
  <c r="R59" i="1"/>
  <c r="R143" i="1"/>
  <c r="R381" i="1"/>
  <c r="R18" i="1"/>
  <c r="R76" i="1"/>
  <c r="R74" i="1"/>
  <c r="R107" i="1"/>
  <c r="R97" i="1"/>
  <c r="R82" i="1"/>
  <c r="R109" i="1"/>
  <c r="R78" i="1"/>
  <c r="R86" i="1"/>
  <c r="R110" i="1"/>
  <c r="R117" i="1"/>
  <c r="R251" i="1"/>
  <c r="R198" i="1"/>
  <c r="R196" i="1"/>
  <c r="R247" i="1"/>
  <c r="R234" i="1"/>
  <c r="R226" i="1"/>
  <c r="R238" i="1"/>
  <c r="R244" i="1"/>
  <c r="R222" i="1"/>
  <c r="R223" i="1"/>
  <c r="R231" i="1"/>
  <c r="R274" i="1"/>
  <c r="R289" i="1"/>
  <c r="R403" i="1"/>
  <c r="R499" i="1"/>
  <c r="R288" i="1"/>
  <c r="R471" i="1"/>
  <c r="R294" i="1"/>
  <c r="R458" i="1"/>
  <c r="R407" i="1"/>
  <c r="R408" i="1"/>
  <c r="R302" i="1"/>
  <c r="R508" i="1"/>
  <c r="R61" i="1"/>
  <c r="R181" i="1"/>
  <c r="R441" i="1"/>
  <c r="R28" i="1"/>
  <c r="R20" i="1"/>
  <c r="R21" i="1"/>
  <c r="R66" i="1"/>
  <c r="R187" i="1"/>
  <c r="R146" i="1"/>
  <c r="R159" i="1"/>
  <c r="R306" i="1"/>
  <c r="R392" i="1"/>
  <c r="R409" i="1"/>
  <c r="R284" i="1"/>
  <c r="R502" i="1"/>
  <c r="R477" i="1"/>
  <c r="R24" i="1"/>
  <c r="R268" i="1"/>
  <c r="M57" i="12"/>
  <c r="R427" i="1"/>
  <c r="R286" i="1"/>
  <c r="R296" i="1"/>
  <c r="R443" i="1"/>
  <c r="R190" i="1"/>
  <c r="R430" i="1"/>
  <c r="R503" i="1"/>
  <c r="R396" i="1"/>
  <c r="R422" i="1"/>
  <c r="R71" i="1"/>
  <c r="R69" i="1"/>
  <c r="R85" i="1"/>
  <c r="R93" i="1"/>
  <c r="R92" i="1"/>
  <c r="R100" i="1"/>
  <c r="R83" i="1"/>
  <c r="R113" i="1"/>
  <c r="R80" i="1"/>
  <c r="R118" i="1"/>
  <c r="R189" i="1"/>
  <c r="R228" i="1"/>
  <c r="R209" i="1"/>
  <c r="R197" i="1"/>
  <c r="R262" i="1"/>
  <c r="R219" i="1"/>
  <c r="R210" i="1"/>
  <c r="R213" i="1"/>
  <c r="R261" i="1"/>
  <c r="R248" i="1"/>
  <c r="R232" i="1"/>
  <c r="R270" i="1"/>
  <c r="R386" i="1"/>
  <c r="R421" i="1"/>
  <c r="R404" i="1"/>
  <c r="R495" i="1"/>
  <c r="R295" i="1"/>
  <c r="R511" i="1"/>
  <c r="R134" i="1"/>
  <c r="R149" i="1"/>
  <c r="R393" i="1"/>
  <c r="R279" i="1"/>
  <c r="R425" i="1"/>
  <c r="R27" i="1"/>
  <c r="R22" i="1"/>
  <c r="R58" i="1"/>
  <c r="R183" i="1"/>
  <c r="R186" i="1"/>
  <c r="R140" i="1"/>
  <c r="R180" i="1"/>
  <c r="R494" i="1"/>
  <c r="R389" i="1"/>
  <c r="R500" i="1"/>
  <c r="R467" i="1"/>
  <c r="R397" i="1"/>
  <c r="R447" i="1"/>
  <c r="R385" i="1"/>
  <c r="L71" i="12"/>
  <c r="L29" i="12"/>
  <c r="L28" i="12"/>
  <c r="L25" i="12"/>
  <c r="L57" i="12"/>
  <c r="M15" i="12"/>
  <c r="L73" i="12"/>
  <c r="L26" i="12"/>
  <c r="L10" i="12"/>
  <c r="L12" i="12"/>
  <c r="L15" i="12"/>
  <c r="L9" i="12"/>
  <c r="L27" i="12"/>
  <c r="L65" i="12"/>
  <c r="L23" i="12"/>
  <c r="L24" i="12"/>
  <c r="L11" i="12"/>
  <c r="L37" i="12"/>
  <c r="K67" i="12"/>
  <c r="L76" i="12"/>
  <c r="L16" i="12"/>
  <c r="L19" i="12"/>
  <c r="L8" i="12"/>
  <c r="M37" i="12"/>
  <c r="L51" i="12"/>
  <c r="L56" i="12"/>
  <c r="L61" i="12"/>
  <c r="L68" i="12"/>
  <c r="K80" i="12"/>
  <c r="L74" i="12"/>
  <c r="L55" i="12"/>
  <c r="L52" i="12"/>
  <c r="L49" i="12"/>
  <c r="L50" i="12"/>
  <c r="L54" i="12"/>
  <c r="L58" i="12"/>
  <c r="N529" i="1"/>
  <c r="N532" i="1" s="1"/>
  <c r="P491" i="1"/>
  <c r="I17" i="22" s="1"/>
  <c r="H17" i="22" s="1"/>
  <c r="P459" i="1"/>
  <c r="I15" i="22" s="1"/>
  <c r="H15" i="22" s="1"/>
  <c r="P376" i="1"/>
  <c r="I13" i="22" s="1"/>
  <c r="P313" i="1"/>
  <c r="I11" i="22" s="1"/>
  <c r="H11" i="22" s="1"/>
  <c r="P275" i="1"/>
  <c r="I9" i="22" s="1"/>
  <c r="H9" i="22" s="1"/>
  <c r="I7" i="22"/>
  <c r="H7" i="22" s="1"/>
  <c r="K20" i="12"/>
  <c r="L513" i="1"/>
  <c r="K82" i="12" l="1"/>
  <c r="K85" i="12" s="1"/>
  <c r="K91" i="12"/>
  <c r="M91" i="12"/>
  <c r="M63" i="12"/>
  <c r="G18" i="16"/>
  <c r="G18" i="15"/>
  <c r="M64" i="12"/>
  <c r="M17" i="12"/>
  <c r="M18" i="12"/>
  <c r="M16" i="12"/>
  <c r="M20" i="12"/>
  <c r="M58" i="12"/>
  <c r="R376" i="1"/>
  <c r="K13" i="22" s="1"/>
  <c r="J13" i="22" s="1"/>
  <c r="G18" i="13"/>
  <c r="M47" i="12"/>
  <c r="R532" i="1"/>
  <c r="H18" i="13" s="1"/>
  <c r="K21" i="22"/>
  <c r="G21" i="22"/>
  <c r="H13" i="22"/>
  <c r="M23" i="12"/>
  <c r="M27" i="12"/>
  <c r="M68" i="12"/>
  <c r="M29" i="12"/>
  <c r="M61" i="12"/>
  <c r="M74" i="12"/>
  <c r="M71" i="12"/>
  <c r="M55" i="12"/>
  <c r="M28" i="12"/>
  <c r="R459" i="1"/>
  <c r="K15" i="22" s="1"/>
  <c r="J15" i="22" s="1"/>
  <c r="M56" i="12"/>
  <c r="M11" i="12"/>
  <c r="M52" i="12"/>
  <c r="R313" i="1"/>
  <c r="K11" i="22" s="1"/>
  <c r="J11" i="22" s="1"/>
  <c r="M25" i="12"/>
  <c r="M65" i="12"/>
  <c r="M12" i="12"/>
  <c r="M49" i="12"/>
  <c r="M50" i="12"/>
  <c r="M76" i="12"/>
  <c r="M51" i="12"/>
  <c r="M24" i="12"/>
  <c r="M26" i="12"/>
  <c r="M73" i="12"/>
  <c r="R275" i="1"/>
  <c r="K9" i="22" s="1"/>
  <c r="J9" i="22" s="1"/>
  <c r="M54" i="12"/>
  <c r="M19" i="12"/>
  <c r="M10" i="12"/>
  <c r="R491" i="1"/>
  <c r="N513" i="1"/>
  <c r="L90" i="12"/>
  <c r="K74" i="12"/>
  <c r="K57" i="12"/>
  <c r="K71" i="12"/>
  <c r="K37" i="12"/>
  <c r="K15" i="12"/>
  <c r="K28" i="12"/>
  <c r="L69" i="12"/>
  <c r="K50" i="12"/>
  <c r="L30" i="12"/>
  <c r="K61" i="12"/>
  <c r="K25" i="12"/>
  <c r="K73" i="12"/>
  <c r="K27" i="12"/>
  <c r="K10" i="12"/>
  <c r="K23" i="12"/>
  <c r="L13" i="12"/>
  <c r="K11" i="12"/>
  <c r="K19" i="12"/>
  <c r="L21" i="12"/>
  <c r="K49" i="12"/>
  <c r="K16" i="12"/>
  <c r="K51" i="12"/>
  <c r="K65" i="12"/>
  <c r="K12" i="12"/>
  <c r="K24" i="12"/>
  <c r="K26" i="12"/>
  <c r="K29" i="12"/>
  <c r="K58" i="12"/>
  <c r="K68" i="12"/>
  <c r="K76" i="12"/>
  <c r="K52" i="12"/>
  <c r="L59" i="12"/>
  <c r="L47" i="12"/>
  <c r="K54" i="12"/>
  <c r="K56" i="12"/>
  <c r="K55" i="12"/>
  <c r="N491" i="1"/>
  <c r="G17" i="22" s="1"/>
  <c r="F17" i="22" s="1"/>
  <c r="N459" i="1"/>
  <c r="N376" i="1"/>
  <c r="G13" i="22" s="1"/>
  <c r="N313" i="1"/>
  <c r="G11" i="22" s="1"/>
  <c r="F11" i="22" s="1"/>
  <c r="N275" i="1"/>
  <c r="G9" i="22" s="1"/>
  <c r="L516" i="1"/>
  <c r="L514" i="1"/>
  <c r="G15" i="22" l="1"/>
  <c r="F15" i="22" s="1"/>
  <c r="F9" i="22"/>
  <c r="F18" i="16"/>
  <c r="F18" i="15"/>
  <c r="H18" i="15" s="1"/>
  <c r="H18" i="16"/>
  <c r="K17" i="22"/>
  <c r="J17" i="22" s="1"/>
  <c r="F13" i="22"/>
  <c r="F18" i="13"/>
  <c r="M69" i="12"/>
  <c r="M21" i="12"/>
  <c r="R513" i="1"/>
  <c r="M30" i="12"/>
  <c r="M59" i="12"/>
  <c r="N516" i="1"/>
  <c r="N514" i="1"/>
  <c r="K69" i="12"/>
  <c r="K21" i="12"/>
  <c r="K30" i="12"/>
  <c r="K59" i="12"/>
  <c r="K47" i="12"/>
  <c r="R516" i="1" l="1"/>
  <c r="R514" i="1"/>
  <c r="L77" i="12"/>
  <c r="P517" i="1"/>
  <c r="P531" i="1" l="1"/>
  <c r="G17" i="16" s="1"/>
  <c r="G26" i="16" s="1"/>
  <c r="I19" i="22"/>
  <c r="M77" i="12"/>
  <c r="R517" i="1"/>
  <c r="K19" i="22" s="1"/>
  <c r="J19" i="22" s="1"/>
  <c r="L78" i="12"/>
  <c r="L84" i="12" s="1"/>
  <c r="L86" i="12" s="1"/>
  <c r="V44" i="11" s="1"/>
  <c r="W44" i="11" s="1"/>
  <c r="L89" i="12"/>
  <c r="K77" i="12"/>
  <c r="N517" i="1"/>
  <c r="G19" i="22" s="1"/>
  <c r="F19" i="22" s="1"/>
  <c r="M78" i="12" l="1"/>
  <c r="M89" i="12"/>
  <c r="P533" i="1"/>
  <c r="G17" i="15"/>
  <c r="G17" i="13"/>
  <c r="H19" i="22"/>
  <c r="H23" i="22" s="1"/>
  <c r="I23" i="22"/>
  <c r="K78" i="12"/>
  <c r="K89" i="12"/>
  <c r="G50" i="15" l="1"/>
  <c r="G35" i="15"/>
  <c r="V38" i="11"/>
  <c r="W38" i="11" s="1"/>
  <c r="F39" i="11"/>
  <c r="V39" i="11" s="1"/>
  <c r="W39" i="11" s="1"/>
  <c r="V29" i="11"/>
  <c r="W29" i="11" s="1"/>
  <c r="V28" i="11"/>
  <c r="W28" i="11" s="1"/>
  <c r="V26" i="11"/>
  <c r="W26" i="11" s="1"/>
  <c r="V27" i="11"/>
  <c r="W27" i="11" s="1"/>
  <c r="V24" i="11"/>
  <c r="W24" i="11" s="1"/>
  <c r="V25" i="11"/>
  <c r="W25" i="11" s="1"/>
  <c r="V23" i="11"/>
  <c r="W23" i="11" s="1"/>
  <c r="V15" i="11"/>
  <c r="W15" i="11" s="1"/>
  <c r="V22" i="11"/>
  <c r="W22" i="11" s="1"/>
  <c r="V31" i="11" l="1"/>
  <c r="W31" i="11" s="1"/>
  <c r="K8" i="12"/>
  <c r="M8" i="12"/>
  <c r="N32" i="1"/>
  <c r="N119" i="1" s="1"/>
  <c r="V32" i="11" l="1"/>
  <c r="W32" i="11" s="1"/>
  <c r="R32" i="1"/>
  <c r="R119" i="1" s="1"/>
  <c r="R531" i="1" l="1"/>
  <c r="R533" i="1" s="1"/>
  <c r="K7" i="22"/>
  <c r="J7" i="22" s="1"/>
  <c r="J23" i="22" s="1"/>
  <c r="V33" i="11"/>
  <c r="W33" i="11" s="1"/>
  <c r="M9" i="12"/>
  <c r="M90" i="12" s="1"/>
  <c r="V59" i="11"/>
  <c r="W59" i="11" s="1"/>
  <c r="V57" i="11"/>
  <c r="W57" i="11" s="1"/>
  <c r="V58" i="11"/>
  <c r="W58" i="11" s="1"/>
  <c r="V55" i="11"/>
  <c r="W55" i="11" s="1"/>
  <c r="V56" i="11"/>
  <c r="W56" i="11" s="1"/>
  <c r="V53" i="11"/>
  <c r="W53" i="11" s="1"/>
  <c r="V54" i="11"/>
  <c r="W54" i="11" s="1"/>
  <c r="V51" i="11"/>
  <c r="W51" i="11" s="1"/>
  <c r="V47" i="11"/>
  <c r="W47" i="11" s="1"/>
  <c r="V50" i="11"/>
  <c r="W50" i="11" s="1"/>
  <c r="V45" i="11"/>
  <c r="W45" i="11" s="1"/>
  <c r="V46" i="11"/>
  <c r="W46" i="11" s="1"/>
  <c r="K9" i="12"/>
  <c r="V68" i="11" l="1"/>
  <c r="W68" i="11" s="1"/>
  <c r="F69" i="11"/>
  <c r="V69" i="11" s="1"/>
  <c r="W69" i="11" s="1"/>
  <c r="V65" i="11"/>
  <c r="W65" i="11" s="1"/>
  <c r="V34" i="11"/>
  <c r="W34" i="11" s="1"/>
  <c r="V63" i="11"/>
  <c r="W63" i="11" s="1"/>
  <c r="V64" i="11"/>
  <c r="W64" i="11" s="1"/>
  <c r="V61" i="11"/>
  <c r="W61" i="11" s="1"/>
  <c r="V62" i="11"/>
  <c r="W62" i="11" s="1"/>
  <c r="M13" i="12"/>
  <c r="M84" i="12" s="1"/>
  <c r="M86" i="12" s="1"/>
  <c r="V60" i="11"/>
  <c r="W60" i="11" s="1"/>
  <c r="R534" i="1"/>
  <c r="N531" i="1"/>
  <c r="F17" i="16" s="1"/>
  <c r="G7" i="22"/>
  <c r="G23" i="22" s="1"/>
  <c r="K23" i="22"/>
  <c r="K13" i="12"/>
  <c r="K84" i="12" s="1"/>
  <c r="K86" i="12" s="1"/>
  <c r="K90" i="12"/>
  <c r="K95" i="12" s="1"/>
  <c r="M23" i="22" l="1"/>
  <c r="K26" i="22"/>
  <c r="K30" i="22" s="1"/>
  <c r="J43" i="16"/>
  <c r="S43" i="16" s="1"/>
  <c r="J47" i="16"/>
  <c r="S47" i="16" s="1"/>
  <c r="F26" i="16"/>
  <c r="J44" i="16"/>
  <c r="J46" i="16"/>
  <c r="J45" i="16"/>
  <c r="V66" i="11"/>
  <c r="W66" i="11" s="1"/>
  <c r="V67" i="11"/>
  <c r="W67" i="11" s="1"/>
  <c r="H17" i="16"/>
  <c r="V35" i="11"/>
  <c r="W35" i="11" s="1"/>
  <c r="F17" i="13"/>
  <c r="H17" i="13" s="1"/>
  <c r="N533" i="1"/>
  <c r="F17" i="15"/>
  <c r="F50" i="15" s="1"/>
  <c r="V49" i="11"/>
  <c r="W49" i="11" s="1"/>
  <c r="F7" i="22"/>
  <c r="F23" i="22" s="1"/>
  <c r="L47" i="16" l="1"/>
  <c r="H12" i="15"/>
  <c r="H12" i="16"/>
  <c r="L43" i="16"/>
  <c r="L46" i="16"/>
  <c r="S46" i="16"/>
  <c r="L45" i="16"/>
  <c r="S45" i="16"/>
  <c r="L44" i="16"/>
  <c r="S44" i="16"/>
  <c r="P57" i="16"/>
  <c r="N57" i="16" s="1"/>
  <c r="P56" i="16"/>
  <c r="V37" i="11"/>
  <c r="W37" i="11" s="1"/>
  <c r="V36" i="11"/>
  <c r="W36" i="11" s="1"/>
  <c r="H12" i="13"/>
  <c r="V48" i="11"/>
  <c r="W48" i="11" s="1"/>
  <c r="N534" i="1"/>
  <c r="H17" i="15"/>
  <c r="H35" i="15" s="1"/>
  <c r="F35" i="15" s="1"/>
  <c r="G22" i="16"/>
  <c r="G32" i="16" s="1"/>
  <c r="G19" i="13"/>
  <c r="G22" i="13" s="1"/>
  <c r="P60" i="16" l="1"/>
  <c r="N60" i="16" s="1"/>
  <c r="P58" i="16"/>
  <c r="N56" i="16"/>
  <c r="C36" i="29"/>
  <c r="G34" i="16"/>
  <c r="G28" i="13"/>
  <c r="G29" i="13" s="1"/>
  <c r="G23" i="13"/>
  <c r="G32" i="13"/>
  <c r="G31" i="13"/>
  <c r="G22" i="15"/>
  <c r="G23" i="15"/>
  <c r="P59" i="16" l="1"/>
  <c r="N59" i="16" s="1"/>
  <c r="N58" i="16"/>
  <c r="G27" i="16"/>
  <c r="G30" i="16" s="1"/>
  <c r="H26" i="16"/>
  <c r="G24" i="15"/>
  <c r="G57" i="15" s="1"/>
  <c r="G39" i="13"/>
  <c r="G33" i="13"/>
  <c r="G34" i="13" s="1"/>
  <c r="G50" i="13" s="1"/>
  <c r="G28" i="16" l="1"/>
  <c r="G35" i="16" s="1"/>
  <c r="K51" i="16"/>
  <c r="G40" i="15"/>
  <c r="G45" i="15" s="1"/>
  <c r="G25" i="15"/>
  <c r="G32" i="15"/>
  <c r="G33" i="15" s="1"/>
  <c r="G51" i="15" l="1"/>
  <c r="G52" i="15"/>
  <c r="G53" i="15"/>
  <c r="G40" i="16"/>
  <c r="K52" i="16"/>
  <c r="O52" i="16" l="1"/>
  <c r="O65" i="16"/>
  <c r="G36" i="15"/>
  <c r="G37" i="15"/>
  <c r="G38" i="15" l="1"/>
  <c r="G47" i="15" l="1"/>
  <c r="V52" i="11"/>
  <c r="W52" i="11" s="1"/>
  <c r="F71" i="11"/>
  <c r="G56" i="15" l="1"/>
  <c r="G55" i="15"/>
  <c r="G49" i="15"/>
  <c r="V71" i="11"/>
  <c r="G58" i="15" l="1"/>
  <c r="G59" i="15" s="1"/>
  <c r="D36" i="29" l="1"/>
  <c r="E21" i="29"/>
  <c r="H22" i="29" l="1"/>
  <c r="G22" i="29"/>
  <c r="G36" i="29" s="1"/>
  <c r="G38" i="29" s="1"/>
  <c r="F21" i="29"/>
  <c r="F36" i="29" s="1"/>
  <c r="H36" i="29"/>
  <c r="E36" i="29"/>
  <c r="I39" i="29" s="1"/>
  <c r="I40" i="29" s="1"/>
  <c r="I37" i="29" l="1"/>
  <c r="I36" i="29"/>
  <c r="J36" i="29" s="1"/>
  <c r="F33" i="16"/>
  <c r="G40" i="29"/>
  <c r="H41" i="15" s="1"/>
  <c r="F41" i="15" l="1"/>
  <c r="H33" i="16"/>
  <c r="AC48" i="23" l="1"/>
  <c r="AC610" i="23" s="1"/>
  <c r="AB610" i="23" l="1"/>
  <c r="B5" i="36" l="1"/>
  <c r="D5" i="36"/>
  <c r="F5" i="36"/>
  <c r="H5" i="36"/>
  <c r="J5" i="36"/>
  <c r="L5" i="36"/>
  <c r="N5" i="36"/>
  <c r="P5" i="36"/>
  <c r="R5" i="36"/>
  <c r="T5" i="36"/>
  <c r="V5" i="36"/>
  <c r="X5" i="36"/>
  <c r="Z5" i="36"/>
  <c r="B6" i="36"/>
  <c r="D6" i="36"/>
  <c r="F6" i="36"/>
  <c r="H6" i="36"/>
  <c r="J6" i="36"/>
  <c r="L6" i="36"/>
  <c r="N6" i="36"/>
  <c r="P6" i="36"/>
  <c r="R6" i="36"/>
  <c r="T6" i="36"/>
  <c r="V6" i="36"/>
  <c r="X6" i="36"/>
  <c r="Z6" i="36"/>
  <c r="B7" i="36"/>
  <c r="D7" i="36"/>
  <c r="F7" i="36"/>
  <c r="H7" i="36"/>
  <c r="J7" i="36"/>
  <c r="L7" i="36"/>
  <c r="N7" i="36"/>
  <c r="P7" i="36"/>
  <c r="R7" i="36"/>
  <c r="T7" i="36"/>
  <c r="V7" i="36"/>
  <c r="X7" i="36"/>
  <c r="Z7" i="36"/>
  <c r="B8" i="36"/>
  <c r="D8" i="36"/>
  <c r="F8" i="36"/>
  <c r="H8" i="36"/>
  <c r="J8" i="36"/>
  <c r="L8" i="36"/>
  <c r="N8" i="36"/>
  <c r="P8" i="36"/>
  <c r="R8" i="36"/>
  <c r="T8" i="36"/>
  <c r="V8" i="36"/>
  <c r="X8" i="36"/>
  <c r="Z8" i="36"/>
  <c r="B9" i="36"/>
  <c r="D9" i="36"/>
  <c r="F9" i="36"/>
  <c r="H9" i="36"/>
  <c r="J9" i="36"/>
  <c r="L9" i="36"/>
  <c r="N9" i="36"/>
  <c r="P9" i="36"/>
  <c r="R9" i="36"/>
  <c r="T9" i="36"/>
  <c r="V9" i="36"/>
  <c r="X9" i="36"/>
  <c r="Z9" i="36"/>
  <c r="B10" i="36"/>
  <c r="D10" i="36"/>
  <c r="F10" i="36"/>
  <c r="H10" i="36"/>
  <c r="J10" i="36"/>
  <c r="L10" i="36"/>
  <c r="N10" i="36"/>
  <c r="P10" i="36"/>
  <c r="R10" i="36"/>
  <c r="T10" i="36"/>
  <c r="V10" i="36"/>
  <c r="X10" i="36"/>
  <c r="Z10" i="36"/>
  <c r="B11" i="36"/>
  <c r="D11" i="36"/>
  <c r="F11" i="36"/>
  <c r="H11" i="36"/>
  <c r="J11" i="36"/>
  <c r="L11" i="36"/>
  <c r="N11" i="36"/>
  <c r="P11" i="36"/>
  <c r="R11" i="36"/>
  <c r="T11" i="36"/>
  <c r="V11" i="36"/>
  <c r="X11" i="36"/>
  <c r="Z11" i="36"/>
  <c r="B12" i="36"/>
  <c r="D12" i="36"/>
  <c r="F12" i="36"/>
  <c r="H12" i="36"/>
  <c r="J12" i="36"/>
  <c r="L12" i="36"/>
  <c r="N12" i="36"/>
  <c r="P12" i="36"/>
  <c r="R12" i="36"/>
  <c r="T12" i="36"/>
  <c r="V12" i="36"/>
  <c r="X12" i="36"/>
  <c r="Z12" i="36"/>
  <c r="B13" i="36"/>
  <c r="D13" i="36"/>
  <c r="F13" i="36"/>
  <c r="H13" i="36"/>
  <c r="J13" i="36"/>
  <c r="L13" i="36"/>
  <c r="N13" i="36"/>
  <c r="P13" i="36"/>
  <c r="R13" i="36"/>
  <c r="T13" i="36"/>
  <c r="V13" i="36"/>
  <c r="X13" i="36"/>
  <c r="Z13" i="36"/>
  <c r="B14" i="36"/>
  <c r="D14" i="36"/>
  <c r="F14" i="36"/>
  <c r="H14" i="36"/>
  <c r="J14" i="36"/>
  <c r="L14" i="36"/>
  <c r="N14" i="36"/>
  <c r="P14" i="36"/>
  <c r="R14" i="36"/>
  <c r="T14" i="36"/>
  <c r="V14" i="36"/>
  <c r="X14" i="36"/>
  <c r="Z14" i="36"/>
  <c r="B15" i="36"/>
  <c r="D15" i="36"/>
  <c r="F15" i="36"/>
  <c r="H15" i="36"/>
  <c r="J15" i="36"/>
  <c r="L15" i="36"/>
  <c r="N15" i="36"/>
  <c r="P15" i="36"/>
  <c r="R15" i="36"/>
  <c r="T15" i="36"/>
  <c r="V15" i="36"/>
  <c r="X15" i="36"/>
  <c r="Z15" i="36"/>
  <c r="B16" i="36"/>
  <c r="D16" i="36"/>
  <c r="F16" i="36"/>
  <c r="H16" i="36"/>
  <c r="J16" i="36"/>
  <c r="L16" i="36"/>
  <c r="N16" i="36"/>
  <c r="P16" i="36"/>
  <c r="R16" i="36"/>
  <c r="T16" i="36"/>
  <c r="V16" i="36"/>
  <c r="X16" i="36"/>
  <c r="Z16" i="36"/>
  <c r="B17" i="36"/>
  <c r="D17" i="36"/>
  <c r="F17" i="36"/>
  <c r="H17" i="36"/>
  <c r="J17" i="36"/>
  <c r="L17" i="36"/>
  <c r="N17" i="36"/>
  <c r="P17" i="36"/>
  <c r="R17" i="36"/>
  <c r="T17" i="36"/>
  <c r="V17" i="36"/>
  <c r="X17" i="36"/>
  <c r="Z17" i="36"/>
  <c r="B18" i="36"/>
  <c r="D18" i="36"/>
  <c r="F18" i="36"/>
  <c r="H18" i="36"/>
  <c r="J18" i="36"/>
  <c r="L18" i="36"/>
  <c r="N18" i="36"/>
  <c r="P18" i="36"/>
  <c r="R18" i="36"/>
  <c r="T18" i="36"/>
  <c r="V18" i="36"/>
  <c r="X18" i="36"/>
  <c r="Z18" i="36"/>
  <c r="B19" i="36"/>
  <c r="D19" i="36"/>
  <c r="F19" i="36"/>
  <c r="H19" i="36"/>
  <c r="J19" i="36"/>
  <c r="L19" i="36"/>
  <c r="N19" i="36"/>
  <c r="P19" i="36"/>
  <c r="R19" i="36"/>
  <c r="T19" i="36"/>
  <c r="V19" i="36"/>
  <c r="X19" i="36"/>
  <c r="Z19" i="36"/>
  <c r="B20" i="36"/>
  <c r="D20" i="36"/>
  <c r="F20" i="36"/>
  <c r="H20" i="36"/>
  <c r="J20" i="36"/>
  <c r="L20" i="36"/>
  <c r="N20" i="36"/>
  <c r="P20" i="36"/>
  <c r="R20" i="36"/>
  <c r="T20" i="36"/>
  <c r="V20" i="36"/>
  <c r="X20" i="36"/>
  <c r="Z20" i="36"/>
  <c r="B21" i="36"/>
  <c r="D21" i="36"/>
  <c r="F21" i="36"/>
  <c r="H21" i="36"/>
  <c r="J21" i="36"/>
  <c r="L21" i="36"/>
  <c r="N21" i="36"/>
  <c r="P21" i="36"/>
  <c r="R21" i="36"/>
  <c r="T21" i="36"/>
  <c r="V21" i="36"/>
  <c r="X21" i="36"/>
  <c r="Z21" i="36"/>
  <c r="B22" i="36"/>
  <c r="D22" i="36"/>
  <c r="F22" i="36"/>
  <c r="H22" i="36"/>
  <c r="J22" i="36"/>
  <c r="L22" i="36"/>
  <c r="N22" i="36"/>
  <c r="P22" i="36"/>
  <c r="R22" i="36"/>
  <c r="T22" i="36"/>
  <c r="V22" i="36"/>
  <c r="X22" i="36"/>
  <c r="Z22" i="36"/>
  <c r="B23" i="36"/>
  <c r="D23" i="36"/>
  <c r="F23" i="36"/>
  <c r="H23" i="36"/>
  <c r="J23" i="36"/>
  <c r="L23" i="36"/>
  <c r="N23" i="36"/>
  <c r="P23" i="36"/>
  <c r="R23" i="36"/>
  <c r="T23" i="36"/>
  <c r="V23" i="36"/>
  <c r="X23" i="36"/>
  <c r="Z23" i="36"/>
  <c r="B24" i="36"/>
  <c r="D24" i="36"/>
  <c r="F24" i="36"/>
  <c r="H24" i="36"/>
  <c r="J24" i="36"/>
  <c r="L24" i="36"/>
  <c r="N24" i="36"/>
  <c r="P24" i="36"/>
  <c r="R24" i="36"/>
  <c r="T24" i="36"/>
  <c r="V24" i="36"/>
  <c r="X24" i="36"/>
  <c r="Z24" i="36"/>
  <c r="B25" i="36"/>
  <c r="D25" i="36"/>
  <c r="F25" i="36"/>
  <c r="H25" i="36"/>
  <c r="J25" i="36"/>
  <c r="L25" i="36"/>
  <c r="N25" i="36"/>
  <c r="P25" i="36"/>
  <c r="R25" i="36"/>
  <c r="T25" i="36"/>
  <c r="V25" i="36"/>
  <c r="X25" i="36"/>
  <c r="Z25" i="36"/>
  <c r="B26" i="36"/>
  <c r="D26" i="36"/>
  <c r="F26" i="36"/>
  <c r="H26" i="36"/>
  <c r="J26" i="36"/>
  <c r="L26" i="36"/>
  <c r="N26" i="36"/>
  <c r="P26" i="36"/>
  <c r="R26" i="36"/>
  <c r="T26" i="36"/>
  <c r="V26" i="36"/>
  <c r="X26" i="36"/>
  <c r="Z26" i="36"/>
  <c r="B27" i="36"/>
  <c r="D27" i="36"/>
  <c r="F27" i="36"/>
  <c r="H27" i="36"/>
  <c r="J27" i="36"/>
  <c r="L27" i="36"/>
  <c r="N27" i="36"/>
  <c r="P27" i="36"/>
  <c r="R27" i="36"/>
  <c r="T27" i="36"/>
  <c r="V27" i="36"/>
  <c r="X27" i="36"/>
  <c r="Z27" i="36"/>
  <c r="B28" i="36"/>
  <c r="D28" i="36"/>
  <c r="F28" i="36"/>
  <c r="H28" i="36"/>
  <c r="J28" i="36"/>
  <c r="L28" i="36"/>
  <c r="N28" i="36"/>
  <c r="P28" i="36"/>
  <c r="R28" i="36"/>
  <c r="T28" i="36"/>
  <c r="V28" i="36"/>
  <c r="X28" i="36"/>
  <c r="Z28" i="36"/>
  <c r="B29" i="36"/>
  <c r="D29" i="36"/>
  <c r="F29" i="36"/>
  <c r="H29" i="36"/>
  <c r="J29" i="36"/>
  <c r="L29" i="36"/>
  <c r="N29" i="36"/>
  <c r="P29" i="36"/>
  <c r="R29" i="36"/>
  <c r="T29" i="36"/>
  <c r="V29" i="36"/>
  <c r="X29" i="36"/>
  <c r="Z29" i="36"/>
  <c r="B30" i="36"/>
  <c r="D30" i="36"/>
  <c r="F30" i="36"/>
  <c r="H30" i="36"/>
  <c r="J30" i="36"/>
  <c r="L30" i="36"/>
  <c r="N30" i="36"/>
  <c r="P30" i="36"/>
  <c r="R30" i="36"/>
  <c r="T30" i="36"/>
  <c r="V30" i="36"/>
  <c r="X30" i="36"/>
  <c r="Z30" i="36"/>
  <c r="B31" i="36"/>
  <c r="D31" i="36"/>
  <c r="F31" i="36"/>
  <c r="H31" i="36"/>
  <c r="J31" i="36"/>
  <c r="L31" i="36"/>
  <c r="N31" i="36"/>
  <c r="P31" i="36"/>
  <c r="R31" i="36"/>
  <c r="T31" i="36"/>
  <c r="V31" i="36"/>
  <c r="X31" i="36"/>
  <c r="Z31" i="36"/>
  <c r="B32" i="36"/>
  <c r="D32" i="36"/>
  <c r="F32" i="36"/>
  <c r="H32" i="36"/>
  <c r="J32" i="36"/>
  <c r="L32" i="36"/>
  <c r="N32" i="36"/>
  <c r="P32" i="36"/>
  <c r="R32" i="36"/>
  <c r="T32" i="36"/>
  <c r="V32" i="36"/>
  <c r="X32" i="36"/>
  <c r="Z32" i="36"/>
  <c r="B33" i="36"/>
  <c r="D33" i="36"/>
  <c r="F33" i="36"/>
  <c r="H33" i="36"/>
  <c r="J33" i="36"/>
  <c r="L33" i="36"/>
  <c r="N33" i="36"/>
  <c r="P33" i="36"/>
  <c r="R33" i="36"/>
  <c r="T33" i="36"/>
  <c r="V33" i="36"/>
  <c r="X33" i="36"/>
  <c r="Z33" i="36"/>
  <c r="B34" i="36"/>
  <c r="D34" i="36"/>
  <c r="F34" i="36"/>
  <c r="H34" i="36"/>
  <c r="J34" i="36"/>
  <c r="L34" i="36"/>
  <c r="N34" i="36"/>
  <c r="P34" i="36"/>
  <c r="R34" i="36"/>
  <c r="T34" i="36"/>
  <c r="V34" i="36"/>
  <c r="X34" i="36"/>
  <c r="Z34" i="36"/>
  <c r="B35" i="36"/>
  <c r="D35" i="36"/>
  <c r="F35" i="36"/>
  <c r="H35" i="36"/>
  <c r="J35" i="36"/>
  <c r="L35" i="36"/>
  <c r="N35" i="36"/>
  <c r="P35" i="36"/>
  <c r="R35" i="36"/>
  <c r="T35" i="36"/>
  <c r="V35" i="36"/>
  <c r="X35" i="36"/>
  <c r="Z35" i="36"/>
  <c r="B36" i="36"/>
  <c r="D36" i="36"/>
  <c r="F36" i="36"/>
  <c r="H36" i="36"/>
  <c r="J36" i="36"/>
  <c r="L36" i="36"/>
  <c r="N36" i="36"/>
  <c r="P36" i="36"/>
  <c r="R36" i="36"/>
  <c r="T36" i="36"/>
  <c r="V36" i="36"/>
  <c r="X36" i="36"/>
  <c r="Z36" i="36"/>
  <c r="B37" i="36"/>
  <c r="D37" i="36"/>
  <c r="F37" i="36"/>
  <c r="H37" i="36"/>
  <c r="J37" i="36"/>
  <c r="L37" i="36"/>
  <c r="N37" i="36"/>
  <c r="P37" i="36"/>
  <c r="R37" i="36"/>
  <c r="T37" i="36"/>
  <c r="V37" i="36"/>
  <c r="X37" i="36"/>
  <c r="Z37" i="36"/>
  <c r="B38" i="36"/>
  <c r="D38" i="36"/>
  <c r="F38" i="36"/>
  <c r="H38" i="36"/>
  <c r="J38" i="36"/>
  <c r="L38" i="36"/>
  <c r="N38" i="36"/>
  <c r="P38" i="36"/>
  <c r="R38" i="36"/>
  <c r="T38" i="36"/>
  <c r="V38" i="36"/>
  <c r="X38" i="36"/>
  <c r="Z38" i="36"/>
  <c r="B39" i="36"/>
  <c r="D39" i="36"/>
  <c r="F39" i="36"/>
  <c r="H39" i="36"/>
  <c r="J39" i="36"/>
  <c r="L39" i="36"/>
  <c r="N39" i="36"/>
  <c r="P39" i="36"/>
  <c r="R39" i="36"/>
  <c r="T39" i="36"/>
  <c r="V39" i="36"/>
  <c r="X39" i="36"/>
  <c r="Z39" i="36"/>
  <c r="B40" i="36"/>
  <c r="D40" i="36"/>
  <c r="F40" i="36"/>
  <c r="H40" i="36"/>
  <c r="J40" i="36"/>
  <c r="L40" i="36"/>
  <c r="N40" i="36"/>
  <c r="P40" i="36"/>
  <c r="R40" i="36"/>
  <c r="T40" i="36"/>
  <c r="V40" i="36"/>
  <c r="X40" i="36"/>
  <c r="Z40" i="36"/>
  <c r="B41" i="36"/>
  <c r="D41" i="36"/>
  <c r="F41" i="36"/>
  <c r="H41" i="36"/>
  <c r="J41" i="36"/>
  <c r="L41" i="36"/>
  <c r="N41" i="36"/>
  <c r="P41" i="36"/>
  <c r="R41" i="36"/>
  <c r="T41" i="36"/>
  <c r="V41" i="36"/>
  <c r="X41" i="36"/>
  <c r="Z41" i="36"/>
  <c r="B42" i="36"/>
  <c r="D42" i="36"/>
  <c r="F42" i="36"/>
  <c r="H42" i="36"/>
  <c r="J42" i="36"/>
  <c r="L42" i="36"/>
  <c r="N42" i="36"/>
  <c r="P42" i="36"/>
  <c r="R42" i="36"/>
  <c r="T42" i="36"/>
  <c r="V42" i="36"/>
  <c r="X42" i="36"/>
  <c r="Z42" i="36"/>
  <c r="B43" i="36"/>
  <c r="D43" i="36"/>
  <c r="F43" i="36"/>
  <c r="H43" i="36"/>
  <c r="J43" i="36"/>
  <c r="L43" i="36"/>
  <c r="N43" i="36"/>
  <c r="P43" i="36"/>
  <c r="R43" i="36"/>
  <c r="T43" i="36"/>
  <c r="V43" i="36"/>
  <c r="X43" i="36"/>
  <c r="Z43" i="36"/>
  <c r="B44" i="36"/>
  <c r="D44" i="36"/>
  <c r="F44" i="36"/>
  <c r="H44" i="36"/>
  <c r="J44" i="36"/>
  <c r="L44" i="36"/>
  <c r="N44" i="36"/>
  <c r="P44" i="36"/>
  <c r="R44" i="36"/>
  <c r="T44" i="36"/>
  <c r="V44" i="36"/>
  <c r="X44" i="36"/>
  <c r="Z44" i="36"/>
  <c r="B45" i="36"/>
  <c r="D45" i="36"/>
  <c r="F45" i="36"/>
  <c r="H45" i="36"/>
  <c r="J45" i="36"/>
  <c r="L45" i="36"/>
  <c r="N45" i="36"/>
  <c r="P45" i="36"/>
  <c r="R45" i="36"/>
  <c r="T45" i="36"/>
  <c r="V45" i="36"/>
  <c r="X45" i="36"/>
  <c r="Z45" i="36"/>
  <c r="D46" i="36"/>
  <c r="F46" i="36"/>
  <c r="L46" i="36"/>
  <c r="N46" i="36"/>
  <c r="T46" i="36"/>
  <c r="V46" i="36"/>
  <c r="D47" i="36"/>
  <c r="F47" i="36"/>
  <c r="L47" i="36"/>
  <c r="N47" i="36"/>
  <c r="T47" i="36"/>
  <c r="V47" i="36"/>
  <c r="D48" i="36"/>
  <c r="F48" i="36"/>
  <c r="L48" i="36"/>
  <c r="N48" i="36"/>
  <c r="T48" i="36"/>
  <c r="V48" i="36"/>
  <c r="D49" i="36"/>
  <c r="F49" i="36"/>
  <c r="L49" i="36"/>
  <c r="N49" i="36"/>
  <c r="T49" i="36"/>
  <c r="V49" i="36"/>
  <c r="D50" i="36"/>
  <c r="F50" i="36"/>
  <c r="L50" i="36"/>
  <c r="N50" i="36"/>
  <c r="T50" i="36"/>
  <c r="V50" i="36"/>
  <c r="D51" i="36"/>
  <c r="F51" i="36"/>
  <c r="L51" i="36"/>
  <c r="N51" i="36"/>
  <c r="T51" i="36"/>
  <c r="V51" i="36"/>
  <c r="D52" i="36"/>
  <c r="F52" i="36"/>
  <c r="L52" i="36"/>
  <c r="N52" i="36"/>
  <c r="T52" i="36"/>
  <c r="V52" i="36"/>
  <c r="D53" i="36"/>
  <c r="F53" i="36"/>
  <c r="L53" i="36"/>
  <c r="N53" i="36"/>
  <c r="T53" i="36"/>
  <c r="V53" i="36"/>
  <c r="D54" i="36"/>
  <c r="F54" i="36"/>
  <c r="L54" i="36"/>
  <c r="N54" i="36"/>
  <c r="T54" i="36"/>
  <c r="V54" i="36"/>
  <c r="D55" i="36"/>
  <c r="F55" i="36"/>
  <c r="L55" i="36"/>
  <c r="N55" i="36"/>
  <c r="T55" i="36"/>
  <c r="V55" i="36"/>
  <c r="D56" i="36"/>
  <c r="F56" i="36"/>
  <c r="L56" i="36"/>
  <c r="N56" i="36"/>
  <c r="T56" i="36"/>
  <c r="V56" i="36"/>
  <c r="B64" i="36"/>
  <c r="D64" i="36"/>
  <c r="F64" i="36"/>
  <c r="H64" i="36"/>
  <c r="J64" i="36"/>
  <c r="L64" i="36"/>
  <c r="N64" i="36"/>
  <c r="P64" i="36"/>
  <c r="R64" i="36"/>
  <c r="T64" i="36"/>
  <c r="V64" i="36"/>
  <c r="B65" i="36"/>
  <c r="D65" i="36"/>
  <c r="F65" i="36"/>
  <c r="H65" i="36"/>
  <c r="J65" i="36"/>
  <c r="L65" i="36"/>
  <c r="N65" i="36"/>
  <c r="P65" i="36"/>
  <c r="R65" i="36"/>
  <c r="T65" i="36"/>
  <c r="V65" i="36"/>
  <c r="B66" i="36"/>
  <c r="D66" i="36"/>
  <c r="F66" i="36"/>
  <c r="H66" i="36"/>
  <c r="J66" i="36"/>
  <c r="L66" i="36"/>
  <c r="N66" i="36"/>
  <c r="P66" i="36"/>
  <c r="R66" i="36"/>
  <c r="T66" i="36"/>
  <c r="V66" i="36"/>
  <c r="B67" i="36"/>
  <c r="D67" i="36"/>
  <c r="F67" i="36"/>
  <c r="H67" i="36"/>
  <c r="J67" i="36"/>
  <c r="L67" i="36"/>
  <c r="N67" i="36"/>
  <c r="P67" i="36"/>
  <c r="R67" i="36"/>
  <c r="T67" i="36"/>
  <c r="V67" i="36"/>
  <c r="B68" i="36"/>
  <c r="D68" i="36"/>
  <c r="F68" i="36"/>
  <c r="H68" i="36"/>
  <c r="J68" i="36"/>
  <c r="L68" i="36"/>
  <c r="N68" i="36"/>
  <c r="P68" i="36"/>
  <c r="R68" i="36"/>
  <c r="T68" i="36"/>
  <c r="V68" i="36"/>
  <c r="B69" i="36"/>
  <c r="D69" i="36"/>
  <c r="F69" i="36"/>
  <c r="H69" i="36"/>
  <c r="J69" i="36"/>
  <c r="L69" i="36"/>
  <c r="N69" i="36"/>
  <c r="P69" i="36"/>
  <c r="R69" i="36"/>
  <c r="T69" i="36"/>
  <c r="V69" i="36"/>
  <c r="B70" i="36"/>
  <c r="D70" i="36"/>
  <c r="F70" i="36"/>
  <c r="H70" i="36"/>
  <c r="J70" i="36"/>
  <c r="L70" i="36"/>
  <c r="N70" i="36"/>
  <c r="P70" i="36"/>
  <c r="R70" i="36"/>
  <c r="T70" i="36"/>
  <c r="V70" i="36"/>
  <c r="B71" i="36"/>
  <c r="D71" i="36"/>
  <c r="F71" i="36"/>
  <c r="H71" i="36"/>
  <c r="J71" i="36"/>
  <c r="L71" i="36"/>
  <c r="N71" i="36"/>
  <c r="P71" i="36"/>
  <c r="R71" i="36"/>
  <c r="T71" i="36"/>
  <c r="V71" i="36"/>
  <c r="B72" i="36"/>
  <c r="D72" i="36"/>
  <c r="F72" i="36"/>
  <c r="H72" i="36"/>
  <c r="J72" i="36"/>
  <c r="L72" i="36"/>
  <c r="N72" i="36"/>
  <c r="P72" i="36"/>
  <c r="R72" i="36"/>
  <c r="T72" i="36"/>
  <c r="V72" i="36"/>
  <c r="B73" i="36"/>
  <c r="D73" i="36"/>
  <c r="F73" i="36"/>
  <c r="H73" i="36"/>
  <c r="J73" i="36"/>
  <c r="L73" i="36"/>
  <c r="N73" i="36"/>
  <c r="P73" i="36"/>
  <c r="R73" i="36"/>
  <c r="T73" i="36"/>
  <c r="V73" i="36"/>
  <c r="B74" i="36"/>
  <c r="D74" i="36"/>
  <c r="F74" i="36"/>
  <c r="H74" i="36"/>
  <c r="J74" i="36"/>
  <c r="L74" i="36"/>
  <c r="N74" i="36"/>
  <c r="P74" i="36"/>
  <c r="R74" i="36"/>
  <c r="T74" i="36"/>
  <c r="V74" i="36"/>
  <c r="B75" i="36"/>
  <c r="D75" i="36"/>
  <c r="F75" i="36"/>
  <c r="H75" i="36"/>
  <c r="J75" i="36"/>
  <c r="L75" i="36"/>
  <c r="N75" i="36"/>
  <c r="P75" i="36"/>
  <c r="R75" i="36"/>
  <c r="T75" i="36"/>
  <c r="V75" i="36"/>
  <c r="B76" i="36"/>
  <c r="D76" i="36"/>
  <c r="F76" i="36"/>
  <c r="H76" i="36"/>
  <c r="J76" i="36"/>
  <c r="L76" i="36"/>
  <c r="N76" i="36"/>
  <c r="P76" i="36"/>
  <c r="R76" i="36"/>
  <c r="T76" i="36"/>
  <c r="V76" i="36"/>
  <c r="B77" i="36"/>
  <c r="D77" i="36"/>
  <c r="F77" i="36"/>
  <c r="H77" i="36"/>
  <c r="J77" i="36"/>
  <c r="L77" i="36"/>
  <c r="N77" i="36"/>
  <c r="P77" i="36"/>
  <c r="R77" i="36"/>
  <c r="T77" i="36"/>
  <c r="V77" i="36"/>
  <c r="B78" i="36"/>
  <c r="D78" i="36"/>
  <c r="F78" i="36"/>
  <c r="H78" i="36"/>
  <c r="J78" i="36"/>
  <c r="L78" i="36"/>
  <c r="N78" i="36"/>
  <c r="P78" i="36"/>
  <c r="R78" i="36"/>
  <c r="T78" i="36"/>
  <c r="V78" i="36"/>
  <c r="B79" i="36"/>
  <c r="D79" i="36"/>
  <c r="F79" i="36"/>
  <c r="H79" i="36"/>
  <c r="J79" i="36"/>
  <c r="L79" i="36"/>
  <c r="N79" i="36"/>
  <c r="P79" i="36"/>
  <c r="R79" i="36"/>
  <c r="T79" i="36"/>
  <c r="V79" i="36"/>
  <c r="B80" i="36"/>
  <c r="D80" i="36"/>
  <c r="F80" i="36"/>
  <c r="H80" i="36"/>
  <c r="J80" i="36"/>
  <c r="L80" i="36"/>
  <c r="N80" i="36"/>
  <c r="P80" i="36"/>
  <c r="R80" i="36"/>
  <c r="T80" i="36"/>
  <c r="V80" i="36"/>
  <c r="B81" i="36"/>
  <c r="D81" i="36"/>
  <c r="F81" i="36"/>
  <c r="H81" i="36"/>
  <c r="J81" i="36"/>
  <c r="L81" i="36"/>
  <c r="N81" i="36"/>
  <c r="P81" i="36"/>
  <c r="R81" i="36"/>
  <c r="T81" i="36"/>
  <c r="V81" i="36"/>
  <c r="B82" i="36"/>
  <c r="D82" i="36"/>
  <c r="F82" i="36"/>
  <c r="H82" i="36"/>
  <c r="J82" i="36"/>
  <c r="L82" i="36"/>
  <c r="N82" i="36"/>
  <c r="P82" i="36"/>
  <c r="R82" i="36"/>
  <c r="T82" i="36"/>
  <c r="V82" i="36"/>
  <c r="B83" i="36"/>
  <c r="D83" i="36"/>
  <c r="F83" i="36"/>
  <c r="H83" i="36"/>
  <c r="J83" i="36"/>
  <c r="L83" i="36"/>
  <c r="N83" i="36"/>
  <c r="P83" i="36"/>
  <c r="R83" i="36"/>
  <c r="T83" i="36"/>
  <c r="V83" i="36"/>
  <c r="B84" i="36"/>
  <c r="D84" i="36"/>
  <c r="F84" i="36"/>
  <c r="H84" i="36"/>
  <c r="J84" i="36"/>
  <c r="L84" i="36"/>
  <c r="N84" i="36"/>
  <c r="P84" i="36"/>
  <c r="R84" i="36"/>
  <c r="T84" i="36"/>
  <c r="V84" i="36"/>
  <c r="B85" i="36"/>
  <c r="D85" i="36"/>
  <c r="F85" i="36"/>
  <c r="H85" i="36"/>
  <c r="J85" i="36"/>
  <c r="L85" i="36"/>
  <c r="N85" i="36"/>
  <c r="P85" i="36"/>
  <c r="R85" i="36"/>
  <c r="T85" i="36"/>
  <c r="V85" i="36"/>
  <c r="B86" i="36"/>
  <c r="D86" i="36"/>
  <c r="F86" i="36"/>
  <c r="H86" i="36"/>
  <c r="J86" i="36"/>
  <c r="L86" i="36"/>
  <c r="N86" i="36"/>
  <c r="P86" i="36"/>
  <c r="R86" i="36"/>
  <c r="T86" i="36"/>
  <c r="V86" i="36"/>
  <c r="B87" i="36"/>
  <c r="D87" i="36"/>
  <c r="F87" i="36"/>
  <c r="H87" i="36"/>
  <c r="J87" i="36"/>
  <c r="L87" i="36"/>
  <c r="N87" i="36"/>
  <c r="P87" i="36"/>
  <c r="R87" i="36"/>
  <c r="T87" i="36"/>
  <c r="V87" i="36"/>
  <c r="B88" i="36"/>
  <c r="D88" i="36"/>
  <c r="F88" i="36"/>
  <c r="H88" i="36"/>
  <c r="J88" i="36"/>
  <c r="L88" i="36"/>
  <c r="N88" i="36"/>
  <c r="P88" i="36"/>
  <c r="R88" i="36"/>
  <c r="T88" i="36"/>
  <c r="V88" i="36"/>
  <c r="B89" i="36"/>
  <c r="D89" i="36"/>
  <c r="F89" i="36"/>
  <c r="H89" i="36"/>
  <c r="J89" i="36"/>
  <c r="L89" i="36"/>
  <c r="N89" i="36"/>
  <c r="P89" i="36"/>
  <c r="R89" i="36"/>
  <c r="T89" i="36"/>
  <c r="V89" i="36"/>
  <c r="B90" i="36"/>
  <c r="D90" i="36"/>
  <c r="F90" i="36"/>
  <c r="H90" i="36"/>
  <c r="J90" i="36"/>
  <c r="L90" i="36"/>
  <c r="N90" i="36"/>
  <c r="P90" i="36"/>
  <c r="R90" i="36"/>
  <c r="T90" i="36"/>
  <c r="V90" i="36"/>
  <c r="B91" i="36"/>
  <c r="D91" i="36"/>
  <c r="F91" i="36"/>
  <c r="H91" i="36"/>
  <c r="J91" i="36"/>
  <c r="L91" i="36"/>
  <c r="N91" i="36"/>
  <c r="P91" i="36"/>
  <c r="R91" i="36"/>
  <c r="T91" i="36"/>
  <c r="V91" i="36"/>
  <c r="B92" i="36"/>
  <c r="D92" i="36"/>
  <c r="F92" i="36"/>
  <c r="H92" i="36"/>
  <c r="J92" i="36"/>
  <c r="L92" i="36"/>
  <c r="N92" i="36"/>
  <c r="P92" i="36"/>
  <c r="R92" i="36"/>
  <c r="T92" i="36"/>
  <c r="V92" i="36"/>
  <c r="B93" i="36"/>
  <c r="D93" i="36"/>
  <c r="F93" i="36"/>
  <c r="H93" i="36"/>
  <c r="J93" i="36"/>
  <c r="L93" i="36"/>
  <c r="N93" i="36"/>
  <c r="P93" i="36"/>
  <c r="R93" i="36"/>
  <c r="T93" i="36"/>
  <c r="V93" i="36"/>
  <c r="B94" i="36"/>
  <c r="D94" i="36"/>
  <c r="F94" i="36"/>
  <c r="H94" i="36"/>
  <c r="J94" i="36"/>
  <c r="L94" i="36"/>
  <c r="N94" i="36"/>
  <c r="P94" i="36"/>
  <c r="R94" i="36"/>
  <c r="T94" i="36"/>
  <c r="V94" i="36"/>
  <c r="B95" i="36"/>
  <c r="D95" i="36"/>
  <c r="F95" i="36"/>
  <c r="H95" i="36"/>
  <c r="J95" i="36"/>
  <c r="L95" i="36"/>
  <c r="N95" i="36"/>
  <c r="P95" i="36"/>
  <c r="R95" i="36"/>
  <c r="T95" i="36"/>
  <c r="V95" i="36"/>
  <c r="B96" i="36"/>
  <c r="D96" i="36"/>
  <c r="F96" i="36"/>
  <c r="H96" i="36"/>
  <c r="J96" i="36"/>
  <c r="L96" i="36"/>
  <c r="N96" i="36"/>
  <c r="P96" i="36"/>
  <c r="R96" i="36"/>
  <c r="T96" i="36"/>
  <c r="V96" i="36"/>
  <c r="B97" i="36"/>
  <c r="D97" i="36"/>
  <c r="F97" i="36"/>
  <c r="H97" i="36"/>
  <c r="J97" i="36"/>
  <c r="L97" i="36"/>
  <c r="N97" i="36"/>
  <c r="P97" i="36"/>
  <c r="R97" i="36"/>
  <c r="T97" i="36"/>
  <c r="V97" i="36"/>
  <c r="B98" i="36"/>
  <c r="D98" i="36"/>
  <c r="F98" i="36"/>
  <c r="H98" i="36"/>
  <c r="J98" i="36"/>
  <c r="L98" i="36"/>
  <c r="N98" i="36"/>
  <c r="P98" i="36"/>
  <c r="R98" i="36"/>
  <c r="T98" i="36"/>
  <c r="V98" i="36"/>
  <c r="B99" i="36"/>
  <c r="D99" i="36"/>
  <c r="F99" i="36"/>
  <c r="H99" i="36"/>
  <c r="J99" i="36"/>
  <c r="L99" i="36"/>
  <c r="N99" i="36"/>
  <c r="P99" i="36"/>
  <c r="R99" i="36"/>
  <c r="T99" i="36"/>
  <c r="V99" i="36"/>
  <c r="B100" i="36"/>
  <c r="D100" i="36"/>
  <c r="F100" i="36"/>
  <c r="H100" i="36"/>
  <c r="J100" i="36"/>
  <c r="L100" i="36"/>
  <c r="N100" i="36"/>
  <c r="P100" i="36"/>
  <c r="R100" i="36"/>
  <c r="T100" i="36"/>
  <c r="V100" i="36"/>
  <c r="B101" i="36"/>
  <c r="D101" i="36"/>
  <c r="F101" i="36"/>
  <c r="H101" i="36"/>
  <c r="J101" i="36"/>
  <c r="L101" i="36"/>
  <c r="N101" i="36"/>
  <c r="P101" i="36"/>
  <c r="R101" i="36"/>
  <c r="T101" i="36"/>
  <c r="V101" i="36"/>
  <c r="B102" i="36"/>
  <c r="D102" i="36"/>
  <c r="F102" i="36"/>
  <c r="H102" i="36"/>
  <c r="J102" i="36"/>
  <c r="L102" i="36"/>
  <c r="N102" i="36"/>
  <c r="P102" i="36"/>
  <c r="R102" i="36"/>
  <c r="T102" i="36"/>
  <c r="V102" i="36"/>
  <c r="B103" i="36"/>
  <c r="D103" i="36"/>
  <c r="F103" i="36"/>
  <c r="H103" i="36"/>
  <c r="J103" i="36"/>
  <c r="L103" i="36"/>
  <c r="N103" i="36"/>
  <c r="P103" i="36"/>
  <c r="R103" i="36"/>
  <c r="T103" i="36"/>
  <c r="V103" i="36"/>
  <c r="B104" i="36"/>
  <c r="D104" i="36"/>
  <c r="F104" i="36"/>
  <c r="H104" i="36"/>
  <c r="J104" i="36"/>
  <c r="L104" i="36"/>
  <c r="N104" i="36"/>
  <c r="P104" i="36"/>
  <c r="R104" i="36"/>
  <c r="T104" i="36"/>
  <c r="V104" i="36"/>
  <c r="B105" i="36"/>
  <c r="D105" i="36"/>
  <c r="J105" i="36"/>
  <c r="L105" i="36"/>
  <c r="R105" i="36"/>
  <c r="T105" i="36"/>
  <c r="B106" i="36"/>
  <c r="D106" i="36"/>
  <c r="J106" i="36"/>
  <c r="L106" i="36"/>
  <c r="R106" i="36"/>
  <c r="T106" i="36"/>
  <c r="B107" i="36"/>
  <c r="D107" i="36"/>
  <c r="J107" i="36"/>
  <c r="L107" i="36"/>
  <c r="R107" i="36"/>
  <c r="T107" i="36"/>
  <c r="B108" i="36"/>
  <c r="D108" i="36"/>
  <c r="J108" i="36"/>
  <c r="L108" i="36"/>
  <c r="R108" i="36"/>
  <c r="T108" i="36"/>
  <c r="B109" i="36"/>
  <c r="D109" i="36"/>
  <c r="J109" i="36"/>
  <c r="L109" i="36"/>
  <c r="R109" i="36"/>
  <c r="T109" i="36"/>
  <c r="B110" i="36"/>
  <c r="D110" i="36"/>
  <c r="J110" i="36"/>
  <c r="L110" i="36"/>
  <c r="R110" i="36"/>
  <c r="T110" i="36"/>
  <c r="B111" i="36"/>
  <c r="D111" i="36"/>
  <c r="J111" i="36"/>
  <c r="L111" i="36"/>
  <c r="R111" i="36"/>
  <c r="T111" i="36"/>
  <c r="B112" i="36"/>
  <c r="D112" i="36"/>
  <c r="J112" i="36"/>
  <c r="L112" i="36"/>
  <c r="R112" i="36"/>
  <c r="T112" i="36"/>
  <c r="B113" i="36"/>
  <c r="D113" i="36"/>
  <c r="J113" i="36"/>
  <c r="L113" i="36"/>
  <c r="R113" i="36"/>
  <c r="T113" i="36"/>
  <c r="B114" i="36"/>
  <c r="D114" i="36"/>
  <c r="J114" i="36"/>
  <c r="L114" i="36"/>
  <c r="R114" i="36"/>
  <c r="T114" i="36"/>
  <c r="B115" i="36"/>
  <c r="D115" i="36"/>
  <c r="J115" i="36"/>
  <c r="L115" i="36"/>
  <c r="R115" i="36"/>
  <c r="T115" i="36"/>
  <c r="P117" i="36" l="1"/>
  <c r="T117" i="36"/>
  <c r="R117" i="36"/>
  <c r="X58" i="36"/>
  <c r="F58" i="36"/>
  <c r="H58" i="36"/>
  <c r="N58" i="36"/>
  <c r="F117" i="36"/>
  <c r="D117" i="36"/>
  <c r="X113" i="36"/>
  <c r="B117" i="36"/>
  <c r="H117" i="36"/>
  <c r="T116" i="36"/>
  <c r="X98" i="36"/>
  <c r="P116" i="36"/>
  <c r="D58" i="36"/>
  <c r="P58" i="36"/>
  <c r="T58" i="36"/>
  <c r="Z57" i="36"/>
  <c r="X102" i="36"/>
  <c r="X90" i="36"/>
  <c r="H116" i="36"/>
  <c r="X78" i="36"/>
  <c r="N117" i="36"/>
  <c r="L117" i="36"/>
  <c r="J117" i="36"/>
  <c r="F116" i="36"/>
  <c r="X66" i="36"/>
  <c r="X95" i="36"/>
  <c r="X83" i="36"/>
  <c r="X71" i="36"/>
  <c r="T57" i="36"/>
  <c r="V57" i="36"/>
  <c r="Z58" i="36"/>
  <c r="D57" i="36"/>
  <c r="F57" i="36"/>
  <c r="J57" i="36"/>
  <c r="P57" i="36"/>
  <c r="R57" i="36"/>
  <c r="N116" i="36"/>
  <c r="D116" i="36"/>
  <c r="X96" i="36"/>
  <c r="X84" i="36"/>
  <c r="X115" i="36"/>
  <c r="L57" i="36"/>
  <c r="N57" i="36"/>
  <c r="X112" i="36"/>
  <c r="X72" i="36"/>
  <c r="X97" i="36"/>
  <c r="R116" i="36"/>
  <c r="X107" i="36"/>
  <c r="X86" i="36"/>
  <c r="X99" i="36"/>
  <c r="X87" i="36"/>
  <c r="X75" i="36"/>
  <c r="X109" i="36"/>
  <c r="L116" i="36"/>
  <c r="X100" i="36"/>
  <c r="X88" i="36"/>
  <c r="X76" i="36"/>
  <c r="X64" i="36"/>
  <c r="B116" i="36"/>
  <c r="X85" i="36"/>
  <c r="X73" i="36"/>
  <c r="X105" i="36"/>
  <c r="X74" i="36"/>
  <c r="X111" i="36"/>
  <c r="J116" i="36"/>
  <c r="X101" i="36"/>
  <c r="X89" i="36"/>
  <c r="X77" i="36"/>
  <c r="X65" i="36"/>
  <c r="X114" i="36"/>
  <c r="X79" i="36"/>
  <c r="X67" i="36"/>
  <c r="B57" i="36"/>
  <c r="L58" i="36"/>
  <c r="V58" i="36"/>
  <c r="X57" i="36"/>
  <c r="X103" i="36"/>
  <c r="X91" i="36"/>
  <c r="X104" i="36"/>
  <c r="X108" i="36"/>
  <c r="X106" i="36"/>
  <c r="X92" i="36"/>
  <c r="X80" i="36"/>
  <c r="X68" i="36"/>
  <c r="X93" i="36"/>
  <c r="X81" i="36"/>
  <c r="X69" i="36"/>
  <c r="X110" i="36"/>
  <c r="X94" i="36"/>
  <c r="X82" i="36"/>
  <c r="X70" i="36"/>
  <c r="R58" i="36"/>
  <c r="V117" i="36"/>
  <c r="V116" i="36"/>
  <c r="J58" i="36"/>
  <c r="H57" i="36"/>
  <c r="B58" i="36"/>
  <c r="S120" i="36" l="1"/>
  <c r="T120" i="36"/>
  <c r="X120" i="36"/>
  <c r="I120" i="36"/>
  <c r="G120" i="36"/>
  <c r="D120" i="36"/>
  <c r="E120" i="36"/>
  <c r="O120" i="36"/>
  <c r="Y120" i="36"/>
  <c r="U120" i="36"/>
  <c r="H120" i="36"/>
  <c r="F120" i="36"/>
  <c r="R120" i="36"/>
  <c r="P120" i="36"/>
  <c r="Q120" i="36"/>
  <c r="N120" i="36"/>
  <c r="M120" i="36"/>
  <c r="L120" i="36"/>
  <c r="W120" i="36"/>
  <c r="K120" i="36"/>
  <c r="V120" i="36"/>
  <c r="J120" i="36"/>
  <c r="X116" i="36"/>
  <c r="X117" i="36"/>
  <c r="Z120" i="36" l="1"/>
  <c r="V30" i="11"/>
  <c r="V41" i="11" s="1"/>
  <c r="F41" i="11"/>
  <c r="F73" i="11" s="1"/>
  <c r="V73" i="11" l="1"/>
  <c r="V75" i="11" s="1"/>
  <c r="F19" i="15" s="1"/>
  <c r="W30" i="11"/>
  <c r="F19" i="16" l="1"/>
  <c r="V77" i="11"/>
  <c r="V81" i="11" s="1"/>
  <c r="F19" i="13"/>
  <c r="H19" i="13" s="1"/>
  <c r="H22" i="13" s="1"/>
  <c r="F23" i="15"/>
  <c r="H19" i="15"/>
  <c r="F22" i="15"/>
  <c r="H19" i="16" l="1"/>
  <c r="H22" i="16" s="1"/>
  <c r="P63" i="16" s="1"/>
  <c r="N63" i="16" s="1"/>
  <c r="F22" i="16"/>
  <c r="F32" i="16" s="1"/>
  <c r="H32" i="16" s="1"/>
  <c r="F22" i="13"/>
  <c r="F23" i="13" s="1"/>
  <c r="F48" i="13" s="1"/>
  <c r="H48" i="13" s="1"/>
  <c r="F24" i="15"/>
  <c r="F25" i="15" s="1"/>
  <c r="H22" i="15"/>
  <c r="H23" i="15"/>
  <c r="H28" i="13"/>
  <c r="H32" i="13"/>
  <c r="F32" i="13" s="1"/>
  <c r="H31" i="13"/>
  <c r="H39" i="13" s="1"/>
  <c r="H23" i="13"/>
  <c r="L50" i="16" l="1"/>
  <c r="P50" i="16" s="1"/>
  <c r="N50" i="16" s="1"/>
  <c r="F57" i="15"/>
  <c r="H57" i="15" s="1"/>
  <c r="F28" i="13"/>
  <c r="F29" i="13" s="1"/>
  <c r="F42" i="13"/>
  <c r="F45" i="13" s="1"/>
  <c r="H45" i="13" s="1"/>
  <c r="F32" i="15"/>
  <c r="F33" i="15" s="1"/>
  <c r="H24" i="15"/>
  <c r="H40" i="15" s="1"/>
  <c r="H29" i="13"/>
  <c r="H33" i="13"/>
  <c r="H34" i="13" s="1"/>
  <c r="F31" i="13"/>
  <c r="J50" i="16" l="1"/>
  <c r="P43" i="16"/>
  <c r="N43" i="16" s="1"/>
  <c r="H27" i="16"/>
  <c r="H30" i="16" s="1"/>
  <c r="P61" i="16" s="1"/>
  <c r="P44" i="16"/>
  <c r="N44" i="16" s="1"/>
  <c r="F27" i="16"/>
  <c r="F30" i="16" s="1"/>
  <c r="J42" i="16" s="1"/>
  <c r="F53" i="15"/>
  <c r="H53" i="15" s="1"/>
  <c r="F52" i="15"/>
  <c r="H52" i="15" s="1"/>
  <c r="F51" i="15"/>
  <c r="H51" i="15" s="1"/>
  <c r="F44" i="13"/>
  <c r="H44" i="13" s="1"/>
  <c r="F43" i="13"/>
  <c r="H43" i="13" s="1"/>
  <c r="H42" i="13"/>
  <c r="H32" i="15"/>
  <c r="H33" i="15" s="1"/>
  <c r="H25" i="15"/>
  <c r="H50" i="15"/>
  <c r="H54" i="15" s="1"/>
  <c r="F54" i="15" s="1"/>
  <c r="F33" i="13"/>
  <c r="F34" i="13" s="1"/>
  <c r="F47" i="13"/>
  <c r="H47" i="13" s="1"/>
  <c r="F39" i="13"/>
  <c r="F46" i="13"/>
  <c r="H46" i="13" s="1"/>
  <c r="F41" i="13"/>
  <c r="H45" i="15"/>
  <c r="F40" i="15"/>
  <c r="F45" i="15" s="1"/>
  <c r="P62" i="16" l="1"/>
  <c r="N62" i="16" s="1"/>
  <c r="N61" i="16"/>
  <c r="P47" i="16"/>
  <c r="N47" i="16" s="1"/>
  <c r="P45" i="16"/>
  <c r="N45" i="16" s="1"/>
  <c r="H28" i="16"/>
  <c r="F28" i="16"/>
  <c r="L42" i="16"/>
  <c r="P42" i="16" s="1"/>
  <c r="P55" i="16" s="1"/>
  <c r="L49" i="16"/>
  <c r="L48" i="16"/>
  <c r="H36" i="15"/>
  <c r="H37" i="15"/>
  <c r="F49" i="13"/>
  <c r="F50" i="13" s="1"/>
  <c r="H41" i="13"/>
  <c r="H49" i="13" s="1"/>
  <c r="H50" i="13" s="1"/>
  <c r="F37" i="15"/>
  <c r="F36" i="15"/>
  <c r="N55" i="16" l="1"/>
  <c r="N64" i="16" s="1"/>
  <c r="P64" i="16"/>
  <c r="P46" i="16"/>
  <c r="N46" i="16" s="1"/>
  <c r="J48" i="16"/>
  <c r="P48" i="16"/>
  <c r="N48" i="16" s="1"/>
  <c r="J49" i="16"/>
  <c r="P49" i="16"/>
  <c r="N49" i="16" s="1"/>
  <c r="N42" i="16"/>
  <c r="H38" i="15"/>
  <c r="H47" i="15" s="1"/>
  <c r="F38" i="15"/>
  <c r="F47" i="15" s="1"/>
  <c r="L51" i="16"/>
  <c r="F55" i="15" l="1"/>
  <c r="H55" i="15" s="1"/>
  <c r="F56" i="15"/>
  <c r="H56" i="15" s="1"/>
  <c r="P51" i="16"/>
  <c r="J51" i="16"/>
  <c r="N51" i="16"/>
  <c r="F49" i="15"/>
  <c r="F58" i="15" l="1"/>
  <c r="F59" i="15" s="1"/>
  <c r="H49" i="15"/>
  <c r="H58" i="15" s="1"/>
  <c r="H59" i="15" s="1"/>
  <c r="J61" i="15" s="1"/>
  <c r="J62" i="15" l="1"/>
  <c r="J63" i="15"/>
  <c r="J64" i="15"/>
  <c r="J65" i="15" l="1"/>
  <c r="D60" i="15" s="1"/>
  <c r="O176" i="32" l="1"/>
  <c r="O103" i="32" l="1"/>
  <c r="O125" i="32" l="1"/>
  <c r="O144" i="32" l="1"/>
  <c r="O177" i="32" l="1"/>
  <c r="O121" i="32" l="1"/>
  <c r="O113" i="32"/>
  <c r="O25" i="32" l="1"/>
  <c r="O70" i="32"/>
  <c r="O130" i="32" l="1"/>
  <c r="O148" i="32"/>
  <c r="O79" i="32" l="1"/>
  <c r="O104" i="32"/>
  <c r="O168" i="32"/>
  <c r="O72" i="32" l="1"/>
  <c r="O135" i="32" l="1"/>
  <c r="O36" i="32" l="1"/>
  <c r="O127" i="32" l="1"/>
  <c r="O150" i="32" l="1"/>
  <c r="O100" i="32" l="1"/>
  <c r="O99" i="32" l="1"/>
  <c r="O92" i="32" l="1"/>
  <c r="O116" i="32" l="1"/>
  <c r="O21" i="32" l="1"/>
  <c r="O165" i="32" l="1"/>
  <c r="O8" i="32" l="1"/>
  <c r="O10" i="32" l="1"/>
  <c r="O141" i="32" l="1"/>
  <c r="O87" i="32" l="1"/>
  <c r="O38" i="32" l="1"/>
  <c r="O160" i="32" l="1"/>
  <c r="O178" i="32" l="1"/>
  <c r="O179" i="32" l="1"/>
  <c r="O180" i="32" l="1"/>
  <c r="O181" i="32" l="1"/>
  <c r="O182" i="32" l="1"/>
  <c r="O183" i="32" l="1"/>
  <c r="O184" i="32" l="1"/>
  <c r="O185" i="32" l="1"/>
  <c r="O186" i="32" l="1"/>
  <c r="O187" i="32" l="1"/>
  <c r="O188" i="32" l="1"/>
  <c r="O189" i="32" l="1"/>
  <c r="O190" i="32" l="1"/>
  <c r="O191" i="32" l="1"/>
  <c r="O192" i="32" l="1"/>
  <c r="O193" i="32" l="1"/>
  <c r="O194" i="32" l="1"/>
  <c r="O195" i="32" l="1"/>
  <c r="O28" i="32" l="1"/>
  <c r="O47" i="32"/>
  <c r="O196" i="32"/>
  <c r="O197" i="32" l="1"/>
  <c r="O137" i="32" l="1"/>
  <c r="O198" i="32"/>
  <c r="O199" i="32" l="1"/>
  <c r="O200" i="32" l="1"/>
  <c r="O201" i="32" l="1"/>
  <c r="O133" i="32" l="1"/>
  <c r="O17" i="32"/>
  <c r="O202" i="32"/>
  <c r="O94" i="32" l="1"/>
  <c r="O203" i="32"/>
  <c r="O204" i="32" l="1"/>
  <c r="O205" i="32" l="1"/>
  <c r="O67" i="32" l="1"/>
  <c r="O206" i="32"/>
  <c r="O145" i="32" l="1"/>
  <c r="O117" i="32"/>
  <c r="O62" i="32"/>
  <c r="O207" i="32"/>
  <c r="O146" i="32" l="1"/>
  <c r="O29" i="32"/>
  <c r="O14" i="32"/>
  <c r="O208" i="32"/>
  <c r="O209" i="32" l="1"/>
  <c r="O138" i="32" l="1"/>
  <c r="O210" i="32"/>
  <c r="O128" i="32" l="1"/>
  <c r="O56" i="32"/>
  <c r="O74" i="32"/>
  <c r="O211" i="32"/>
  <c r="O212" i="32" l="1"/>
  <c r="O213" i="32" l="1"/>
  <c r="O5" i="32" l="1"/>
  <c r="O214" i="32"/>
  <c r="O157" i="32" l="1"/>
  <c r="O215" i="32"/>
  <c r="O90" i="32" l="1"/>
  <c r="O216" i="32"/>
  <c r="O149" i="32" l="1"/>
  <c r="O217" i="32"/>
  <c r="O129" i="32" l="1"/>
  <c r="O218" i="32"/>
  <c r="O40" i="32" l="1"/>
  <c r="O219" i="32"/>
  <c r="O35" i="32" l="1"/>
  <c r="O220" i="32"/>
  <c r="O102" i="32" l="1"/>
  <c r="O64" i="32"/>
  <c r="O221" i="32"/>
  <c r="O222" i="32" l="1"/>
  <c r="O223" i="32" l="1"/>
  <c r="O224" i="32" l="1"/>
  <c r="O225" i="32" l="1"/>
  <c r="O226" i="32" l="1"/>
  <c r="N228" i="32" l="1"/>
  <c r="O227" i="32"/>
  <c r="O228" i="32" l="1"/>
  <c r="N229" i="32"/>
  <c r="O229" i="32" l="1"/>
  <c r="N230" i="32"/>
  <c r="N231" i="32" l="1"/>
  <c r="O230" i="32"/>
  <c r="N232" i="32" l="1"/>
  <c r="O231" i="32"/>
  <c r="O232" i="32" l="1"/>
  <c r="N233" i="32"/>
  <c r="O233" i="32" l="1"/>
  <c r="N234" i="32"/>
  <c r="O234" i="32" l="1"/>
  <c r="N235" i="32"/>
  <c r="O235" i="32" s="1"/>
  <c r="O32" i="32"/>
  <c r="O58" i="32" l="1"/>
  <c r="O24" i="32"/>
  <c r="O44" i="32"/>
  <c r="O23" i="32"/>
  <c r="O161" i="32" l="1"/>
  <c r="O169" i="32" l="1"/>
  <c r="O122" i="32" l="1"/>
  <c r="O85" i="32"/>
  <c r="O115" i="32"/>
  <c r="O78" i="32"/>
  <c r="O39" i="32" l="1"/>
  <c r="O96" i="32"/>
  <c r="O71" i="32"/>
  <c r="O97" i="32" l="1"/>
  <c r="O84" i="32"/>
  <c r="O18" i="32"/>
  <c r="O119" i="32" l="1"/>
  <c r="O50" i="32"/>
  <c r="O166" i="32"/>
  <c r="O41" i="32" l="1"/>
  <c r="O123" i="32"/>
  <c r="O27" i="32"/>
  <c r="O42" i="32" l="1"/>
  <c r="O162" i="32"/>
  <c r="O105" i="32"/>
  <c r="O158" i="32"/>
  <c r="O52" i="32" l="1"/>
  <c r="O159" i="32"/>
  <c r="O163" i="32" l="1"/>
  <c r="O53" i="32"/>
  <c r="O106" i="32"/>
  <c r="O86" i="32"/>
  <c r="O80" i="32" l="1"/>
  <c r="O132" i="32"/>
  <c r="O170" i="32"/>
  <c r="O69" i="32" l="1"/>
  <c r="O68" i="32"/>
  <c r="O13" i="32"/>
  <c r="O110" i="32" l="1"/>
  <c r="O120" i="32"/>
  <c r="O37" i="32"/>
  <c r="O9" i="32"/>
  <c r="O98" i="32"/>
  <c r="O46" i="32" l="1"/>
  <c r="O93" i="32"/>
  <c r="O114" i="32"/>
  <c r="O30" i="32" l="1"/>
  <c r="O51" i="32"/>
  <c r="O107" i="32"/>
  <c r="O111" i="32"/>
  <c r="O15" i="32" l="1"/>
  <c r="O131" i="32"/>
  <c r="O55" i="32"/>
  <c r="O59" i="32"/>
  <c r="O73" i="32" l="1"/>
  <c r="O171" i="32"/>
  <c r="O77" i="32" l="1"/>
  <c r="O118" i="32"/>
  <c r="O45" i="32"/>
  <c r="O172" i="32" l="1"/>
  <c r="O6" i="32"/>
  <c r="O34" i="32"/>
  <c r="O112" i="32" l="1"/>
  <c r="O173" i="32"/>
  <c r="O174" i="32" l="1"/>
  <c r="O54" i="32"/>
  <c r="O175" i="32"/>
  <c r="O33" i="32"/>
  <c r="O108" i="32" l="1"/>
  <c r="O7" i="32" l="1"/>
  <c r="O139" i="32" l="1"/>
  <c r="O61" i="32" l="1"/>
  <c r="O43" i="32"/>
  <c r="O20" i="32" l="1"/>
  <c r="O124" i="32" l="1"/>
  <c r="O76" i="32" l="1"/>
  <c r="O164" i="32" l="1"/>
  <c r="O26" i="32" l="1"/>
  <c r="O140" i="32"/>
  <c r="O66" i="32" l="1"/>
  <c r="O12" i="32"/>
  <c r="O16" i="32" l="1"/>
  <c r="O136" i="32"/>
  <c r="O126" i="32" l="1"/>
  <c r="O63" i="32"/>
  <c r="O19" i="32" l="1"/>
  <c r="O75" i="32"/>
  <c r="O82" i="32" l="1"/>
  <c r="O88" i="32"/>
  <c r="O48" i="32" l="1"/>
  <c r="O49" i="32"/>
  <c r="O142" i="32" l="1"/>
  <c r="O65" i="32"/>
  <c r="O143" i="32" l="1"/>
  <c r="O147" i="32"/>
  <c r="O4" i="32" l="1"/>
  <c r="O151" i="32"/>
  <c r="O134" i="32" l="1"/>
  <c r="O152" i="32"/>
  <c r="O31" i="32" l="1"/>
  <c r="O57" i="32"/>
  <c r="O153" i="32"/>
  <c r="O154" i="32" l="1"/>
  <c r="O101" i="32" l="1"/>
  <c r="O83" i="32" l="1"/>
  <c r="O3" i="32" l="1"/>
  <c r="O95" i="32" l="1"/>
  <c r="O11" i="32" l="1"/>
  <c r="O89" i="32" l="1"/>
  <c r="O91" i="32" l="1"/>
  <c r="O109" i="32" l="1"/>
  <c r="O22" i="32" l="1"/>
  <c r="O60" i="32" l="1"/>
  <c r="O155" i="32" l="1"/>
  <c r="O156" i="32" l="1"/>
  <c r="O167" i="32"/>
  <c r="H3" i="7"/>
  <c r="H3" i="8" s="1"/>
  <c r="H1122" i="18" s="1"/>
  <c r="H3" i="20" s="1"/>
  <c r="H3" i="41" s="1"/>
  <c r="K3" i="27" s="1"/>
  <c r="H3" i="35" s="1"/>
  <c r="F34" i="16"/>
  <c r="F35" i="16" s="1"/>
  <c r="H34" i="16"/>
  <c r="H35" i="16" s="1"/>
  <c r="H40" i="16" l="1"/>
  <c r="L52" i="16"/>
  <c r="J52" i="16"/>
  <c r="F40" i="16"/>
  <c r="N52" i="16" l="1"/>
  <c r="N65" i="16"/>
  <c r="P52" i="16"/>
  <c r="P6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tc={03C6AE1D-AFDE-4A72-8853-BF4BB04A07E5}</author>
    <author>tc={0C2307AC-C3AA-4CE4-9ADB-C408C8DADEB4}</author>
  </authors>
  <commentList>
    <comment ref="H106" authorId="0" shapeId="0" xr:uid="{03C6AE1D-AFDE-4A72-8853-BF4BB04A07E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changed from 7 to 10</t>
      </text>
    </comment>
    <comment ref="H107" authorId="1" shapeId="0" xr:uid="{0C2307AC-C3AA-4CE4-9ADB-C408C8DADEB4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changed from 7 to 10</t>
      </text>
    </comment>
  </commentList>
</comments>
</file>

<file path=xl/sharedStrings.xml><?xml version="1.0" encoding="utf-8"?>
<sst xmlns="http://schemas.openxmlformats.org/spreadsheetml/2006/main" count="37280" uniqueCount="10765">
  <si>
    <t>APPLICATION FOR INTERIM PAYMENT</t>
  </si>
  <si>
    <t>ABSTRACT SHEET</t>
  </si>
  <si>
    <t>Interim Payment Application No. :</t>
  </si>
  <si>
    <t>IPA - 34</t>
  </si>
  <si>
    <t>Bill date :</t>
  </si>
  <si>
    <t>Type of Work :</t>
  </si>
  <si>
    <t>Period of bill :</t>
  </si>
  <si>
    <t>EPC Contractor :</t>
  </si>
  <si>
    <t>Larsen and Toubro Limited</t>
  </si>
  <si>
    <t>Address:</t>
  </si>
  <si>
    <t>L&amp;T Construction, Majirgaon Palashbari - Sualkuchi Bridge Project, Dag No. 268 &amp; 269, Patta No. 43 &amp; 168, Revenue Village - Santala, Revenue Circle - Palashbari, Kamrup District, Assam - 781125.</t>
  </si>
  <si>
    <t>Employer :</t>
  </si>
  <si>
    <t>The Chief Engineer (EAP), Public Works Roads Department (PWRD), Assam</t>
  </si>
  <si>
    <t>Employer's Representative :</t>
  </si>
  <si>
    <t>Rodic Consultants Private Limited in JV with Intercontinental Consultants and Technocrats Private Limited</t>
  </si>
  <si>
    <t>LOA Ref. No. :</t>
  </si>
  <si>
    <t>CE/EAP/ABP-II/EPC/OCB/2023/35</t>
  </si>
  <si>
    <t>Contract Value (INR) :</t>
  </si>
  <si>
    <t xml:space="preserve">Work Order No : </t>
  </si>
  <si>
    <t>Contract Agreement signed on 01-Mar-24</t>
  </si>
  <si>
    <t>Financial Progress:</t>
  </si>
  <si>
    <t>Name of Work :</t>
  </si>
  <si>
    <t>Construction of 4-lane Extradosed PSC Bridge over river Brahmaputra connecting Palashbari and Sualkuchi including Viaduct, Approaches and River Training works etc on EPC mode</t>
  </si>
  <si>
    <t>S.No.</t>
  </si>
  <si>
    <t>Description</t>
  </si>
  <si>
    <t>Currency</t>
  </si>
  <si>
    <t>Amount</t>
  </si>
  <si>
    <t>Cumulative Bill</t>
  </si>
  <si>
    <t>Up to Previous Bill</t>
  </si>
  <si>
    <t>This Bill</t>
  </si>
  <si>
    <t>A</t>
  </si>
  <si>
    <t>Work Done</t>
  </si>
  <si>
    <t>a</t>
  </si>
  <si>
    <t>Amount for the works executed under Sub-Clause 14.3 of the General Conditions</t>
  </si>
  <si>
    <t>b</t>
  </si>
  <si>
    <t>Amount for the Provisional Sum under Sub-Clause 13.4 of the General Conditions</t>
  </si>
  <si>
    <t>₹</t>
  </si>
  <si>
    <t>c</t>
  </si>
  <si>
    <t>Amount reflecting Changes in Cost under Sub-Clause 13.7 of the General Conditions</t>
  </si>
  <si>
    <t>d</t>
  </si>
  <si>
    <t>Amount of Variation Order executed under Sub-Clause 13.3 of the General Conditions</t>
  </si>
  <si>
    <t>e</t>
  </si>
  <si>
    <t>Amount reflecting Change in Law under Sub-Clause 13.6 of the General Conditions</t>
  </si>
  <si>
    <t>f1</t>
  </si>
  <si>
    <t>CGST @ 9% on [Aa to Ae]</t>
  </si>
  <si>
    <t>f2</t>
  </si>
  <si>
    <t>SGST @ 9% on [Aa to Ae]</t>
  </si>
  <si>
    <t>Total Work Done (A) = (Aa+Ab+Ac+Ad+Ae+Af1+Af2)</t>
  </si>
  <si>
    <t>Total Work Done (Excl. of taxes) (A1) = (A/1.18)</t>
  </si>
  <si>
    <t>B</t>
  </si>
  <si>
    <t>Advances</t>
  </si>
  <si>
    <t>Mobilization Advance under Sub-Clause 14.2 of General Condidtions - 1st Installment</t>
  </si>
  <si>
    <t>Mobilization Advance under Sub-Clause 14.2 of General Condidtions - 2nd Installment</t>
  </si>
  <si>
    <t>c1</t>
  </si>
  <si>
    <t>CGST @ 9% on [Ba to Bb]</t>
  </si>
  <si>
    <t>c2</t>
  </si>
  <si>
    <t>SGST @ 9% on [Ba to Bb]</t>
  </si>
  <si>
    <t>Total Advances (B) = (Ba+Bb+Bc1+Bc2)</t>
  </si>
  <si>
    <t xml:space="preserve">Gross Amount (Incl. Advances) (B1) = (A+B) </t>
  </si>
  <si>
    <t>Gross Amount (Excl. Taxes) (B2) = (B1/1.18)</t>
  </si>
  <si>
    <t>C</t>
  </si>
  <si>
    <t>Recoveries</t>
  </si>
  <si>
    <t>Mobilization Advance under Sub-Clause 14.2 of General Condidtions @ 15% on [A1]</t>
  </si>
  <si>
    <t>b1</t>
  </si>
  <si>
    <t>CGST @ 9% on [Ca]</t>
  </si>
  <si>
    <t>b2</t>
  </si>
  <si>
    <t>SGST @ 9% on [Ca]</t>
  </si>
  <si>
    <t>Total Recoveries (C) = (Ca+Cb1+Cb2)</t>
  </si>
  <si>
    <t>D</t>
  </si>
  <si>
    <t>Withheld / Release</t>
  </si>
  <si>
    <t>Retention Amount @ 6% upto 5% of Contract Value on [A]</t>
  </si>
  <si>
    <t>Release of Retention Amount</t>
  </si>
  <si>
    <t>Withhled Amount</t>
  </si>
  <si>
    <t>Release of Withheld Amount</t>
  </si>
  <si>
    <t>Adjustment in Forest Royalty payments by the Contractor</t>
  </si>
  <si>
    <t>Total Withhled / Release (D) = (Da+Db+Dc+Dd+De)</t>
  </si>
  <si>
    <t>Taxable Amount (D1) = ((A+B-C)/1.18)</t>
  </si>
  <si>
    <t>E</t>
  </si>
  <si>
    <t>Deductions</t>
  </si>
  <si>
    <t>Income Tax @ 2% on [D1/(1.01*1.02)]</t>
  </si>
  <si>
    <t>Forest Royalty @ 2% on [(Aa+Ab)/1.02]</t>
  </si>
  <si>
    <t>Income tax @ 2.5% on Forest Royalty [Eb]</t>
  </si>
  <si>
    <t>Mines and Mineral Development, Restoration and Rehabilitation Fund @ 10% on [Eb]</t>
  </si>
  <si>
    <t>District Foundation Fund Trust @ 10% on [Eb]</t>
  </si>
  <si>
    <t>f</t>
  </si>
  <si>
    <t>State Mineral Exploration Trust @ 2% on [Eb]</t>
  </si>
  <si>
    <t>g</t>
  </si>
  <si>
    <t>CGST - TDS @ 1% on [D1]</t>
  </si>
  <si>
    <t>h</t>
  </si>
  <si>
    <t>SGST - TDS @ 1% on [D1]</t>
  </si>
  <si>
    <t>i</t>
  </si>
  <si>
    <t>Labour Cess @ 1% on [A1/1.01]</t>
  </si>
  <si>
    <t>Total Deductions (E) = (Ea+Eb+Ec+Ed+Ee+Ef+Eg+Eh+Ei)</t>
  </si>
  <si>
    <t>Amount Payable (F) = (A+B-C-D-E)</t>
  </si>
  <si>
    <t>Amount Payable (In Words) -</t>
  </si>
  <si>
    <t>INTERIM PAYMENT CERTIFICATION</t>
  </si>
  <si>
    <t>Interim Payment Certificate No. :</t>
  </si>
  <si>
    <t>IPC - 15</t>
  </si>
  <si>
    <t>Main Works and Price Adjustment</t>
  </si>
  <si>
    <t>Total Work Done (A) = (Aa+Ab+Ac+Ad+Ae)</t>
  </si>
  <si>
    <t>Total Work Done (Excl. of Taxes) (A1) = (A/1.18)</t>
  </si>
  <si>
    <t>Total Advances (B) = (Ba+Bb)</t>
  </si>
  <si>
    <t>Gross Amount due including Advances (B1) = (A+B)</t>
  </si>
  <si>
    <t>Gross Amount (Excl. of Taxes) (B2) = (B1/1.18)</t>
  </si>
  <si>
    <t>Mobilization Advance under Sub-Clause 14.2 of General Condidtions @ 15% on [A]</t>
  </si>
  <si>
    <t>Total Recoveries (C) = (Ca+Cb)</t>
  </si>
  <si>
    <t>Amount due before Taxes (C1) = (B1-C)</t>
  </si>
  <si>
    <t>Withheld</t>
  </si>
  <si>
    <t>Withheld Amount</t>
  </si>
  <si>
    <t>Total Advances (D) = (Da+Db)</t>
  </si>
  <si>
    <t>Taxable Amount (D1) = ((A-Ca)/1.18)</t>
  </si>
  <si>
    <t>Income tax @ 2% on [(B+(A-Ca))/1.18]</t>
  </si>
  <si>
    <t>Forest Royalty @ 2% on [A/1.18/1.02]</t>
  </si>
  <si>
    <t>CGST @ 1% on [(B+(A-Ca))/1.18]</t>
  </si>
  <si>
    <t>SGST @ 1% on [(B+(A-Ca))/1.18]</t>
  </si>
  <si>
    <t>Labour Cess @1% on [A1]</t>
  </si>
  <si>
    <t>Total Deductions (E) = (Ea+Eb+Ec+Ed+Ee+Ef+Eg+Eh)</t>
  </si>
  <si>
    <t>Amount Payable (F) = (C1-D-E)</t>
  </si>
  <si>
    <t>Amount Payable (In Words) - Rupees Sixteen Crores Forty Lakhs Eight Thousand Three Hundred and Fourteen Only</t>
  </si>
  <si>
    <t>IPC - 34</t>
  </si>
  <si>
    <t>Main Works &amp; Price Adjustment</t>
  </si>
  <si>
    <t>1st Jul'26 to 31st Jul'26</t>
  </si>
  <si>
    <t>Advances / Recovery</t>
  </si>
  <si>
    <t>Mobilization Advance under Sub-Clause 14.2 of General Conditions - 1st Installment</t>
  </si>
  <si>
    <t>Mobilization Advance under Sub-Clause 14.2 of General Conditions - 2nd Installment</t>
  </si>
  <si>
    <t>Recovery of Mob. Advance under Sub-Clause 14.2 of GC @ 15% on [Aa+Ab]</t>
  </si>
  <si>
    <t>Total Advances (B) = (Ba+Bb-Bc)</t>
  </si>
  <si>
    <t>Taxable Amount (B2) = ((A+B)/1.18)</t>
  </si>
  <si>
    <t>Recovery / Release</t>
  </si>
  <si>
    <t>Recovery of Retention Amount @ 6% upto 5% of Contract Value on [A]</t>
  </si>
  <si>
    <t>Release of Retention Amount against Bank Guarantee</t>
  </si>
  <si>
    <t>Total Recovery (C) = (Ca+Cb)</t>
  </si>
  <si>
    <t>Release of Withhled Amount</t>
  </si>
  <si>
    <t>Total Withheld (D) = (Da+Db)</t>
  </si>
  <si>
    <t>Amount due before Taxes after withheld (D1) = (C1-D)</t>
  </si>
  <si>
    <t>TDS - Income tax @ 2% on [B2]</t>
  </si>
  <si>
    <t>Forest Royalty @ 2% on [(Aa+Ab)/1.18/1.02]</t>
  </si>
  <si>
    <t>TCS - Income tax @ 2.5% on Forest Royalty [Eb]</t>
  </si>
  <si>
    <t>TDS - CGST @ 1% on [B2]</t>
  </si>
  <si>
    <t>TDS - SGST @ 1% on [B2]</t>
  </si>
  <si>
    <t>Labour Cess @1% on [A]</t>
  </si>
  <si>
    <t>Construction of 4-lane Extra-dosed PSC Bridge over river Brahmaputra connecting Palashbari and Sualkuchi including Viaduct, Approaches and River Training works etc on EPC mode</t>
  </si>
  <si>
    <t>General Conditions of Contract - Clause 14.4 - Summary - Schedule of Payments</t>
  </si>
  <si>
    <t>Schedule No</t>
  </si>
  <si>
    <t>Schedule Cost
 (% of the Contract Price)</t>
  </si>
  <si>
    <t>This Bill
(INR)</t>
  </si>
  <si>
    <t>Weightage
%</t>
  </si>
  <si>
    <t>Amount
(INR)</t>
  </si>
  <si>
    <t>Amount
(Rs.)</t>
  </si>
  <si>
    <t>Schedule 1</t>
  </si>
  <si>
    <t>Preliminaries &amp; General Items</t>
  </si>
  <si>
    <t>Schedule 2</t>
  </si>
  <si>
    <t>Validation of Survey Data, Investigation, Design and As-Built Drawings</t>
  </si>
  <si>
    <t>Schedule 3</t>
  </si>
  <si>
    <t>Enabling Works for Main Works</t>
  </si>
  <si>
    <t>Schedule 4</t>
  </si>
  <si>
    <t>Main Extradosed Bridge Works</t>
  </si>
  <si>
    <t>Schedule 5</t>
  </si>
  <si>
    <t>Wetland and Approach Viaduct Works</t>
  </si>
  <si>
    <t>Schedule 6</t>
  </si>
  <si>
    <t>Underpass Works</t>
  </si>
  <si>
    <t>Schedule 7</t>
  </si>
  <si>
    <t>Approach road Works</t>
  </si>
  <si>
    <t>Schedule 8</t>
  </si>
  <si>
    <t>Provisional Sum</t>
  </si>
  <si>
    <t>Total</t>
  </si>
  <si>
    <t>PL1 - Piercap - WV1</t>
  </si>
  <si>
    <t>PL2 - Piercap - WV1</t>
  </si>
  <si>
    <t>PR3 - Piercap - WV1</t>
  </si>
  <si>
    <t>PR1 - Piercap - WV1</t>
  </si>
  <si>
    <t>PL3 - Piercap - WV1</t>
  </si>
  <si>
    <t>PR2 - Piercap - WV1</t>
  </si>
  <si>
    <t>PL0 - Piercap - WV1</t>
  </si>
  <si>
    <t>PR0 - Piercap - WV1</t>
  </si>
  <si>
    <t>General Conditions of Contract - Clause 14.4 - Schedule of Payments</t>
  </si>
  <si>
    <t>Item No</t>
  </si>
  <si>
    <t>Item Description</t>
  </si>
  <si>
    <t>UOM</t>
  </si>
  <si>
    <t>Percentage</t>
  </si>
  <si>
    <t>Tentative Scope</t>
  </si>
  <si>
    <t>Amount 
(INR)</t>
  </si>
  <si>
    <t>Amount payable per Unit
(INR)</t>
  </si>
  <si>
    <t>Upto Previous Bill</t>
  </si>
  <si>
    <t>Measurement Book</t>
  </si>
  <si>
    <t>Quantity</t>
  </si>
  <si>
    <t>Page</t>
  </si>
  <si>
    <t>No</t>
  </si>
  <si>
    <t>Provision (construction) of office facilities for the Employer</t>
  </si>
  <si>
    <t>LS</t>
  </si>
  <si>
    <t>Completion of Foundation</t>
  </si>
  <si>
    <t>Nos.</t>
  </si>
  <si>
    <t>Completion of Plinth</t>
  </si>
  <si>
    <t>Completion of Walls</t>
  </si>
  <si>
    <t>Completion of Roofs</t>
  </si>
  <si>
    <t>Completion of Flooring</t>
  </si>
  <si>
    <t>Completion of Finishing Works</t>
  </si>
  <si>
    <t>Electrical and Sanitary Works</t>
  </si>
  <si>
    <t>ii</t>
  </si>
  <si>
    <t>Office Furniture</t>
  </si>
  <si>
    <t>Executive Office Desk</t>
  </si>
  <si>
    <t>Executive Chairs</t>
  </si>
  <si>
    <t>Visitor Chairs</t>
  </si>
  <si>
    <t>Conference Table</t>
  </si>
  <si>
    <t>Conference Chairs</t>
  </si>
  <si>
    <t>Projector and Monitor in Conference room</t>
  </si>
  <si>
    <t>Display Arrangement</t>
  </si>
  <si>
    <t>Steel Almirah and Racks</t>
  </si>
  <si>
    <t>Domestic Water Purifier</t>
  </si>
  <si>
    <t>iii</t>
  </si>
  <si>
    <t>Office Equipment</t>
  </si>
  <si>
    <t>Laptops</t>
  </si>
  <si>
    <t>Colour Printer</t>
  </si>
  <si>
    <t>Provision (construction) of contractor’s site office, site laboratories, labor camps etc</t>
  </si>
  <si>
    <t>Office</t>
  </si>
  <si>
    <t>Laboratory</t>
  </si>
  <si>
    <t>Labour Camps</t>
  </si>
  <si>
    <t>Building</t>
  </si>
  <si>
    <t>Kitchen</t>
  </si>
  <si>
    <t>Civil Works</t>
  </si>
  <si>
    <t>Lab Equipment</t>
  </si>
  <si>
    <t>Operation and Maintenance of all temporary facilities including those mentioned in Item 101 &amp; 102</t>
  </si>
  <si>
    <t>Employer's Office</t>
  </si>
  <si>
    <t>Quarterly</t>
  </si>
  <si>
    <t>Vehicles</t>
  </si>
  <si>
    <t>Bolero &amp; Scorpio</t>
  </si>
  <si>
    <t>Nos.-Quarterly</t>
  </si>
  <si>
    <t>Speed Boat</t>
  </si>
  <si>
    <t>Rescue Boat</t>
  </si>
  <si>
    <t>Contractor's Office</t>
  </si>
  <si>
    <t>Site Laboratory</t>
  </si>
  <si>
    <t>Compliance of Environmental Management Plan (EMP)</t>
  </si>
  <si>
    <t>Environmental Management Plan Implementation - Preservation of Top Soil, Propeller Guards, Plant Establishments : CTE, CTO, NOC's, Dust Supression Measures, Compensatory afforestation, TBT for Wildlife conservation for consideration of 48 months construction period or till completion of the project, whichever is later</t>
  </si>
  <si>
    <t>Half Yearly</t>
  </si>
  <si>
    <t>Implementation of Environmental Monitoring Program for consideration of 48 months construction period or till completion of the project, whichever is later</t>
  </si>
  <si>
    <t>Ambient Air Quality</t>
  </si>
  <si>
    <t>Bi-Monthly</t>
  </si>
  <si>
    <t>Noise Level</t>
  </si>
  <si>
    <t>Water Quality</t>
  </si>
  <si>
    <t>iv</t>
  </si>
  <si>
    <t>Soil Quality</t>
  </si>
  <si>
    <t>v</t>
  </si>
  <si>
    <t>Ecology and Biodiversity - Regular Survey of Ecology and Biodiversity (Terrestrial &amp; Aquatic), Survey Equipment</t>
  </si>
  <si>
    <t>Compliance of Environmental Clearance Conditions - EC identification no. EC22B039AS197455 - Handling of Hazardous Waste, Provision of First Aid Room, Sanitary Measures, Green Belt Plantation for consideration of 48 months construction period or till completion of the project, whichever is later</t>
  </si>
  <si>
    <t>Implementation of Environmental Management Plan - For Aquatic Ecology and Dolphin Conservation - Monitoring of Dolphins, Migratory Birds, Turtle &amp; Fish through Dolphin Biologists, No-go Zone for Boats &amp; Vessels for consideration of 48 months construction period or till completion of the project, whichever is later</t>
  </si>
  <si>
    <t>Dolphin Pinger for Dolphin Safety</t>
  </si>
  <si>
    <t>Installation &amp; Monitoring</t>
  </si>
  <si>
    <t>Maintenance of Equipment</t>
  </si>
  <si>
    <t>Wetland Restoration - Clearance of Eutrophication, Water area, etc as per EC Condition till completion of the project</t>
  </si>
  <si>
    <t>EMP provisions - During Construction Phase for consideration of 48 months construction period or till completion of the project, whichever is later</t>
  </si>
  <si>
    <t>Solid Waste Management accessories</t>
  </si>
  <si>
    <t>Health and Occupational Safety Management Plan</t>
  </si>
  <si>
    <t>Environmental Training Plan</t>
  </si>
  <si>
    <t>Traffic Management Plan</t>
  </si>
  <si>
    <t>Emergency Preparedness Plan</t>
  </si>
  <si>
    <t>vi</t>
  </si>
  <si>
    <t>Miscellaneous (repair and maintenance)</t>
  </si>
  <si>
    <t>Provision for establishment of Sewage and Water Treatment Plant within construction period of 48 months or till completion of the project, whichever is later</t>
  </si>
  <si>
    <t>Sewage Treatment Plant</t>
  </si>
  <si>
    <t>Construction</t>
  </si>
  <si>
    <t>Maintenance</t>
  </si>
  <si>
    <t>Waste Water Treatment Plant</t>
  </si>
  <si>
    <t>Silt Sedimentation Tank</t>
  </si>
  <si>
    <t>Effluent Treatment Plant</t>
  </si>
  <si>
    <t>Toilets</t>
  </si>
  <si>
    <t>Demobilization of the Site on completion of the Works as per the General Specifications</t>
  </si>
  <si>
    <t>Site survey, establishment of bench marks, validation of ROW, identification of borrow areas.</t>
  </si>
  <si>
    <t>Establishment of Bench Marks</t>
  </si>
  <si>
    <t>Kms</t>
  </si>
  <si>
    <t>Completion of Site Survey</t>
  </si>
  <si>
    <t>Validation of ROW</t>
  </si>
  <si>
    <t>Identification of Borrow Areas</t>
  </si>
  <si>
    <t>Site data collection, Detailed Geotechnical and Hydrological investigations and report submission &amp; approval</t>
  </si>
  <si>
    <t>Completion of Topographical Survey (Site data collection)</t>
  </si>
  <si>
    <t>Report Submission</t>
  </si>
  <si>
    <t>Report Approval</t>
  </si>
  <si>
    <t>Detailed Geotechnical Investigation</t>
  </si>
  <si>
    <t>Detailed Hydrological Investigation</t>
  </si>
  <si>
    <t>Preliminary Design of the approach formations, retaining structures, drainage system, bridges, major and /or minor structure and miscellaneous work.</t>
  </si>
  <si>
    <t>Approach Formations (GAD / P&amp;P)</t>
  </si>
  <si>
    <t>Documents &amp; Reports - Submission</t>
  </si>
  <si>
    <t>Documents &amp; Reports - Approval</t>
  </si>
  <si>
    <t>Retaining Structures (GAD / P&amp;P)</t>
  </si>
  <si>
    <t>Drainage (GAD / P&amp;P)</t>
  </si>
  <si>
    <t>Wetland Viaducts  (GAD / P&amp;P)</t>
  </si>
  <si>
    <t>Approach Viaducts  (GAD / P&amp;P)</t>
  </si>
  <si>
    <t>Vehicular Underpass  (GAD / P&amp;P)</t>
  </si>
  <si>
    <t>Culverts  (GAD)</t>
  </si>
  <si>
    <t>Main Bridge (GAD)</t>
  </si>
  <si>
    <t>Miscellaneous Works</t>
  </si>
  <si>
    <t>Temporary Access Bridge</t>
  </si>
  <si>
    <t>Casting Yard (Layout)</t>
  </si>
  <si>
    <t>River Training Works</t>
  </si>
  <si>
    <t>vii</t>
  </si>
  <si>
    <t>Precast Moulds</t>
  </si>
  <si>
    <t>viii</t>
  </si>
  <si>
    <t>Traffic Signages</t>
  </si>
  <si>
    <t>ix</t>
  </si>
  <si>
    <t>Road Marking</t>
  </si>
  <si>
    <t>x</t>
  </si>
  <si>
    <t>Bridge Illumination</t>
  </si>
  <si>
    <t>xi</t>
  </si>
  <si>
    <t>Bridge Health Monitoring</t>
  </si>
  <si>
    <t>Final Technical Design of the approach formation, retaining structures, drainage system, bridges, major and /or minor structures and miscellaneous work</t>
  </si>
  <si>
    <t>Approach Formations</t>
  </si>
  <si>
    <t>Issue of GFC Drawings</t>
  </si>
  <si>
    <t>Retaining Structures</t>
  </si>
  <si>
    <t>Drainage</t>
  </si>
  <si>
    <t>Wetland Viaducts</t>
  </si>
  <si>
    <t>Foundation</t>
  </si>
  <si>
    <t>Substructure</t>
  </si>
  <si>
    <t>Superstructure</t>
  </si>
  <si>
    <t>Approach Viaducts</t>
  </si>
  <si>
    <t>Vehicular Underpass</t>
  </si>
  <si>
    <t>Culverts</t>
  </si>
  <si>
    <t>Foundation of Main Bridge</t>
  </si>
  <si>
    <t>Substructure of Main Bridge</t>
  </si>
  <si>
    <t>j</t>
  </si>
  <si>
    <t>Superstructure of Main Bridge</t>
  </si>
  <si>
    <t>k</t>
  </si>
  <si>
    <t>Miscellaneous works</t>
  </si>
  <si>
    <t>Rmt</t>
  </si>
  <si>
    <t>Launching System / Bridge Builder</t>
  </si>
  <si>
    <t>IDC Drawing</t>
  </si>
  <si>
    <t>Gantry</t>
  </si>
  <si>
    <t>Span</t>
  </si>
  <si>
    <t>Wind Tunnel Analysis</t>
  </si>
  <si>
    <t>l</t>
  </si>
  <si>
    <t>Junctions</t>
  </si>
  <si>
    <t>Setting out of the Final Alignment with location of all structures, approach formation work and Miscellaneous work</t>
  </si>
  <si>
    <t>Preparation of As-Built Drawings</t>
  </si>
  <si>
    <t>Issue of Final Drawings</t>
  </si>
  <si>
    <t>Construction of temporary jetties/ platforms (TAB) / load out jetties etc for marine working</t>
  </si>
  <si>
    <t>Supply of TAB material at site</t>
  </si>
  <si>
    <t>MT</t>
  </si>
  <si>
    <t>Installation of TAB</t>
  </si>
  <si>
    <t>Establishment of batching plant, crusher (if any), rebar yards, formwork shops, fabrication shops etc for main works</t>
  </si>
  <si>
    <t>Establishment of Batching Plants</t>
  </si>
  <si>
    <t>Receipt of Equipment</t>
  </si>
  <si>
    <t>Installation and Commissioning</t>
  </si>
  <si>
    <t>Establishment of Crusher Plant</t>
  </si>
  <si>
    <t>Nos</t>
  </si>
  <si>
    <t>Commissioning of Rebar Yard</t>
  </si>
  <si>
    <t>Commissioning of Formwork Yard</t>
  </si>
  <si>
    <t>Commissioning of Fabrication Yard</t>
  </si>
  <si>
    <t>Establishment of Casting yards for casting of PSC Box girders, I-Girders etc as per requirement</t>
  </si>
  <si>
    <t>Construction of Casting Yard</t>
  </si>
  <si>
    <t xml:space="preserve"> </t>
  </si>
  <si>
    <t>Area Development</t>
  </si>
  <si>
    <t>Foundation of Gantry Track</t>
  </si>
  <si>
    <t>Casting Bed Foundation</t>
  </si>
  <si>
    <t>Stacking Bed Foundation</t>
  </si>
  <si>
    <t>Finishing and Commisioning of Casting Yard</t>
  </si>
  <si>
    <t>Supply and installation of moulds, gantries etc for precast works</t>
  </si>
  <si>
    <t>Moulds - Material Procurement (Long Bed)</t>
  </si>
  <si>
    <t>Moulds - Fabrication &amp; Commissioning (Long Bed)</t>
  </si>
  <si>
    <t>Gantry - Equipment Receipt</t>
  </si>
  <si>
    <t>Gantry - Installation &amp; Commissioning</t>
  </si>
  <si>
    <t>TPT</t>
  </si>
  <si>
    <t>Supply and commissioning of Bridge Builders/Launchers for erection of bridge deck</t>
  </si>
  <si>
    <t>Receipt of Equipment at site</t>
  </si>
  <si>
    <t>Set</t>
  </si>
  <si>
    <t>Installation &amp; Commissioning</t>
  </si>
  <si>
    <t>Procurement/Mobilization of Marine Equipment’s (Barges/Tugs etc) for working in water</t>
  </si>
  <si>
    <t>Procurement / Mobilization of Barges</t>
  </si>
  <si>
    <t>Procurement / Mobilization of Tugs</t>
  </si>
  <si>
    <t>Removal of temporary jetties, platforms, load out jetties and casting yards</t>
  </si>
  <si>
    <t>Casting Yard</t>
  </si>
  <si>
    <t>On ground clearance, preparatory works for start of foundation works such as cutting edge, shutters, scaffoldings etc</t>
  </si>
  <si>
    <t>Fabrication of Cutting Edge</t>
  </si>
  <si>
    <t>Ground preparation and placing of Cutting Edge</t>
  </si>
  <si>
    <t>Shuttering and scaffolding</t>
  </si>
  <si>
    <t>Construction of foundation</t>
  </si>
  <si>
    <t>Well Steining - Casting &amp; Sinking (Including Well curb)</t>
  </si>
  <si>
    <t>Well Bottom Plugging</t>
  </si>
  <si>
    <t>Well Cap</t>
  </si>
  <si>
    <t>Construction of sub- structure; abutment/ piers / lower pylon</t>
  </si>
  <si>
    <t>Construction of abutment / piers / lower pylon</t>
  </si>
  <si>
    <t>Construction of pier-cap/ pier table</t>
  </si>
  <si>
    <t>Construction of upper pylon</t>
  </si>
  <si>
    <t>Construction of PSC Box girders in casting yard</t>
  </si>
  <si>
    <t>Casting of PSC Box girder segments in casting yard</t>
  </si>
  <si>
    <t>Erection of PSC Box girder segments at site</t>
  </si>
  <si>
    <t>Procurement, testing and supply of post tensioning material to site</t>
  </si>
  <si>
    <t>Supply of Post tensioning material of PSC Box girder segments</t>
  </si>
  <si>
    <t>Testing of Material</t>
  </si>
  <si>
    <t>Post Tensioning Material consumed during casting of segments</t>
  </si>
  <si>
    <t>Final stressing of PSC Box girder segments at site</t>
  </si>
  <si>
    <t>Grouting of PSC Box girder segments at site</t>
  </si>
  <si>
    <t>Procurement, testing and supply of Stay Cables to site</t>
  </si>
  <si>
    <t>Supply of stay cable material</t>
  </si>
  <si>
    <t>Stay Cable Material consumed during casting of each stay cable segment</t>
  </si>
  <si>
    <t>Stressing of Stay Cable segments</t>
  </si>
  <si>
    <t>Installation of PSC Box girders at site including installation of Stay Cable, Post Tensioning for completion of deck</t>
  </si>
  <si>
    <t>Installation of PSC Box Girder (Completion of Deck) after erection &amp; stressing of segments</t>
  </si>
  <si>
    <t>Installation and Stressing of each Stay Cable (Final) segments</t>
  </si>
  <si>
    <t>Post Tensioning of Continuity Cables</t>
  </si>
  <si>
    <t>Final Tensioning and Fine Tuning of stay cables</t>
  </si>
  <si>
    <t>Module</t>
  </si>
  <si>
    <t>Installation of bearings and expansion joints, Bridge Health Monitoring Equipments</t>
  </si>
  <si>
    <t xml:space="preserve">Bearings - Material Testing and Procurement </t>
  </si>
  <si>
    <t>Bearings - Installation</t>
  </si>
  <si>
    <t>Expansion Joints - Material Testing and Procurement</t>
  </si>
  <si>
    <t>Expansion Joints - Installation</t>
  </si>
  <si>
    <t>Bridge Health Monitoring Equipments - Material Procurement</t>
  </si>
  <si>
    <t>Bridge Health Monitoring Equipments - Installation</t>
  </si>
  <si>
    <t>Bridge Health Monitoring Equipments - Testing</t>
  </si>
  <si>
    <t>Construction of Crash Barriers &amp; Hand Railling</t>
  </si>
  <si>
    <t>Crash Barrier</t>
  </si>
  <si>
    <t>Handrailing</t>
  </si>
  <si>
    <t>Safety Fence</t>
  </si>
  <si>
    <t>Completion of bridge pavement</t>
  </si>
  <si>
    <t>Water Proofing</t>
  </si>
  <si>
    <t>1st layer wearing course</t>
  </si>
  <si>
    <t>Final layer wearing course</t>
  </si>
  <si>
    <t>Completion of bridge lighting and electrical works</t>
  </si>
  <si>
    <t>Material Procurement</t>
  </si>
  <si>
    <t>Installation</t>
  </si>
  <si>
    <t>Commissioning</t>
  </si>
  <si>
    <t>Completion of balance ancillary and miscellaneous works for handing over</t>
  </si>
  <si>
    <t>Crash Barrier Painting</t>
  </si>
  <si>
    <t>Drainage works for bridge downtake</t>
  </si>
  <si>
    <t>Drainage Spouts</t>
  </si>
  <si>
    <t>For Wetland Viaduct</t>
  </si>
  <si>
    <t>On completion of Piles</t>
  </si>
  <si>
    <t>On completion of Pile Cap</t>
  </si>
  <si>
    <t>For Approach Viaduct</t>
  </si>
  <si>
    <t>On completion of Wells</t>
  </si>
  <si>
    <t>On completion of Well Cap</t>
  </si>
  <si>
    <t>502 &amp; 503</t>
  </si>
  <si>
    <t>Construction of sub- structure; abutment/piers / lower pylon &amp; Construction of pier- cap/ pier table</t>
  </si>
  <si>
    <t>On completion of abutment / Pier / lower pylon</t>
  </si>
  <si>
    <t>On completion of pier-cap / pier table</t>
  </si>
  <si>
    <t>Construction of PSC Box girders/I-Girders in casting yard</t>
  </si>
  <si>
    <t>Casting of Girders in the precast yard</t>
  </si>
  <si>
    <t>Erection of Girders at site</t>
  </si>
  <si>
    <t>Supply of material at site for Girders</t>
  </si>
  <si>
    <t>Final stressing of Girders at site</t>
  </si>
  <si>
    <t>Installation of PSC Box girders/I-Girders at site including installation of Post Tensioning for completion of deck</t>
  </si>
  <si>
    <t>Casting of Deck Panel</t>
  </si>
  <si>
    <t>Deck Panel Erection</t>
  </si>
  <si>
    <t>Deck Slab Casting</t>
  </si>
  <si>
    <t>Installation of bearings and expansion joints</t>
  </si>
  <si>
    <t>Bearings - Material Testing and Procurement</t>
  </si>
  <si>
    <t>Construction of Crash Barriers and Hand Railings</t>
  </si>
  <si>
    <t>Hand Railing</t>
  </si>
  <si>
    <t>1st Layer of Wearing Course</t>
  </si>
  <si>
    <t>Final Layer of Wearing Course</t>
  </si>
  <si>
    <t>Completion of balance ancillary and river training work, Embankment/ abutment protection works and other miscellaneous works for handing over</t>
  </si>
  <si>
    <t>Subbase Course &amp; Base Course</t>
  </si>
  <si>
    <t>Subbase Course</t>
  </si>
  <si>
    <t>Base Course</t>
  </si>
  <si>
    <t>Bituminous Base Course</t>
  </si>
  <si>
    <t>Construction of Piles</t>
  </si>
  <si>
    <t>Construction of Raft</t>
  </si>
  <si>
    <t>Construction of Pile Cap</t>
  </si>
  <si>
    <t>Construction of sub-structure; abutment/ piers/ lower pylon</t>
  </si>
  <si>
    <t>Construction of Abutment / Pier</t>
  </si>
  <si>
    <t>Construction of Wall</t>
  </si>
  <si>
    <t>Construction of Abutment / Pier cap</t>
  </si>
  <si>
    <t>Supply of material at site for each span</t>
  </si>
  <si>
    <t>Final stressing of each span at site</t>
  </si>
  <si>
    <t>Construction of superstructure</t>
  </si>
  <si>
    <t>Casting of Girders at Casting Yard</t>
  </si>
  <si>
    <t>Erection of Girders</t>
  </si>
  <si>
    <t>Completion of  I girder Slab</t>
  </si>
  <si>
    <t>Completion of  Box Slab</t>
  </si>
  <si>
    <t>Construction of Crash Barriers &amp; Hand Railing</t>
  </si>
  <si>
    <t>Earthwork up to top of the sub-grade</t>
  </si>
  <si>
    <t>Embankment</t>
  </si>
  <si>
    <t>Subgrade</t>
  </si>
  <si>
    <t>Sub Base Course</t>
  </si>
  <si>
    <t>Non-Bituminous Base Course</t>
  </si>
  <si>
    <t>1st Layer</t>
  </si>
  <si>
    <t>Final Layer</t>
  </si>
  <si>
    <t>Wearing Coat</t>
  </si>
  <si>
    <t>Construction of earth retaining structures, culvert &amp; minor structures</t>
  </si>
  <si>
    <t>Completion of the main structural works excluding finishing works - Culverts</t>
  </si>
  <si>
    <t>Construction of Retaining wall</t>
  </si>
  <si>
    <t>Construction of Toe wall</t>
  </si>
  <si>
    <t>Construction of Road Side Drainage</t>
  </si>
  <si>
    <t>Completion of all finishing works such as parapet wall, return walls, crash barrier etc.</t>
  </si>
  <si>
    <t>Completion of other balance works e.g. marking, signage’s, lighting etc</t>
  </si>
  <si>
    <t>Lighting - Installation</t>
  </si>
  <si>
    <t>Lighting - Testing</t>
  </si>
  <si>
    <t>Institutional Strengthening, Trainings and Capacity Building as per Employers Requirement, Seminar, Workshop, Exhibitions</t>
  </si>
  <si>
    <t>Training &amp; Capacity Building</t>
  </si>
  <si>
    <t>International Seminar / Exposure Trip</t>
  </si>
  <si>
    <t>Institutional Strengthening and Capacity Building in Design &amp; Planning</t>
  </si>
  <si>
    <t>Laptop</t>
  </si>
  <si>
    <t>Software</t>
  </si>
  <si>
    <t>Printer</t>
  </si>
  <si>
    <t>Plotter</t>
  </si>
  <si>
    <t>Dispute Board (DB) cost and expenses</t>
  </si>
  <si>
    <t>Dispute Board</t>
  </si>
  <si>
    <t>Total Amount (Excl. Provisional Sum)</t>
  </si>
  <si>
    <t>Total Amount of Provisional Sum</t>
  </si>
  <si>
    <t>Total Amount</t>
  </si>
  <si>
    <t>Net Off GST</t>
  </si>
  <si>
    <t>Item No.</t>
  </si>
  <si>
    <t>page No</t>
  </si>
  <si>
    <t>UoM</t>
  </si>
  <si>
    <t>Location</t>
  </si>
  <si>
    <t>Executed Quantity</t>
  </si>
  <si>
    <t>RFI No. / Letter No.</t>
  </si>
  <si>
    <t>Date</t>
  </si>
  <si>
    <t>IPC No.</t>
  </si>
  <si>
    <t>Signed date</t>
  </si>
  <si>
    <t>Remarks</t>
  </si>
  <si>
    <t>406.a / 
407.c</t>
  </si>
  <si>
    <t>Precast - Box girder segments</t>
  </si>
  <si>
    <t>Palashbari</t>
  </si>
  <si>
    <t>MPSB/MB/244</t>
  </si>
  <si>
    <t>P17-BP-S32a-O</t>
  </si>
  <si>
    <t>506.a.1</t>
  </si>
  <si>
    <t>For Wetland Viaduct - Casting of Deck Panel</t>
  </si>
  <si>
    <t>Sualkuchi</t>
  </si>
  <si>
    <t>MPSB/Str/4959</t>
  </si>
  <si>
    <t>PL10 to PL11</t>
  </si>
  <si>
    <t>502 &amp; 503.a.2</t>
  </si>
  <si>
    <t>For Wetland Viaduct - On completion of pier-cap / pier table</t>
  </si>
  <si>
    <t>MPSB/Str/4967</t>
  </si>
  <si>
    <t>Km 10+636 - PR1 - Piercap</t>
  </si>
  <si>
    <t>505.a.3</t>
  </si>
  <si>
    <t>For Wetland Viaduct - Final stressing of Girders at site</t>
  </si>
  <si>
    <t>MPSB/Str/5077</t>
  </si>
  <si>
    <t>WV2-P3-P4-G2</t>
  </si>
  <si>
    <t>506.a.2</t>
  </si>
  <si>
    <t>For Wetland Viaduct - Deck Panel Erection</t>
  </si>
  <si>
    <t>MPSB/Str/5079</t>
  </si>
  <si>
    <t>PL9 to PL12</t>
  </si>
  <si>
    <t>507.a.2</t>
  </si>
  <si>
    <t>For Wetland Viaduct - Bearings - Installation</t>
  </si>
  <si>
    <t>MPSB/Sur/3725</t>
  </si>
  <si>
    <t>PR20</t>
  </si>
  <si>
    <t>MPSB/Str/5081</t>
  </si>
  <si>
    <t>PL1 to PL2</t>
  </si>
  <si>
    <t>MPSB/Sur/3726</t>
  </si>
  <si>
    <t>PR21</t>
  </si>
  <si>
    <t>MPSB/Str/5092</t>
  </si>
  <si>
    <t>WV2-P3-P4-G3</t>
  </si>
  <si>
    <t>403.a</t>
  </si>
  <si>
    <t>MPSB/Str/5108</t>
  </si>
  <si>
    <t>P7 - Lower Pylon - 2nd Lift</t>
  </si>
  <si>
    <t>MPSB/Str/5101</t>
  </si>
  <si>
    <t>P25 - Lower Pylon - 2nd Lift</t>
  </si>
  <si>
    <t>MPSB/MB/2089</t>
  </si>
  <si>
    <t>P16-KS-S09-M</t>
  </si>
  <si>
    <t>MPSB/MB/2090</t>
  </si>
  <si>
    <t>P9-BP-S04a-O</t>
  </si>
  <si>
    <t>MPSB/MB/2087</t>
  </si>
  <si>
    <t>P15-BP-S10-O</t>
  </si>
  <si>
    <t>504.a.1</t>
  </si>
  <si>
    <t>For Wetland Viaduct - Casting of Girders in the precast yard</t>
  </si>
  <si>
    <t>MPSB/Str/5105</t>
  </si>
  <si>
    <t>WV1-P1-P2-G3</t>
  </si>
  <si>
    <t>MPSB/MB/2101</t>
  </si>
  <si>
    <t>P9-KS-S32-O</t>
  </si>
  <si>
    <t>501.b.3</t>
  </si>
  <si>
    <t>For Approach Viaduct - On completion of Pile Cap</t>
  </si>
  <si>
    <t>MPSB/Str/5098</t>
  </si>
  <si>
    <t>Km 9+352 - PL34 - Pilecap</t>
  </si>
  <si>
    <t>406.a / 
407.c / 
408.c</t>
  </si>
  <si>
    <t>MPSB/MB/2107</t>
  </si>
  <si>
    <t>P21-KS-S33-O©</t>
  </si>
  <si>
    <t>MPSB/MB/2113</t>
  </si>
  <si>
    <t>P21-BP-S25a-O©</t>
  </si>
  <si>
    <t>501.b.2</t>
  </si>
  <si>
    <t>For Approach Viaduct - On completion of Well</t>
  </si>
  <si>
    <t>MPSB/Str/5134</t>
  </si>
  <si>
    <t>P4 - 18th Lift</t>
  </si>
  <si>
    <t>MPSB/Sur/3761</t>
  </si>
  <si>
    <t>PR18</t>
  </si>
  <si>
    <t>MPSB/MB/2139</t>
  </si>
  <si>
    <t>P16-KS-S10-M©</t>
  </si>
  <si>
    <t>MPSB/Str/5112</t>
  </si>
  <si>
    <t>Km 10+230 - PL0 - Piercap</t>
  </si>
  <si>
    <t>505.b.3</t>
  </si>
  <si>
    <t>For Approach Viaduct - Final Stressing of Girders at site</t>
  </si>
  <si>
    <t>MPSB/Str/5148</t>
  </si>
  <si>
    <t>SAV-P2-P3-G1</t>
  </si>
  <si>
    <t>MPSB/Str/5149</t>
  </si>
  <si>
    <t>SAV-P2-P3-G2</t>
  </si>
  <si>
    <t>MPSB/Str/5135</t>
  </si>
  <si>
    <t>PL0 to PL1</t>
  </si>
  <si>
    <t>MPSB/MB/2109</t>
  </si>
  <si>
    <t>P16-BP-S17-M</t>
  </si>
  <si>
    <t>MPSB/MB/2118</t>
  </si>
  <si>
    <t>P22-BP-S04-E</t>
  </si>
  <si>
    <t>MPSB/MB/2116</t>
  </si>
  <si>
    <t>P15-BP-S11-O©</t>
  </si>
  <si>
    <t>MPSB/Str/5118</t>
  </si>
  <si>
    <t>Km 10+230 - PR0 - Piercap</t>
  </si>
  <si>
    <t>504.b.1</t>
  </si>
  <si>
    <t>For Approach Viaduct - Casting of Girders in the precast yard</t>
  </si>
  <si>
    <t>MPSB/Str/5130</t>
  </si>
  <si>
    <t>SAV-P5-P6-G8</t>
  </si>
  <si>
    <t>MPSB/Str/5144</t>
  </si>
  <si>
    <t>PR19 to PR20</t>
  </si>
  <si>
    <t>706.a</t>
  </si>
  <si>
    <t>MPSB/Str/5143</t>
  </si>
  <si>
    <t>Km 4+154</t>
  </si>
  <si>
    <t>MPSB/Str/5128</t>
  </si>
  <si>
    <t>P29 - Lower Pylon - Starter</t>
  </si>
  <si>
    <t>504.a.2</t>
  </si>
  <si>
    <t>For Wetland Viaduct - Erection of Girders at site</t>
  </si>
  <si>
    <t>MPSB/Str/5091</t>
  </si>
  <si>
    <t>WV2-P15-P16 (G5 to G8)</t>
  </si>
  <si>
    <t>MPSB/MB/2133</t>
  </si>
  <si>
    <t>P9-BP-S05a-O</t>
  </si>
  <si>
    <t>MPSB/MB/2138</t>
  </si>
  <si>
    <t>P21-KS-S34-O</t>
  </si>
  <si>
    <t>MPSB/MB/2154</t>
  </si>
  <si>
    <t>P22-BP-S05-E</t>
  </si>
  <si>
    <t>MPSB/MB/2137</t>
  </si>
  <si>
    <t>P21-BP-S21a-O©</t>
  </si>
  <si>
    <t>MPSB/Str/5138</t>
  </si>
  <si>
    <t>WV1-P1-P2-G2</t>
  </si>
  <si>
    <t>MPSB/Str/5151</t>
  </si>
  <si>
    <t>P8 - Lower Pylon - 7th Lift</t>
  </si>
  <si>
    <t>MPSB/MB/2140</t>
  </si>
  <si>
    <t>P9-KS-S33-O©</t>
  </si>
  <si>
    <t>MPSB/MB/2149</t>
  </si>
  <si>
    <t>P16-BP-S18-M</t>
  </si>
  <si>
    <t>MPSB/Str/5160</t>
  </si>
  <si>
    <t>SAV-P5-P6-G7</t>
  </si>
  <si>
    <t>MPSB/MB/2159</t>
  </si>
  <si>
    <t>P21-BP-S26a-O</t>
  </si>
  <si>
    <t>MPSB/MB/2144</t>
  </si>
  <si>
    <t>P24-KS-S01-M</t>
  </si>
  <si>
    <t>MPSB/Str/5161</t>
  </si>
  <si>
    <t>WV1-P2-P3-G2</t>
  </si>
  <si>
    <t>MPSB/Str/5156</t>
  </si>
  <si>
    <t>WV2-P6-P7 (G1 to G4)</t>
  </si>
  <si>
    <t>502 &amp; 503.b.1</t>
  </si>
  <si>
    <t>For Approach Viaduct - On completion of abutment / Pier / lower pylon</t>
  </si>
  <si>
    <t>MPSB/Str/5158</t>
  </si>
  <si>
    <t>Km 9+352 - PL34 - Pier</t>
  </si>
  <si>
    <t>MPSB/MB/2156</t>
  </si>
  <si>
    <t>P15-BP-S12-O</t>
  </si>
  <si>
    <t>MPSB/MB/2166</t>
  </si>
  <si>
    <t>P9-BP-S06a-O</t>
  </si>
  <si>
    <t>MPSB/MB/2167</t>
  </si>
  <si>
    <t>P16-KS-S11-M</t>
  </si>
  <si>
    <t>MPSB/Str/5177</t>
  </si>
  <si>
    <t>WV1-P2-P3-G8</t>
  </si>
  <si>
    <t>MPSB/Str/5182</t>
  </si>
  <si>
    <t>SAV-P5-P6-G6</t>
  </si>
  <si>
    <t>MPSB/Str/5176</t>
  </si>
  <si>
    <t>P29 - Lower Pylon - 1st Lift</t>
  </si>
  <si>
    <t>MPSB/MB/2171</t>
  </si>
  <si>
    <t>P9-KS-S34-O</t>
  </si>
  <si>
    <t>MPSB/Str/5179</t>
  </si>
  <si>
    <t>WV1-P1-P2-G1</t>
  </si>
  <si>
    <t>MPSB/MB/2183</t>
  </si>
  <si>
    <t>P9-BP-S07a-O</t>
  </si>
  <si>
    <t>MPSB/MB/2179</t>
  </si>
  <si>
    <t>P21-BP-S27a-O©</t>
  </si>
  <si>
    <t>MPSB/MB/2192</t>
  </si>
  <si>
    <t>P15-BP-S13-O©</t>
  </si>
  <si>
    <t>MPSB/MB/2178</t>
  </si>
  <si>
    <t>P22-BP-S06-E</t>
  </si>
  <si>
    <t>MPSB/Str/5191</t>
  </si>
  <si>
    <t>SAV-P1R-P2R-G2</t>
  </si>
  <si>
    <t>MPSB/Str/5192</t>
  </si>
  <si>
    <t>SAV-P1R-P2R-G3</t>
  </si>
  <si>
    <t>MPSB/Str/5184</t>
  </si>
  <si>
    <t>Km 9+316 - PR33 - Pier</t>
  </si>
  <si>
    <t>MPSB/Str/5186</t>
  </si>
  <si>
    <t>WV1-P2-P3-G7</t>
  </si>
  <si>
    <t>MPSB/Str/5189</t>
  </si>
  <si>
    <t>WV1-P2-P3-G3</t>
  </si>
  <si>
    <t>MPSB/MB/2196</t>
  </si>
  <si>
    <t>P21-BP-S28a-O</t>
  </si>
  <si>
    <t>MPSB/MB/2195</t>
  </si>
  <si>
    <t>P24-KS-S02-M</t>
  </si>
  <si>
    <t>MPSB/Str/5188</t>
  </si>
  <si>
    <t>WV2-P5-P6 (G1 to G4)</t>
  </si>
  <si>
    <t>MPSB/Str/5194</t>
  </si>
  <si>
    <t>SAV-P5-P6-G5</t>
  </si>
  <si>
    <t>MPSB/MB/2182</t>
  </si>
  <si>
    <t>P16-KS-S12-M©</t>
  </si>
  <si>
    <t>MPSB/Str/5211</t>
  </si>
  <si>
    <t>SAV-P1R-P2R-G1</t>
  </si>
  <si>
    <t>402.c</t>
  </si>
  <si>
    <t>MPSB/Str/5219</t>
  </si>
  <si>
    <t>P24 - Well Cap</t>
  </si>
  <si>
    <t>MPSB/MB/2211</t>
  </si>
  <si>
    <t>P15-BP-S14-O</t>
  </si>
  <si>
    <t>MPSB/MB/2214</t>
  </si>
  <si>
    <t>P21-BP-S29a-O©</t>
  </si>
  <si>
    <t>MPSB/Str/5222</t>
  </si>
  <si>
    <t>WV1-P0-P1-G7</t>
  </si>
  <si>
    <t>MPSB/Str/5213</t>
  </si>
  <si>
    <t>PR18 to PR19</t>
  </si>
  <si>
    <t>MPSB/Str/5212</t>
  </si>
  <si>
    <t>PR17 to PR18</t>
  </si>
  <si>
    <t>506.a.3</t>
  </si>
  <si>
    <t>For Wetland Viaduct - Deck Slab casting</t>
  </si>
  <si>
    <t>MPSB/Str/5197</t>
  </si>
  <si>
    <t>MPSB/Str/5235</t>
  </si>
  <si>
    <t>P26 - Lower Pylon - 4th Lift</t>
  </si>
  <si>
    <t>MPSB/Str/5231</t>
  </si>
  <si>
    <t>P29 - Lower Pylon - 2nd Lift</t>
  </si>
  <si>
    <t>MPSB/MB/2218</t>
  </si>
  <si>
    <t>P9-BP-S08a-O</t>
  </si>
  <si>
    <t>MPSB/MB/2210</t>
  </si>
  <si>
    <t>P16-KS-S13-M</t>
  </si>
  <si>
    <t>MPSB/Str/5216</t>
  </si>
  <si>
    <t>WV1-P1-P2-G4</t>
  </si>
  <si>
    <t>MPSB/Str/5136</t>
  </si>
  <si>
    <t>WV1-P2-P3-G4</t>
  </si>
  <si>
    <t>MPSB/Str/5208</t>
  </si>
  <si>
    <t>WV2-P4-P5 (G1 to G4)</t>
  </si>
  <si>
    <t>MPSB/Str/5225</t>
  </si>
  <si>
    <t>WV2-P3-P4-G1</t>
  </si>
  <si>
    <t>MPSB/Str/5226</t>
  </si>
  <si>
    <t>WV2-P1-P2-G1</t>
  </si>
  <si>
    <t>204.e.ii.3</t>
  </si>
  <si>
    <t>Approach Viaduct - Substructure - Issue of GFC Drawings</t>
  </si>
  <si>
    <t>HBT/1624/SO/DGV/2026/1771</t>
  </si>
  <si>
    <t>2 / 16 Nos. - Approved - SAV - P1R &amp; P2R, NAV - P32R &amp; P33R - Balance 50% released</t>
  </si>
  <si>
    <t>MPSB/MB/2232</t>
  </si>
  <si>
    <t>P15-BP-S15-O©</t>
  </si>
  <si>
    <t>MPSB/MB/2231</t>
  </si>
  <si>
    <t>P15-KS-S09a-O©</t>
  </si>
  <si>
    <t>MPSB/MB/2244</t>
  </si>
  <si>
    <t>P16-KS-S14-M©</t>
  </si>
  <si>
    <t>MPSB/MB/2238</t>
  </si>
  <si>
    <t>P19-KS-S09a-O©</t>
  </si>
  <si>
    <t>MPSB/MB/2239</t>
  </si>
  <si>
    <t>P21-BP-S31a-O©</t>
  </si>
  <si>
    <t>MPSB/MB/2246</t>
  </si>
  <si>
    <t>P15-KS-S10a-O</t>
  </si>
  <si>
    <t>MPSB/MB/2243</t>
  </si>
  <si>
    <t>P15-BP-S22-O</t>
  </si>
  <si>
    <t>MPSB/MB/2235</t>
  </si>
  <si>
    <t>P21-BP-S30a-O</t>
  </si>
  <si>
    <t>MPSB/MB/2225</t>
  </si>
  <si>
    <t>P24-KS-S03-M</t>
  </si>
  <si>
    <t>MPSB/MB/2241</t>
  </si>
  <si>
    <t>P24-KS-S04-M</t>
  </si>
  <si>
    <t>502 &amp; 503.b.2</t>
  </si>
  <si>
    <t>For Approach Viaduct - On completion of pier-cap / pier table</t>
  </si>
  <si>
    <t>MPSB/Str/5228</t>
  </si>
  <si>
    <t>Km 9+424 - PL36 - Piercap</t>
  </si>
  <si>
    <t>MPSB/Str/5224</t>
  </si>
  <si>
    <t>WV1-P0-P1-G3</t>
  </si>
  <si>
    <t>MPSB/Str/5243</t>
  </si>
  <si>
    <t>WV1-P2-P3-G6</t>
  </si>
  <si>
    <t>MPSB/Str/5247</t>
  </si>
  <si>
    <t>WV1-P2-P3-G1</t>
  </si>
  <si>
    <t>MPSB/Str/5249</t>
  </si>
  <si>
    <t>WV1-P2-P3-G5</t>
  </si>
  <si>
    <t>MPSB/Str/5251</t>
  </si>
  <si>
    <t>WV2-P10-P11-G8</t>
  </si>
  <si>
    <t>MPSB/Str/5229</t>
  </si>
  <si>
    <t>WV2-P3-P4 (G1 to G4)</t>
  </si>
  <si>
    <t>MPSB/Str/5254</t>
  </si>
  <si>
    <t>PR16 to PR17</t>
  </si>
  <si>
    <t>408.b</t>
  </si>
  <si>
    <t>As per Annexures</t>
  </si>
  <si>
    <t>Schedule 1 - Preliminaries and General Items</t>
  </si>
  <si>
    <t>Measurement Sheet</t>
  </si>
  <si>
    <t>RFI No. / Letter No. / Period</t>
  </si>
  <si>
    <t>Bill No.</t>
  </si>
  <si>
    <t>101.a</t>
  </si>
  <si>
    <t>MPSB/Temp/2</t>
  </si>
  <si>
    <t>IPC - 02</t>
  </si>
  <si>
    <t>MPSB/Temp/4</t>
  </si>
  <si>
    <t>MPSB/Temp/15</t>
  </si>
  <si>
    <t>MPSB/Temp/21</t>
  </si>
  <si>
    <t>Cumulative paid upto this Bill</t>
  </si>
  <si>
    <t>Paid upto previous Bill</t>
  </si>
  <si>
    <t>To be paid in this Bill</t>
  </si>
  <si>
    <t>101.b</t>
  </si>
  <si>
    <t>Plinth</t>
  </si>
  <si>
    <t>MPSB/Temp/5</t>
  </si>
  <si>
    <t>MPSB/Temp/39</t>
  </si>
  <si>
    <t>IPC - 03</t>
  </si>
  <si>
    <t>101.c</t>
  </si>
  <si>
    <t>Walls</t>
  </si>
  <si>
    <t>MPSB/Temp/11</t>
  </si>
  <si>
    <t>MPSB/Temp/51</t>
  </si>
  <si>
    <t>101.d</t>
  </si>
  <si>
    <t>Roof</t>
  </si>
  <si>
    <t>MPSB/Temp/18</t>
  </si>
  <si>
    <t>MPSB/Temp/52</t>
  </si>
  <si>
    <t>101.e</t>
  </si>
  <si>
    <t>Flooring</t>
  </si>
  <si>
    <t>MPSB/Temp/24</t>
  </si>
  <si>
    <t>MPSB/Temp/62</t>
  </si>
  <si>
    <t>101.f.i</t>
  </si>
  <si>
    <t>Finishing Works - Electrical &amp; Sanitary Works</t>
  </si>
  <si>
    <t>MPSB/Temp/43</t>
  </si>
  <si>
    <t>MPSB/Temp/64 A</t>
  </si>
  <si>
    <t>IPC - 04</t>
  </si>
  <si>
    <t>MPSB/Temp/87</t>
  </si>
  <si>
    <t>IPC - 05</t>
  </si>
  <si>
    <t>101.f.ii.1</t>
  </si>
  <si>
    <t>Finishing Works - Office Furniture - Executive Office Desk</t>
  </si>
  <si>
    <t>MPSB/Temp/48</t>
  </si>
  <si>
    <t>MPSB/Temp/74</t>
  </si>
  <si>
    <t>101.f.ii.2</t>
  </si>
  <si>
    <t>Finishing Works - Office Furniture - Executive Chairs</t>
  </si>
  <si>
    <t>101.f.ii.3</t>
  </si>
  <si>
    <t>Finishing Works - Office Furniture - Visitors Chairs</t>
  </si>
  <si>
    <t>101.f.ii.4</t>
  </si>
  <si>
    <t>Finishing Works - Office Furniture - Conference Table</t>
  </si>
  <si>
    <t>101.f.ii.5</t>
  </si>
  <si>
    <t>Finishing Works - Office Furniture - Conference Chairs</t>
  </si>
  <si>
    <t>101.f.ii.6</t>
  </si>
  <si>
    <t>Finishing Works - Office Furniture - Projector and Monitor in Conference Room</t>
  </si>
  <si>
    <t>MPSB/Temp/78</t>
  </si>
  <si>
    <t>101.f.ii.7</t>
  </si>
  <si>
    <t>Finishing Works - Office Furniture - Display Arrangement</t>
  </si>
  <si>
    <t>101.f.ii.8</t>
  </si>
  <si>
    <t>Finishing Works - Office Furniture - Steel Almirah &amp; Racks</t>
  </si>
  <si>
    <t>101.f.ii.9</t>
  </si>
  <si>
    <t>Finishing Works - Office Furniture - Domestic Water Purifier</t>
  </si>
  <si>
    <t>101.f.iii.1</t>
  </si>
  <si>
    <t>Finishing Works - Office Equipment - Laptops</t>
  </si>
  <si>
    <t>MPSB/Temp/80</t>
  </si>
  <si>
    <t>101.f.iii.2</t>
  </si>
  <si>
    <t>Finishing Works - Office Equipment - Colour Printer</t>
  </si>
  <si>
    <t>102.a.i</t>
  </si>
  <si>
    <t>Foundation - Office</t>
  </si>
  <si>
    <t>MPSB/Temp/1</t>
  </si>
  <si>
    <t>MPSB/Temp/3</t>
  </si>
  <si>
    <t>102.a.ii</t>
  </si>
  <si>
    <t>Foundation - Laboratory</t>
  </si>
  <si>
    <t>MPSB/Temp/54</t>
  </si>
  <si>
    <t>MPSB/Temp/82</t>
  </si>
  <si>
    <t>102.a.iii.1</t>
  </si>
  <si>
    <t>Foundation - Labour Camp - Building</t>
  </si>
  <si>
    <t>MPSB/Temp/6</t>
  </si>
  <si>
    <t>MPSB/Temp/9</t>
  </si>
  <si>
    <t>MPSB/Temp/14</t>
  </si>
  <si>
    <t>MPSB/Temp/17</t>
  </si>
  <si>
    <t>102.a.iii.2</t>
  </si>
  <si>
    <t>Foundation - Labour Camp - Kitchen</t>
  </si>
  <si>
    <t>MPSB/Temp/12</t>
  </si>
  <si>
    <t>MPSB/Temp/13</t>
  </si>
  <si>
    <t>102.b.i</t>
  </si>
  <si>
    <t>Plinth - Office</t>
  </si>
  <si>
    <t>MPSB/Temp/8</t>
  </si>
  <si>
    <t>102.b.ii</t>
  </si>
  <si>
    <t>Plinth - Laboratory</t>
  </si>
  <si>
    <t>MPSB/Temp/55</t>
  </si>
  <si>
    <t>MPSB/Temp/86</t>
  </si>
  <si>
    <t>102.b.iii.1</t>
  </si>
  <si>
    <t>Plinth - Labour Camp - Building</t>
  </si>
  <si>
    <t>MPSB/Temp/23</t>
  </si>
  <si>
    <t>MPSB/Temp/28</t>
  </si>
  <si>
    <t>MPSB/Temp/31</t>
  </si>
  <si>
    <t>102.b.iii.2</t>
  </si>
  <si>
    <t>Plinth - Labour Camp - Kitchen</t>
  </si>
  <si>
    <t>MPSB/Temp/19</t>
  </si>
  <si>
    <t>MPSB/Temp/20</t>
  </si>
  <si>
    <t>MPSB/Temp/27</t>
  </si>
  <si>
    <t>102.c.i</t>
  </si>
  <si>
    <t>Walls - Office</t>
  </si>
  <si>
    <t>MPSB/Temp/16</t>
  </si>
  <si>
    <t>102.c.ii</t>
  </si>
  <si>
    <t>Walls - Laboratory</t>
  </si>
  <si>
    <t>MPSB/Temp/56</t>
  </si>
  <si>
    <t>MPSB/Temp/88</t>
  </si>
  <si>
    <t>102.c.iii.1</t>
  </si>
  <si>
    <t>Walls - Labour Camp - Building</t>
  </si>
  <si>
    <t>MPSB/Temp/65</t>
  </si>
  <si>
    <t>MPSB/Temp/70</t>
  </si>
  <si>
    <t>MPSB/Temp/99</t>
  </si>
  <si>
    <t>IPC - 07</t>
  </si>
  <si>
    <t>102.c.iii.2</t>
  </si>
  <si>
    <t>Walls - Labour Camp - Kitchen</t>
  </si>
  <si>
    <t>MPSB/Temp/25</t>
  </si>
  <si>
    <t>MPSB/Temp/26</t>
  </si>
  <si>
    <t>102.d.i</t>
  </si>
  <si>
    <t>Roof - Office</t>
  </si>
  <si>
    <t>MPSB/Temp/22</t>
  </si>
  <si>
    <t>102.d.ii</t>
  </si>
  <si>
    <t>Roof - Laboratory</t>
  </si>
  <si>
    <t>MPSB/Temp/57</t>
  </si>
  <si>
    <t>MPSB/Temp/89</t>
  </si>
  <si>
    <t>102.d.iii.1</t>
  </si>
  <si>
    <t>Roof - Labour Camp - Building</t>
  </si>
  <si>
    <t>MPSB/Temp/66</t>
  </si>
  <si>
    <t>MPSB/Temp/85</t>
  </si>
  <si>
    <t>102.d.iii.2</t>
  </si>
  <si>
    <t>Roof - Labour Camp - Kitchen</t>
  </si>
  <si>
    <t>MPSB/Temp/73</t>
  </si>
  <si>
    <t>MPSB/Temp/90</t>
  </si>
  <si>
    <t>102.e.i</t>
  </si>
  <si>
    <t>Flooring - Office</t>
  </si>
  <si>
    <t>MPSB/Temp/29</t>
  </si>
  <si>
    <t>102.e.ii</t>
  </si>
  <si>
    <t>Flooring - Laboratory</t>
  </si>
  <si>
    <t>MPSB/Temp/58</t>
  </si>
  <si>
    <t>MPSB/Temp/111</t>
  </si>
  <si>
    <t>IPC - 08</t>
  </si>
  <si>
    <t>102.e.iii.1</t>
  </si>
  <si>
    <t>Flooring - Labour Camp - Building</t>
  </si>
  <si>
    <t>MPSB/Temp/68</t>
  </si>
  <si>
    <t>MPSB/Temp/69</t>
  </si>
  <si>
    <t>102.e.iii.2</t>
  </si>
  <si>
    <t>Flooring - Labour Camp - Kitchen</t>
  </si>
  <si>
    <t>MPSB/Temp/46</t>
  </si>
  <si>
    <t>MPSB/Temp/84</t>
  </si>
  <si>
    <t>102.f.i</t>
  </si>
  <si>
    <t>Finishing Works - Office</t>
  </si>
  <si>
    <t>MPSB/Temp/67</t>
  </si>
  <si>
    <t>102.f.ii.1</t>
  </si>
  <si>
    <t>Finishing Works - Laboratory - Civil Works</t>
  </si>
  <si>
    <t>MPSB/Temp/59</t>
  </si>
  <si>
    <t>SualKuchi</t>
  </si>
  <si>
    <t>MPSB/Temp/115</t>
  </si>
  <si>
    <t>102.f.ii.2</t>
  </si>
  <si>
    <t>Finishing Works - Laboratory - Lab Equipment</t>
  </si>
  <si>
    <t>MPSB/QAQC/32</t>
  </si>
  <si>
    <t>MPSB/QAQC/63</t>
  </si>
  <si>
    <t>102.f.iii.1</t>
  </si>
  <si>
    <t>Finishing Works - Labour Camps - Building</t>
  </si>
  <si>
    <t>MPSB/Temp/75</t>
  </si>
  <si>
    <t>MPSB/Temp/93</t>
  </si>
  <si>
    <t>102.f.iii.2</t>
  </si>
  <si>
    <t>Finishing Works - Labour Camps - Kitchen</t>
  </si>
  <si>
    <t>MPSB/Temp/76</t>
  </si>
  <si>
    <t>MPSB/Temp/94</t>
  </si>
  <si>
    <t>103.a</t>
  </si>
  <si>
    <t>MPSB/Misc./2
Jun'24 - Aug'24 (Q1)</t>
  </si>
  <si>
    <t>MPSB/Misc./3
Jun'24 - Aug'24 (Q1)</t>
  </si>
  <si>
    <t>MPSB/Misc./19
Sep'24 - Dec'24 (Q2)</t>
  </si>
  <si>
    <t>IPC - 09</t>
  </si>
  <si>
    <t>MPSB/Misc./20
Sep'24 - Dec'24 (Q2)</t>
  </si>
  <si>
    <t>MPSB/Misc./30
Jan'25 - Mar'25 (Q3)</t>
  </si>
  <si>
    <t>IPC - 13</t>
  </si>
  <si>
    <t>MPSB/Misc./31
Jan'25 - Mar'25 (Q3)</t>
  </si>
  <si>
    <t>MPSB/Misc./44
Apr'25 - Jun'25 (Q4)</t>
  </si>
  <si>
    <t>IPC - 16</t>
  </si>
  <si>
    <t>MPSB/Misc./45
Apr'25 - Jun'25 (Q4)</t>
  </si>
  <si>
    <t>MPSB/Misc./60
Jul'25 - Sep'25 (Q1)</t>
  </si>
  <si>
    <t>IPC - 20</t>
  </si>
  <si>
    <t>MPSB/Misc./61
Jul'25 - Sep'25 (Q1)</t>
  </si>
  <si>
    <t>MPSB/Misc./75
Oct'25 - Dec'25 (Q2)</t>
  </si>
  <si>
    <t>IPC - 25</t>
  </si>
  <si>
    <t>MPSB/Misc./76
Oct'25 - Dec'25 (Q2)</t>
  </si>
  <si>
    <t>MPSB/Misc./87
Jan'26 - Mar'26 (Q3)</t>
  </si>
  <si>
    <t>IPC - 29</t>
  </si>
  <si>
    <t>MPSB/Misc./88
Jan'26 - Mar'26 (Q3)</t>
  </si>
  <si>
    <t>MPSB/Misc./102
Apr'26 - Jun'26 (Q4)</t>
  </si>
  <si>
    <t>IPC - 33</t>
  </si>
  <si>
    <t>MPSB/Misc./103
Apr'26 - Jun'26 (Q4)</t>
  </si>
  <si>
    <t>103.b.i</t>
  </si>
  <si>
    <t>Vehicles - Bolero &amp; Scorpio</t>
  </si>
  <si>
    <t>MPSB/L&amp;T/TIIC/2024/294
Jun'24 - Aug'24 (Q1)</t>
  </si>
  <si>
    <t>MPSB/Misc./26
Sep'24 - Dec'24 (Q2)</t>
  </si>
  <si>
    <t>MPSB/Misc./37
Jan'25 - Mar'25 (Q3)</t>
  </si>
  <si>
    <t>MPSB/Misc./51
Apr'25 - Jun'25 (Q4)</t>
  </si>
  <si>
    <t>MPSB/Misc./67
Jul'25 - Sep'25 (Q1)</t>
  </si>
  <si>
    <t>MPSB/Misc./82
Oct'25 - Dec'25 (Q2)</t>
  </si>
  <si>
    <t>MPSB/Misc./94
Jan'25 - Mar'25 (Q3)</t>
  </si>
  <si>
    <t>MPSB/Misc./104
Apr'26 - Jun'26 (Q4)</t>
  </si>
  <si>
    <t>103.b.ii</t>
  </si>
  <si>
    <t>Vehicles - Speed Boat</t>
  </si>
  <si>
    <t>MPSB/L&amp;T/TIIC/2024/408
Jun'24 - Aug'24 (Q1)</t>
  </si>
  <si>
    <t>MPSB/Misc./27
Sep'24 - Dec'24 (Q2)</t>
  </si>
  <si>
    <t>MPSB/Misc./38
Jan'25 - Mar'25 (Q3)</t>
  </si>
  <si>
    <t>MPSB/Misc./52
Apr'25 - Jun'25 (Q4)</t>
  </si>
  <si>
    <t>MPSB/Misc./68
Jul'25 - Sep'25 (Q1)</t>
  </si>
  <si>
    <t>MPSB/Misc./83
Oct'25 - Dec'25 (Q2)</t>
  </si>
  <si>
    <t>MPSB/Misc./95
Jan'26 - Mar'26 (Q3)</t>
  </si>
  <si>
    <t>MPSB/Misc./105
Apr'26 - Jun'26 (Q4)</t>
  </si>
  <si>
    <t>103.b.iii</t>
  </si>
  <si>
    <t>Vehicles - Rescue Boat</t>
  </si>
  <si>
    <t>MPSB/Misc./28
Sep'24 - Dec'24 (Q2)</t>
  </si>
  <si>
    <t>MPSB/Misc./39
Jan'25 - Mar'25 (Q3)</t>
  </si>
  <si>
    <t>MPSB/Misc./53
Apr'25 - Jun'25 (Q4)</t>
  </si>
  <si>
    <t>MPSB/Misc./69
Jul'25 - Sep'25 (Q1)</t>
  </si>
  <si>
    <t>MPSB/Misc./84
Oct'25 - Dec'25 (Q2)</t>
  </si>
  <si>
    <t>MPSB/Misc./96
Jan'26 - Mar'26 (Q3)</t>
  </si>
  <si>
    <t>MPSB/Misc./106
Apr'26 - Jun'26 (Q4)</t>
  </si>
  <si>
    <t>103.c</t>
  </si>
  <si>
    <t>MPSB/Misc./4
Jun'24 - Aug'24 (Q1)</t>
  </si>
  <si>
    <t>MPSB/Misc./21
Sep'24 - Dec'24 (Q2)</t>
  </si>
  <si>
    <t>MPSB/Misc./32
Jan'25 - Mar'25 (Q3)</t>
  </si>
  <si>
    <t>MPSB/Misc./46
Apr'25 - Jun'25 (Q4)</t>
  </si>
  <si>
    <t>MPSB/Misc./62
Jul'25 - Sep'25 (Q1)</t>
  </si>
  <si>
    <t>MPSB/Misc./77
Oct'25 - Dec'25 (Q2)</t>
  </si>
  <si>
    <t>MPSB/Misc./89
Jan'26 - Mar'26 (Q3)</t>
  </si>
  <si>
    <t>MPSB/Misc./107
Apr'26 - Jun'26 (Q4)</t>
  </si>
  <si>
    <t>103.d</t>
  </si>
  <si>
    <t>MPSB/Misc./5
Jun'24 - Aug'24 (Q1)</t>
  </si>
  <si>
    <t>MPSB/Misc./6
Jun'24 - Aug'24 (Q1)</t>
  </si>
  <si>
    <t>MPSB/Misc./22
Sep'24 - Dec'24 (Q2)</t>
  </si>
  <si>
    <t>MPSB/Misc./23
Sep'24 - Dec'24 (Q2)</t>
  </si>
  <si>
    <t>MPSB/Misc./33
Jan'25 - Mar'25 (Q3)</t>
  </si>
  <si>
    <t>MPSB/Misc./34
Jan'25 - Mar'25 (Q3)</t>
  </si>
  <si>
    <t>MPSB/Misc./47
Apr'25 - Jun'25 (Q4)</t>
  </si>
  <si>
    <t>MPSB/Misc./48
Apr'25 - Jun'25 (Q4)</t>
  </si>
  <si>
    <t>MPSB/Misc./63
Jul'25 - Sep'25 (Q1)</t>
  </si>
  <si>
    <t>MPSB/Misc./64
Jul'25 - Sep'25 (Q1)</t>
  </si>
  <si>
    <t>MPSB/Misc./78
Oct'25 - Dec'25 (Q2)</t>
  </si>
  <si>
    <t>MPSB/Misc./79
Oct'25 - Dec'25 (Q2)</t>
  </si>
  <si>
    <t>MPSB/Misc./90
Jan'26 - Mar'26 (Q3)</t>
  </si>
  <si>
    <t>MPSB/Misc./91
Jan'26 - Mar'26 (Q3)</t>
  </si>
  <si>
    <t>MPSB/Misc./108
Apr'26 - Jun'26 (Q4)</t>
  </si>
  <si>
    <t>MPSB/Misc./109
Apr'26 - Jun'26 (Q4)</t>
  </si>
  <si>
    <t>103.e</t>
  </si>
  <si>
    <t>MPSB/Misc./7
Jun'24 - Aug'24 (Q1)</t>
  </si>
  <si>
    <t>MPSB/Misc./8
Jun'24 - Aug'24 (Q1)</t>
  </si>
  <si>
    <t>MPSB/Misc./24
Sep'24 - Dec'24 (Q2)</t>
  </si>
  <si>
    <t>MPSB/Misc./25
Sep'24 - Dec'24 (Q2)</t>
  </si>
  <si>
    <t>MPSB/Misc./35
Jan'25 - Mar'25 (Q3)</t>
  </si>
  <si>
    <t>MPSB/Misc./36
Jan'25 - Mar'25 (Q3)</t>
  </si>
  <si>
    <t>MPSB/Misc./49
Apr'25 - Jun'25 (Q4)</t>
  </si>
  <si>
    <t>MPSB/Misc./50
Apr'25 - Jun'25 (Q4)</t>
  </si>
  <si>
    <t>MPSB/Misc./65
Jul'25 - Sep'25 (Q1)</t>
  </si>
  <si>
    <t>MPSB/Misc./66
Jul'25 - Sep'25 (Q1)</t>
  </si>
  <si>
    <t>MPSB/Misc./80
Oct'25 - Dec'25 (Q2)</t>
  </si>
  <si>
    <t>MPSB/Misc./81
Oct'25 - Dec'25 (Q2)</t>
  </si>
  <si>
    <t>MPSB/Misc./92
Jan'26 - Mar'26 (Q3)</t>
  </si>
  <si>
    <t>MPSB/Misc./93
Jan'26 - Mar'26 (Q3)</t>
  </si>
  <si>
    <t>MPSB/Misc./110
Apr'26 - Jun'26 (Q4)</t>
  </si>
  <si>
    <t>MPSB/Misc./111
Apr'26 - Jun'26 (Q4)</t>
  </si>
  <si>
    <t>104.a</t>
  </si>
  <si>
    <t>Environmental Management Plan Implementation</t>
  </si>
  <si>
    <t>MPSB/HSE/11
Jun'24 - Dec'24 (H1)</t>
  </si>
  <si>
    <t>IPC - 22</t>
  </si>
  <si>
    <t>MPSB/HSE/28
Jan'25 - Jun'25 (H2)</t>
  </si>
  <si>
    <t>MPSB/HSE/55
Jul'25 - Dec'25 (H1)</t>
  </si>
  <si>
    <t>MPSB/HSE/81
Jan'26 - Jun'26 (H2)</t>
  </si>
  <si>
    <t>104.b.i</t>
  </si>
  <si>
    <t>Implementation of Environmental Monitoring Program - Ambient Air Quality</t>
  </si>
  <si>
    <t>MPSB/HSE/1
Jun'24 - Aug'24</t>
  </si>
  <si>
    <t>MPSB/HSE/2
Jun'24 - Aug'24</t>
  </si>
  <si>
    <t>MPSB/HSE/5
Sep'24 - Oct'24</t>
  </si>
  <si>
    <t>MPSB/HSE/6
Sep'24 - Oct'24</t>
  </si>
  <si>
    <t>MPSB/HSE/8
Nov'24 - Dec'24</t>
  </si>
  <si>
    <t>MPSB/HSE/9
Nov'24 - Dec'24</t>
  </si>
  <si>
    <t>MPSB/HSE/15
Jan'25 - Feb'25</t>
  </si>
  <si>
    <t>MPSB/HSE/16
Jan'25 - Feb'25</t>
  </si>
  <si>
    <t>MPSB/HSE/18
Mar'25 - Apr'25</t>
  </si>
  <si>
    <t>MPSB/HSE/19
Mar'25 - Apr'25</t>
  </si>
  <si>
    <t>MPSB/HSE/21
May'25 - Jun'25</t>
  </si>
  <si>
    <t>MPSB/HSE/20
May'25 - Jun'25</t>
  </si>
  <si>
    <t>MPSB/HSE/25
Jul'25 - Aug'25</t>
  </si>
  <si>
    <t>MPSB/HSE/26
Jul'25 - Aug'25</t>
  </si>
  <si>
    <t>MPSB/HSE/32
Sep'25 - Oct'25</t>
  </si>
  <si>
    <t>MPSB/HSE/33
Sep'25 - Oct'25</t>
  </si>
  <si>
    <t>MPSB/HSE/39
Nov'25 - Dec'25</t>
  </si>
  <si>
    <t>MPSB/HSE/40
Nov'25 - Dec'25</t>
  </si>
  <si>
    <t>MPSB/HSE/61
Jan'26 - Feb'26</t>
  </si>
  <si>
    <t>MPSB/HSE/62
Jan'26 - Feb'26</t>
  </si>
  <si>
    <t>MPSB/HSE/65
Mar'26 - Apr'26</t>
  </si>
  <si>
    <t>IPC - 30</t>
  </si>
  <si>
    <t>MPSB/HSE/66
Mar'26 - Apr'26</t>
  </si>
  <si>
    <t>MPSB/HSE/67
May'26 - Jun'26</t>
  </si>
  <si>
    <t>MPSB/HSE/68
May'26 - Jun'26</t>
  </si>
  <si>
    <t>104.b.ii</t>
  </si>
  <si>
    <t>Implementation of Environmental Monitoring Program - Noise Level</t>
  </si>
  <si>
    <t>104.b.iii</t>
  </si>
  <si>
    <t>Implementation of Environmental Monitoring Program - Water Quality</t>
  </si>
  <si>
    <t>104.b.iv</t>
  </si>
  <si>
    <t>Implementation of Environmental Monitoring Program - Soil Quality</t>
  </si>
  <si>
    <t>MPSB/HSE/8
Jun'24 - Dec'24 (H1)</t>
  </si>
  <si>
    <t>MPSB/HSE/9
Jun'24 - Dec'24 (H1)</t>
  </si>
  <si>
    <t>MPSB/HSE/21
Jan'25 - Jun'25 (H2)</t>
  </si>
  <si>
    <t>MPSB/HSE/20
Jan'25 - Jun'25 (H2)</t>
  </si>
  <si>
    <t>MPSB/HSE/39
Nov'25 - Dec'25 (H1)</t>
  </si>
  <si>
    <t>MPSB/HSE/40
Nov'25 - Dec'25 (H1)</t>
  </si>
  <si>
    <t>MPSB/HSE/67
Jan'26 - Jun'26 (H2)</t>
  </si>
  <si>
    <t>MPSB/HSE/68
Jan'26 - Jun'26 (H2)</t>
  </si>
  <si>
    <t>104.b.v</t>
  </si>
  <si>
    <t>Implementation of Environmental Monitoring Program - Ecology and Biodiversity</t>
  </si>
  <si>
    <t>MPSB/HSE/10
Jun'24 - Dec'24 (H1)</t>
  </si>
  <si>
    <t>MPSB/HSE/24
Jan'25 - Jun'25 (H2)</t>
  </si>
  <si>
    <t>MPSB/HSE/57
Jul'25 - Dec'25 (H1)</t>
  </si>
  <si>
    <t>MPSB/HSE/77
Jan'26 - Jun'26 (H2)</t>
  </si>
  <si>
    <t>104.c</t>
  </si>
  <si>
    <t>Compliance of Environmental Clearance Conditions - EC identification no. EC22B039AS197455</t>
  </si>
  <si>
    <t>MPSB/HSE/58
Jul'25 - Dec'25 (H1)</t>
  </si>
  <si>
    <t>MPSB/HSE/80
Jan'26 - Jun'26 (H2)</t>
  </si>
  <si>
    <t>104.d</t>
  </si>
  <si>
    <t>Implementation of Environmental Management Plan - For Aquatic Ecology and Dolphin Conservation</t>
  </si>
  <si>
    <t>MPSB/HSE/52
Jul'25 - Dec'25 (H1)</t>
  </si>
  <si>
    <t>MPSB/HSE/79
Jan'26 - Jun'26 (H2)</t>
  </si>
  <si>
    <t>104.e.i</t>
  </si>
  <si>
    <t>Dolphin Pinger for Dolphin Safety - Equipment Provision</t>
  </si>
  <si>
    <t>MPSB/Misc./18</t>
  </si>
  <si>
    <t>MPSB/Misc./99</t>
  </si>
  <si>
    <t>104.e.ii</t>
  </si>
  <si>
    <t>Dolphin Pinger for Dolphin Safety - Maintenance of Equipment</t>
  </si>
  <si>
    <t>MPSB/Misc./29
Jun'24 - Dec'24 (Q1 &amp; Q2)</t>
  </si>
  <si>
    <t>MPSB/Misc./42
Jan'25 - Mar'25 (Q3)</t>
  </si>
  <si>
    <t>MPSB/Misc./54
Apr'25 - Jun'25 (Q4)</t>
  </si>
  <si>
    <t>MPSB/Misc./70
Jul'25 - Sep'25 (Q1)</t>
  </si>
  <si>
    <t>MPSB/HSE/51
Oct'25 - Dec'25 (Q2)</t>
  </si>
  <si>
    <t>MPSB/Misc./86
Jan'26 - Mar'26 (Q3)</t>
  </si>
  <si>
    <t>MPSB/HSE/69
Apr'26 - Jun'26 (Q4)</t>
  </si>
  <si>
    <t>104.g.i</t>
  </si>
  <si>
    <t>EMP Provisions - Solid Waste Management accessories</t>
  </si>
  <si>
    <t>PMB-II-99/Misc.(N)/24/142
Jun'24 - Aug'24 (Q1)</t>
  </si>
  <si>
    <t>MPSB/HSE/34
Sep'24 - Dec'24 (Q2)</t>
  </si>
  <si>
    <t>MPSB/HSE/34
Jan'25 - Mar'25 (Q3)</t>
  </si>
  <si>
    <t>MPSB/HSE/34
Apr'25 - Jun'25 (Q4)</t>
  </si>
  <si>
    <t>MPSB/HSE/34
Jul'25 - Sep'25 (Q1)</t>
  </si>
  <si>
    <t>MPSB/HSE/53
Oct'25 - Dec'25 (Q2)</t>
  </si>
  <si>
    <t>MPSB/HSE/63
Jan'26 - Mar'26 (Q4)</t>
  </si>
  <si>
    <t>MPSB/HSE/76
Apr'26 - Jun'26 (Q4)</t>
  </si>
  <si>
    <t>104.g.ii</t>
  </si>
  <si>
    <t>EMP Provisions - Health and Occupational Safety Management Plan</t>
  </si>
  <si>
    <t>MPSB/L&amp;T/TIIC/2024/201
Jun'24 - Aug'24 (Q1)</t>
  </si>
  <si>
    <t>MPSB/HSE/54
Oct'25 - Dec'25 (Q2)</t>
  </si>
  <si>
    <t>MPSB/HSE/64
Jan'26 - Mar'26 (Q4)</t>
  </si>
  <si>
    <t>MPSB/HSE/78
Apr'26 - Jun'26 (Q4)</t>
  </si>
  <si>
    <t>104.g.iii</t>
  </si>
  <si>
    <t>EMP Provisions - Environmental Training Plan</t>
  </si>
  <si>
    <t>Jun'24 - Aug'24 (Q1)</t>
  </si>
  <si>
    <t>-</t>
  </si>
  <si>
    <t>104.g.iv</t>
  </si>
  <si>
    <t>EMP Provisions - Traffic Management Plan</t>
  </si>
  <si>
    <t>104.g.v</t>
  </si>
  <si>
    <t>EMP Provisions - Emergency Preparedness Plan</t>
  </si>
  <si>
    <t>104.g.vi</t>
  </si>
  <si>
    <t>EMP Provisions - Miscellaneous (repair and maintenance)</t>
  </si>
  <si>
    <t>104.h.i.1</t>
  </si>
  <si>
    <t>Provision of establishment of Sewage and Water Treatment Plant - Sewage Treatment Plant - Construction</t>
  </si>
  <si>
    <t>MPSB/Temp/117</t>
  </si>
  <si>
    <t>MPSB/Temp/118</t>
  </si>
  <si>
    <t>MPSB/Temp/143</t>
  </si>
  <si>
    <t>104.h.i.2</t>
  </si>
  <si>
    <t>Provision of establishment of Sewage and Water Treatment Plant - Sewage Treatment Plant - Maintenance</t>
  </si>
  <si>
    <t>MPSB/Temp/119
Sep'24 - Dec'24 (Q2)</t>
  </si>
  <si>
    <t>MPSB/Temp/120
Sep'24 - Dec'24 (Q2)</t>
  </si>
  <si>
    <t>MPSB/Temp/144
Jan'25 - Mar'25 (Q3)</t>
  </si>
  <si>
    <t>MPSB/Temp/145
Jan'25 - Mar'25 (Q3)</t>
  </si>
  <si>
    <t>MPSB/Temp/173
Apr'25 - Jun'25 (Q4)</t>
  </si>
  <si>
    <t>MPSB/Temp/174
Apr'25 - Jun'25 (Q4)</t>
  </si>
  <si>
    <t>MPSB/Temp/187
Jul'25 - Sep'25</t>
  </si>
  <si>
    <t>MPSB/Temp/188
Jul'25 - Sep'25</t>
  </si>
  <si>
    <t>MPSB/HSE/41
Oct'25 - Dec'25 (Q2)</t>
  </si>
  <si>
    <t>MPSB/HSE/42
Oct'25 - Dec'25 (Q2)</t>
  </si>
  <si>
    <t>MPSB/Temp/203
Jan'26 - Mar'26 (Q3)</t>
  </si>
  <si>
    <t>MPSB/Temp/204
Jan'26 - Mar'26 (Q3)</t>
  </si>
  <si>
    <t>MPSB/HSE/70
Apr'26 - Jun'26 (Q4)</t>
  </si>
  <si>
    <t>MPSB/HSE/71
Apr'26 - Jun'26 (Q4)</t>
  </si>
  <si>
    <t>104.h.ii.1</t>
  </si>
  <si>
    <t>Provision of establishment of Sewage and Water Treatment Plant - Waste Water Treatment Plant - Construction</t>
  </si>
  <si>
    <t>MPSB/Misc./97</t>
  </si>
  <si>
    <t>MPSB/Misc./98</t>
  </si>
  <si>
    <t>104.h.ii.2</t>
  </si>
  <si>
    <t>Provision of establishment of Sewage and Water Treatment Plant - Waste Water Treatment Plant - Maintenance</t>
  </si>
  <si>
    <t>MPSB/Temp/207
Jan'26 - Mar'26 (Q3)</t>
  </si>
  <si>
    <t>MPSB/Temp/208
Jan'26 - Mar'26 (Q3)</t>
  </si>
  <si>
    <t>MPSB/HSE/74
Apr'26 - Jun'26 (Q4)</t>
  </si>
  <si>
    <t>MPSB/HSE/75
Apr'26 - Jun'26 (Q4)</t>
  </si>
  <si>
    <t>104.h.iii.1</t>
  </si>
  <si>
    <t>Provision of establishment of Sewage and Water Treatment Plant - Silt Sedimentation Tank - Construction</t>
  </si>
  <si>
    <t>MPSB/Temp/149</t>
  </si>
  <si>
    <t>MPSB/Temp/150</t>
  </si>
  <si>
    <t>104.h.iii.2</t>
  </si>
  <si>
    <t>Provision of establishment of Sewage and Water Treatment Plant - Silt Sedimentation Tank - Maintenance</t>
  </si>
  <si>
    <t>MPSB/Temp/152
Jan'25 - Mar'25 (Q3)</t>
  </si>
  <si>
    <t>MPSB/Temp/153
Jan'25 - Mar'25 (Q3)</t>
  </si>
  <si>
    <t>MPSB/Temp/177
Apr'25 - Jun'25 (Q4)</t>
  </si>
  <si>
    <t>MPSB/Temp/178
Apr'25 - Jun'25 (Q4)</t>
  </si>
  <si>
    <t>MPSB/Temp/191
Jul'25 - Sep'25 (Q1)</t>
  </si>
  <si>
    <t>MPSB/Temp/192
Jul'25 - Sep'25 (Q1)</t>
  </si>
  <si>
    <t>MPSB/HSE/45
Oct'25 - Dec'25 (Q2)</t>
  </si>
  <si>
    <t>MPSB/HSE/46
Oct'25 - Dec'25 (Q2)</t>
  </si>
  <si>
    <t>MPSB/Temp/205
Jan'26 - Mar'26 (Q3)</t>
  </si>
  <si>
    <t>MPSB/Temp/206
Jan'26 - Mar'26 (Q3)</t>
  </si>
  <si>
    <t>MPSB/HSE/72
Apr'26 - Jun'26 (Q4)</t>
  </si>
  <si>
    <t>MPSB/HSE/73
Apr'26 - Jun'26 (Q4)</t>
  </si>
  <si>
    <t>104.h.v.1</t>
  </si>
  <si>
    <t>Provision of establishment of Sewage and Water Treatment Plant - Toilets - Construction</t>
  </si>
  <si>
    <t>MPSB/Temp/71</t>
  </si>
  <si>
    <t>MPSB/Temp/101</t>
  </si>
  <si>
    <t>MPSB/Temp/121</t>
  </si>
  <si>
    <t>MPSB/Temp/151</t>
  </si>
  <si>
    <t>MPSB/Temp/179</t>
  </si>
  <si>
    <t>MPSB/HSE/82</t>
  </si>
  <si>
    <t>MPSB/HSE/83</t>
  </si>
  <si>
    <t>104.h.v.2</t>
  </si>
  <si>
    <t>Provision of establishment of Sewage and Water Treatment Plant - Toilets - Maintenance</t>
  </si>
  <si>
    <t>MPSB/Temp/122
Sep'24 - Dec'24 (Q2)</t>
  </si>
  <si>
    <t>MPSB/Temp/123
Sep'24 - Dec'24 (Q2)</t>
  </si>
  <si>
    <t>MPSB/Temp/146
Jan'25 - Mar'25 (Q3)</t>
  </si>
  <si>
    <t>MPSB/Temp/147
Jan'25 - Mar'25 (Q3)</t>
  </si>
  <si>
    <t>MPSB/Temp/175
Apr'25 - Jun'25 (Q4)</t>
  </si>
  <si>
    <t>MPSB/Temp/176
Apr'25 - Jun'25 (Q4)</t>
  </si>
  <si>
    <t>MPSB/Temp/189
Jul'25 - Sep'25 (Q1)</t>
  </si>
  <si>
    <t>MPSB/Temp/190
Jul'25 - Sep'25 (Q1)</t>
  </si>
  <si>
    <t>MPSB/HSE/49
Oct'25 - Dec'25 (Q2)</t>
  </si>
  <si>
    <t>MPSB/HSE/50
Oct'25 - Dec'25 (Q2)</t>
  </si>
  <si>
    <t>MPSB/Temp/209
Jan'26 - Mar'26 (Q3)</t>
  </si>
  <si>
    <t>MPSB/Temp/210
Jan'26 - Mar'26 (Q3)</t>
  </si>
  <si>
    <t>MPSB/Temp/207
Apr'26 - Jun'26 (Q4)</t>
  </si>
  <si>
    <t>MPSB/Temp/208
Apr'26 - Jun'26 (Q4)</t>
  </si>
  <si>
    <t>Schedule 2 - Validation of Survey Data, Investigation, Design and As-Built Drawings</t>
  </si>
  <si>
    <t>Site survey, establishment of bench marks, validation of ROW, identification of borrow areas</t>
  </si>
  <si>
    <t>201.a</t>
  </si>
  <si>
    <t>MPSB/SUR/1</t>
  </si>
  <si>
    <t>201.b</t>
  </si>
  <si>
    <t>MPSB/SUR/3</t>
  </si>
  <si>
    <t>201.c</t>
  </si>
  <si>
    <t>MPSB/SUR/4</t>
  </si>
  <si>
    <t>MPSB/SUR/5</t>
  </si>
  <si>
    <t>201.d</t>
  </si>
  <si>
    <t>GM/MM/86-B(40)/Pt.VIII/214-17
GM/MM/86-B(40)/Pt. V/388-92</t>
  </si>
  <si>
    <t>31-May-24
06-Jun-24</t>
  </si>
  <si>
    <t>GM/MM/86-B(40)/Pt. V/378-82
GM/MM/86-B(40)/Pt.VIII/383-87
GM/MM/86-B(40)/Pt.VIII/373-77</t>
  </si>
  <si>
    <t>06-Jun-24
06-Jun-24
06-Jun-24</t>
  </si>
  <si>
    <t>202.a.i</t>
  </si>
  <si>
    <t>Completion of Topographical Survey - Submission</t>
  </si>
  <si>
    <t>MPSB/SUR/2</t>
  </si>
  <si>
    <t>202.a.ii</t>
  </si>
  <si>
    <t>Completion of Topographical Survey - Approval</t>
  </si>
  <si>
    <t>RI-1624-SO-HWB-BR-S&amp;I-0010-R0-254</t>
  </si>
  <si>
    <t>202.b.i</t>
  </si>
  <si>
    <t>Detailed Geotechnical Investigation - Submission</t>
  </si>
  <si>
    <t>MPSB/QAQC/1</t>
  </si>
  <si>
    <t>MPSB/QAQC/2</t>
  </si>
  <si>
    <t>MPSB/QAQC/3</t>
  </si>
  <si>
    <t>MPSB/QAQC/4</t>
  </si>
  <si>
    <t>MPSB/QAQC/5</t>
  </si>
  <si>
    <t>MPSB/QAQC/6</t>
  </si>
  <si>
    <t>MPSB/QAQC/7</t>
  </si>
  <si>
    <t>MPSB/QAQC/8</t>
  </si>
  <si>
    <t>MPSB/QAQC/9</t>
  </si>
  <si>
    <t>MPSB/QAQC/10</t>
  </si>
  <si>
    <t>MPSB/QAQC/11</t>
  </si>
  <si>
    <t>MPSB/QAQC/12</t>
  </si>
  <si>
    <t>MPSB/QAQC/13</t>
  </si>
  <si>
    <t>MPSB/QAQC/14</t>
  </si>
  <si>
    <t>MPSB/QAQC/15</t>
  </si>
  <si>
    <t>MPSB/QAQC/16</t>
  </si>
  <si>
    <t>MPSB/QAQC/17</t>
  </si>
  <si>
    <t>MPSB/QAQC/18</t>
  </si>
  <si>
    <t>MPSB/QAQC/19</t>
  </si>
  <si>
    <t>MPSB/QAQC/20</t>
  </si>
  <si>
    <t>MPSB/QAQC/21</t>
  </si>
  <si>
    <t>MPSB/L&amp;T/TIIC/2024/260</t>
  </si>
  <si>
    <t>202.b.ii</t>
  </si>
  <si>
    <t>Detailed Geotechnical Investigation - Approval</t>
  </si>
  <si>
    <t>HBT/1624/SO/APR/2024/0220/415</t>
  </si>
  <si>
    <t>P10 to P18</t>
  </si>
  <si>
    <t>HBT/1624/SO/APR/2024/0251/445</t>
  </si>
  <si>
    <t>P19 to P26</t>
  </si>
  <si>
    <t>HBT/1624/SO/GIR/2024/0265/459</t>
  </si>
  <si>
    <t>Northern &amp; Southern Viaduct</t>
  </si>
  <si>
    <t>IPC - 11</t>
  </si>
  <si>
    <t>HBT/1624/SO/APR/2024/0310/503</t>
  </si>
  <si>
    <t>P6 to P9</t>
  </si>
  <si>
    <t>HBT/1624/SO/APR/2024/0319/512</t>
  </si>
  <si>
    <t>P27 to P30</t>
  </si>
  <si>
    <t>HBT/1624/SO/GIR/2025/0378/569</t>
  </si>
  <si>
    <t>HBT/1624/SO/GIR/2025/703</t>
  </si>
  <si>
    <t>P4 &amp; P5</t>
  </si>
  <si>
    <t>Rescue Span</t>
  </si>
  <si>
    <t>HBT/1624/SO/GIR/2025/712
HBT/1624/SO/GIR/2025/714</t>
  </si>
  <si>
    <t>HBT/1624/SO/GIR/2025/780</t>
  </si>
  <si>
    <t xml:space="preserve"> 4-Jul-25</t>
  </si>
  <si>
    <t>IPC - 18</t>
  </si>
  <si>
    <t>VUP</t>
  </si>
  <si>
    <t>HBT/1624/SO/GIR/2025/815</t>
  </si>
  <si>
    <t xml:space="preserve"> 15-Jul-25</t>
  </si>
  <si>
    <t>HBT/1624/SO/GDV/2025/844
HBT/1624/SO/GDV/2025/865</t>
  </si>
  <si>
    <t>26-Jul-25                                                                                         31-Jul-25</t>
  </si>
  <si>
    <t>202.c.i</t>
  </si>
  <si>
    <t>Detailed Hydrological Investigation - Submission</t>
  </si>
  <si>
    <t>MPSB/L&amp;T/TIIC/DGN/2024/033</t>
  </si>
  <si>
    <t>203.a.i</t>
  </si>
  <si>
    <t>Approach Formations (GAD / P&amp;P) - Submission</t>
  </si>
  <si>
    <t>MPSB/L&amp;T/TIIC/DGN/2024/022</t>
  </si>
  <si>
    <t>203.a.ii</t>
  </si>
  <si>
    <t>Approach Formations (GAD / P&amp;P) - Approval</t>
  </si>
  <si>
    <t>HBT/1624/SO/APR/2024/0167/362</t>
  </si>
  <si>
    <t>HBT/1624/SO/APR/2024/0256/450
HBT/1624/SO/APR/2024/0279/473</t>
  </si>
  <si>
    <t>12-Nov-24
18-Nov-24</t>
  </si>
  <si>
    <t>203.b.i</t>
  </si>
  <si>
    <t>Retaining Structures (GAD / P&amp;P) - Submission</t>
  </si>
  <si>
    <t>MPSB/L&amp;T/TIIC/DGN/2025/473</t>
  </si>
  <si>
    <t>IPC - 23</t>
  </si>
  <si>
    <t>203.b.iI</t>
  </si>
  <si>
    <t>Retaining Structures - Documents &amp; Reports - Approval</t>
  </si>
  <si>
    <t>HBT/1624/SO/DGV/2026/1511</t>
  </si>
  <si>
    <t>Toe Wall</t>
  </si>
  <si>
    <t>HBT/1624/SO/DGV/2025/1164
HBT/1624/SO/DGV/2025/1142
HBT/1624/SO/DGV/2025/1139</t>
  </si>
  <si>
    <t>13-Nov-25
8-Nov-25
8-Nov-25</t>
  </si>
  <si>
    <t>Box Culvert - R/W
VUP - R/W</t>
  </si>
  <si>
    <t>203.c.i</t>
  </si>
  <si>
    <t>Drainage (GAD / P&amp;P) - Submission</t>
  </si>
  <si>
    <t>MPSB/L&amp;T/TIIC/DGN/2024/64</t>
  </si>
  <si>
    <t>203.c.ii</t>
  </si>
  <si>
    <t>Drainage (GAD / P&amp;P) - Approval</t>
  </si>
  <si>
    <t>HBT/1624/SO/APR/2024/0368/559</t>
  </si>
  <si>
    <t>203.d.i</t>
  </si>
  <si>
    <t>Wetland Viaduct (GAD / P&amp;P) - Submission</t>
  </si>
  <si>
    <t>MPSB/L&amp;T/TIIC/DGN/2024/026</t>
  </si>
  <si>
    <t>203.d.ii</t>
  </si>
  <si>
    <t>Wetland Viaduct (GAD / P&amp;P) - Approval</t>
  </si>
  <si>
    <t>HBT/1624/SO/DGV/2025/580</t>
  </si>
  <si>
    <t>IPC - 14</t>
  </si>
  <si>
    <t>203.e.i</t>
  </si>
  <si>
    <t>Approach Viaduct (GAD / P&amp;P) - Submission</t>
  </si>
  <si>
    <t>203.e.ii</t>
  </si>
  <si>
    <t>Approach Viaduct (GAD / P&amp;P) - Approval</t>
  </si>
  <si>
    <t>203.f.i</t>
  </si>
  <si>
    <t>Vehicular Underpass (GAD / P&amp;P) - Submission</t>
  </si>
  <si>
    <t>MPSB/L&amp;T/TIIC/DGN/2025/210</t>
  </si>
  <si>
    <t>MPSB/L&amp;T/TIIC/DGN/2025/423</t>
  </si>
  <si>
    <t>203.f.ii</t>
  </si>
  <si>
    <t>Vehicular Underpass (GAD / P&amp;P) - Approval</t>
  </si>
  <si>
    <t>HBT/1624/SO/DGV/2025/978
HBT/1624/SO/DGV/2025/979
HBT/1624/SO/DGV/2025/980</t>
  </si>
  <si>
    <t>8-Sep-25
8-Sep-25
8-Sep-25</t>
  </si>
  <si>
    <t>IPC - 27</t>
  </si>
  <si>
    <t>203.g.i</t>
  </si>
  <si>
    <t>Culverts (GAD) - Submission</t>
  </si>
  <si>
    <t>MPSB/L&amp;T/TIIC/DGN/2024/024</t>
  </si>
  <si>
    <t>MPSB/L&amp;T/TIIC/DGN/2024/157
MPSB/L&amp;T/TIIC/DGN/2024/162</t>
  </si>
  <si>
    <t>8-Mar-25
15-Mar-25</t>
  </si>
  <si>
    <t>MPSB/L&amp;T/TIIC/DGN/2024/162</t>
  </si>
  <si>
    <t>MPSB/L&amp;T/TIIC/DGN/2024/423</t>
  </si>
  <si>
    <t>203.g.ii</t>
  </si>
  <si>
    <t>Culverts (GAD) - Approval</t>
  </si>
  <si>
    <t>HBT/1624/SO/APR/2025/373/564</t>
  </si>
  <si>
    <t>IPC - 10</t>
  </si>
  <si>
    <t>HBT/1624/SO/APR/2025/530
HBT/1624/SO/DGV/2025/584
HBT/1624/SO/DGV/2025/672</t>
  </si>
  <si>
    <t>28-Mar-25
18-Apr-25
24-May-25</t>
  </si>
  <si>
    <t>HBT/1624/SO/DGV/2025/1031
HBT/1624/SO/DGV/2025/1035</t>
  </si>
  <si>
    <t>22-Sep-25
24-Sep-25</t>
  </si>
  <si>
    <t>203.h.i</t>
  </si>
  <si>
    <t>Main Bridge (GAD) - Submission</t>
  </si>
  <si>
    <t xml:space="preserve">MPSB/L&amp;T/TIIC/DGN/2024/016 </t>
  </si>
  <si>
    <t>203.h.ii</t>
  </si>
  <si>
    <t>Main Bridge (GAD) - Approval</t>
  </si>
  <si>
    <t>HBT/1624/SO/APR/2024/0091/286</t>
  </si>
  <si>
    <t>203.i.i.1</t>
  </si>
  <si>
    <t>Miscellaneous Works - Temporary Access Bridge - Submission</t>
  </si>
  <si>
    <t>MPSB/L&amp;T/TIIC/2024/166</t>
  </si>
  <si>
    <t>203.i.i.2</t>
  </si>
  <si>
    <t>Miscellaneous Works - Temporary Access Bridge - Approval</t>
  </si>
  <si>
    <t>HBT/1624/SO/PSR/2024/0100/292</t>
  </si>
  <si>
    <t>203.i.ii.1</t>
  </si>
  <si>
    <t>Miscellaneous Works - Casting Yard (Layout) - Submission</t>
  </si>
  <si>
    <t>MPSB/Temp/33</t>
  </si>
  <si>
    <t>203.i.iii.1</t>
  </si>
  <si>
    <t>Miscellaneous Works - River Training Works - Submission</t>
  </si>
  <si>
    <t>MPSB/L&amp;T/TIIC/DGN/2025/172</t>
  </si>
  <si>
    <t>Southern</t>
  </si>
  <si>
    <t>MPSB/L&amp;T/TIIC/DGN/2025/273</t>
  </si>
  <si>
    <t>Northern</t>
  </si>
  <si>
    <t>203.i.ii.2</t>
  </si>
  <si>
    <t>Miscellaneous Works - Casting Yard (Layout) - Approval</t>
  </si>
  <si>
    <t>RI/1624/SO/HWB/BR/APR/0025/R0/179</t>
  </si>
  <si>
    <t>203.i.iv.1</t>
  </si>
  <si>
    <t>Miscellaneous Works - Labour Camps - Submission</t>
  </si>
  <si>
    <t>MPSB/Temp/34</t>
  </si>
  <si>
    <t>203.i.iv.2</t>
  </si>
  <si>
    <t>Miscellaneous Works - Labour Camps - Approval</t>
  </si>
  <si>
    <t>203.i.v.1</t>
  </si>
  <si>
    <t>Miscellaneous Works - Office - Submission</t>
  </si>
  <si>
    <t>MPSB/Temp/36</t>
  </si>
  <si>
    <t>MPSB/Temp/37</t>
  </si>
  <si>
    <t>203.i.v.2</t>
  </si>
  <si>
    <t>Miscellaneous Works - Office - Approval</t>
  </si>
  <si>
    <t>203.i.vi.1</t>
  </si>
  <si>
    <t>Miscellaneous Works - Laboratory - Submission</t>
  </si>
  <si>
    <t>MPSB/Temp/35</t>
  </si>
  <si>
    <t>203.i.vi.2</t>
  </si>
  <si>
    <t>Miscellaneous Works - Laboratory - Approval</t>
  </si>
  <si>
    <t>203.i.vii.1</t>
  </si>
  <si>
    <t>Miscellaneous Works - Precast Moulds - Submission</t>
  </si>
  <si>
    <t>MPSB/L&amp;T/TIIC/DGN/TMP/2025/145</t>
  </si>
  <si>
    <t>203.i.viii.1</t>
  </si>
  <si>
    <t>Miscellaneous Works - Traffic Signages - Submission</t>
  </si>
  <si>
    <t>MPSB/L&amp;T/TIIC/DGN/2024/098</t>
  </si>
  <si>
    <t>203.i.viii.2</t>
  </si>
  <si>
    <t>Miscellaneous Works - Traffic Signages - Approval</t>
  </si>
  <si>
    <t>HBT/1624/SO/APR/2024/0347/538</t>
  </si>
  <si>
    <t>203.i.ix.1</t>
  </si>
  <si>
    <t>Miscellaneous Works - Road Marking - Submission</t>
  </si>
  <si>
    <t>203.i.ix.2</t>
  </si>
  <si>
    <t>Miscellaneous Works - Road Marking - Approval</t>
  </si>
  <si>
    <t>203.i.xi.1</t>
  </si>
  <si>
    <t>Miscellaneous Works - Bridge Health Monitoring - Submission</t>
  </si>
  <si>
    <t>MPSB/L&amp;T/TIIC/DGN/2024/397</t>
  </si>
  <si>
    <t>203.i.xi.2</t>
  </si>
  <si>
    <t>Miscellaneous Works - Bridge Health Monitoring - Approval</t>
  </si>
  <si>
    <t>HBT/1624/SO/DGV/2025/1081</t>
  </si>
  <si>
    <t>204.a.i</t>
  </si>
  <si>
    <t>Approach Formations - Documents &amp; Reports - Submission</t>
  </si>
  <si>
    <t>MPSB/L&amp;T/TIIC/DGN/2024/045
MPSB/L&amp;T/TIIC/DGN/2024/060
MPSB/L&amp;T/TIIC/DGN/2024/063</t>
  </si>
  <si>
    <t>05-Oct-24
31-Oct-24
31-Oct-24</t>
  </si>
  <si>
    <t>Km 0+000 to Km 12+210</t>
  </si>
  <si>
    <t>204.a.ii</t>
  </si>
  <si>
    <t>Approach Formations - Documents &amp; Reports - Approval</t>
  </si>
  <si>
    <t>HBT/1624/SO/APR/2024/0360/551</t>
  </si>
  <si>
    <t>204.a.iii</t>
  </si>
  <si>
    <t>Approach Formations - Documents &amp; Reports - Issue of GFC Drawings</t>
  </si>
  <si>
    <t>HBT/1624/SO/DGV/2025/1213</t>
  </si>
  <si>
    <t>204.b.i</t>
  </si>
  <si>
    <t>Retaining Structures - Documents &amp; Reports - Submission</t>
  </si>
  <si>
    <t>MPSB/L&amp;T/TIIC/DGN/2025/242
MPSB/L&amp;T/TIIC/DGN/2025/249
MPSB/L&amp;T/TIIC/DGN/2025/281</t>
  </si>
  <si>
    <t>30-May-25
02-Jun-25
26-Jun-25</t>
  </si>
  <si>
    <t>204.b.ii</t>
  </si>
  <si>
    <t>204.c.i</t>
  </si>
  <si>
    <t>Drainage - Documents &amp; Reports - Submission</t>
  </si>
  <si>
    <t>MPSB/L&amp;T/TIIC/DGN/2025/246</t>
  </si>
  <si>
    <t>Km 0+530 to Km 0+800</t>
  </si>
  <si>
    <t>MPSB/L&amp;T/TIIC/DGN/2025/306</t>
  </si>
  <si>
    <t>Km 0+300 to Km 0+530</t>
  </si>
  <si>
    <t>MPSB/L&amp;T/TIIC/DGN/2025/506</t>
  </si>
  <si>
    <t>Km 0+950 to Km 1+100</t>
  </si>
  <si>
    <t>204.c.ii</t>
  </si>
  <si>
    <t>Drainage - Documents &amp; Reports - Approval</t>
  </si>
  <si>
    <t>HBT/1624/SO/DGV/2026/1334</t>
  </si>
  <si>
    <t>IPC - 26</t>
  </si>
  <si>
    <t>HBT/1624/SO/DGV/2026/1512</t>
  </si>
  <si>
    <t>HBT/1624/SO/DGV/2026/1577</t>
  </si>
  <si>
    <t>204.c.iii</t>
  </si>
  <si>
    <t>Drainage - Issue of GFC Drawings</t>
  </si>
  <si>
    <t>HBT/1624/SO/DGV/2026/1667</t>
  </si>
  <si>
    <t>204.d.i.1</t>
  </si>
  <si>
    <t>Wetland Viaduct - Foundation - Documents &amp; Reports - Submission</t>
  </si>
  <si>
    <t>MPSB/L&amp;T/TIIC/DGN/2024/046</t>
  </si>
  <si>
    <t>4 / 26 Nos. - Submitted - WV2 - P3 to P6</t>
  </si>
  <si>
    <t>MPSB/L&amp;T/TIIC/DGN/2024/071
MPSB/L&amp;T/TIIC/DGN/2024/075
MPSB/L&amp;T/TIIC/DGN/2024/078
MPSB/L&amp;T/TIIC/DGN/2024/089</t>
  </si>
  <si>
    <t>18-Nov-24
18-Nov-24
18-Nov-24
25-Nov-24</t>
  </si>
  <si>
    <t>17 / 26 Nos. - Submitted -
WV2 - P0 to P2, P7 to P17, 
P19 to P21</t>
  </si>
  <si>
    <t>MPSB/L&amp;T/TIIC/DGN/2025/158
MPSB/L&amp;T/TIIC/DGN/2025/165</t>
  </si>
  <si>
    <t>08-Mar-25
17-Mar-25</t>
  </si>
  <si>
    <t>5 / 26 Nos. - Submitted
WV2 - P18
WV1 - P0 to P3</t>
  </si>
  <si>
    <t>204.d.i.2</t>
  </si>
  <si>
    <t>Wetland Viaduct - Foundation - Documents &amp; Reports - Approval</t>
  </si>
  <si>
    <t>HBT/1624/SO/DGV/2025/579
HBT/1624/SO/DGV/2025/583</t>
  </si>
  <si>
    <t>16-Apr-25
17-Apr-25</t>
  </si>
  <si>
    <t>4 / 26 Nos. - Submitted - WV2 - P1, P2, P4 &amp; P5</t>
  </si>
  <si>
    <t>HBT/1624/SO/DGV/2025/627
HBT/1624/SO/DGV/2025/633</t>
  </si>
  <si>
    <t>3-May-25
7-May-25</t>
  </si>
  <si>
    <t>16 / 26 Nos. - Submitted -
WV2 - P3, P6 to P20</t>
  </si>
  <si>
    <t>HBT/1624/SO/DGV/2025/755</t>
  </si>
  <si>
    <t>2 / 26 Nos. - Submitted - WV2 - P0, P21</t>
  </si>
  <si>
    <t>HBT/1624/SO/DGV/2025/781</t>
  </si>
  <si>
    <t>4 / 26 Nos. - Submitted -
WV1 - P0 to P3</t>
  </si>
  <si>
    <t>204.d.i.3</t>
  </si>
  <si>
    <t>Wetland Viaduct - Foundation - Issue of GFC Drawings</t>
  </si>
  <si>
    <t>HBT/1624/SO/APR/2025/0857</t>
  </si>
  <si>
    <t>6 / 26 Nos. - Submitted - WV2 - P1 to P6</t>
  </si>
  <si>
    <t>HBT/1624/SO/APR/2025/1159</t>
  </si>
  <si>
    <t>14 / 26 Nos. - Submitted - WV2 - P7 to P20</t>
  </si>
  <si>
    <t>HBT/1624/SO/APR/2026/1333</t>
  </si>
  <si>
    <t>HBT/1624/SO/APR/2026/1332</t>
  </si>
  <si>
    <t>204.d.ii.1</t>
  </si>
  <si>
    <t>Wetland Viaduct - Substructure - Documents &amp; Reports - Submission</t>
  </si>
  <si>
    <t>17 / 26 Nos. - Submitted - WV2 - P0 to P2, P7 to P17, P19 to P21</t>
  </si>
  <si>
    <t>5 / 26 Nos. - Submitted - WV2 - 18, WV1 - P0 to P3</t>
  </si>
  <si>
    <t>204.d.ii.2</t>
  </si>
  <si>
    <t>Wetland Viaduct - Substructure - Documents &amp; Reports - Approval</t>
  </si>
  <si>
    <t>HBT/1624/SO/DGV/2025/579</t>
  </si>
  <si>
    <t>2 / 26 Nos. - Approved - WV2 - P4 &amp; P5 - 50% released</t>
  </si>
  <si>
    <t>HBT/1624/SO/DGV/2025/583</t>
  </si>
  <si>
    <t>2 / 26 Nos. - Approved - WV2 - P1 &amp; P2 - 50% released</t>
  </si>
  <si>
    <t>HBT/1624/SO/DGV/2025/627</t>
  </si>
  <si>
    <t>2 / 26 Nos. - Approved -
WV2 - P3 &amp; P6 - 50% released</t>
  </si>
  <si>
    <t>HBT/1624/SO/DGV/2025/633</t>
  </si>
  <si>
    <t>14 / 26 Nos. - Approved -
WV2 - P7 to P20 - 50% released</t>
  </si>
  <si>
    <t>2 / 26 Nos. - Approved - WV2 - P0, P21 - 50% released</t>
  </si>
  <si>
    <t>4 / 26 Nos. - Approved -
WV1 - P0 to P3 - 50% released</t>
  </si>
  <si>
    <t>HBT/1624/SO/DGV/2025/1250</t>
  </si>
  <si>
    <t>26 / 26 Nos. - Approved -
WV1 - P0 to P3 &amp; WV2 - P0  to P21 - Balance 50% released</t>
  </si>
  <si>
    <t>204.d.ii.3</t>
  </si>
  <si>
    <t>Wetland Viaduct - Substructure - Documents &amp; Reports - Issue of GFC Drawings</t>
  </si>
  <si>
    <t>HBT/1624/SO/APR/2025/1170</t>
  </si>
  <si>
    <t>6 / 26 Nos. - Approved - WV2 - P1 to P6 - 50% released</t>
  </si>
  <si>
    <t>14 / 26 Nos. - Approved - WV2 - P7 to P20 - 50% released</t>
  </si>
  <si>
    <t>2 / 26 Nos. - Submitted - WV2 - P0, P21 - 50% released</t>
  </si>
  <si>
    <t>4 / 26 Nos. - Submitted -
WV1 - P0 to P3 - 50% released</t>
  </si>
  <si>
    <t>HBT/1624/SO/DGV/2026/1386</t>
  </si>
  <si>
    <t>22/ 26 Nos. - Approved - WV2 - P0 to P21 - Balance 50% released</t>
  </si>
  <si>
    <t>HBT/1624/SO/LTR/2026/1452</t>
  </si>
  <si>
    <t>4 / 26 Nos. - Approved-
WV1 - P0 to P3 - Balance 50% released</t>
  </si>
  <si>
    <t>204.d.iii.1</t>
  </si>
  <si>
    <t>Wetland Viaduct - Superstructure - Documents &amp; Reports - Submission</t>
  </si>
  <si>
    <t>MPSB/L&amp;T/TIIC/DGN/2024/048</t>
  </si>
  <si>
    <t>204.d.iii.2</t>
  </si>
  <si>
    <t>Wetland Viaduct - Superstructure - Documents &amp; Reports - Approval</t>
  </si>
  <si>
    <t>HBT/1624/SO/DGV/2025/664</t>
  </si>
  <si>
    <t>204.d.iii.3</t>
  </si>
  <si>
    <t>Wetland Viaduct - Superstructure - Issue of GFC Drawings</t>
  </si>
  <si>
    <t>HBT/1624/SO/APR/2025/0852</t>
  </si>
  <si>
    <t>204.e.i.1</t>
  </si>
  <si>
    <t>Approach Viaduct - Foundation - Documents &amp; Reports - Submission</t>
  </si>
  <si>
    <t>MPSB/L&amp;T/TIIC/DGN/2024/040
MPSB/L&amp;T/TIIC/DGN/2024/056</t>
  </si>
  <si>
    <t>27-Sep-24
26-Oct-24</t>
  </si>
  <si>
    <t>4 / 16 Nos. - Submitted - SAV - P1 &amp; P2, 
NAV - P31 &amp; P34</t>
  </si>
  <si>
    <t>MPSB/L&amp;T/TIIC/DGN/2024/059
MPSB/L&amp;T/TIIC/DGN/2024/070
MPSB/L&amp;T/TIIC/DGN/2024/081</t>
  </si>
  <si>
    <t>5-Nov-24
18-Nov-24
21-Nov-24</t>
  </si>
  <si>
    <t>4 / 16 Nos. - Submitted - SAV - P0, 
NAV - P32, P33 &amp; P35</t>
  </si>
  <si>
    <t>MPSB/L&amp;T/TIIC/DGN/2025/169</t>
  </si>
  <si>
    <t>1 / 16 Nos. - Submitted - 
SAV - P1R</t>
  </si>
  <si>
    <t>MPSB/L&amp;T/TIIC/DGN/2025/236</t>
  </si>
  <si>
    <t>2 / 16 Nos. - Submitted - SAV - P4 &amp; P5</t>
  </si>
  <si>
    <t>MPSB/L&amp;T/TIIC/DGN/2025/226</t>
  </si>
  <si>
    <t>1 / 16 Nos. - Submitted - SAV - P2R</t>
  </si>
  <si>
    <t>MPSB/L&amp;T/TIIC/DGN/2025/245</t>
  </si>
  <si>
    <t>1 / 16 Nos. - Submitted</t>
  </si>
  <si>
    <t>1 / 16 Nos. - Submitted - SAV - P1R</t>
  </si>
  <si>
    <t>MPSB/L&amp;T/TIIC/DGN/2025/344</t>
  </si>
  <si>
    <t>IPC - 19</t>
  </si>
  <si>
    <t>1 / 16 Nos. - Submitted - SAV - P0</t>
  </si>
  <si>
    <t>MPSB/L&amp;T/TIIC/DGN/2025/230</t>
  </si>
  <si>
    <t>1 / 16 Nos. - Submitted - SAV - P1</t>
  </si>
  <si>
    <t>MPSB/L&amp;T/TIIC/DGN/2025/229</t>
  </si>
  <si>
    <t>1 / 16 Nos. - Submitted - SAV - P2</t>
  </si>
  <si>
    <t>204.e.i.2</t>
  </si>
  <si>
    <t>Approach Viaduct - Foundation - Documents &amp; Reports - Approval</t>
  </si>
  <si>
    <t>HBT/1624/SO/DGV/2025/730
HBT/1624/SO/DGV/2025/731</t>
  </si>
  <si>
    <t>2 / 16 Nos. - Approved - SAV - P1 &amp; P2</t>
  </si>
  <si>
    <t>P1,P2</t>
  </si>
  <si>
    <t>HBT/1624/SO/DGV/2025/753</t>
  </si>
  <si>
    <t>1 / 16 Nos. - Approved - SAV - P3</t>
  </si>
  <si>
    <t>P3</t>
  </si>
  <si>
    <t>HBT/1624/SO/DGV/2025/923</t>
  </si>
  <si>
    <t>1 / 16 Nos. - Approved - SAV - P0</t>
  </si>
  <si>
    <t>P0</t>
  </si>
  <si>
    <t>HBT/1624/SO/DGV/2025/990</t>
  </si>
  <si>
    <t>2 / 16 Nos. - Approved - SAV - P4 &amp; P5</t>
  </si>
  <si>
    <t>HBT/1624/SO/DGV/2025/998</t>
  </si>
  <si>
    <t>1 / 16 Nos. - Approved - SAV - P2R</t>
  </si>
  <si>
    <t>HBT/1624/SO/DGV/2025/1001</t>
  </si>
  <si>
    <t>1 / 16 Nos. - Approved - SAV - P1R</t>
  </si>
  <si>
    <t>HBT/1624/SO/DGV/2025/1009</t>
  </si>
  <si>
    <t>1 / 16 Nos. - Approved - NAV - P32R &amp; 33R</t>
  </si>
  <si>
    <t>HBT/1624/SO/DGV/2025/1074</t>
  </si>
  <si>
    <t>1 / 16 Nos. - Approved - NAV - P31 to 36</t>
  </si>
  <si>
    <t>204.e.i.3</t>
  </si>
  <si>
    <t>Approach Viaduct - Foundation - Issue of GFC Drawings</t>
  </si>
  <si>
    <t>HBT/1624/SO/APR/2025/0854
HBT/1624/SO/APR/2025/0859</t>
  </si>
  <si>
    <t>28-Jul-25
29-Jul-25</t>
  </si>
  <si>
    <t>2 / 16 Nos. - Submitted - SAV - P1 &amp; P2 - 50% released</t>
  </si>
  <si>
    <t>HBT/1624/SO/APR/2025/0971</t>
  </si>
  <si>
    <t>1 / 16 Nos. - Submitted - SAV - P3</t>
  </si>
  <si>
    <t>HBT/1624/SO/APR/2025/1176</t>
  </si>
  <si>
    <t>2 / 16 Nos. - Submitted - SAV - P1R &amp; P2R</t>
  </si>
  <si>
    <t>HBT/1624/SO/APR/2025/1167</t>
  </si>
  <si>
    <t>2 / 16 Nos. - Submitted -  NAV - P32R &amp; P33R</t>
  </si>
  <si>
    <t>HBT/1624/SO/APR/2025/1269</t>
  </si>
  <si>
    <t>HBT/1624/SO/APR/2025/1255</t>
  </si>
  <si>
    <t>6 / 16 Nos. - Submitted - NAV - P31 to P36</t>
  </si>
  <si>
    <t>P0 is pending</t>
  </si>
  <si>
    <t>204.e.ii.1</t>
  </si>
  <si>
    <t>Approach Viaduct - Substructure - Documents &amp; Reports - Submission</t>
  </si>
  <si>
    <t>2 / 16 Nos. - Submitted - SAV - P0, NAV - P33</t>
  </si>
  <si>
    <t>MPSB/L&amp;T/TIIC/DGN/2025/226    MPSB/L&amp;T/TIIC/DGN/2025/245</t>
  </si>
  <si>
    <t>26-May-25        31-May-25</t>
  </si>
  <si>
    <t>MPSB/L&amp;T/TIIC/DGN/2025/378</t>
  </si>
  <si>
    <t>2 / 16 Nos. - Submitted - NAV - P31R &amp; P32R</t>
  </si>
  <si>
    <t>MPSB/L&amp;T/TIIC/DGN/2025/386</t>
  </si>
  <si>
    <t>2 / 16 Nos. - Submitted - NAV - P32 &amp; P35</t>
  </si>
  <si>
    <t>MPSB/L&amp;T/TIIC/DGN/2025/401</t>
  </si>
  <si>
    <t>1 / 16 Nos. - Submitted - NAV - P36</t>
  </si>
  <si>
    <t>204.e.ii.2</t>
  </si>
  <si>
    <t>Approach Viaduct - Substructure - Documents &amp; Reports - Approval</t>
  </si>
  <si>
    <t>2 / 16 Nos. - Approved - SAV - P1 &amp; P2 - 50% released</t>
  </si>
  <si>
    <t>1 / 16 Nos. - Approved - SAV - P3 - 50% released</t>
  </si>
  <si>
    <t>1 / 16 Nos. - Approved - SAV - P0  - 50% released</t>
  </si>
  <si>
    <t>1 / 16 Nos. - Approved - SAV - P2R - 50% released</t>
  </si>
  <si>
    <t>P2R</t>
  </si>
  <si>
    <t>1 / 16 Nos. - Approved - SAV - P1R - 50% released</t>
  </si>
  <si>
    <t>P1R</t>
  </si>
  <si>
    <t>2 / 16 Nos. - Approved - NAV - P32R &amp; 33R - 50% released</t>
  </si>
  <si>
    <t>P32R / P33R</t>
  </si>
  <si>
    <t>6 / 16 Nos. - Approved - NAV - P31 to 36 - 50% released</t>
  </si>
  <si>
    <t>P31 to P36</t>
  </si>
  <si>
    <t>HBT/1624/SO/DGV/2026/1392
HBT/1624/SO/DGV/2026/1393</t>
  </si>
  <si>
    <t>10 / 16 Nos. - Approved - NAV - P31 to 36, SAV - P0 to P3 - Balance 50% released</t>
  </si>
  <si>
    <t>P31 to P36 &amp; P0 to P3</t>
  </si>
  <si>
    <t>HBT/1624/SO/DGV/2026/1570</t>
  </si>
  <si>
    <t>IPC - 31</t>
  </si>
  <si>
    <t>4 / 16 Nos. - Approved - SAV - P1R &amp; P2R; NAV - P32R &amp; P33R - Balance 50% released</t>
  </si>
  <si>
    <t>P1R, P2R, P32R, P33R</t>
  </si>
  <si>
    <t>HBT/1624/SO/DGV/2025/1255</t>
  </si>
  <si>
    <t>6 / 16 Nos. - Approved - NAV - P31 to P36 - 50% released</t>
  </si>
  <si>
    <t>P31,P32, P33, P34, P35, P36</t>
  </si>
  <si>
    <t>HBT/1624/SO/DGV/2025/854</t>
  </si>
  <si>
    <t>1 / 16 Nos. - SAV - P1 - 50% released</t>
  </si>
  <si>
    <t>P1</t>
  </si>
  <si>
    <t>HBT/1624/SO/DGV/2025/859</t>
  </si>
  <si>
    <t>1 / 16 Nos. - SAV - P2 - 50% released</t>
  </si>
  <si>
    <t>P2</t>
  </si>
  <si>
    <t>HBT/1624/SO/DGV/2025/971</t>
  </si>
  <si>
    <t>1 / 16 Nos. - SAV - P3 - 50% released</t>
  </si>
  <si>
    <t>HBT/1624/SO/DGV/2025/1167</t>
  </si>
  <si>
    <t>2 / 16 Nos. - Approved - NAV - P32R &amp; P33R - 50% released</t>
  </si>
  <si>
    <t>P32R, P33R</t>
  </si>
  <si>
    <t>HBT/1624/SO/DGV/2025/1176</t>
  </si>
  <si>
    <t>2 / 16 Nos. - Approved - SAV - P1R &amp; P2R - 50% released</t>
  </si>
  <si>
    <t>P1R, P2R</t>
  </si>
  <si>
    <t>HBT/1624/SO/DGV/2026/1698</t>
  </si>
  <si>
    <t>4 / 16 Nos. - Approved - SAV - P0 to P3 - Balance 50% released</t>
  </si>
  <si>
    <t>P0 to P3</t>
  </si>
  <si>
    <t>HBT/1624/SO/DGV/2026/1701</t>
  </si>
  <si>
    <t>204.e.iii.1</t>
  </si>
  <si>
    <t>Approach Viaduct - Superstructure - Documents &amp; Reports - Submission</t>
  </si>
  <si>
    <t>MPSB/L&amp;T/TIIC/DGN/2025/177</t>
  </si>
  <si>
    <t>6 / 14 Nos. - Submitted - SAV - P3 to P6,
NAV - P33 to P36</t>
  </si>
  <si>
    <t>MPSB/L&amp;T/TIIC/DGN/2025/243   MPSB/L&amp;T/TIIC/DGN/2025/253</t>
  </si>
  <si>
    <t>30-May-25
8-Jun-25</t>
  </si>
  <si>
    <t>8 / 14 Nos. - Submitted - SAV - P0 to P3
NAV - P30 to P33 along with Rescue Spans</t>
  </si>
  <si>
    <t>204.e.iii.2</t>
  </si>
  <si>
    <t>Approach Viaduct - Superstructure - Documents &amp; Reports - Approval</t>
  </si>
  <si>
    <t>HBT/1624/SO/DGV/2025/707
HBT/1624/SO/DGV/2025/708</t>
  </si>
  <si>
    <t>6 / 14 Nos. - Approved - SAV - P3 to P6,
NAV - P33 to P36</t>
  </si>
  <si>
    <t>HBT/1624/SO/DGV/2025/1161</t>
  </si>
  <si>
    <t>4 / 14 Nos. - Approved - SAV - P0 to P3, P1R &amp; P2R</t>
  </si>
  <si>
    <t>HBT/1624/SO/DGV/2025/1166</t>
  </si>
  <si>
    <t>4 / 14 Nos. - Approved - NAV - P30 to P33, P32R &amp; P33R</t>
  </si>
  <si>
    <t>204.e.iii.3</t>
  </si>
  <si>
    <t>Approach Viaduct - Superstructure - Issue of GFC</t>
  </si>
  <si>
    <t>HBT/1624/SO/DGV/2025/858</t>
  </si>
  <si>
    <t>204.f.i</t>
  </si>
  <si>
    <t>Vehicular Underpass - Documents &amp; Reports - Submission</t>
  </si>
  <si>
    <t>MPSB/L&amp;T/TIIC/DGN/2024/034</t>
  </si>
  <si>
    <t>Km 3+053</t>
  </si>
  <si>
    <t>MPSB/L&amp;T/TIIC/DGN/2025/190</t>
  </si>
  <si>
    <t>Km 0+814</t>
  </si>
  <si>
    <t>204.f.ii</t>
  </si>
  <si>
    <t>Vehicular Underpass - Documents &amp; Reports - Approval</t>
  </si>
  <si>
    <t>HBT/1624/SO/DGV/2025/980</t>
  </si>
  <si>
    <t>Km 3+061</t>
  </si>
  <si>
    <t>HBT/1624/SO/DGV/2025/979</t>
  </si>
  <si>
    <t>HBT/1624/SO/DGV/2025/1079</t>
  </si>
  <si>
    <t>Km 4+480 (Fond.+Sub.S)</t>
  </si>
  <si>
    <t>HBT/1624/SO/DGV/2026/1371</t>
  </si>
  <si>
    <t>Km 4+480 (+Sup.S)</t>
  </si>
  <si>
    <t>204.g.i</t>
  </si>
  <si>
    <t>Culverts - Documents &amp; Reports - Submission</t>
  </si>
  <si>
    <t>MPSB/L&amp;T/TIIC/DGN/2025/157
MPSB/L&amp;T/TIIC/DGN/2025/162</t>
  </si>
  <si>
    <t>08-Mar-25
15-Mar-25</t>
  </si>
  <si>
    <t>Km 11+580, Km 11+775, Km 12+040, Km 1+750, 
Km 3+760, Km 10+100, 
Km 0+298</t>
  </si>
  <si>
    <t>MPSB/L&amp;T/TIIC/DGN/2025/225</t>
  </si>
  <si>
    <t>204.g.ii</t>
  </si>
  <si>
    <t>Culverts - Documents &amp; Reports - Approval</t>
  </si>
  <si>
    <t>HBT/1624/SO/APR/2025/530</t>
  </si>
  <si>
    <t>Km 11+580, Km 11+775, Km 12+040, Km 1+750, 
Km 3+760</t>
  </si>
  <si>
    <t>Initial</t>
  </si>
  <si>
    <t>HBT/1624/SO/DGV/2025/584</t>
  </si>
  <si>
    <t>Km 10+100</t>
  </si>
  <si>
    <t>HBT/1624/SO/DGV/2025/672</t>
  </si>
  <si>
    <t>Km 0+298</t>
  </si>
  <si>
    <t>HBT/1624/SO/DGV/2025/1031</t>
  </si>
  <si>
    <t>Km 0+925, Km 0+939, 
Km 1+200, Km 1+436, 
Km 2+204, Km 2+465, 
Km 2+600</t>
  </si>
  <si>
    <t>HBT/1624/SO/DGV/2025/1035</t>
  </si>
  <si>
    <t>Km 3+205, 
Km 4+154, Km 4+709, 
Km 4+914</t>
  </si>
  <si>
    <t>204.g.iii</t>
  </si>
  <si>
    <t>Culverts - Issue of GFC Drawings</t>
  </si>
  <si>
    <t>HBT/1624/SO/DGV/2025/1273</t>
  </si>
  <si>
    <t>Km 0+925, Km 0+939, 
Km 1+200, Km 1+436, 
Km 2+204, Km 2+465, 
Km 2+600, Km 3+205, 
Km 4+154, Km 4+709, 
Km 4+914</t>
  </si>
  <si>
    <t>HBT/1624/SO/DGV/2026/1695</t>
  </si>
  <si>
    <t>Km 11+580, Km 11+775, Km 12+040, Km 1+750, 
Km 3+760, Km 10+100,
Km 0+298</t>
  </si>
  <si>
    <t>204.h.i</t>
  </si>
  <si>
    <t>Foundation of Main Bridge - Documents &amp; Reports - Submission</t>
  </si>
  <si>
    <t>MPSB/L&amp;T/TIIC/DGN/2024/042
MPSB/L&amp;T/TIIC/DGN/2024/050</t>
  </si>
  <si>
    <t>28-Sep-24
10-Oct-24</t>
  </si>
  <si>
    <t>17 / 25 Nos. - Submitted -
P10 to P26</t>
  </si>
  <si>
    <t>MPSB/L&amp;T/TIIC/DGN/2024/072
MPSB/L&amp;T/TIIC/DGN/2024/087
MPSB/L&amp;T/TIIC/DGN/2024/088</t>
  </si>
  <si>
    <t>18-Nov-24
25-Nov-24
25-Nov-24</t>
  </si>
  <si>
    <t>8 / 25 Nos. - Submitted - P6 to P9, P27 to P30</t>
  </si>
  <si>
    <t>204.h.ii</t>
  </si>
  <si>
    <t>Foundation of Main Bridge - Documents &amp; Reports - Approval</t>
  </si>
  <si>
    <t>HBT/1624/SO/APR/2024/0305/498
HBT/1624/SO/APR/2024/0324/517
HBT/1624/SO/APR/2024/0328/520
HBT/1624/SO/APR/2024/0330/521
HBT/1624/SO/APR/2024/0331/522
HBT/1624/SO/APR/2024/0332/523
HBT/1624/SO/APR/2024/0333/524
HBT/1624/SO/APR/2024/0334/525
HBT/1624/SO/APR/2024/0355/546
HBT/1624/SO/APR/2024/0356/547
HBT/1624/SO/APR/2024/0357/548
HBT/1624/SO/APR/2024/0358/549</t>
  </si>
  <si>
    <t>30-Nov-24
13-Dec-24
14-Dec-24
14-Dec-24
14-Dec-24
14-Dec-24
14-Dec-24
14-Dec-24
23-Dec-24
23-Dec-24
23-Dec-24
23-Dec-24</t>
  </si>
  <si>
    <t>23 / 25 Nos. - Approved - P6 to P21, P23, P25 to P30</t>
  </si>
  <si>
    <t>HBT/1624/SO/APR/2025/0476/663</t>
  </si>
  <si>
    <t>2 / 25 Nos. - Approved - P22 &amp; P24</t>
  </si>
  <si>
    <t>204.h.iii</t>
  </si>
  <si>
    <t>Foundation of Main Bridge - Issue of GFC Drawings</t>
  </si>
  <si>
    <t>MPSB/L&amp;T/TIIC/DGN/GFC/2025/109
MPSB/L&amp;T/TIIC/DGN/GFC/2025/110</t>
  </si>
  <si>
    <t>13-Jan-25
11-Jan-25</t>
  </si>
  <si>
    <t>23 / 25 Nos. - P6 to P21, P23, P25 to P30</t>
  </si>
  <si>
    <t>MPSB/L&amp;T/TIIC/DGN/2025/132</t>
  </si>
  <si>
    <t>2 / 25 Nos. - P22 &amp; P24</t>
  </si>
  <si>
    <t>204.i.i</t>
  </si>
  <si>
    <t>Substructure of Main Bridge - Documents &amp; Reports - Submission</t>
  </si>
  <si>
    <t>MPSB/L&amp;T/TIIC/DGN/2024/052</t>
  </si>
  <si>
    <t>9 / 25 Nos. - Submitted - P10 to P18</t>
  </si>
  <si>
    <t>MPSB/L&amp;T/TIIC/DGN/2024/074</t>
  </si>
  <si>
    <t>8 / 25 Nos. - Submitted - P19 to P26</t>
  </si>
  <si>
    <t>MPSB/L&amp;T/TIIC/DGN/2025/121</t>
  </si>
  <si>
    <t>204.i.ii</t>
  </si>
  <si>
    <t>Substructure of Main Bridge - Documents &amp; Reports - Approval</t>
  </si>
  <si>
    <t>MPSB/L&amp;T/TIIC/DGN/2024/1121</t>
  </si>
  <si>
    <t>4 / 25 Nos. - Approved - P6 to P9 - 50% released</t>
  </si>
  <si>
    <t>HBT/1624/SO/DGV/2026/1405</t>
  </si>
  <si>
    <t>8 / 25 Nos. - Approved - P19 to P26 - 50% released</t>
  </si>
  <si>
    <t>HBT/1624/SO/DGV/2026/1396</t>
  </si>
  <si>
    <t>4 / 25 Nos. - Approved -  P27 to P30</t>
  </si>
  <si>
    <t>HBT/1624/SO/DGV/2026/1547</t>
  </si>
  <si>
    <t>2/25 Nos. - Approved -  P13 to P14</t>
  </si>
  <si>
    <t>HBT/1624/SO/DGV/2026/1548</t>
  </si>
  <si>
    <t>4/25 Nos. - Approved -  P15 to P18</t>
  </si>
  <si>
    <t>HBT/1624/SO/DGV/2026/1549</t>
  </si>
  <si>
    <t>3/ 25 Nos. - Approved -  P10 to P12A</t>
  </si>
  <si>
    <t>204.i.iii</t>
  </si>
  <si>
    <t>Substructure of Main Bridge -  Issue of GFC Drawings</t>
  </si>
  <si>
    <t>HBT/1624/SO/DGV/2026/1435</t>
  </si>
  <si>
    <t>HBT/1624/SO/DGV/2026/1545</t>
  </si>
  <si>
    <t>HBT/1624/SO/DGV/2026/1681</t>
  </si>
  <si>
    <t>4 / 25 Nos. - Approved - P27 to P30 - 50% released</t>
  </si>
  <si>
    <t>HBT/1624/SO/DGV/2026/1679</t>
  </si>
  <si>
    <t>4 / 25 Nos. - Approved - P10 to P12A - 50% released</t>
  </si>
  <si>
    <t>HBT/1624/SO/DGV/2026/1678</t>
  </si>
  <si>
    <t>2 / 25 Nos. - Approved - P13 &amp; P14 - 50% released</t>
  </si>
  <si>
    <t>HBT/1624/SO/DGV/2026/1680</t>
  </si>
  <si>
    <t>4 / 25 Nos. - Approved - P15 to P18 - 50% released</t>
  </si>
  <si>
    <t>204.j.i</t>
  </si>
  <si>
    <t>Superstructure of Main Bridge - Documents &amp; Reports - Submission</t>
  </si>
  <si>
    <t>MPSB/L&amp;T/TIIC/DGN/2024/106</t>
  </si>
  <si>
    <t>4 / 24 Nos. - Submitted - P10 to P13</t>
  </si>
  <si>
    <t>5 / 24 Nos. - Submitted - P14 to P18</t>
  </si>
  <si>
    <t>MPSB/L&amp;T/TIIC/DGN/2025/197</t>
  </si>
  <si>
    <t>7 / 24 Nos. - Submitted - P19 to P26</t>
  </si>
  <si>
    <t>MPSB/L&amp;T/TIIC/DGN/2025/343</t>
  </si>
  <si>
    <t>4 / 24 Nos. - Submitted - P6 to P10</t>
  </si>
  <si>
    <t>MPSB/L&amp;T/TIIC/DGN/2025/350</t>
  </si>
  <si>
    <t>4 / 24 Nos. - Submitted - P27 to P30</t>
  </si>
  <si>
    <t>204.j.ii</t>
  </si>
  <si>
    <t>Superstructure of Main Bridge - Documents &amp; Reports - Approval</t>
  </si>
  <si>
    <t>HBT/1624/SO/DGV/2025/698</t>
  </si>
  <si>
    <t>8 / 24 Nos. - Approved - P10 to P18</t>
  </si>
  <si>
    <t>HBT/1624/SO/DGV/2025/825</t>
  </si>
  <si>
    <t>8 / 24 Nos. - Approved - P18 to P26</t>
  </si>
  <si>
    <t>HBT/1624/SO/DGV/2025/1063</t>
  </si>
  <si>
    <t>4 / 24 Nos. - Approved - P6 to P10</t>
  </si>
  <si>
    <t>HBT/1624/SO/DGV/2025/1107</t>
  </si>
  <si>
    <t>4 / 24 Nos. - Approved - P26 to P30</t>
  </si>
  <si>
    <t>204.j.iii</t>
  </si>
  <si>
    <t>Superstructure of Main Bridge - Issue of GFC Drawings</t>
  </si>
  <si>
    <t>MPSB/L&amp;T/TIIC/DGN/GFC/2025/856</t>
  </si>
  <si>
    <t>8 / 24 Nos. - Submitted - P10 to P18</t>
  </si>
  <si>
    <t>HBT/1624/SO/APR/2025/969</t>
  </si>
  <si>
    <t>8 / 24 Nos. - Submitted - P18 to P26</t>
  </si>
  <si>
    <t>HBT/1624/SO/APR/2025/1365</t>
  </si>
  <si>
    <t>HBT/1624/SO/DGV/2026/1464</t>
  </si>
  <si>
    <t>204.k.i</t>
  </si>
  <si>
    <t>Miscellaneous Works - Temporary Access Bridge</t>
  </si>
  <si>
    <t>204.k.ii</t>
  </si>
  <si>
    <t>Miscellaneous Works - Launching System / Bridge Builder</t>
  </si>
  <si>
    <t>MPSB/L&amp;T/TIIC/2025/676</t>
  </si>
  <si>
    <t>204.k.iii</t>
  </si>
  <si>
    <t>Miscellaneous Works - Gantry</t>
  </si>
  <si>
    <t>MPSB/L&amp;T/TIIC/2024/480</t>
  </si>
  <si>
    <t>204.k.iv</t>
  </si>
  <si>
    <t>Miscellaneous Works - Bridge Health Monitoring</t>
  </si>
  <si>
    <t>204.k.v.1</t>
  </si>
  <si>
    <t>Miscellaneous Works - Wind Tunnel Analysis - Submission</t>
  </si>
  <si>
    <t>MPSB/L&amp;T/TIIC/DGN/2025/180</t>
  </si>
  <si>
    <t>204.k.v.2</t>
  </si>
  <si>
    <t>Miscellaneous Works - Wind Tunnel Analysis - Approval</t>
  </si>
  <si>
    <t>HBT/1624/SO/LTR/2025/919</t>
  </si>
  <si>
    <t>204.l.i</t>
  </si>
  <si>
    <t>Miscellaneous Works - Junctions - Submission</t>
  </si>
  <si>
    <t>MPSB/L&amp;T/TIIC/DGN/2025/317</t>
  </si>
  <si>
    <t>204.l.ii</t>
  </si>
  <si>
    <t>Miscellaneous Works - Junctions - Approval</t>
  </si>
  <si>
    <t>HBT/1624/SO/DGV/2025/809</t>
  </si>
  <si>
    <t>204.l.iii</t>
  </si>
  <si>
    <t>Miscellaneous Works - Junctions - Issue of GFC Drawings</t>
  </si>
  <si>
    <t>HBT/1624/SO/DGV/2025/1212</t>
  </si>
  <si>
    <t>205.a</t>
  </si>
  <si>
    <t>205.b</t>
  </si>
  <si>
    <t>205.c</t>
  </si>
  <si>
    <t>Documents &amp; Reports - Issue of GFC Drawings</t>
  </si>
  <si>
    <t>Schedule 3 - Enabling Works for Main Works</t>
  </si>
  <si>
    <t>301.a</t>
  </si>
  <si>
    <t>MPSB/Temp/7</t>
  </si>
  <si>
    <t>MPSB/Temp/10</t>
  </si>
  <si>
    <t>MPSB/Temp/49</t>
  </si>
  <si>
    <t>301.b</t>
  </si>
  <si>
    <t>MPSB/Temp/72</t>
  </si>
  <si>
    <t>Km 5+558.6 - Km 5+733</t>
  </si>
  <si>
    <t>MPSB/Temp/79</t>
  </si>
  <si>
    <t>Km 9+216 - Km 9+180</t>
  </si>
  <si>
    <t>MPSB/Temp/92</t>
  </si>
  <si>
    <t>Km 5+733 - Km 5+756</t>
  </si>
  <si>
    <t>MPSB/Temp/95</t>
  </si>
  <si>
    <t>Km 5+756 - Km 5+781</t>
  </si>
  <si>
    <t>MPSB/Temp/81</t>
  </si>
  <si>
    <t>Km 9+182 - Km 9+159</t>
  </si>
  <si>
    <t>MPSB/Temp/91</t>
  </si>
  <si>
    <t>Km 9+159 - Km 9+105</t>
  </si>
  <si>
    <t>MPSB/Temp/96</t>
  </si>
  <si>
    <t>Km 9+105 - Km 9+092</t>
  </si>
  <si>
    <t>MPSB/Temp/100</t>
  </si>
  <si>
    <t>Km 9+092 - Km 9+107.5</t>
  </si>
  <si>
    <t>MPSB/Temp/102</t>
  </si>
  <si>
    <t>Km 5+781 - Km 5+829</t>
  </si>
  <si>
    <t>MPSB/Temp/103</t>
  </si>
  <si>
    <t>Km 9+107.5 - Km 8+992</t>
  </si>
  <si>
    <t>MPSB/Temp/104</t>
  </si>
  <si>
    <t>Km 5+829 - Km 5+854</t>
  </si>
  <si>
    <t>MPSB/Temp/109</t>
  </si>
  <si>
    <t>Km 8+992 - Km 8+956</t>
  </si>
  <si>
    <t>MPSB/Temp/110</t>
  </si>
  <si>
    <t>Km 5+854 - Km 5+929</t>
  </si>
  <si>
    <t>MPSB/Temp/113</t>
  </si>
  <si>
    <t>Km 8+879.9 - Km 8+857.9</t>
  </si>
  <si>
    <t>MPSB/Temp/114</t>
  </si>
  <si>
    <t>Km 5+929 - Km 5+959</t>
  </si>
  <si>
    <t>302.a.i</t>
  </si>
  <si>
    <t>Establishment of Batching Plants - Receipt of Equipment</t>
  </si>
  <si>
    <t>MPSB/Gen/1</t>
  </si>
  <si>
    <t>MPSB/Gen/3</t>
  </si>
  <si>
    <t>302.a.ii</t>
  </si>
  <si>
    <t>Establishment of Batching Plants - Foundation</t>
  </si>
  <si>
    <t>MPSB/Gen/5</t>
  </si>
  <si>
    <t>MPSB/Gen/6</t>
  </si>
  <si>
    <t>MPSB/Gen/10</t>
  </si>
  <si>
    <t>MPSB/Gen/12</t>
  </si>
  <si>
    <t>302.a.iii</t>
  </si>
  <si>
    <t>Establishment of Batching Plants - Installation and Commissioning</t>
  </si>
  <si>
    <t>MPSB/Gen/8</t>
  </si>
  <si>
    <t>MPSB/Gen/11</t>
  </si>
  <si>
    <t>MPSB/Gen/16</t>
  </si>
  <si>
    <t>MPSB/Gen/15</t>
  </si>
  <si>
    <t>302.b.i</t>
  </si>
  <si>
    <t>Establishment of Crusher Plant - Receipt of Equipment</t>
  </si>
  <si>
    <t>Rangia</t>
  </si>
  <si>
    <t>MPSB/Gen/7</t>
  </si>
  <si>
    <t>302.b.ii</t>
  </si>
  <si>
    <t>Establishment of Crusher Plant - Foundation</t>
  </si>
  <si>
    <t>MPSB/Temp/112</t>
  </si>
  <si>
    <t>302.b.iii</t>
  </si>
  <si>
    <t>Establishment of Crusher Plant - Installation and Commissioning</t>
  </si>
  <si>
    <t>MPSB/Temp/148</t>
  </si>
  <si>
    <t>302.c</t>
  </si>
  <si>
    <t>MPSB/Temp/105</t>
  </si>
  <si>
    <t>MPSB/Temp/107</t>
  </si>
  <si>
    <t>302.d</t>
  </si>
  <si>
    <t>MPSB/Temp/106</t>
  </si>
  <si>
    <t>MPSB/Temp/108</t>
  </si>
  <si>
    <t>302.e</t>
  </si>
  <si>
    <t>MPSB/Temp/47</t>
  </si>
  <si>
    <t>303.a.i</t>
  </si>
  <si>
    <t>Construction of Casting Yard - Area Development</t>
  </si>
  <si>
    <t>MPSB/Temp/126</t>
  </si>
  <si>
    <t>MPSB/Temp/129</t>
  </si>
  <si>
    <t>MPSB/Temp/128</t>
  </si>
  <si>
    <t>RFI to be adjusted</t>
  </si>
  <si>
    <t>MPSB/Temp/133</t>
  </si>
  <si>
    <t>303.a.ii</t>
  </si>
  <si>
    <t>Construction of Casting Yard - Foundation of Gantry</t>
  </si>
  <si>
    <t>MPSB/Temp/134</t>
  </si>
  <si>
    <t>600 / 1600 Rmt</t>
  </si>
  <si>
    <t>MPSB/Temp/135</t>
  </si>
  <si>
    <t>250 / 1600 Rmt</t>
  </si>
  <si>
    <t>MPSB/Temp/140</t>
  </si>
  <si>
    <t>MPSB/Temp/141
MPSB/Temp/142</t>
  </si>
  <si>
    <t>28-Mar-25
31-Mar-25</t>
  </si>
  <si>
    <t>750 / 1600 Rmt</t>
  </si>
  <si>
    <t>MPSB/Temp/159</t>
  </si>
  <si>
    <t>400 / 1600 Rmt</t>
  </si>
  <si>
    <t>MPSB/Str/1345</t>
  </si>
  <si>
    <t>350 / 1600 Rmt</t>
  </si>
  <si>
    <t>MPSB/Temp/183</t>
  </si>
  <si>
    <t>303.a.iii</t>
  </si>
  <si>
    <t>Construction of Casting Yard - Casting Bed Foundation</t>
  </si>
  <si>
    <t>MPSB/Str/946</t>
  </si>
  <si>
    <t>MPSB/Str/1346</t>
  </si>
  <si>
    <t>303.a.iv</t>
  </si>
  <si>
    <t>Construction of Casting Yard - Stacking Bed Foundation</t>
  </si>
  <si>
    <t>MPSB/Temp/170</t>
  </si>
  <si>
    <t>MPSB/Temp/171</t>
  </si>
  <si>
    <t>303.a.v</t>
  </si>
  <si>
    <t>Construction of Casting Yard - Finishing and Commissioning of Casting yard</t>
  </si>
  <si>
    <t>MPSB/Temp/182</t>
  </si>
  <si>
    <t>MPSB/Temp/181</t>
  </si>
  <si>
    <t>304.a</t>
  </si>
  <si>
    <t>MPSB/Gen/9</t>
  </si>
  <si>
    <t>304.b</t>
  </si>
  <si>
    <t>As per Annexure</t>
  </si>
  <si>
    <t>227 / 1571 MT</t>
  </si>
  <si>
    <t>473 / 1571 MT</t>
  </si>
  <si>
    <t>871 / 1571 MT</t>
  </si>
  <si>
    <t>304.c</t>
  </si>
  <si>
    <t>Pal &amp; Sual</t>
  </si>
  <si>
    <t>MPSB/Temp/125</t>
  </si>
  <si>
    <t>304.d</t>
  </si>
  <si>
    <t>MPSB/Gen/17</t>
  </si>
  <si>
    <t>MPSB/Gen/19</t>
  </si>
  <si>
    <t>305.a</t>
  </si>
  <si>
    <t>306.a</t>
  </si>
  <si>
    <t>MPSB/L&amp;T/TIIC/2024/367</t>
  </si>
  <si>
    <t>MPSB/L&amp;T/TIIC/2024/407</t>
  </si>
  <si>
    <t>306.b</t>
  </si>
  <si>
    <t>Main Bridge - Segments Scope Vs Casting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</si>
  <si>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</si>
  <si>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</si>
  <si>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</si>
  <si>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</si>
  <si>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</si>
  <si>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</si>
  <si>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</si>
  <si>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</si>
  <si>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</si>
  <si>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</si>
  <si>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</si>
  <si>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</si>
  <si>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</si>
  <si>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Seg. ID</t>
  </si>
  <si>
    <t>Casted in</t>
  </si>
  <si>
    <t>P6-S01a-E</t>
  </si>
  <si>
    <t>P7-S01a-O</t>
  </si>
  <si>
    <t>P8-S01a-M</t>
  </si>
  <si>
    <t>P9-S01a-O</t>
  </si>
  <si>
    <t>P10-S01a-E</t>
  </si>
  <si>
    <t>P11-S01a-O</t>
  </si>
  <si>
    <t>P12-S01a-M</t>
  </si>
  <si>
    <t>P13-S01a-O</t>
  </si>
  <si>
    <t>P14-S01a-E</t>
  </si>
  <si>
    <t>P15-S01a-O</t>
  </si>
  <si>
    <t>P16-S01a-M</t>
  </si>
  <si>
    <t>P17-S01a-O</t>
  </si>
  <si>
    <t>P18-S01a-E</t>
  </si>
  <si>
    <t>P6-S01-E</t>
  </si>
  <si>
    <t>P7-S02a-O</t>
  </si>
  <si>
    <t>P8-S02a-M</t>
  </si>
  <si>
    <t>P9-S02a-O</t>
  </si>
  <si>
    <t>P10-S01-E</t>
  </si>
  <si>
    <t>P11-S02a-O</t>
  </si>
  <si>
    <t>P12-S02a-M</t>
  </si>
  <si>
    <t>P13-S02a-O</t>
  </si>
  <si>
    <t>P14-S01-E</t>
  </si>
  <si>
    <t>P15-S02a-O</t>
  </si>
  <si>
    <t>P16-S02a-M</t>
  </si>
  <si>
    <t>P17-S02a-O</t>
  </si>
  <si>
    <t>P18-S01-E</t>
  </si>
  <si>
    <t>P6-S02a-E</t>
  </si>
  <si>
    <t>P7-S03a-O</t>
  </si>
  <si>
    <t>P8-S03a-M</t>
  </si>
  <si>
    <t>P9-S03a-O</t>
  </si>
  <si>
    <t>P10-S02a-E</t>
  </si>
  <si>
    <t>P11-S03a-O</t>
  </si>
  <si>
    <t>P12-S03a-M</t>
  </si>
  <si>
    <t>P13-S03a-O</t>
  </si>
  <si>
    <t>P14-S02a-E</t>
  </si>
  <si>
    <t>P15-S03a-O</t>
  </si>
  <si>
    <t>P16-S03a-M</t>
  </si>
  <si>
    <t>P17-S03a-O</t>
  </si>
  <si>
    <t>P18-S02a-E</t>
  </si>
  <si>
    <t>P6-S03a-E</t>
  </si>
  <si>
    <t>P7-S04a-O</t>
  </si>
  <si>
    <t>P8-S04a-M</t>
  </si>
  <si>
    <t>P9-S04a-O</t>
  </si>
  <si>
    <t>P10-S03a-E</t>
  </si>
  <si>
    <t>P11-S04a-O</t>
  </si>
  <si>
    <t>P12-S04a-M</t>
  </si>
  <si>
    <t>P13-S04a-O</t>
  </si>
  <si>
    <t>P14-S03a-E</t>
  </si>
  <si>
    <t>P15-S04a-O</t>
  </si>
  <si>
    <t>P16-S04a-M</t>
  </si>
  <si>
    <t>P17-S04a-O</t>
  </si>
  <si>
    <t>P18-S03a-E</t>
  </si>
  <si>
    <t>P6-S04a-E</t>
  </si>
  <si>
    <t>P7-S05a-O</t>
  </si>
  <si>
    <t>P8-S05a-M</t>
  </si>
  <si>
    <t>P9-S05a-O</t>
  </si>
  <si>
    <t>P10-S04a-E</t>
  </si>
  <si>
    <t>P11-S05a-O</t>
  </si>
  <si>
    <t>P12-S05a-M</t>
  </si>
  <si>
    <t>P13-S05a-O</t>
  </si>
  <si>
    <t>P14-S04a-E</t>
  </si>
  <si>
    <t>P15-S05a-O</t>
  </si>
  <si>
    <t>P16-S05a-M</t>
  </si>
  <si>
    <t>P17-S05a-O</t>
  </si>
  <si>
    <t>P18-S04a-E</t>
  </si>
  <si>
    <t>P6-S05a-E</t>
  </si>
  <si>
    <t>P7-S06a-O</t>
  </si>
  <si>
    <t>P8-S06a-M</t>
  </si>
  <si>
    <t>P9-S06a-O</t>
  </si>
  <si>
    <t>P10-S05a-E</t>
  </si>
  <si>
    <t>P11-S06a-O</t>
  </si>
  <si>
    <t>P12-S06a-M</t>
  </si>
  <si>
    <t>P13-S06a-O</t>
  </si>
  <si>
    <t>P14-S05a-E</t>
  </si>
  <si>
    <t>P15-S06a-O</t>
  </si>
  <si>
    <t>P16-S06a-M</t>
  </si>
  <si>
    <t>P17-S06a-O</t>
  </si>
  <si>
    <t>P18-S05a-E</t>
  </si>
  <si>
    <t>P6-S06a-E</t>
  </si>
  <si>
    <t>P7-S07a-O</t>
  </si>
  <si>
    <t>P8-S07a-M</t>
  </si>
  <si>
    <t>P9-S07a-O</t>
  </si>
  <si>
    <t>P10-S06a-E</t>
  </si>
  <si>
    <t>P11-S07a-O</t>
  </si>
  <si>
    <t>P12-S07a-M</t>
  </si>
  <si>
    <t>P13-S07a-O</t>
  </si>
  <si>
    <t>P14-S06a-E</t>
  </si>
  <si>
    <t>P15-S07a-O</t>
  </si>
  <si>
    <t>P16-S07a-M</t>
  </si>
  <si>
    <t>P17-S07a-O</t>
  </si>
  <si>
    <t>P18-S06a-E</t>
  </si>
  <si>
    <t>P6-S34a-O</t>
  </si>
  <si>
    <t>P7-S08a-O</t>
  </si>
  <si>
    <t>P8-S08a-M©</t>
  </si>
  <si>
    <t>P9-S08a-O</t>
  </si>
  <si>
    <t>P10-S34a-O</t>
  </si>
  <si>
    <t>P11-S08a-O</t>
  </si>
  <si>
    <t>P12-S08a-M©</t>
  </si>
  <si>
    <t>P13-S08a-O</t>
  </si>
  <si>
    <t>P14-S34a-O</t>
  </si>
  <si>
    <t>P15-S08a-O</t>
  </si>
  <si>
    <t>P16-S08a-M©</t>
  </si>
  <si>
    <t>P17-S08a-O</t>
  </si>
  <si>
    <t>P18-S34a-O</t>
  </si>
  <si>
    <t>P6-S33a-O©</t>
  </si>
  <si>
    <t>P7-S09a-O©</t>
  </si>
  <si>
    <t>P8-S09a-M</t>
  </si>
  <si>
    <t>P9-S09a-O©</t>
  </si>
  <si>
    <t>P10-S33a-O©</t>
  </si>
  <si>
    <t>P11-S09a-O©</t>
  </si>
  <si>
    <t>P12-S09a-M</t>
  </si>
  <si>
    <t>P13-S09a-O©</t>
  </si>
  <si>
    <t>P14-S33a-O©</t>
  </si>
  <si>
    <t>P15-S09a-O©</t>
  </si>
  <si>
    <t>P16-S09a-M</t>
  </si>
  <si>
    <t>P17-S09a-O©</t>
  </si>
  <si>
    <t>P18-S33a-O©</t>
  </si>
  <si>
    <t>P6-S32a-O</t>
  </si>
  <si>
    <t>P7-S10a-O</t>
  </si>
  <si>
    <t>P8-S10a-M©</t>
  </si>
  <si>
    <t>P9-S10a-O</t>
  </si>
  <si>
    <t>P10-S32a-O</t>
  </si>
  <si>
    <t>P11-S10a-O</t>
  </si>
  <si>
    <t>P12-S10a-M©</t>
  </si>
  <si>
    <t>P13-S10a-O</t>
  </si>
  <si>
    <t>P14-S32a-O</t>
  </si>
  <si>
    <t>P15-S10a-O</t>
  </si>
  <si>
    <t>P16-S10a-M©</t>
  </si>
  <si>
    <t>P17-S10a-O</t>
  </si>
  <si>
    <t>P18-S32a-O</t>
  </si>
  <si>
    <t>P6-S31a-O©</t>
  </si>
  <si>
    <t>P7-S11a-O©</t>
  </si>
  <si>
    <t>P8-S11a-M</t>
  </si>
  <si>
    <t>P9-S11a-O©</t>
  </si>
  <si>
    <t>P10-S31a-O©</t>
  </si>
  <si>
    <t>P11-S11a-O©</t>
  </si>
  <si>
    <t>P12-S11a-M</t>
  </si>
  <si>
    <t>P13-S11a-O©</t>
  </si>
  <si>
    <t>P14-S31a-O©</t>
  </si>
  <si>
    <t>P15-S11a-O©</t>
  </si>
  <si>
    <t>P16-S11a-M</t>
  </si>
  <si>
    <t>P17-S11a-O©</t>
  </si>
  <si>
    <t>P18-S31a-O©</t>
  </si>
  <si>
    <t>P6-S30a-O</t>
  </si>
  <si>
    <t>P7-S12a-O</t>
  </si>
  <si>
    <t>P8-S12a-M©</t>
  </si>
  <si>
    <t>P9-S12a-O</t>
  </si>
  <si>
    <t>P10-S30a-O</t>
  </si>
  <si>
    <t>P11-S12a-O</t>
  </si>
  <si>
    <t>P12-S12a-M©</t>
  </si>
  <si>
    <t>P13-S12a-O</t>
  </si>
  <si>
    <t>P14-S30a-O</t>
  </si>
  <si>
    <t>P15-S12a-O</t>
  </si>
  <si>
    <t>P16-S12a-M©</t>
  </si>
  <si>
    <t>P17-S12a-O</t>
  </si>
  <si>
    <t>P18-S30a-O</t>
  </si>
  <si>
    <t>P6-S29a-O©</t>
  </si>
  <si>
    <t>P7-S13a-O©</t>
  </si>
  <si>
    <t>P8-S13a-M</t>
  </si>
  <si>
    <t>P9-S13a-O©</t>
  </si>
  <si>
    <t>P10-S29a-O©</t>
  </si>
  <si>
    <t>P11-S13a-O©</t>
  </si>
  <si>
    <t>P12-S13a-M</t>
  </si>
  <si>
    <t>P13-S13a-O©</t>
  </si>
  <si>
    <t>P14-S29a-O©</t>
  </si>
  <si>
    <t>P15-S13a-O©</t>
  </si>
  <si>
    <t>P16-S13a-M</t>
  </si>
  <si>
    <t>P17-S13a-O©</t>
  </si>
  <si>
    <t>P18-S29a-O©</t>
  </si>
  <si>
    <t>P6-S28a-O</t>
  </si>
  <si>
    <t>P7-S14a-O</t>
  </si>
  <si>
    <t>P8-S14a-M©</t>
  </si>
  <si>
    <t>P9-S14a-O</t>
  </si>
  <si>
    <t>P10-S28a-O</t>
  </si>
  <si>
    <t>P11-S14a-O</t>
  </si>
  <si>
    <t>P12-S14a-M©</t>
  </si>
  <si>
    <t>P13-S14a-O</t>
  </si>
  <si>
    <t>P14-S28a-O</t>
  </si>
  <si>
    <t>P15-S14a-O</t>
  </si>
  <si>
    <t>P16-S14a-M©</t>
  </si>
  <si>
    <t>P17-S14a-O</t>
  </si>
  <si>
    <t>P18-S28a-O</t>
  </si>
  <si>
    <t>P6-S27a-O©</t>
  </si>
  <si>
    <t>P7-S15a-O©</t>
  </si>
  <si>
    <t>P8-S15a-M</t>
  </si>
  <si>
    <t>P9-S15a-O©</t>
  </si>
  <si>
    <t>P10-S27a-O©</t>
  </si>
  <si>
    <t>P11-S15a-O©</t>
  </si>
  <si>
    <t>P12-S15a-M</t>
  </si>
  <si>
    <t>P13-S15a-O©</t>
  </si>
  <si>
    <t>P14-S27a-O©</t>
  </si>
  <si>
    <t>P15-S15a-O©</t>
  </si>
  <si>
    <t>P16-S15a-M</t>
  </si>
  <si>
    <t>P17-S15a-O©</t>
  </si>
  <si>
    <t>P18-S27a-O©</t>
  </si>
  <si>
    <t>P6-S26a-O</t>
  </si>
  <si>
    <t>P7-S16a-O</t>
  </si>
  <si>
    <t>P8-S16a-M©</t>
  </si>
  <si>
    <t>P9-S16a-O</t>
  </si>
  <si>
    <t>P10-S26a-O</t>
  </si>
  <si>
    <t>P11-S16a-O</t>
  </si>
  <si>
    <t>P12-S16a-M©</t>
  </si>
  <si>
    <t>P13-S16a-O</t>
  </si>
  <si>
    <t>P14-S26a-O</t>
  </si>
  <si>
    <t>P15-S16a-O</t>
  </si>
  <si>
    <t>P16-S16a-M©</t>
  </si>
  <si>
    <t>P17-S16a-O</t>
  </si>
  <si>
    <t>P18-S26a-O</t>
  </si>
  <si>
    <t>P6-S25a-O©</t>
  </si>
  <si>
    <t>P7-S17a-O©</t>
  </si>
  <si>
    <t>P8-S17a-M</t>
  </si>
  <si>
    <t>P9-S17a-O©</t>
  </si>
  <si>
    <t>P10-S25a-O©</t>
  </si>
  <si>
    <t>P11-S17a-O©</t>
  </si>
  <si>
    <t>P12-S17a-M</t>
  </si>
  <si>
    <t>P13-S17a-O©</t>
  </si>
  <si>
    <t>P14-S25a-O©</t>
  </si>
  <si>
    <t>P15-S17a-O©</t>
  </si>
  <si>
    <t>P16-S17a-M</t>
  </si>
  <si>
    <t>P17-S17a-O©</t>
  </si>
  <si>
    <t>P18-S25a-O©</t>
  </si>
  <si>
    <t>P6-S24a-O</t>
  </si>
  <si>
    <t>P7-S18a-O</t>
  </si>
  <si>
    <t>P8-S18a-M</t>
  </si>
  <si>
    <t>P9-S18a-O</t>
  </si>
  <si>
    <t>P10-S24a-O</t>
  </si>
  <si>
    <t>P11-S18a-O</t>
  </si>
  <si>
    <t>P12-S18a-M</t>
  </si>
  <si>
    <t>P13-S18a-O</t>
  </si>
  <si>
    <t>P14-S24a-O</t>
  </si>
  <si>
    <t>P15-S18a-O</t>
  </si>
  <si>
    <t>P16-S18a-M</t>
  </si>
  <si>
    <t>P17-S18a-O</t>
  </si>
  <si>
    <t>P18-S24a-O</t>
  </si>
  <si>
    <t>P6-S23a-O©</t>
  </si>
  <si>
    <t>P7-S19a-O©</t>
  </si>
  <si>
    <t>P8-S34a-O</t>
  </si>
  <si>
    <t>P9-S19a-O©</t>
  </si>
  <si>
    <t>P10-S23a-O©</t>
  </si>
  <si>
    <t>P11-S19a-O©</t>
  </si>
  <si>
    <t>P12-S34a-O</t>
  </si>
  <si>
    <t>P13-S19a-O©</t>
  </si>
  <si>
    <t>P14-S23a-O©</t>
  </si>
  <si>
    <t>P15-S19a-O©</t>
  </si>
  <si>
    <t>P16-S34a-O</t>
  </si>
  <si>
    <t>P17-S19a-O©</t>
  </si>
  <si>
    <t>P18-S23a-O©</t>
  </si>
  <si>
    <t>P6-S22a-O</t>
  </si>
  <si>
    <t>P7-S20a-O</t>
  </si>
  <si>
    <t>P8-S33a-O©</t>
  </si>
  <si>
    <t>P9-S20a-O</t>
  </si>
  <si>
    <t>P10-S22a-O</t>
  </si>
  <si>
    <t>P11-S20a-O</t>
  </si>
  <si>
    <t>P12-S33a-O©</t>
  </si>
  <si>
    <t>P13-S20a-O</t>
  </si>
  <si>
    <t>P14-S22a-O</t>
  </si>
  <si>
    <t>P15-S20a-O</t>
  </si>
  <si>
    <t>P16-S33a-O©</t>
  </si>
  <si>
    <t>P17-S20a-O</t>
  </si>
  <si>
    <t>P18-S22a-O</t>
  </si>
  <si>
    <t>P6-S21a-O©</t>
  </si>
  <si>
    <t>P7-S21a-O©</t>
  </si>
  <si>
    <t>P8-S32a-O</t>
  </si>
  <si>
    <t>P9-S21a-O©</t>
  </si>
  <si>
    <t>P10-S21a-O©</t>
  </si>
  <si>
    <t>P11-S21a-O©</t>
  </si>
  <si>
    <t>P12-S32a-O</t>
  </si>
  <si>
    <t>P13-S21a-O©</t>
  </si>
  <si>
    <t>P14-S21a-O©</t>
  </si>
  <si>
    <t>P15-S21a-O©</t>
  </si>
  <si>
    <t>P16-S32a-O</t>
  </si>
  <si>
    <t>P17-S21a-O©</t>
  </si>
  <si>
    <t>P18-S21a-O©</t>
  </si>
  <si>
    <t>P6-S20a-O</t>
  </si>
  <si>
    <t>P7-S22a-O</t>
  </si>
  <si>
    <t>P8-S31a-O©</t>
  </si>
  <si>
    <t>P9-S22a-O</t>
  </si>
  <si>
    <t>P10-S20a-O</t>
  </si>
  <si>
    <t>P11-S22a-O</t>
  </si>
  <si>
    <t>P12-S31a-O©</t>
  </si>
  <si>
    <t>P13-S22a-O</t>
  </si>
  <si>
    <t>P14-S20a-O</t>
  </si>
  <si>
    <t>P15-S22a-O</t>
  </si>
  <si>
    <t>P16-S31a-O©</t>
  </si>
  <si>
    <t>P17-S22a-O</t>
  </si>
  <si>
    <t>P18-S20a-O</t>
  </si>
  <si>
    <t>P6-S19a-O©</t>
  </si>
  <si>
    <t>P7-S23a-O©</t>
  </si>
  <si>
    <t>P8-S30a-O</t>
  </si>
  <si>
    <t>P9-S23a-O©</t>
  </si>
  <si>
    <t>P10-S19a-O©</t>
  </si>
  <si>
    <t>P11-S23a-O©</t>
  </si>
  <si>
    <t>P12-S30a-O</t>
  </si>
  <si>
    <t>P13-S23a-O©</t>
  </si>
  <si>
    <t>P14-S19a-O©</t>
  </si>
  <si>
    <t>P15-S23a-O©</t>
  </si>
  <si>
    <t>P16-S30a-O</t>
  </si>
  <si>
    <t>P17-S23a-O©</t>
  </si>
  <si>
    <t>P18-S19a-O©</t>
  </si>
  <si>
    <t>P6-S18a-O</t>
  </si>
  <si>
    <t>P7-S24a-O</t>
  </si>
  <si>
    <t>P8-S29a-O©</t>
  </si>
  <si>
    <t>P9-S24a-O</t>
  </si>
  <si>
    <t>P10-S18a-O</t>
  </si>
  <si>
    <t>P11-S24a-O</t>
  </si>
  <si>
    <t>P12-S29a-O©</t>
  </si>
  <si>
    <t>P13-S24a-O</t>
  </si>
  <si>
    <t>P14-S18a-O</t>
  </si>
  <si>
    <t>P15-S24a-O</t>
  </si>
  <si>
    <t>P16-S29a-O©</t>
  </si>
  <si>
    <t>P17-S24a-O</t>
  </si>
  <si>
    <t>P18-S18a-O</t>
  </si>
  <si>
    <t>P6-S17a-O©</t>
  </si>
  <si>
    <t>P7-S25a-O©</t>
  </si>
  <si>
    <t>P8-S28a-O</t>
  </si>
  <si>
    <t>P9-S25a-O©</t>
  </si>
  <si>
    <t>P10-S17a-O©</t>
  </si>
  <si>
    <t>P11-S25a-O©</t>
  </si>
  <si>
    <t>P12-S28a-O</t>
  </si>
  <si>
    <t>P13-S25a-O©</t>
  </si>
  <si>
    <t>P14-S17a-O©</t>
  </si>
  <si>
    <t>P15-S25a-O©</t>
  </si>
  <si>
    <t>P16-S28a-O</t>
  </si>
  <si>
    <t>P17-S25a-O©</t>
  </si>
  <si>
    <t>P18-S17a-O©</t>
  </si>
  <si>
    <t>P6-S16a-O</t>
  </si>
  <si>
    <t>P7-S26a-O</t>
  </si>
  <si>
    <t>P8-S27a-O©</t>
  </si>
  <si>
    <t>P9-S26a-O</t>
  </si>
  <si>
    <t>P10-S16a-O</t>
  </si>
  <si>
    <t>P11-S26a-O</t>
  </si>
  <si>
    <t>P12-S27a-O©</t>
  </si>
  <si>
    <t>P13-S26a-O</t>
  </si>
  <si>
    <t>P14-S16a-O</t>
  </si>
  <si>
    <t>P15-S26a-O</t>
  </si>
  <si>
    <t>P16-S27a-O©</t>
  </si>
  <si>
    <t>P17-S26a-O</t>
  </si>
  <si>
    <t>P18-S16a-O</t>
  </si>
  <si>
    <t>P6-S15a-O©</t>
  </si>
  <si>
    <t>P7-S27a-O©</t>
  </si>
  <si>
    <t>P8-S26a-O</t>
  </si>
  <si>
    <t>P9-S27a-O©</t>
  </si>
  <si>
    <t>P10-S15a-O©</t>
  </si>
  <si>
    <t>P11-S27a-O©</t>
  </si>
  <si>
    <t>P12-S26a-O</t>
  </si>
  <si>
    <t>P13-S27a-O©</t>
  </si>
  <si>
    <t>P14-S15a-O©</t>
  </si>
  <si>
    <t>P15-S27a-O©</t>
  </si>
  <si>
    <t>P16-S26a-O</t>
  </si>
  <si>
    <t>P17-S27a-O©</t>
  </si>
  <si>
    <t>P18-S15a-O©</t>
  </si>
  <si>
    <t>P6-S14a-O</t>
  </si>
  <si>
    <t>P7-S28a-O</t>
  </si>
  <si>
    <t>P8-S25a-O©</t>
  </si>
  <si>
    <t>P9-S28a-O</t>
  </si>
  <si>
    <t>P10-S14a-O</t>
  </si>
  <si>
    <t>P11-S28a-O</t>
  </si>
  <si>
    <t>P12-S25a-O©</t>
  </si>
  <si>
    <t>P13-S28a-O</t>
  </si>
  <si>
    <t>P14-S14a-O</t>
  </si>
  <si>
    <t>P15-S28a-O</t>
  </si>
  <si>
    <t>P16-S25a-O©</t>
  </si>
  <si>
    <t>P17-S28a-O</t>
  </si>
  <si>
    <t>P18-S14a-O</t>
  </si>
  <si>
    <t>P6-S13a-O©</t>
  </si>
  <si>
    <t>P7-S29a-O©</t>
  </si>
  <si>
    <t>P8-S24a-O</t>
  </si>
  <si>
    <t>P9-S29a-O©</t>
  </si>
  <si>
    <t>P10-S13a-O©</t>
  </si>
  <si>
    <t>P11-S29a-O©</t>
  </si>
  <si>
    <t>P12-S24a-O</t>
  </si>
  <si>
    <t>P13-S29a-O©</t>
  </si>
  <si>
    <t>P14-S13a-O©</t>
  </si>
  <si>
    <t>P15-S29a-O©</t>
  </si>
  <si>
    <t>P16-S24a-O</t>
  </si>
  <si>
    <t>P17-S29a-O©</t>
  </si>
  <si>
    <t>P18-S13a-O©</t>
  </si>
  <si>
    <t>P6-S12a-O</t>
  </si>
  <si>
    <t>P7-S30a-O</t>
  </si>
  <si>
    <t>P8-S23a-O©</t>
  </si>
  <si>
    <t>P9-S30a-O</t>
  </si>
  <si>
    <t>P10-S12a-O</t>
  </si>
  <si>
    <t>P11-S30a-O</t>
  </si>
  <si>
    <t>P12-S23a-O©</t>
  </si>
  <si>
    <t>P13-S30a-O</t>
  </si>
  <si>
    <t>P14-S12a-O</t>
  </si>
  <si>
    <t>P15-S30a-O</t>
  </si>
  <si>
    <t>P16-S23a-O©</t>
  </si>
  <si>
    <t>P17-S30a-O</t>
  </si>
  <si>
    <t>P18-S12a-O</t>
  </si>
  <si>
    <t>P6-S11a-O©</t>
  </si>
  <si>
    <t>P7-S31a-O©</t>
  </si>
  <si>
    <t>P8-S22a-O</t>
  </si>
  <si>
    <t>P9-S31a-O©</t>
  </si>
  <si>
    <t>P10-S11a-O©</t>
  </si>
  <si>
    <t>P11-S31a-O©</t>
  </si>
  <si>
    <t>P12-S22a-O</t>
  </si>
  <si>
    <t>P13-S31a-O©</t>
  </si>
  <si>
    <t>P14-S11a-O©</t>
  </si>
  <si>
    <t>P15-S31a-O©</t>
  </si>
  <si>
    <t>P16-S22a-O</t>
  </si>
  <si>
    <t>P17-S31a-O©</t>
  </si>
  <si>
    <t>P18-S11a-O©</t>
  </si>
  <si>
    <t>P6-S10a-O</t>
  </si>
  <si>
    <t>P7-S32a-O</t>
  </si>
  <si>
    <t>P8-S21a-O©</t>
  </si>
  <si>
    <t>P9-S32a-O</t>
  </si>
  <si>
    <t>P10-S10a-O</t>
  </si>
  <si>
    <t>P11-S32a-O</t>
  </si>
  <si>
    <t>P12-S21a-O©</t>
  </si>
  <si>
    <t>P13-S32a-O</t>
  </si>
  <si>
    <t>P14-S10a-O</t>
  </si>
  <si>
    <t>P15-S32a-O</t>
  </si>
  <si>
    <t>P16-S21a-O©</t>
  </si>
  <si>
    <t>P17-S32a-O</t>
  </si>
  <si>
    <t>P18-S10a-O</t>
  </si>
  <si>
    <t>P6-S09a-O©</t>
  </si>
  <si>
    <t>P7-S33a-O©</t>
  </si>
  <si>
    <t>P8-S20a-O</t>
  </si>
  <si>
    <t>P9-S33a-O©</t>
  </si>
  <si>
    <t>P10-S09a-O©</t>
  </si>
  <si>
    <t>P11-S33a-O©</t>
  </si>
  <si>
    <t>P12-S20a-O</t>
  </si>
  <si>
    <t>P13-S33a-O©</t>
  </si>
  <si>
    <t>P14-S09a-O©</t>
  </si>
  <si>
    <t>P15-S33a-O©</t>
  </si>
  <si>
    <t>P16-S20a-O</t>
  </si>
  <si>
    <t>P17-S33a-O©</t>
  </si>
  <si>
    <t>P18-S09a-O©</t>
  </si>
  <si>
    <t>P6-S08a-O</t>
  </si>
  <si>
    <t>P7-S34a-O</t>
  </si>
  <si>
    <t>P8-S19a-O©</t>
  </si>
  <si>
    <t>P9-S34a-O</t>
  </si>
  <si>
    <t>P10-S08a-O</t>
  </si>
  <si>
    <t>P11-S34a-O</t>
  </si>
  <si>
    <t>P12-S19a-O©</t>
  </si>
  <si>
    <t>P13-S34a-O</t>
  </si>
  <si>
    <t>P14-S08a-O</t>
  </si>
  <si>
    <t>P15-S34a-O</t>
  </si>
  <si>
    <t>P16-S19a-O©</t>
  </si>
  <si>
    <t>P17-S34a-O</t>
  </si>
  <si>
    <t>P18-S08a-O</t>
  </si>
  <si>
    <t>P6-S07a-O</t>
  </si>
  <si>
    <t>P7-S18a-M</t>
  </si>
  <si>
    <t>P8-S18a-O</t>
  </si>
  <si>
    <t>P9-S06a-E</t>
  </si>
  <si>
    <t>P10-S07a-O</t>
  </si>
  <si>
    <t>P11-S18a-M</t>
  </si>
  <si>
    <t>P12-S18a-O</t>
  </si>
  <si>
    <t>P13-S06a-E</t>
  </si>
  <si>
    <t>P14-S07a-O</t>
  </si>
  <si>
    <t>P15-S18a-M</t>
  </si>
  <si>
    <t>P16-S18a-O</t>
  </si>
  <si>
    <t>P17-S06a-E</t>
  </si>
  <si>
    <t>P18-S07a-O</t>
  </si>
  <si>
    <t>P6-S06a-O</t>
  </si>
  <si>
    <t>P7-S17a-M</t>
  </si>
  <si>
    <t>P8-S17a-O©</t>
  </si>
  <si>
    <t>P9-S05a-E</t>
  </si>
  <si>
    <t>P10-S06a-O</t>
  </si>
  <si>
    <t>P11-S17a-M</t>
  </si>
  <si>
    <t>P12-S17a-O©</t>
  </si>
  <si>
    <t>P13-S05a-E</t>
  </si>
  <si>
    <t>P14-S06a-O</t>
  </si>
  <si>
    <t>P15-S17a-M</t>
  </si>
  <si>
    <t>P16-S17a-O©</t>
  </si>
  <si>
    <t>P17-S05a-E</t>
  </si>
  <si>
    <t>P18-S06a-O</t>
  </si>
  <si>
    <t>P6-S05a-O</t>
  </si>
  <si>
    <t>P7-S16a-M©</t>
  </si>
  <si>
    <t>P8-S16a-O</t>
  </si>
  <si>
    <t>P9-S04a-E</t>
  </si>
  <si>
    <t>P10-S05a-O</t>
  </si>
  <si>
    <t>P11-S16a-M©</t>
  </si>
  <si>
    <t>P12-S16a-O</t>
  </si>
  <si>
    <t>P13-S04a-E</t>
  </si>
  <si>
    <t>P14-S05a-O</t>
  </si>
  <si>
    <t>P15-S16a-M©</t>
  </si>
  <si>
    <t>P16-S16a-O</t>
  </si>
  <si>
    <t>P17-S04a-E</t>
  </si>
  <si>
    <t>P18-S05a-O</t>
  </si>
  <si>
    <t>P6-S04a-O</t>
  </si>
  <si>
    <t>P7-S15a-M</t>
  </si>
  <si>
    <t>P8-S15a-O©</t>
  </si>
  <si>
    <t>P9-S03a-E</t>
  </si>
  <si>
    <t>P10-S04a-O</t>
  </si>
  <si>
    <t>P11-S15a-M</t>
  </si>
  <si>
    <t>P12-S15a-O©</t>
  </si>
  <si>
    <t>P13-S03a-E</t>
  </si>
  <si>
    <t>P14-S04a-O</t>
  </si>
  <si>
    <t>P15-S15a-M</t>
  </si>
  <si>
    <t>P16-S15a-O©</t>
  </si>
  <si>
    <t>P17-S03a-E</t>
  </si>
  <si>
    <t>P18-S04a-O</t>
  </si>
  <si>
    <t>P6-S03a-O</t>
  </si>
  <si>
    <t>P7-S14a-M©</t>
  </si>
  <si>
    <t>P8-S14a-O</t>
  </si>
  <si>
    <t>P9-S02a-E</t>
  </si>
  <si>
    <t>P10-S03a-O</t>
  </si>
  <si>
    <t>P11-S14a-M©</t>
  </si>
  <si>
    <t>P12-S14a-O</t>
  </si>
  <si>
    <t>P13-S02a-E</t>
  </si>
  <si>
    <t>P14-S03a-O</t>
  </si>
  <si>
    <t>P15-S14a-M©</t>
  </si>
  <si>
    <t>P16-S14a-O</t>
  </si>
  <si>
    <t>P17-S02a-E</t>
  </si>
  <si>
    <t>P18-S03a-O</t>
  </si>
  <si>
    <t>P6-S02a-O</t>
  </si>
  <si>
    <t>P7-S13a-M</t>
  </si>
  <si>
    <t>P8-S13a-O©</t>
  </si>
  <si>
    <t>P9-S01-E</t>
  </si>
  <si>
    <t>P10-S02a-O</t>
  </si>
  <si>
    <t>P11-S13a-M</t>
  </si>
  <si>
    <t>P12-S13a-O©</t>
  </si>
  <si>
    <t>P13-S01-E</t>
  </si>
  <si>
    <t>P14-S02a-O</t>
  </si>
  <si>
    <t>P15-S13a-M</t>
  </si>
  <si>
    <t>P16-S13a-O©</t>
  </si>
  <si>
    <t>P17-S01-E</t>
  </si>
  <si>
    <t>P18-S02a-O</t>
  </si>
  <si>
    <t>P6-S01a-O</t>
  </si>
  <si>
    <t>P7-S12a-M©</t>
  </si>
  <si>
    <t>P8-S12a-O</t>
  </si>
  <si>
    <t>P9-S01a-E</t>
  </si>
  <si>
    <t>P10-S01a-O</t>
  </si>
  <si>
    <t>P11-S12a-M©</t>
  </si>
  <si>
    <t>P12-S12a-O</t>
  </si>
  <si>
    <t>P13-S01a-E</t>
  </si>
  <si>
    <t>P14-S01a-O</t>
  </si>
  <si>
    <t>P15-S12a-M©</t>
  </si>
  <si>
    <t>P16-S12a-O</t>
  </si>
  <si>
    <t>P17-S01a-E</t>
  </si>
  <si>
    <t>P18-S01a-O</t>
  </si>
  <si>
    <t>P7-S11a-M</t>
  </si>
  <si>
    <t>P8-S11a-O©</t>
  </si>
  <si>
    <t>P11-S11a-M</t>
  </si>
  <si>
    <t>P12-S11a-O©</t>
  </si>
  <si>
    <t>P15-S11a-M</t>
  </si>
  <si>
    <t>P16-S11a-O©</t>
  </si>
  <si>
    <t>P7-S10a-M©</t>
  </si>
  <si>
    <t>P8-S10a-O</t>
  </si>
  <si>
    <t>P11-S10a-M©</t>
  </si>
  <si>
    <t>P12-S10a-O</t>
  </si>
  <si>
    <t>P15-S10a-M©</t>
  </si>
  <si>
    <t>P16-S10a-O</t>
  </si>
  <si>
    <t>P7-S09a-M</t>
  </si>
  <si>
    <t>P8-S09a-O©</t>
  </si>
  <si>
    <t>P11-S09a-M</t>
  </si>
  <si>
    <t>P12-S09a-O©</t>
  </si>
  <si>
    <t>P15-S09a-M</t>
  </si>
  <si>
    <t>P16-S09a-O©</t>
  </si>
  <si>
    <t>P7-S08a-M©</t>
  </si>
  <si>
    <t>P8-S08a-O</t>
  </si>
  <si>
    <t>P11-S08a-M©</t>
  </si>
  <si>
    <t>P12-S08a-O</t>
  </si>
  <si>
    <t>P15-S08a-M©</t>
  </si>
  <si>
    <t>P16-S08a-O</t>
  </si>
  <si>
    <t>P7-S07a-M</t>
  </si>
  <si>
    <t>P8-S07a-O</t>
  </si>
  <si>
    <t>P11-S07a-M</t>
  </si>
  <si>
    <t>P12-S07a-O</t>
  </si>
  <si>
    <t>P15-S07a-M</t>
  </si>
  <si>
    <t>P16-S07a-O</t>
  </si>
  <si>
    <t>P7-S06a-M</t>
  </si>
  <si>
    <t>P8-S06a-O</t>
  </si>
  <si>
    <t>P11-S06a-M</t>
  </si>
  <si>
    <t>P12-S06a-O</t>
  </si>
  <si>
    <t>P15-S06a-M</t>
  </si>
  <si>
    <t>P16-S06a-O</t>
  </si>
  <si>
    <t>P7-S05a-M</t>
  </si>
  <si>
    <t>P8-S05a-O</t>
  </si>
  <si>
    <t>P11-S05a-M</t>
  </si>
  <si>
    <t>P12-S05a-O</t>
  </si>
  <si>
    <t>P15-S05a-M</t>
  </si>
  <si>
    <t>P16-S05a-O</t>
  </si>
  <si>
    <t>P7-S04a-M</t>
  </si>
  <si>
    <t>P8-S04a-O</t>
  </si>
  <si>
    <t>P11-S04a-M</t>
  </si>
  <si>
    <t>P12-S04a-O</t>
  </si>
  <si>
    <t>P15-S04a-M</t>
  </si>
  <si>
    <t>P16-S04a-O</t>
  </si>
  <si>
    <t>P7-S03a-M</t>
  </si>
  <si>
    <t>P8-S03a-O</t>
  </si>
  <si>
    <t>P11-S03a-M</t>
  </si>
  <si>
    <t>P12-S03a-O</t>
  </si>
  <si>
    <t>P15-S03a-M</t>
  </si>
  <si>
    <t>P16-S03a-O</t>
  </si>
  <si>
    <t>P7-S02a-M</t>
  </si>
  <si>
    <t>P8-S02a-O</t>
  </si>
  <si>
    <t>P11-S02a-M</t>
  </si>
  <si>
    <t>P12-S02a-O</t>
  </si>
  <si>
    <t>P15-S02a-M</t>
  </si>
  <si>
    <t>P16-S02a-O</t>
  </si>
  <si>
    <t>P7-S01a-M</t>
  </si>
  <si>
    <t>P8-S01a-O</t>
  </si>
  <si>
    <t>P11-S01a-M</t>
  </si>
  <si>
    <t>P12-S01a-O</t>
  </si>
  <si>
    <t>P15-S01a-M</t>
  </si>
  <si>
    <t>P16-S01a-O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</si>
  <si>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</si>
  <si>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</si>
  <si>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</si>
  <si>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</si>
  <si>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</si>
  <si>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</si>
  <si>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</si>
  <si>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</si>
  <si>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</si>
  <si>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</si>
  <si>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</si>
  <si>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Segments</t>
  </si>
  <si>
    <t>Casted</t>
  </si>
  <si>
    <t>P19-S01a-O</t>
  </si>
  <si>
    <t>P20-S01a-M</t>
  </si>
  <si>
    <t>P21-S01a-O</t>
  </si>
  <si>
    <t>P22-S01a-E</t>
  </si>
  <si>
    <t>P23-S01a-O</t>
  </si>
  <si>
    <t>P24-S01a-M</t>
  </si>
  <si>
    <t>P25-S01a-O</t>
  </si>
  <si>
    <t>P26-S01a-E</t>
  </si>
  <si>
    <t>P27-S01a-O</t>
  </si>
  <si>
    <t>P28-S01a-M</t>
  </si>
  <si>
    <t>P29-S01a-O</t>
  </si>
  <si>
    <t>P19-S02a-O</t>
  </si>
  <si>
    <t>P20-S02a-M</t>
  </si>
  <si>
    <t>P21-S02a-O</t>
  </si>
  <si>
    <t>P22-S01-E</t>
  </si>
  <si>
    <t>P23-S02a-O</t>
  </si>
  <si>
    <t>P24-S02a-M</t>
  </si>
  <si>
    <t>P25-S02a-O</t>
  </si>
  <si>
    <t>P26-S01-E</t>
  </si>
  <si>
    <t>P27-S02a-O</t>
  </si>
  <si>
    <t>P28-S02a-M</t>
  </si>
  <si>
    <t>P29-S02a-O</t>
  </si>
  <si>
    <t>P19-S03a-O</t>
  </si>
  <si>
    <t>P20-S03a-M</t>
  </si>
  <si>
    <t>P21-S03a-O</t>
  </si>
  <si>
    <t>P22-S02a-E</t>
  </si>
  <si>
    <t>P23-S03a-O</t>
  </si>
  <si>
    <t>P24-S03a-M</t>
  </si>
  <si>
    <t>P25-S03a-O</t>
  </si>
  <si>
    <t>P26-S02a-E</t>
  </si>
  <si>
    <t>P27-S03a-O</t>
  </si>
  <si>
    <t>P28-S03a-M</t>
  </si>
  <si>
    <t>P29-S03a-O</t>
  </si>
  <si>
    <t>P19-S04a-O</t>
  </si>
  <si>
    <t>P20-S04a-M</t>
  </si>
  <si>
    <t>P21-S04a-O</t>
  </si>
  <si>
    <t>P22-S03a-E</t>
  </si>
  <si>
    <t>P23-S04a-O</t>
  </si>
  <si>
    <t>P24-S04a-M</t>
  </si>
  <si>
    <t>P25-S04a-O</t>
  </si>
  <si>
    <t>P26-S03a-E</t>
  </si>
  <si>
    <t>P27-S04a-O</t>
  </si>
  <si>
    <t>P28-S04a-M</t>
  </si>
  <si>
    <t>P29-S04a-O</t>
  </si>
  <si>
    <t>P19-S05a-O</t>
  </si>
  <si>
    <t>P20-S05a-M</t>
  </si>
  <si>
    <t>P21-S05a-O</t>
  </si>
  <si>
    <t>P22-S04a-E</t>
  </si>
  <si>
    <t>P23-S05a-O</t>
  </si>
  <si>
    <t>P24-S05a-M</t>
  </si>
  <si>
    <t>P25-S05a-O</t>
  </si>
  <si>
    <t>P26-S04a-E</t>
  </si>
  <si>
    <t>P27-S05a-O</t>
  </si>
  <si>
    <t>P28-S05a-M</t>
  </si>
  <si>
    <t>P29-S05a-O</t>
  </si>
  <si>
    <t>P19-S06a-O</t>
  </si>
  <si>
    <t>P20-S06a-M</t>
  </si>
  <si>
    <t>P21-S06a-O</t>
  </si>
  <si>
    <t>P22-S05a-E</t>
  </si>
  <si>
    <t>P23-S06a-O</t>
  </si>
  <si>
    <t>P24-S06a-M</t>
  </si>
  <si>
    <t>P25-S06a-O</t>
  </si>
  <si>
    <t>P26-S05a-E</t>
  </si>
  <si>
    <t>P27-S06a-O</t>
  </si>
  <si>
    <t>P28-S06a-M</t>
  </si>
  <si>
    <t>P29-S06a-O</t>
  </si>
  <si>
    <t>P19-S07a-O</t>
  </si>
  <si>
    <t>P20-S07a-M</t>
  </si>
  <si>
    <t>P21-S07a-O</t>
  </si>
  <si>
    <t>P22-S06a-E</t>
  </si>
  <si>
    <t>P23-S07a-O</t>
  </si>
  <si>
    <t>P24-S07a-M</t>
  </si>
  <si>
    <t>P25-S07a-O</t>
  </si>
  <si>
    <t>P26-S06a-E</t>
  </si>
  <si>
    <t>P27-S07a-O</t>
  </si>
  <si>
    <t>P28-S07a-M</t>
  </si>
  <si>
    <t>P29-S07a-O</t>
  </si>
  <si>
    <t>P19-S08a-O</t>
  </si>
  <si>
    <t>P20-S08a-M©</t>
  </si>
  <si>
    <t>P21-S08a-O</t>
  </si>
  <si>
    <t>P22-S34a-O</t>
  </si>
  <si>
    <t>P23-S08a-O</t>
  </si>
  <si>
    <t>P24-S08a-M©</t>
  </si>
  <si>
    <t>P25-S08a-O</t>
  </si>
  <si>
    <t>P26-S34a-O</t>
  </si>
  <si>
    <t>P27-S08a-O</t>
  </si>
  <si>
    <t>P28-S08a-M©</t>
  </si>
  <si>
    <t>P29-S08a-O</t>
  </si>
  <si>
    <t>P19-S09a-O©</t>
  </si>
  <si>
    <t>P20-S09a-M</t>
  </si>
  <si>
    <t>P21-S09a-O©</t>
  </si>
  <si>
    <t>P22-S33a-O©</t>
  </si>
  <si>
    <t>P23-S09a-O©</t>
  </si>
  <si>
    <t>P24-S09a-M</t>
  </si>
  <si>
    <t>P25-S09a-O©</t>
  </si>
  <si>
    <t>P26-S33a-O©</t>
  </si>
  <si>
    <t>P27-S09a-O©</t>
  </si>
  <si>
    <t>P28-S09a-M</t>
  </si>
  <si>
    <t>P29-S09a-O©</t>
  </si>
  <si>
    <t>P19-S10a-O</t>
  </si>
  <si>
    <t>P20-S10a-M©</t>
  </si>
  <si>
    <t>P21-S10a-O</t>
  </si>
  <si>
    <t>P22-S32a-O</t>
  </si>
  <si>
    <t>P23-S10a-O</t>
  </si>
  <si>
    <t>P24-S10a-M©</t>
  </si>
  <si>
    <t>P25-S10a-O</t>
  </si>
  <si>
    <t>P26-S32a-O</t>
  </si>
  <si>
    <t>P27-S10a-O</t>
  </si>
  <si>
    <t>P28-S10a-M©</t>
  </si>
  <si>
    <t>P29-S10a-O</t>
  </si>
  <si>
    <t>P19-S11a-O©</t>
  </si>
  <si>
    <t>P20-S11a-M</t>
  </si>
  <si>
    <t>P21-S11a-O©</t>
  </si>
  <si>
    <t>P22-S31a-O©</t>
  </si>
  <si>
    <t>P23-S11a-O©</t>
  </si>
  <si>
    <t>P24-S11a-M</t>
  </si>
  <si>
    <t>P25-S11a-O©</t>
  </si>
  <si>
    <t>P26-S31a-O©</t>
  </si>
  <si>
    <t>P27-S11a-O©</t>
  </si>
  <si>
    <t>P28-S11a-M</t>
  </si>
  <si>
    <t>P29-S11a-O©</t>
  </si>
  <si>
    <t>P19-S12a-O</t>
  </si>
  <si>
    <t>P20-S12a-M©</t>
  </si>
  <si>
    <t>P21-S12a-O</t>
  </si>
  <si>
    <t>P22-S30a-O</t>
  </si>
  <si>
    <t>P23-S12a-O</t>
  </si>
  <si>
    <t>P24-S12a-M©</t>
  </si>
  <si>
    <t>P25-S12a-O</t>
  </si>
  <si>
    <t>P26-S30a-O</t>
  </si>
  <si>
    <t>P27-S12a-O</t>
  </si>
  <si>
    <t>P28-S12a-M©</t>
  </si>
  <si>
    <t>P29-S12a-O</t>
  </si>
  <si>
    <t>P19-S13a-O©</t>
  </si>
  <si>
    <t>P20-S13a-M</t>
  </si>
  <si>
    <t>P21-S13a-O©</t>
  </si>
  <si>
    <t>P22-S29a-O©</t>
  </si>
  <si>
    <t>P23-S13a-O©</t>
  </si>
  <si>
    <t>P24-S13a-M</t>
  </si>
  <si>
    <t>P25-S13a-O©</t>
  </si>
  <si>
    <t>P26-S29a-O©</t>
  </si>
  <si>
    <t>P27-S13a-O©</t>
  </si>
  <si>
    <t>P28-S13a-M</t>
  </si>
  <si>
    <t>P29-S13a-O©</t>
  </si>
  <si>
    <t>P19-S14a-O</t>
  </si>
  <si>
    <t>P20-S14a-M©</t>
  </si>
  <si>
    <t>P21-S14a-O</t>
  </si>
  <si>
    <t>P22-S28a-O</t>
  </si>
  <si>
    <t>P23-S14a-O</t>
  </si>
  <si>
    <t>P24-S14a-M©</t>
  </si>
  <si>
    <t>P25-S14a-O</t>
  </si>
  <si>
    <t>P26-S28a-O</t>
  </si>
  <si>
    <t>P27-S14a-O</t>
  </si>
  <si>
    <t>P28-S14a-M©</t>
  </si>
  <si>
    <t>P29-S14a-O</t>
  </si>
  <si>
    <t>P19-S15a-O©</t>
  </si>
  <si>
    <t>P20-S15a-M</t>
  </si>
  <si>
    <t>P21-S15a-O©</t>
  </si>
  <si>
    <t>P22-S27a-O©</t>
  </si>
  <si>
    <t>P23-S15a-O©</t>
  </si>
  <si>
    <t>P24-S15a-M</t>
  </si>
  <si>
    <t>P25-S15a-O©</t>
  </si>
  <si>
    <t>P26-S27a-O©</t>
  </si>
  <si>
    <t>P27-S15a-O©</t>
  </si>
  <si>
    <t>P28-S15a-M</t>
  </si>
  <si>
    <t>P29-S15a-O©</t>
  </si>
  <si>
    <t>P19-S16a-O</t>
  </si>
  <si>
    <t>P20-S16a-M©</t>
  </si>
  <si>
    <t>P21-S16a-O</t>
  </si>
  <si>
    <t>P22-S26a-O</t>
  </si>
  <si>
    <t>P23-S16a-O</t>
  </si>
  <si>
    <t>P24-S16a-M©</t>
  </si>
  <si>
    <t>P25-S16a-O</t>
  </si>
  <si>
    <t>P26-S26a-O</t>
  </si>
  <si>
    <t>P27-S16a-O</t>
  </si>
  <si>
    <t>P28-S16a-M©</t>
  </si>
  <si>
    <t>P29-S16a-O</t>
  </si>
  <si>
    <t>P19-S17a-O©</t>
  </si>
  <si>
    <t>P20-S17a-M</t>
  </si>
  <si>
    <t>P21-S17a-O©</t>
  </si>
  <si>
    <t>P22-S25a-O©</t>
  </si>
  <si>
    <t>P23-S17a-O©</t>
  </si>
  <si>
    <t>P24-S17a-M</t>
  </si>
  <si>
    <t>P25-S17a-O©</t>
  </si>
  <si>
    <t>P26-S25a-O©</t>
  </si>
  <si>
    <t>P27-S17a-O©</t>
  </si>
  <si>
    <t>P28-S17a-M</t>
  </si>
  <si>
    <t>P29-S17a-O©</t>
  </si>
  <si>
    <t>P19-S18a-O</t>
  </si>
  <si>
    <t>P20-S18a-M</t>
  </si>
  <si>
    <t>P21-S18a-O</t>
  </si>
  <si>
    <t>P22-S24a-O</t>
  </si>
  <si>
    <t>P23-S18a-O</t>
  </si>
  <si>
    <t>P24-S18a-M</t>
  </si>
  <si>
    <t>P25-S18a-O</t>
  </si>
  <si>
    <t>P26-S24a-O</t>
  </si>
  <si>
    <t>P27-S18a-O</t>
  </si>
  <si>
    <t>P28-S18a-M</t>
  </si>
  <si>
    <t>P29-S18a-O</t>
  </si>
  <si>
    <t>P19-S19a-O©</t>
  </si>
  <si>
    <t>P20-S34a-O</t>
  </si>
  <si>
    <t>P21-S19a-O©</t>
  </si>
  <si>
    <t>P22-S23a-O©</t>
  </si>
  <si>
    <t>P23-S19a-O©</t>
  </si>
  <si>
    <t>P24-S34a-O</t>
  </si>
  <si>
    <t>P25-S19a-O©</t>
  </si>
  <si>
    <t>P26-S23a-O©</t>
  </si>
  <si>
    <t>P27-S19a-O©</t>
  </si>
  <si>
    <t>P28-S34a-O</t>
  </si>
  <si>
    <t>P29-S19a-O©</t>
  </si>
  <si>
    <t>P19-S20a-O</t>
  </si>
  <si>
    <t>P20-S33a-O©</t>
  </si>
  <si>
    <t>P21-S20a-O</t>
  </si>
  <si>
    <t>P22-S22a-O</t>
  </si>
  <si>
    <t>P23-S20a-O</t>
  </si>
  <si>
    <t>P24-S33a-O©</t>
  </si>
  <si>
    <t>P25-S20a-O</t>
  </si>
  <si>
    <t>P26-S22a-O</t>
  </si>
  <si>
    <t>P27-S20a-O</t>
  </si>
  <si>
    <t>P28-S33a-O©</t>
  </si>
  <si>
    <t>P29-S20a-O</t>
  </si>
  <si>
    <t>P19-S21a-O©</t>
  </si>
  <si>
    <t>P20-S32a-O</t>
  </si>
  <si>
    <t>P21-S21a-O©</t>
  </si>
  <si>
    <t>P22-S21a-O©</t>
  </si>
  <si>
    <t>P23-S21a-O©</t>
  </si>
  <si>
    <t>P24-S32a-O</t>
  </si>
  <si>
    <t>P25-S21a-O©</t>
  </si>
  <si>
    <t>P26-S21a-O©</t>
  </si>
  <si>
    <t>P27-S21a-O©</t>
  </si>
  <si>
    <t>P28-S32a-O</t>
  </si>
  <si>
    <t>P29-S21a-O©</t>
  </si>
  <si>
    <t>P19-S22a-O</t>
  </si>
  <si>
    <t>P20-S31a-O©</t>
  </si>
  <si>
    <t>P21-S22a-O</t>
  </si>
  <si>
    <t>P22-S20a-O</t>
  </si>
  <si>
    <t>P23-S22a-O</t>
  </si>
  <si>
    <t>P24-S31a-O©</t>
  </si>
  <si>
    <t>P25-S22a-O</t>
  </si>
  <si>
    <t>P26-S20a-O</t>
  </si>
  <si>
    <t>P27-S22a-O</t>
  </si>
  <si>
    <t>P28-S31a-O©</t>
  </si>
  <si>
    <t>P29-S22a-O</t>
  </si>
  <si>
    <t>P19-S23a-O©</t>
  </si>
  <si>
    <t>P20-S30a-O</t>
  </si>
  <si>
    <t>P21-S23a-O©</t>
  </si>
  <si>
    <t>P22-S19a-O©</t>
  </si>
  <si>
    <t>P23-S23a-O©</t>
  </si>
  <si>
    <t>P24-S30a-O</t>
  </si>
  <si>
    <t>P25-S23a-O©</t>
  </si>
  <si>
    <t>P26-S19a-O©</t>
  </si>
  <si>
    <t>P27-S23a-O©</t>
  </si>
  <si>
    <t>P28-S30a-O</t>
  </si>
  <si>
    <t>P29-S23a-O©</t>
  </si>
  <si>
    <t>P19-S24a-O</t>
  </si>
  <si>
    <t>P20-S29a-O©</t>
  </si>
  <si>
    <t>P21-S24a-O</t>
  </si>
  <si>
    <t>P22-S18a-O</t>
  </si>
  <si>
    <t>P23-S24a-O</t>
  </si>
  <si>
    <t>P24-S29a-O©</t>
  </si>
  <si>
    <t>P25-S24a-O</t>
  </si>
  <si>
    <t>P26-S18a-O</t>
  </si>
  <si>
    <t>P27-S24a-O</t>
  </si>
  <si>
    <t>P28-S29a-O©</t>
  </si>
  <si>
    <t>P29-S24a-O</t>
  </si>
  <si>
    <t>P19-S25a-O©</t>
  </si>
  <si>
    <t>P20-S28a-O</t>
  </si>
  <si>
    <t>P21-S25a-O©</t>
  </si>
  <si>
    <t>P22-S17a-O©</t>
  </si>
  <si>
    <t>P23-S25a-O©</t>
  </si>
  <si>
    <t>P24-S28a-O</t>
  </si>
  <si>
    <t>P25-S25a-O©</t>
  </si>
  <si>
    <t>P26-S17a-O©</t>
  </si>
  <si>
    <t>P27-S25a-O©</t>
  </si>
  <si>
    <t>P28-S28a-O</t>
  </si>
  <si>
    <t>P29-S25a-O©</t>
  </si>
  <si>
    <t>P19-S26a-O</t>
  </si>
  <si>
    <t>P20-S27a-O©</t>
  </si>
  <si>
    <t>P21-S26a-O</t>
  </si>
  <si>
    <t>P22-S16a-O</t>
  </si>
  <si>
    <t>P23-S26a-O</t>
  </si>
  <si>
    <t>P24-S27a-O©</t>
  </si>
  <si>
    <t>P25-S26a-O</t>
  </si>
  <si>
    <t>P26-S16a-O</t>
  </si>
  <si>
    <t>P27-S26a-O</t>
  </si>
  <si>
    <t>P28-S27a-O©</t>
  </si>
  <si>
    <t>P29-S26a-O</t>
  </si>
  <si>
    <t>P19-S27a-O©</t>
  </si>
  <si>
    <t>P20-S26a-O</t>
  </si>
  <si>
    <t>P21-S27a-O©</t>
  </si>
  <si>
    <t>P22-S15a-O©</t>
  </si>
  <si>
    <t>P23-S27a-O©</t>
  </si>
  <si>
    <t>P24-S26a-O</t>
  </si>
  <si>
    <t>P25-S27a-O©</t>
  </si>
  <si>
    <t>P26-S15a-O©</t>
  </si>
  <si>
    <t>P27-S27a-O©</t>
  </si>
  <si>
    <t>P28-S26a-O</t>
  </si>
  <si>
    <t>P29-S27a-O©</t>
  </si>
  <si>
    <t>P19-S28a-O</t>
  </si>
  <si>
    <t>P20-S25a-O©</t>
  </si>
  <si>
    <t>P21-S28a-O</t>
  </si>
  <si>
    <t>P22-S14a-O</t>
  </si>
  <si>
    <t>P23-S28a-O</t>
  </si>
  <si>
    <t>P24-S25a-O©</t>
  </si>
  <si>
    <t>P25-S28a-O</t>
  </si>
  <si>
    <t>P26-S14a-O</t>
  </si>
  <si>
    <t>P27-S28a-O</t>
  </si>
  <si>
    <t>P28-S25a-O©</t>
  </si>
  <si>
    <t>P29-S28a-O</t>
  </si>
  <si>
    <t>P19-S29a-O©</t>
  </si>
  <si>
    <t>P20-S24a-O</t>
  </si>
  <si>
    <t>P21-S29a-O©</t>
  </si>
  <si>
    <t>P22-S13a-O©</t>
  </si>
  <si>
    <t>P23-S29a-O©</t>
  </si>
  <si>
    <t>P24-S24a-O</t>
  </si>
  <si>
    <t>P25-S29a-O©</t>
  </si>
  <si>
    <t>P26-S13a-O©</t>
  </si>
  <si>
    <t>P27-S29a-O©</t>
  </si>
  <si>
    <t>P28-S24a-O</t>
  </si>
  <si>
    <t>P29-S29a-O©</t>
  </si>
  <si>
    <t>P19-S30a-O</t>
  </si>
  <si>
    <t>P20-S23a-O©</t>
  </si>
  <si>
    <t>P21-S30a-O</t>
  </si>
  <si>
    <t>P22-S12a-O</t>
  </si>
  <si>
    <t>P23-S30a-O</t>
  </si>
  <si>
    <t>P24-S23a-O©</t>
  </si>
  <si>
    <t>P25-S30a-O</t>
  </si>
  <si>
    <t>P26-S12a-O</t>
  </si>
  <si>
    <t>P27-S30a-O</t>
  </si>
  <si>
    <t>P28-S23a-O©</t>
  </si>
  <si>
    <t>P29-S30a-O</t>
  </si>
  <si>
    <t>P19-S31a-O©</t>
  </si>
  <si>
    <t>P20-S22a-O</t>
  </si>
  <si>
    <t>P21-S31a-O©</t>
  </si>
  <si>
    <t>P22-S11a-O©</t>
  </si>
  <si>
    <t>P23-S31a-O©</t>
  </si>
  <si>
    <t>P24-S22a-O</t>
  </si>
  <si>
    <t>P25-S31a-O©</t>
  </si>
  <si>
    <t>P26-S11a-O©</t>
  </si>
  <si>
    <t>P27-S31a-O©</t>
  </si>
  <si>
    <t>P28-S22a-O</t>
  </si>
  <si>
    <t>P29-S31a-O©</t>
  </si>
  <si>
    <t>P19-S32a-O</t>
  </si>
  <si>
    <t>P20-S21a-O©</t>
  </si>
  <si>
    <t>P21-S32a-O</t>
  </si>
  <si>
    <t>P22-S10a-O</t>
  </si>
  <si>
    <t>P23-S32a-O</t>
  </si>
  <si>
    <t>P24-S21a-O©</t>
  </si>
  <si>
    <t>P25-S32a-O</t>
  </si>
  <si>
    <t>P26-S10a-O</t>
  </si>
  <si>
    <t>P27-S32a-O</t>
  </si>
  <si>
    <t>P28-S21a-O©</t>
  </si>
  <si>
    <t>P29-S32a-O</t>
  </si>
  <si>
    <t>P19-S33a-O©</t>
  </si>
  <si>
    <t>P20-S20a-O</t>
  </si>
  <si>
    <t>P21-S33a-O©</t>
  </si>
  <si>
    <t>P22-S09a-O©</t>
  </si>
  <si>
    <t>P23-S33a-O©</t>
  </si>
  <si>
    <t>P24-S20a-O</t>
  </si>
  <si>
    <t>P25-S33a-O©</t>
  </si>
  <si>
    <t>P26-S09a-O©</t>
  </si>
  <si>
    <t>P27-S33a-O©</t>
  </si>
  <si>
    <t>P28-S20a-O</t>
  </si>
  <si>
    <t>P29-S33a-O©</t>
  </si>
  <si>
    <t>P19-S34a-O</t>
  </si>
  <si>
    <t>P20-S19a-O©</t>
  </si>
  <si>
    <t>P21-S34a-O</t>
  </si>
  <si>
    <t>P22-S08a-O</t>
  </si>
  <si>
    <t>P23-S34a-O</t>
  </si>
  <si>
    <t>P24-S19a-O©</t>
  </si>
  <si>
    <t>P25-S34a-O</t>
  </si>
  <si>
    <t>P26-S08a-O</t>
  </si>
  <si>
    <t>P27-S34a-O</t>
  </si>
  <si>
    <t>P28-S19a-O©</t>
  </si>
  <si>
    <t>P29-S34a-O</t>
  </si>
  <si>
    <t>P19-S18a-M</t>
  </si>
  <si>
    <t>P20-S18a-O</t>
  </si>
  <si>
    <t>P21-S06a-E</t>
  </si>
  <si>
    <t>P22-S07a-O</t>
  </si>
  <si>
    <t>P23-S18a-M</t>
  </si>
  <si>
    <t>P24-S18a-O</t>
  </si>
  <si>
    <t>P25-S06a-E</t>
  </si>
  <si>
    <t>P26-S07a-O</t>
  </si>
  <si>
    <t>P27-S18a-M</t>
  </si>
  <si>
    <t>P28-S18a-O</t>
  </si>
  <si>
    <t>P29-S06a-E</t>
  </si>
  <si>
    <t>P19-S17a-M</t>
  </si>
  <si>
    <t>P20-S17a-O©</t>
  </si>
  <si>
    <t>P21-S05a-E</t>
  </si>
  <si>
    <t>P22-S06a-O</t>
  </si>
  <si>
    <t>P23-S17a-M</t>
  </si>
  <si>
    <t>P24-S17a-O©</t>
  </si>
  <si>
    <t>P25-S05a-E</t>
  </si>
  <si>
    <t>P26-S06a-O</t>
  </si>
  <si>
    <t>P27-S17a-M</t>
  </si>
  <si>
    <t>P28-S17a-O©</t>
  </si>
  <si>
    <t>P29-S05a-E</t>
  </si>
  <si>
    <t>P19-S16a-M©</t>
  </si>
  <si>
    <t>P20-S16a-O</t>
  </si>
  <si>
    <t>P21-S04a-E</t>
  </si>
  <si>
    <t>P22-S05a-O</t>
  </si>
  <si>
    <t>P23-S16a-M©</t>
  </si>
  <si>
    <t>P24-S16a-O</t>
  </si>
  <si>
    <t>P25-S04a-E</t>
  </si>
  <si>
    <t>P26-S05a-O</t>
  </si>
  <si>
    <t>P27-S16a-M©</t>
  </si>
  <si>
    <t>P28-S16a-O</t>
  </si>
  <si>
    <t>P29-S04a-E</t>
  </si>
  <si>
    <t>P19-S15a-M</t>
  </si>
  <si>
    <t>P20-S15a-O©</t>
  </si>
  <si>
    <t>P21-S03a-E</t>
  </si>
  <si>
    <t>P22-S04a-O</t>
  </si>
  <si>
    <t>P23-S15a-M</t>
  </si>
  <si>
    <t>P24-S15a-O©</t>
  </si>
  <si>
    <t>P25-S03a-E</t>
  </si>
  <si>
    <t>P26-S04a-O</t>
  </si>
  <si>
    <t>P27-S15a-M</t>
  </si>
  <si>
    <t>P28-S15a-O©</t>
  </si>
  <si>
    <t>P29-S03a-E</t>
  </si>
  <si>
    <t>P19-S14a-M©</t>
  </si>
  <si>
    <t>P20-S14a-O</t>
  </si>
  <si>
    <t>P21-S02a-E</t>
  </si>
  <si>
    <t>P22-S03a-O</t>
  </si>
  <si>
    <t>P23-S14a-M©</t>
  </si>
  <si>
    <t>P24-S14a-O</t>
  </si>
  <si>
    <t>P25-S02a-E</t>
  </si>
  <si>
    <t>P26-S03a-O</t>
  </si>
  <si>
    <t>P27-S14a-M©</t>
  </si>
  <si>
    <t>P28-S14a-O</t>
  </si>
  <si>
    <t>P29-S02a-E</t>
  </si>
  <si>
    <t>P19-S13a-M</t>
  </si>
  <si>
    <t>P20-S13a-O©</t>
  </si>
  <si>
    <t>P21-S01-E</t>
  </si>
  <si>
    <t>P22-S02a-O</t>
  </si>
  <si>
    <t>P23-S13a-M</t>
  </si>
  <si>
    <t>P24-S13a-O©</t>
  </si>
  <si>
    <t>P25-S01-E</t>
  </si>
  <si>
    <t>P26-S02a-O</t>
  </si>
  <si>
    <t>P27-S13a-M</t>
  </si>
  <si>
    <t>P28-S13a-O©</t>
  </si>
  <si>
    <t>P29-S01-E</t>
  </si>
  <si>
    <t>P19-S12a-M©</t>
  </si>
  <si>
    <t>P20-S12a-O</t>
  </si>
  <si>
    <t>P21-S01a-E</t>
  </si>
  <si>
    <t>P22-S01a-O</t>
  </si>
  <si>
    <t>P23-S12a-M©</t>
  </si>
  <si>
    <t>P24-S12a-O</t>
  </si>
  <si>
    <t>P25-S01a-E</t>
  </si>
  <si>
    <t>P26-S01a-O</t>
  </si>
  <si>
    <t>P27-S12a-M©</t>
  </si>
  <si>
    <t>P28-S12a-O</t>
  </si>
  <si>
    <t>P29-S01a-E</t>
  </si>
  <si>
    <t>P19-S11a-M</t>
  </si>
  <si>
    <t>P20-S11a-O©</t>
  </si>
  <si>
    <t>P23-S11a-M</t>
  </si>
  <si>
    <t>P24-S11a-O©</t>
  </si>
  <si>
    <t>P27-S11a-M</t>
  </si>
  <si>
    <t>P28-S11a-O©</t>
  </si>
  <si>
    <t>P19-S10a-M©</t>
  </si>
  <si>
    <t>P20-S10a-O</t>
  </si>
  <si>
    <t>P23-S10a-M©</t>
  </si>
  <si>
    <t>P24-S10a-O</t>
  </si>
  <si>
    <t>P27-S10a-M©</t>
  </si>
  <si>
    <t>P28-S10a-O</t>
  </si>
  <si>
    <t>P19-S09a-M</t>
  </si>
  <si>
    <t>P20-S09a-O©</t>
  </si>
  <si>
    <t>P23-S09a-M</t>
  </si>
  <si>
    <t>P24-S09a-O©</t>
  </si>
  <si>
    <t>P27-S09a-M</t>
  </si>
  <si>
    <t>P28-S09a-O©</t>
  </si>
  <si>
    <t>P19-S08a-M©</t>
  </si>
  <si>
    <t>P20-S08a-O</t>
  </si>
  <si>
    <t>P23-S08a-M©</t>
  </si>
  <si>
    <t>P24-S08a-O</t>
  </si>
  <si>
    <t>P27-S08a-M©</t>
  </si>
  <si>
    <t>P28-S08a-O</t>
  </si>
  <si>
    <t>P19-S07a-M</t>
  </si>
  <si>
    <t>P20-S07a-O</t>
  </si>
  <si>
    <t>P23-S07a-M</t>
  </si>
  <si>
    <t>P24-S07a-O</t>
  </si>
  <si>
    <t>P27-S07a-M</t>
  </si>
  <si>
    <t>P28-S07a-O</t>
  </si>
  <si>
    <t>P19-S06a-M</t>
  </si>
  <si>
    <t>P20-S06a-O</t>
  </si>
  <si>
    <t>P23-S06a-M</t>
  </si>
  <si>
    <t>P24-S06a-O</t>
  </si>
  <si>
    <t>P27-S06a-M</t>
  </si>
  <si>
    <t>P28-S06a-O</t>
  </si>
  <si>
    <t>P19-S05a-M</t>
  </si>
  <si>
    <t>P20-S05a-O</t>
  </si>
  <si>
    <t>P23-S05a-M</t>
  </si>
  <si>
    <t>P24-S05a-O</t>
  </si>
  <si>
    <t>P27-S05a-M</t>
  </si>
  <si>
    <t>P28-S05a-O</t>
  </si>
  <si>
    <t>P19-S04a-M</t>
  </si>
  <si>
    <t>P20-S04a-O</t>
  </si>
  <si>
    <t>P23-S04a-M</t>
  </si>
  <si>
    <t>P24-S04a-O</t>
  </si>
  <si>
    <t>P27-S04a-M</t>
  </si>
  <si>
    <t>P28-S04a-O</t>
  </si>
  <si>
    <t>P19-S03a-M</t>
  </si>
  <si>
    <t>P20-S03a-O</t>
  </si>
  <si>
    <t>P23-S03a-M</t>
  </si>
  <si>
    <t>P24-S03a-O</t>
  </si>
  <si>
    <t>P27-S03a-M</t>
  </si>
  <si>
    <t>P28-S03a-O</t>
  </si>
  <si>
    <t>P19-S02a-M</t>
  </si>
  <si>
    <t>P20-S02a-O</t>
  </si>
  <si>
    <t>P23-S02a-M</t>
  </si>
  <si>
    <t>P24-S02a-O</t>
  </si>
  <si>
    <t>P27-S02a-M</t>
  </si>
  <si>
    <t>P28-S02a-O</t>
  </si>
  <si>
    <t>P19-S01a-M</t>
  </si>
  <si>
    <t>P20-S01a-O</t>
  </si>
  <si>
    <t>P23-S01a-M</t>
  </si>
  <si>
    <t>P24-S01a-O</t>
  </si>
  <si>
    <t>P27-S01a-M</t>
  </si>
  <si>
    <t>P28-S01a-O</t>
  </si>
  <si>
    <t>Total Segments Casted</t>
  </si>
  <si>
    <t>Total Cable Segments Casted</t>
  </si>
  <si>
    <t>Schedule 4 - Main Extradosed Bridge Works</t>
  </si>
  <si>
    <t>401.a</t>
  </si>
  <si>
    <t>MPSB/MB/1</t>
  </si>
  <si>
    <t>Circular - 8 Nos.
Double D - 6 Nos.</t>
  </si>
  <si>
    <t>MPSB/MB/2</t>
  </si>
  <si>
    <t>Double D - 1 No.</t>
  </si>
  <si>
    <t>MPSB/MB/3</t>
  </si>
  <si>
    <t>MPSB/MB/4</t>
  </si>
  <si>
    <t>Circular - 5 Nos.
Double D - 4 Nos.</t>
  </si>
  <si>
    <t>Toppling of P12 &amp; P14</t>
  </si>
  <si>
    <t>MPSB/MB/457</t>
  </si>
  <si>
    <t>P14(N)</t>
  </si>
  <si>
    <t>MPSB/MB/0660</t>
  </si>
  <si>
    <t>P12(A)</t>
  </si>
  <si>
    <t>MPSB/MB/1794</t>
  </si>
  <si>
    <t>401.b</t>
  </si>
  <si>
    <t>MPSB/Sur/56</t>
  </si>
  <si>
    <t>MPSB/Sur/57</t>
  </si>
  <si>
    <t>MPSB/Sur/60</t>
  </si>
  <si>
    <t>MPSB/Sur/76</t>
  </si>
  <si>
    <t>MPSB/Sur/77</t>
  </si>
  <si>
    <t>MPSB/Sur/103</t>
  </si>
  <si>
    <t>MPSB/Sur/80</t>
  </si>
  <si>
    <t>MPSB/Sur/120</t>
  </si>
  <si>
    <t>MPSB/Sur/153</t>
  </si>
  <si>
    <t>MPSB/Sur/168</t>
  </si>
  <si>
    <t>MPSB/Sur/176</t>
  </si>
  <si>
    <t>MPSB/Sur/167</t>
  </si>
  <si>
    <t>MPSB/Sur/185</t>
  </si>
  <si>
    <t>MPSB/Sur/189</t>
  </si>
  <si>
    <t>MPSB/Sur/202</t>
  </si>
  <si>
    <t>MPSB/Sur/216</t>
  </si>
  <si>
    <t>MPSB/Sur/241</t>
  </si>
  <si>
    <t>MPSB/Sur/333</t>
  </si>
  <si>
    <t>MPSB/Sur/357</t>
  </si>
  <si>
    <t>MPSB/Sur/441</t>
  </si>
  <si>
    <t>MPSB/Sur/477</t>
  </si>
  <si>
    <t>MPSB/Sur/495</t>
  </si>
  <si>
    <t>MPSB/Sur/2068</t>
  </si>
  <si>
    <t>P30</t>
  </si>
  <si>
    <t>MPSB/Sur/2561</t>
  </si>
  <si>
    <t>MPSB/Sur/2645</t>
  </si>
  <si>
    <t>MPSB/Sur/2435</t>
  </si>
  <si>
    <t>MPSB/Sur/2755</t>
  </si>
  <si>
    <t>401.c</t>
  </si>
  <si>
    <t>Shuttering and Scaffolding</t>
  </si>
  <si>
    <t>MPSB/Sur/87</t>
  </si>
  <si>
    <t>MPSB/Sur/92</t>
  </si>
  <si>
    <t>MPSB/Sur/102</t>
  </si>
  <si>
    <t>MPSB/Sur/115</t>
  </si>
  <si>
    <t>MPSB/Sur/127</t>
  </si>
  <si>
    <t>MPSB/Sur/190</t>
  </si>
  <si>
    <t>MPSB/Sur/196</t>
  </si>
  <si>
    <t>MPSB/Sur/191</t>
  </si>
  <si>
    <t>MPSB/Sur/205</t>
  </si>
  <si>
    <t>MPSB/Sur/204</t>
  </si>
  <si>
    <t>MPSB/Sur/207</t>
  </si>
  <si>
    <t>MPSB/Sur/228</t>
  </si>
  <si>
    <t>MPSB/Sur/294</t>
  </si>
  <si>
    <t>MPSB/Sur/314</t>
  </si>
  <si>
    <t>MPSB/Sur/343</t>
  </si>
  <si>
    <t>MPSB/Sur/367</t>
  </si>
  <si>
    <t>MPSB/Sur/368</t>
  </si>
  <si>
    <t>MPSB/Sur/289</t>
  </si>
  <si>
    <t>MPSB/Sur/460</t>
  </si>
  <si>
    <t>MPSB/Sur/461</t>
  </si>
  <si>
    <t>MPSB/Sur/501</t>
  </si>
  <si>
    <t>MPSB/Sur/512</t>
  </si>
  <si>
    <t>MPSB/Sur/2110</t>
  </si>
  <si>
    <t>MPSB/Sur/2637</t>
  </si>
  <si>
    <t>MPSB/Sur/2686</t>
  </si>
  <si>
    <t>MPSB/Sur/2466</t>
  </si>
  <si>
    <t>MPSB/Sur/2783</t>
  </si>
  <si>
    <t>402.a</t>
  </si>
  <si>
    <t>MPSB/Str/135
MPSB/Sur/137
MPSB/Str/153
MPSB/Sur/175
MPSB/Str/182</t>
  </si>
  <si>
    <t>26-Nov-24
28-Nov-24
29-Nov-24
4-Dec-24
4-Dec-24</t>
  </si>
  <si>
    <t>P22 - Well Curb</t>
  </si>
  <si>
    <t>Reinforcement Checking
Outer Shutter Checking
Concreting
Grounding
Sinking</t>
  </si>
  <si>
    <t>MPSB/Str/148
MPSB/Sur/157
MPSB/Str/164
MPSB/Sur/179
MPSB/Str/184</t>
  </si>
  <si>
    <t>28-Nov-24
30-Nov-24
30-Nov-24
6-Dec-24
6-Dec-24</t>
  </si>
  <si>
    <t>P6 - Well Curb</t>
  </si>
  <si>
    <t>MPSB/Str/99
MPSB/Sur/184
MPSB/Str/190
MPSB/Sur/194
MPSB/Str/202</t>
  </si>
  <si>
    <t>16-Nov-24
8-Dec-24
8-Dec-24
13-Dec-24
13-Dec-24</t>
  </si>
  <si>
    <t>P26 - Well Curb</t>
  </si>
  <si>
    <t>MPSB/Str/209
MPSB/Str/210
MPSB/Sur/210
MPSB/Str/231</t>
  </si>
  <si>
    <t>15-Dec-24
16-Dec-24
22-Dec-24
22-Dec-24</t>
  </si>
  <si>
    <t>P20 - Well Curb</t>
  </si>
  <si>
    <t>MPSB/Str/215
MPSB/Str/223
MPSB/Str/253
MPSB/Str/254</t>
  </si>
  <si>
    <t>17-Dec-24
19-Dec-24
25-Dec-24
25-Dec-24</t>
  </si>
  <si>
    <t>P24 - Well Curb</t>
  </si>
  <si>
    <t>MPSB/Str/235
MPSB/Str/236
MPSB/Str/276
MPSB/Str/277</t>
  </si>
  <si>
    <t>22-Dec-24
23-Dec-24
29-Dec-24
29-Dec-24</t>
  </si>
  <si>
    <t>P16 - Well Curb</t>
  </si>
  <si>
    <t>MPSB/Str/238
MPSB/Str/242
MPSB/Str/268
MPSB/Str/269</t>
  </si>
  <si>
    <t>23-Dec-24
23-Dec-24
28-Dec-24
28-Dec-24</t>
  </si>
  <si>
    <t>P28 - Well Curb</t>
  </si>
  <si>
    <t>MPSB/Str/250
MPSB/Str/264
MPSB/Str/301
MPSB/Str/302</t>
  </si>
  <si>
    <t>25-Dec-24
28-Dec-24
31-Dec-24
31-Dec-24</t>
  </si>
  <si>
    <t>P18 - Well Curb</t>
  </si>
  <si>
    <t>MPSB/Str/261
MPSB/Str/271
MPSB/Sur/245
MPSB/Sur/246</t>
  </si>
  <si>
    <t>27-Dec-24
29-Dec-24
31-Dec-24
31-Dec-24</t>
  </si>
  <si>
    <t>P8 - Well Curb</t>
  </si>
  <si>
    <t>MPSB/Str/267
MPSB/Str/289</t>
  </si>
  <si>
    <t>28-Dec-24
30-Dec-24</t>
  </si>
  <si>
    <t>P25 - Well Curb</t>
  </si>
  <si>
    <t>MPSB/Str/299
MPSB/Str/334
MPSB/Sur/316
MPSB/Sur/317</t>
  </si>
  <si>
    <t>31-Dec-24
8-Jan-25
17-Jan-25
17-Jan-25</t>
  </si>
  <si>
    <t>P7 - Well Curb</t>
  </si>
  <si>
    <t>MPSB/Str/408
MPSB/Str/424
MPSB/Sur/396
MPSB/Sur/397</t>
  </si>
  <si>
    <t>22-Jan-25
24-Jan-25
31-Jan-25
31-Jan-25</t>
  </si>
  <si>
    <t>P9 - Well Curb</t>
  </si>
  <si>
    <t>MPSB/Str/439
MPSB/Str/455</t>
  </si>
  <si>
    <t>27-Jan-25
30-Jan-25</t>
  </si>
  <si>
    <t>P17 - Well Curb</t>
  </si>
  <si>
    <t>MPSB/Str/359
MPSB/Str/381
MPSB/Sur/380</t>
  </si>
  <si>
    <t>13-Jan-25
18-Jan-25
28-Jan-25</t>
  </si>
  <si>
    <t>P19 - Well Curb</t>
  </si>
  <si>
    <t>MPSB/Str/489
MPSB/Sur/426
MPSB/Str/494
MPSB/Sur/453
MPSB/Sur/454</t>
  </si>
  <si>
    <t>5-Feb-25
6-Feb-25
6-Feb-25
11-Feb-25
11-Feb-25</t>
  </si>
  <si>
    <t>P10 - Well Curb</t>
  </si>
  <si>
    <t>MPSB/Str/628
MPSB/Sur/581
MPSB/Str/661</t>
  </si>
  <si>
    <t>25-Feb-25
27-Feb-25
27-Feb-25</t>
  </si>
  <si>
    <t>P12 - Well Curb</t>
  </si>
  <si>
    <t>MPSB/Str/566
MPSB/Sur/500
MPSB/Str/592
MPSB/Sur/551
MPSB/Sur/552</t>
  </si>
  <si>
    <t>18-Feb-25
19-Feb-25
21-Feb-25
25-Feb-25
25-Feb-25</t>
  </si>
  <si>
    <t>P14 - Well Curb</t>
  </si>
  <si>
    <t>MPSB/Str/508
MPSB/Sur/457
MPSB/Str/526
MPSB/Sur/515
MPSB/Sur/536</t>
  </si>
  <si>
    <t>9-Feb-25
12-Feb-25
12-Feb-25
20-Feb-25
23-Feb-25</t>
  </si>
  <si>
    <t>P15 - Well Curb</t>
  </si>
  <si>
    <t>MPSB/Str/513
MPSB/Str/615
MPSB/Sur/600
MPSB/Sur/601</t>
  </si>
  <si>
    <t>10-Feb-25
24-Feb-25
28-Feb-25
28-Feb-25</t>
  </si>
  <si>
    <t>P21 - Well Curb</t>
  </si>
  <si>
    <t>MPSB/Str/633
MPSB/Str/686</t>
  </si>
  <si>
    <t>25-Feb-25
28-Feb-25</t>
  </si>
  <si>
    <t>P23 - Well Curb</t>
  </si>
  <si>
    <t>MPSB/Str/500
MPSB/Str/523
MPSB/Sur/487
MPSB/Sur/493</t>
  </si>
  <si>
    <t>7-Feb-25
10-Feb-25
17-Feb-25
18-Feb-25</t>
  </si>
  <si>
    <t>P29 - Well Curb</t>
  </si>
  <si>
    <t>MPSB/Str/748
MPSB/Str/832
MPSB/Sur/819
MPSB/Sur/821</t>
  </si>
  <si>
    <t>07-Mar-25
19-Mar-25
28-Mar-25
28-Mar-25</t>
  </si>
  <si>
    <t>P27 - Well Curb</t>
  </si>
  <si>
    <t>MPSB/Str/2757
MPSB/Sur/2164
MPSB/Str/2758
MPSB/Sur/2225</t>
  </si>
  <si>
    <t>10-Nov-25
10-Nov-25
10-Nov-25
19-Nov-25</t>
  </si>
  <si>
    <t>P30 - Well Curb</t>
  </si>
  <si>
    <t>MPSB/Str/3534
MPSB/Sur/2710
MPSB/Str/3567
MPSB/Sur/2782
MPSB/Sur/2793</t>
  </si>
  <si>
    <t>16-Jan-26
19-Jan-26
19-Jan-26
28-Jan-26
29-Jan-26</t>
  </si>
  <si>
    <t>P11 - Well Curb</t>
  </si>
  <si>
    <t>MPSB/Str/3607
MPSB/Sur/2756
MPSB/Str/3637
MPSB/Sur/2819</t>
  </si>
  <si>
    <t>22-Jan-26
24-Jan-26
24-Jan-26
31-Jan-26</t>
  </si>
  <si>
    <t>P13 - Well Curb</t>
  </si>
  <si>
    <t>MPSB/Str/3229
MPSB/Sur/2510
MPSB/Str/3292
MPSB/Sur/2582
MPSB/Sur/2592</t>
  </si>
  <si>
    <t>22-Dec-25
27-Dec-25
27-Dec-25
1-Jan-26
3-Jan-26</t>
  </si>
  <si>
    <t>P14(N) - Well Curb</t>
  </si>
  <si>
    <t>MPSB/Str/3668
MPSB/Sur/2802
MPSB/Str/3685
MPSB/Sur/2848
MPSB/Sur/2853</t>
  </si>
  <si>
    <t>29-Jan-26
30-Jan-26
30-Jan-26
3-Feb-26
4-Feb-26</t>
  </si>
  <si>
    <t>P12(A) - Well Curb</t>
  </si>
  <si>
    <t>MPSB/Sur/180
MPSB/Str/192
MPSB/Str/193
MPSB/Str/199</t>
  </si>
  <si>
    <t>6-Dec-24
9-Dec-24
9-Dec-24
12-Dec-24</t>
  </si>
  <si>
    <t>P22 - 1st Lift</t>
  </si>
  <si>
    <t>Survey Checking
Reinforcement Checking
Shutter &amp; Concreting
Sinking</t>
  </si>
  <si>
    <t>MPSB/Str/207
MPSB/Str/208
MPSB/Str/221</t>
  </si>
  <si>
    <t>14-Dec-24
14-Dec-24
18-Dec-24</t>
  </si>
  <si>
    <t>P6 - 1st Lift</t>
  </si>
  <si>
    <t>MPSB/Sur/206
MPSB/Str/224
MPSB/Str/225
MPSB/Str/232</t>
  </si>
  <si>
    <t>19-Dec-24
19-Dec-24
19-Dec-24
22-Dec-24</t>
  </si>
  <si>
    <t>P26 - 1st Lift</t>
  </si>
  <si>
    <t>MPSB/Sur/219
MPSB/Str/251
MPSB/Str/252
MPSB/Str/280</t>
  </si>
  <si>
    <t>25-Dec-24
25-Dec-24
25-Dec-24
29-Dec-24</t>
  </si>
  <si>
    <t>P20 - 1st Lift</t>
  </si>
  <si>
    <t>MPSB/Sur/227
MPSB/Str/265
MPSB/Str/266
MPSB/Str/294</t>
  </si>
  <si>
    <t>28-Dec-24
28-Dec-24
28-Dec-24
30-Dec-24</t>
  </si>
  <si>
    <t>P24 - 1st Lift</t>
  </si>
  <si>
    <t>MPSB/Str/450
MPSB/Str/467
MPSB/Sur/390</t>
  </si>
  <si>
    <t>28-Jan-25
30-Jan-25
30-Jan-25</t>
  </si>
  <si>
    <t>P7 - 1st Lift</t>
  </si>
  <si>
    <t>MPSB/Str/335
MPSB/Str/352
MPSB/Sur/288
MPSB/Sur/300</t>
  </si>
  <si>
    <t>8-Jan-25
11-Jan-25
11-Jan-25
14-Jan-25</t>
  </si>
  <si>
    <t>P8 - 1st Lift</t>
  </si>
  <si>
    <t>MPSB/Str/331
MPSB/Sur/270
MPSB/Str/349
MPSB/Sur/309</t>
  </si>
  <si>
    <t>8-Jan-25
8-Jan-25
11-Jan-25
17-Jan-25</t>
  </si>
  <si>
    <t>P16 - 1st Lift</t>
  </si>
  <si>
    <t>MPSB/Str/346
MPSB/Sur/284
MPSB/Str/353
MPSB/Sur/306</t>
  </si>
  <si>
    <t>10-Jan-25
10-Jan-25
12-Jan-25
16-Jan-25</t>
  </si>
  <si>
    <t>P18 - 1st Lift</t>
  </si>
  <si>
    <t>MPSB/Str/388
MPSB/Sur/328
MPSB/Str/389
MPSB/Sur/354</t>
  </si>
  <si>
    <t>20-Jan-25
20-Jan-25
20-Jan-25
24-Jan-25</t>
  </si>
  <si>
    <t>P25 - 1st Lift</t>
  </si>
  <si>
    <t>MPSB/Str/336
MPSB/Sur/271
MPSB/Str/337
MPSB/Sur/291</t>
  </si>
  <si>
    <t>8-Jan-25
8-Jan-25
8-Jan-25
12-Jan-25</t>
  </si>
  <si>
    <t>P28 - 1st Lift</t>
  </si>
  <si>
    <t>MPSB/Str/538
MPSB/Sur/471
MPSB/Str/549
MPSB/Sur/534</t>
  </si>
  <si>
    <t>14-Feb-25
15-Feb-25
15-Feb-25
23-Feb-25</t>
  </si>
  <si>
    <t>P9 - 1st Lift</t>
  </si>
  <si>
    <t>MPSB/Str/577
MPSB/Sur/508
MPSB/Str/578
MPSB/Sur/545</t>
  </si>
  <si>
    <t>19-Feb-25
19-Feb-25
19-Feb-25
24-Feb-25</t>
  </si>
  <si>
    <t>P10 - 1st Lift</t>
  </si>
  <si>
    <t>MPSB/Str/668
MPSB/Sur/591
MPSB/Str/669</t>
  </si>
  <si>
    <t>28-Feb-25
28-Feb-25
28-Feb-25</t>
  </si>
  <si>
    <t>P14 - 1st Lift</t>
  </si>
  <si>
    <t>MPSB/Str/670
MPSB/Sur/592
MPSB/Str/671</t>
  </si>
  <si>
    <t>P15 - 1st Lift</t>
  </si>
  <si>
    <t>MPSB/Str/602
MPSB/Sur/529
MPSB/Str/603
MPSB/Sur/583</t>
  </si>
  <si>
    <t>22-Feb-25
22-Feb-25
22-Feb-25
27-Feb-25</t>
  </si>
  <si>
    <t>P17 - 1st Lift</t>
  </si>
  <si>
    <t>MPSB/Str/546
MPSB/Sur/480
MPSB/Str/562
MPSB/Sur/511</t>
  </si>
  <si>
    <t>15-Feb-25
17-Feb-25
17-Feb-25
20-Feb-25</t>
  </si>
  <si>
    <t>P19 - 1st Lift</t>
  </si>
  <si>
    <t>MPSB/Str/657
MPSB/Sur/579
MPSB/Str/658</t>
  </si>
  <si>
    <t>27-Feb-25
27-Feb-25
27-Feb-25</t>
  </si>
  <si>
    <t>P29 - 1st Lift</t>
  </si>
  <si>
    <t>MPSB/Sur/682
MPSB/Str/771
MPSB/Str/772
MPSB/Sur/718</t>
  </si>
  <si>
    <t>10-Mar-25
10-Mar-25
10-Mar-25
15-Mar-25</t>
  </si>
  <si>
    <t>P12 - 1st Lift</t>
  </si>
  <si>
    <t>MPSB/Str/802
MPSB/Sur/712
MPSB/Str/816
MPSB/Sur/760</t>
  </si>
  <si>
    <t>15-Mar-25
15-Mar-25
17-Mar-25
22-Mar-25</t>
  </si>
  <si>
    <t>P21 - 1st Lift</t>
  </si>
  <si>
    <r>
      <t xml:space="preserve">MPSB/Str/956
MPSB/Sur/833
MPSB/Str/957
</t>
    </r>
    <r>
      <rPr>
        <sz val="12"/>
        <rFont val="Calibri"/>
        <family val="2"/>
        <scheme val="minor"/>
      </rPr>
      <t>MPSB/Sur/884</t>
    </r>
  </si>
  <si>
    <t>29-Mar-25
29-Mar-25
29-Mar-25
31-Mar-25</t>
  </si>
  <si>
    <t>P23 - 1st Lift</t>
  </si>
  <si>
    <r>
      <rPr>
        <sz val="12"/>
        <color theme="1"/>
        <rFont val="Calibri"/>
        <family val="2"/>
        <scheme val="minor"/>
      </rPr>
      <t>MPSB/Str/962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MPSB/Sur/836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MPSB/Str/963</t>
    </r>
  </si>
  <si>
    <t>29-Mar-25
29-Mar-25
29-Mar-25</t>
  </si>
  <si>
    <t>P27 - 1st Lift</t>
  </si>
  <si>
    <r>
      <rPr>
        <sz val="12"/>
        <color theme="1"/>
        <rFont val="Calibri"/>
        <family val="2"/>
        <scheme val="minor"/>
      </rPr>
      <t>MPSB/Str/2901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MPSB/Sur/2251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MPSB/Str/2902
MPSB/Sur/2275</t>
    </r>
  </si>
  <si>
    <t>23-Nov-25
23-Nov-25
23-Nov-25
26-Nov-25</t>
  </si>
  <si>
    <t>P30 - 1st Lift</t>
  </si>
  <si>
    <r>
      <rPr>
        <sz val="12"/>
        <color theme="1"/>
        <rFont val="Calibri"/>
        <family val="2"/>
        <scheme val="minor"/>
      </rPr>
      <t>MPSB/Str/3715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MPSB/Sur/2818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MPSB/Str/3716</t>
    </r>
  </si>
  <si>
    <t>31-Jan-26
31-Jan-26
31-Jan-26</t>
  </si>
  <si>
    <t>P11 - 1st Lift</t>
  </si>
  <si>
    <r>
      <rPr>
        <sz val="12"/>
        <color theme="1"/>
        <rFont val="Calibri"/>
        <family val="2"/>
        <scheme val="minor"/>
      </rPr>
      <t>MPSB/Str/3422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MPSB/Sur/2603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MPSB/Str/3423
MPSB/Sur/2636</t>
    </r>
  </si>
  <si>
    <t>5-Jan-26
5-Jan-26
5-Jan-26
9-Jan-26</t>
  </si>
  <si>
    <t>P14(N) - 1st Lift</t>
  </si>
  <si>
    <t>MPSB/Str/3771
MPSB/Sur/2866
MPSB/Str/3772
MPSB/Sur/2908</t>
  </si>
  <si>
    <t>6-Feb-26
6-Feb-26
6-Feb-26
11-Feb-26</t>
  </si>
  <si>
    <t>P13 - 1st Lift</t>
  </si>
  <si>
    <t>MPSB/Str/3784
MPSB/Sur/2881
MPSB/Str/3785
MPSB/Sur/2905</t>
  </si>
  <si>
    <t>7-Feb-26
7-Feb-26
7-Feb-26
11-Feb-26</t>
  </si>
  <si>
    <t>P12(A) - 1st Lift</t>
  </si>
  <si>
    <t>MPSB/Sur/195
MPSB/Str/203
MPSB/Str/204
MPSB/Str/214</t>
  </si>
  <si>
    <t>13-Dec-24
13-Dec-24
13-Dec-24
16-Dec-24</t>
  </si>
  <si>
    <t>P22 - 2nd Lift</t>
  </si>
  <si>
    <t>MPSB/Sur/211
MPSB/Str/233
MPSB/Str/234
MPSB/Str/247</t>
  </si>
  <si>
    <t>22-Dec-24
22-Dec-24
22-Dec-24
25-Dec-24</t>
  </si>
  <si>
    <t>P6 - 2nd Lift</t>
  </si>
  <si>
    <t>MPSB/Sur/220
MPSB/Str/255
MPSB/Str/256
MPSB/Str/282</t>
  </si>
  <si>
    <t>P26 - 2nd Lift</t>
  </si>
  <si>
    <t>MPSB/Sur/237
MPSB/Str/287
MPSB/Str/288</t>
  </si>
  <si>
    <t>30-Dec-24
30-Dec-24
30-Dec-24</t>
  </si>
  <si>
    <t>P20 - 2nd Lift</t>
  </si>
  <si>
    <t>MPSB/Str/394
MPSB/Sur/334
MPSB/Str/395</t>
  </si>
  <si>
    <t>21-Jan-25
21-Jan-25
21-Jan-25</t>
  </si>
  <si>
    <t>P16 - 2nd Lift</t>
  </si>
  <si>
    <t>MPSB/Str/385
MPSB/Sur/325
MPSB/Str/386
MPSB/Sur/361</t>
  </si>
  <si>
    <t>20-Jan-25
20-Jan-25
20-Jan-25
25-Jan-25</t>
  </si>
  <si>
    <t>P18 - 2nd Lift</t>
  </si>
  <si>
    <t>MPSB/Str/305
MPSB/Sur/250
MPSB/Str/306
MPSB/Sur/283</t>
  </si>
  <si>
    <t>31-Dec-24
31-Dec-24
31-Dec-24
10-Jan-25</t>
  </si>
  <si>
    <t>P24 - 2nd Lift</t>
  </si>
  <si>
    <t>MPSB/Str/374
MPSB/Sur/313
MPSB/Str/375
MPSB/Sur/326</t>
  </si>
  <si>
    <t>17-Jan-25
17-Jan-25
17-Jan-25
20-Jan-25</t>
  </si>
  <si>
    <t>P28 - 2nd Lift</t>
  </si>
  <si>
    <t>MPSB/Str/392
MPSB/Sur/345
MPSB/Str/409
MPSB/Sur/394</t>
  </si>
  <si>
    <t>20-Jan-25
22-Jan-25
22-Jan-25
31-Jan-25</t>
  </si>
  <si>
    <t>P8 - 2nd Lift</t>
  </si>
  <si>
    <t>MPSB/Str/447
MPSB/Sur/378
MPSB/Str/469</t>
  </si>
  <si>
    <t>28-Jan-25
28-Jan-25
30-Jan-25</t>
  </si>
  <si>
    <t>P25 - 2nd Lift</t>
  </si>
  <si>
    <t>MPSB/Str/585
MPSB/Sur/518
MPSB/Str/586</t>
  </si>
  <si>
    <t>21-Feb-25
21-Feb-25
21-Feb-25</t>
  </si>
  <si>
    <t>P7 - 2nd Lift</t>
  </si>
  <si>
    <t>MPSB/Str/563
MPSB/Sur/488
MPSB/Str/564
MPSB/Sur/535</t>
  </si>
  <si>
    <t>17-Feb-25
17-Feb-25
17-Feb-25
23-Feb-25</t>
  </si>
  <si>
    <t>P9 - 2nd Lift</t>
  </si>
  <si>
    <t>MPSB/Str/659
MPSB/Sur/580
MPSB/Str/660</t>
  </si>
  <si>
    <t>P10 - 2nd Lift</t>
  </si>
  <si>
    <t>MPSB/Str/604
MPSB/Sur/530
MPSB/Str/605
MPSB/Sur/585</t>
  </si>
  <si>
    <t>P17 - 2nd Lift</t>
  </si>
  <si>
    <t>MPSB/Str/629
MPSB/Sur/557
MPSB/Str/630
MPSB/Sur/572</t>
  </si>
  <si>
    <t>25-Feb-25
25-Feb-25
25-Feb-25
27-Feb-25</t>
  </si>
  <si>
    <t>P19 - 2nd Lift</t>
  </si>
  <si>
    <t>MPSB/Str/695
MPSB/Sur/606
MPSB/Str/696</t>
  </si>
  <si>
    <t>P29 - 2nd Lift</t>
  </si>
  <si>
    <r>
      <t xml:space="preserve">MPSB/Str/839
MPSB/Str/840
</t>
    </r>
    <r>
      <rPr>
        <sz val="12"/>
        <rFont val="Calibri"/>
        <family val="2"/>
        <scheme val="minor"/>
      </rPr>
      <t>MPSB/Sur/746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MPSB/Sur/845</t>
    </r>
  </si>
  <si>
    <t>20-Mar-25
20-Mar-25
20-Mar-25
28-Mar-25</t>
  </si>
  <si>
    <t>P12 - 2nd Lift</t>
  </si>
  <si>
    <t>MPSB/Str/799
MPSB/Str/800
MPSB/Sur/707</t>
  </si>
  <si>
    <t>13-Mar-25
13-Mar-25
13-Mar-25</t>
  </si>
  <si>
    <t>P14 - 2nd Lift</t>
  </si>
  <si>
    <t>MPSB/Str/797
MPSB/Str/798
MPSB/Sur/706
MPSB/Sur/734</t>
  </si>
  <si>
    <t>13-Mar-25
13-Mar-25
13-Mar-25
18-Mar-25</t>
  </si>
  <si>
    <t>P15 - 2nd Lift</t>
  </si>
  <si>
    <t>MPSB/Str/804
MPSB/Sur/713
MPSB/Str/820
MPSB/Sur/762</t>
  </si>
  <si>
    <t>15-Mar-25
15-Mar-25
18-Mar-25
22-Mar-25</t>
  </si>
  <si>
    <t>P21 - 2nd Lift</t>
  </si>
  <si>
    <r>
      <t xml:space="preserve">MPSB/Str/958
MPSB/Sur/834
MPSB/Str/959
</t>
    </r>
    <r>
      <rPr>
        <sz val="12"/>
        <rFont val="Calibri"/>
        <family val="2"/>
        <scheme val="minor"/>
      </rPr>
      <t>MPSB/Sur/886</t>
    </r>
  </si>
  <si>
    <t>P23 - 2nd Lift</t>
  </si>
  <si>
    <r>
      <t xml:space="preserve">MPSB/Str/1172
</t>
    </r>
    <r>
      <rPr>
        <sz val="12"/>
        <rFont val="Calibri"/>
        <family val="2"/>
        <scheme val="minor"/>
      </rPr>
      <t>MPSB/Sur/1015</t>
    </r>
    <r>
      <rPr>
        <sz val="12"/>
        <color theme="1"/>
        <rFont val="Calibri"/>
        <family val="2"/>
        <scheme val="minor"/>
      </rPr>
      <t xml:space="preserve">
MPSB/Str/1198
MPSB/Sur/1072</t>
    </r>
  </si>
  <si>
    <t>17-Apr-25
17-Apr-25
20-Apr-25
23-Apr-25</t>
  </si>
  <si>
    <t>P27 - 2nd Lift</t>
  </si>
  <si>
    <r>
      <rPr>
        <sz val="12"/>
        <color theme="1"/>
        <rFont val="Calibri"/>
        <family val="2"/>
        <scheme val="minor"/>
      </rPr>
      <t>MPSB/Str/2970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MPSB/Sur/2295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MPSB/Str/2971</t>
    </r>
  </si>
  <si>
    <t>28-Nov-25
28-Nov-25
28-Nov-25</t>
  </si>
  <si>
    <t>P30 - 2nd Lift</t>
  </si>
  <si>
    <r>
      <rPr>
        <sz val="12"/>
        <color theme="1"/>
        <rFont val="Calibri"/>
        <family val="2"/>
        <scheme val="minor"/>
      </rPr>
      <t>MPSB/Str/3477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MPSB/Sur/2646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MPSB/Str/3478
MPSB/Sur/2704</t>
    </r>
  </si>
  <si>
    <t>10-Jan-26
10-Jan-26
10-Jan-26
17-Jan-26</t>
  </si>
  <si>
    <t>P14(N) - 2nd Lift</t>
  </si>
  <si>
    <t>MPSB/Str/3809
MPSB/Sur/2894
MPSB/Str/3810
MPSB/Sur/2924</t>
  </si>
  <si>
    <t>9-Feb-26
9-Feb-26
9-Feb-26
13-Feb-26</t>
  </si>
  <si>
    <t>P11 - 2nd Lift</t>
  </si>
  <si>
    <t>MPSB/Str/3848
MPSB/Sur/2922
MPSB/Str/3849
MPSB/Sur/2948</t>
  </si>
  <si>
    <t>13-Feb-26
13-Feb-26
13-Feb-26
17-Feb-26</t>
  </si>
  <si>
    <t>P13 - 2nd Lift</t>
  </si>
  <si>
    <t>MPSB/Str/3827
MPSB/Sur/2906
MPSB/Str/3828
MPSB/Sur/2928</t>
  </si>
  <si>
    <t>11-Feb-26
11-Feb-26
11-Feb-26
14-Feb-26</t>
  </si>
  <si>
    <t>P12(A) - 2nd Lift</t>
  </si>
  <si>
    <t>MPSB/Sur/209
MPSB/Str/229
MPSB/Str/230
MPSB/Str/270</t>
  </si>
  <si>
    <t>21-Dec-24
21-Dec-24
22-Dec-24
28-Dec-24</t>
  </si>
  <si>
    <t>P22 - 3rd Lift</t>
  </si>
  <si>
    <t>MPSB/Sur/295
MPSB/Str/295
MPSB/Sur/243</t>
  </si>
  <si>
    <t>30-Dec-24
30-Dec-24
31-Dec-24</t>
  </si>
  <si>
    <t>P6 - 3rd Lift</t>
  </si>
  <si>
    <t>MPSB/Str/338
MPSB/Sur/272
MPSB/Str/339
MPSB/Sur/312</t>
  </si>
  <si>
    <t>8-Jan-25
8-Jan-25
8-Jan-25
17-Jan-25</t>
  </si>
  <si>
    <t>P20 - 3rd Lift</t>
  </si>
  <si>
    <t>MPSB/Str/357
MPSB/Sur/295
MPSB/Str/367
MPSB/Sur/370</t>
  </si>
  <si>
    <t>13-Jan-25
13-Jan-25
15-Jan-25
27-Jan-25</t>
  </si>
  <si>
    <t>P24 - 3rd Lift</t>
  </si>
  <si>
    <t>MPSB/Str/292
MPSB/Sur/240
MPSB/Str/293
MPSB/Sur/276</t>
  </si>
  <si>
    <t>30-Dec-24
30-Dec-24
30-Dec-24
9-Jan-25</t>
  </si>
  <si>
    <t>P26 - 3rd Lift</t>
  </si>
  <si>
    <t>MPSB/Str/431
MPSB/Sur/366
MPSB/Str/441
MPSB/Sur/389</t>
  </si>
  <si>
    <t>27-Jan-25
27-Jan-25
28-Jan-25
30-Jan-25</t>
  </si>
  <si>
    <t>P16 - 3rd Lift</t>
  </si>
  <si>
    <t>MPSB/Str/435
MPSB/Sur/372
MPSB/Str/436</t>
  </si>
  <si>
    <t>27-Jan-25
27-Jan-25
27-Jan-25</t>
  </si>
  <si>
    <t>P18 - 3rd Lift</t>
  </si>
  <si>
    <t>MPSB/Str/433
MPSB/Sur/369
MPSB/Str/434
MPSB/Sur/401</t>
  </si>
  <si>
    <t>27-Jan-25
27-Jan-25
27-Jan-25
31-Jan-25</t>
  </si>
  <si>
    <t>P28 - 3rd Lift</t>
  </si>
  <si>
    <t>MPSB/Str/432
MPSB/Sur/379
MPSB/Str/449
MPSB/Sur/395</t>
  </si>
  <si>
    <t>27-Jan-25
28-Jan-25
28-Jan-25
31-Jan-25</t>
  </si>
  <si>
    <t>P8 - 3rd Lift</t>
  </si>
  <si>
    <t>MPSB/Str/704
MPSB/Sur/613
MPSB/Str/705</t>
  </si>
  <si>
    <t>P9 - 3rd Lift</t>
  </si>
  <si>
    <t>MPSB/Str/666
MPSB/Sur/590
MPSB/Str/667</t>
  </si>
  <si>
    <t>P10 - 3rd Lift</t>
  </si>
  <si>
    <t>MPSB/Str/674
MPSB/Sur/594
MPSB/Str/675</t>
  </si>
  <si>
    <t>P17 - 3rd Lift</t>
  </si>
  <si>
    <t>MPSB/Str/544
MPSB/Sur/469
MPSB/Str/545
MPSB/Sur/503</t>
  </si>
  <si>
    <t>15-Feb-25
15-Feb-25
15-Feb-25
19-Feb-25</t>
  </si>
  <si>
    <t>P25 - 3rd Lift</t>
  </si>
  <si>
    <t>MPSB/Str/791
MPSB/Str/792
MPSB/Sur/703
MPSB/Sur/727</t>
  </si>
  <si>
    <t>12-Mar-25
12-Mar-25
12-Mar-25
17-Mar-25</t>
  </si>
  <si>
    <t>P7 - 3rd Lift</t>
  </si>
  <si>
    <t>MPSB/Str/893
MPSB/Str/894
MPSB/Sur/784
MPSB/Sur/845</t>
  </si>
  <si>
    <t>25-Mar-25
25-Mar-25
25-Mar-25
29-Mar-25</t>
  </si>
  <si>
    <t>P12 - 3rd Lift</t>
  </si>
  <si>
    <t>MPSB/Str/858
MPSB/Str/859
MPSB/Sur/765</t>
  </si>
  <si>
    <t>22-Mar-25
22-Mar-25
22-Mar-25</t>
  </si>
  <si>
    <t>P14 - 3rd Lift</t>
  </si>
  <si>
    <t>MPSB/Str/886
MPSB/Str/887
MPSB/Sur/777</t>
  </si>
  <si>
    <t>24-Mar-25
24-Mar-25
24-Mar-25</t>
  </si>
  <si>
    <t>P15 - 3rd Lift</t>
  </si>
  <si>
    <t>MPSB/Str/758
MPSB/Sur/673
MPSB/Str/759
MPSB/Sur/701</t>
  </si>
  <si>
    <t>09-Mar-25
09-Mar-25
09-Mar-25
12-Mar-25</t>
  </si>
  <si>
    <t>P19 - 3rd Lift</t>
  </si>
  <si>
    <t>MPSB/Str/888
MPSB/Sur/780
MPSB/Str/889
MPSB/Sur/880</t>
  </si>
  <si>
    <t>25-Mar-25
25-Mar-25
25-Mar-25
31-Mar-25</t>
  </si>
  <si>
    <t>P21 - 3rd Lift</t>
  </si>
  <si>
    <r>
      <t xml:space="preserve">MPSB/Str/784
</t>
    </r>
    <r>
      <rPr>
        <sz val="12"/>
        <rFont val="Calibri"/>
        <family val="2"/>
        <scheme val="minor"/>
      </rPr>
      <t>MPSB/Sur/702</t>
    </r>
    <r>
      <rPr>
        <sz val="12"/>
        <color theme="1"/>
        <rFont val="Calibri"/>
        <family val="2"/>
        <scheme val="minor"/>
      </rPr>
      <t xml:space="preserve">
MPSB/Str/785
MPSB/Sur/724</t>
    </r>
  </si>
  <si>
    <t>12-Mar-25
12-Mar-25
12-Mar-25
16-Mar-25</t>
  </si>
  <si>
    <t>P29 - 3rd Lift</t>
  </si>
  <si>
    <r>
      <t xml:space="preserve">MPSB/Str/1136
</t>
    </r>
    <r>
      <rPr>
        <sz val="12"/>
        <rFont val="Calibri"/>
        <family val="2"/>
        <scheme val="minor"/>
      </rPr>
      <t>MPSB/Sur/997</t>
    </r>
    <r>
      <rPr>
        <sz val="12"/>
        <color theme="1"/>
        <rFont val="Calibri"/>
        <family val="2"/>
        <scheme val="minor"/>
      </rPr>
      <t xml:space="preserve">
MPSB/Str/1137
MPSB/Sur/1042</t>
    </r>
  </si>
  <si>
    <t>15-Apr-25
15-Apr-25
15-Apr-25
20-Apr-25</t>
  </si>
  <si>
    <t>P23 - 3rd Lift</t>
  </si>
  <si>
    <r>
      <t xml:space="preserve">MPSB/Str/1289
</t>
    </r>
    <r>
      <rPr>
        <sz val="12"/>
        <rFont val="Calibri"/>
        <family val="2"/>
        <scheme val="minor"/>
      </rPr>
      <t>MPSB/Sur/1114</t>
    </r>
    <r>
      <rPr>
        <sz val="12"/>
        <color theme="1"/>
        <rFont val="Calibri"/>
        <family val="2"/>
        <scheme val="minor"/>
      </rPr>
      <t xml:space="preserve">
MPSB/Str/1290
MPSB/Sur/1143</t>
    </r>
  </si>
  <si>
    <t>26-Apr-25
26-Apr-25
26-Apr-25
29-Apr-25</t>
  </si>
  <si>
    <t>P27 - 3rd Lift</t>
  </si>
  <si>
    <r>
      <rPr>
        <sz val="12"/>
        <color theme="1"/>
        <rFont val="Calibri"/>
        <family val="2"/>
        <scheme val="minor"/>
      </rPr>
      <t>MPSB/Str/2997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MPSB/Sur/2313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MPSB/Str/2998</t>
    </r>
  </si>
  <si>
    <t>30-Nov-25
30-Nov-25
30-Nov-25</t>
  </si>
  <si>
    <t>P30 - 3rd Lift</t>
  </si>
  <si>
    <r>
      <rPr>
        <sz val="12"/>
        <color theme="1"/>
        <rFont val="Calibri"/>
        <family val="2"/>
        <scheme val="minor"/>
      </rPr>
      <t>MPSB/Str/3519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MPSB/Sur/2676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MPSB/Str/3520
MPSB/Sur/2704</t>
    </r>
  </si>
  <si>
    <t>14-Jan-26
14-Jan-26
14-Jan-26
17-Jan-26</t>
  </si>
  <si>
    <t>P14(N) - 3rd Lift</t>
  </si>
  <si>
    <t>MPSB/Str/3859
MPSB/Sur/2934
MPSB/Str/3860
MPSB/Sur/2957</t>
  </si>
  <si>
    <t>15-Feb-26
15-Feb-26
15-Feb-26
19-Feb-26</t>
  </si>
  <si>
    <t>P11 - 3rd Lift</t>
  </si>
  <si>
    <t>MPSB/Str/3894
MPSB/Sur/2955
MPSB/Str/3895
MPSB/Sur/2978</t>
  </si>
  <si>
    <t>19-Feb-26
19-Feb-26
19-Feb-26
23-Feb-26</t>
  </si>
  <si>
    <t>P13 - 3rd Lift</t>
  </si>
  <si>
    <t>MPSB/Str/3864
MPSB/Sur/2939
MPSB/Str/3865
MPSB/Sur/2962</t>
  </si>
  <si>
    <t>16-Feb-26
16-Feb-26
16-Feb-26
20-Feb-26</t>
  </si>
  <si>
    <t>P12(A) - 3rd Lift</t>
  </si>
  <si>
    <t>MPSB/Sur/223
MPSB/Str/259
MPSB/Str/260
MPSB/Str/281</t>
  </si>
  <si>
    <t>26-Dec-24
26-Dec-24
26-Dec-24
29-Dec-24</t>
  </si>
  <si>
    <t>P22 - 4th Lift</t>
  </si>
  <si>
    <t>MPSB/Str/355
MPSB/Sur/292
MPSB/Str/366
MPSB/Sur/322</t>
  </si>
  <si>
    <t>13-Jan-25
13-Jan-25
15-Jan-25
18-Jan-25</t>
  </si>
  <si>
    <t>P26 - 4th Lift</t>
  </si>
  <si>
    <t>MPSB/Str/472
MPSB/Sur/403
MPSB/Str/473</t>
  </si>
  <si>
    <t>31-Jan-25
31-Jan-25
31-Jan-25</t>
  </si>
  <si>
    <t>P28 - 4th Lift</t>
  </si>
  <si>
    <t>MPSB/Str/297
MPSB/Str/333
MPSB/Sur/274
MPSB/Sur/290</t>
  </si>
  <si>
    <t>31-Dec-24
7-Jan-25
7-Jan-25
11-Jan-25</t>
  </si>
  <si>
    <t>P6 - 4th Lift</t>
  </si>
  <si>
    <t>MPSB/Str/420
MPSB/Sur/352
MPSB/Str/421
MPSB/Sur/392</t>
  </si>
  <si>
    <t>24-Jan-25
24-Jan-25
24-Jan-25
29-Jan-25</t>
  </si>
  <si>
    <t>P20 - 4th Lift</t>
  </si>
  <si>
    <t>MPSB/Str/396
MPSB/Sur/335
MPSB/Str/397
MPSB/Sur/371</t>
  </si>
  <si>
    <t>21-Jan-25
21-Jan-25
21-Jan-25
27-Jan-25</t>
  </si>
  <si>
    <t>P24 - 4th Lift</t>
  </si>
  <si>
    <t>MPSB/Str/474
MPSB/Sur/404
MPSB/Str/475</t>
  </si>
  <si>
    <t>P18 - 4th Lift</t>
  </si>
  <si>
    <t>MPSB/Str/509
MPSB/Sur/455
MPSB/Str/525
MPSB/Sur/537</t>
  </si>
  <si>
    <t>9-Feb-25
11-Feb-25
11-Feb-25
23-Feb-25</t>
  </si>
  <si>
    <t>P8 - 4th Lift</t>
  </si>
  <si>
    <t>MPSB/Str/492
MPSB/Sur/437
MPSB/Str/503
MPSB/Sur/489</t>
  </si>
  <si>
    <t>6-Feb-25
7-Feb-25
7-Feb-25
18-Feb-25</t>
  </si>
  <si>
    <t>P16 - 4th Lift</t>
  </si>
  <si>
    <t>MPSB/Str/600
MPSB/Sur/528
MPSB/Str/601
MPSB/Sur/561</t>
  </si>
  <si>
    <t>22-Feb-25
22-Feb-25
22-Feb-25
25-Feb-25</t>
  </si>
  <si>
    <t>P25 - 4th Lift</t>
  </si>
  <si>
    <t>MPSB/Str/932
MPSB/Str/933
MPSB/Sur/809</t>
  </si>
  <si>
    <t>27-Mar-25
27-Mar-25
27-Mar-25</t>
  </si>
  <si>
    <t>P7 - 4th Lift</t>
  </si>
  <si>
    <t>MPSB/Str/827
MPSB/Str/828
MPSB/Sur/738
MPSB/Sur/855</t>
  </si>
  <si>
    <t>18-Mar-25
18-Mar-25
18-Mar-25
30-Mar-25</t>
  </si>
  <si>
    <t>P9 - 4th Lift</t>
  </si>
  <si>
    <t>MPSB/Str/837
MPSB/Str/838
MPSB/Sur/745</t>
  </si>
  <si>
    <t>20-Mar-25
20-Mar-25
20-Mar-25</t>
  </si>
  <si>
    <t>P10 - 4th Lift</t>
  </si>
  <si>
    <t>MPSB/Str/999
MPSB/Str/1000
MPSB/Sur/863</t>
  </si>
  <si>
    <t>31-Mar-25
31-Mar-25
31-Mar-25</t>
  </si>
  <si>
    <t>P12 - 4th Lift</t>
  </si>
  <si>
    <t>MPSB/Str/926
MPSB/Str/927
MPSB/Sur/841</t>
  </si>
  <si>
    <t>27-Mar-25
27-Mar-25
29-Mar-25</t>
  </si>
  <si>
    <t>P14 - 4th Lift</t>
  </si>
  <si>
    <t>MPSB/Str/997
MPSB/Str/998
MPSB/Sur/862</t>
  </si>
  <si>
    <t>P15 - 4th Lift</t>
  </si>
  <si>
    <t>MPSB/Str/769
MPSB/Str/770
MPSB/Sur/680
MPSB/Sur/720</t>
  </si>
  <si>
    <t>P17 - 4th Lift</t>
  </si>
  <si>
    <t>MPSB/Str/853
MPSB/Sur/673
MPSB/Str/854
MPSB/Sur/788</t>
  </si>
  <si>
    <t>22-Mar-25
22-Mar-25
22-Mar-25
26-Mar-25</t>
  </si>
  <si>
    <t>P19 - 4th Lift</t>
  </si>
  <si>
    <t>MPSB/Str/848
MPSB/Sur/754
MPSB/Str/849
MPSB/Sur/779</t>
  </si>
  <si>
    <t>21-Mar-25
21-Mar-25
21-Mar-25
25-Mar-25</t>
  </si>
  <si>
    <t>P29 - 4th Lift</t>
  </si>
  <si>
    <r>
      <t xml:space="preserve">MPSB/Str/1111
</t>
    </r>
    <r>
      <rPr>
        <sz val="12"/>
        <rFont val="Calibri"/>
        <family val="2"/>
        <scheme val="minor"/>
      </rPr>
      <t>MPSB/Sur/973</t>
    </r>
    <r>
      <rPr>
        <sz val="12"/>
        <color theme="1"/>
        <rFont val="Calibri"/>
        <family val="2"/>
        <scheme val="minor"/>
      </rPr>
      <t xml:space="preserve">
MPSB/Str/1112
MPSB/Sur/995</t>
    </r>
  </si>
  <si>
    <t>12-Apr-25
12-Apr-25
12-Apr-25
15-Apr-25</t>
  </si>
  <si>
    <t>P21 - 4th Lift</t>
  </si>
  <si>
    <r>
      <t xml:space="preserve">MPSB/Str/1269
</t>
    </r>
    <r>
      <rPr>
        <sz val="12"/>
        <rFont val="Calibri"/>
        <family val="2"/>
        <scheme val="minor"/>
      </rPr>
      <t>MPSB/Sur/1128</t>
    </r>
    <r>
      <rPr>
        <sz val="12"/>
        <color theme="1"/>
        <rFont val="Calibri"/>
        <family val="2"/>
        <scheme val="minor"/>
      </rPr>
      <t xml:space="preserve">
MPSB/Str/1301</t>
    </r>
  </si>
  <si>
    <t>25-Apr-25
27-Apr-25
27-Apr-25</t>
  </si>
  <si>
    <t>P23 - 4th Lift</t>
  </si>
  <si>
    <r>
      <t xml:space="preserve">MPSB/Str/1361
</t>
    </r>
    <r>
      <rPr>
        <sz val="12"/>
        <rFont val="Calibri"/>
        <family val="2"/>
        <scheme val="minor"/>
      </rPr>
      <t>MPSB/Sur/1162</t>
    </r>
    <r>
      <rPr>
        <sz val="12"/>
        <color theme="1"/>
        <rFont val="Calibri"/>
        <family val="2"/>
        <scheme val="minor"/>
      </rPr>
      <t xml:space="preserve">
MPSB/Str/1362</t>
    </r>
  </si>
  <si>
    <t>30-Apr-25
30-Apr-25
30-Apr-25</t>
  </si>
  <si>
    <t>P27 - 4th Lift</t>
  </si>
  <si>
    <t>MPSB/Str/3069
MPSB/Sur/2353
MPSB/Str/3070
MPSB/Sur/2373</t>
  </si>
  <si>
    <t>6-Dec-25
6-Dec-25
6-Dec-25
9-Dec-25</t>
  </si>
  <si>
    <t>P30 - 4th Lift</t>
  </si>
  <si>
    <r>
      <rPr>
        <sz val="12"/>
        <color theme="1"/>
        <rFont val="Calibri"/>
        <family val="2"/>
        <scheme val="minor"/>
      </rPr>
      <t>MPSB/Str/3597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MPSB/Sur/2732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MPSB/Str/3598</t>
    </r>
  </si>
  <si>
    <t>21-Jan-26
21-Jan-26
21-Jan-26</t>
  </si>
  <si>
    <t>P14(N) - 4th Lift</t>
  </si>
  <si>
    <t>MPSB/Str/3919
MPSB/Sur/2973
MPSB/Str/3920
MPSB/Sur/3041</t>
  </si>
  <si>
    <t>21-Feb-26
21-Feb-26
21-Feb-26
28-Feb-26</t>
  </si>
  <si>
    <t>P11 - 4th Lift</t>
  </si>
  <si>
    <t>MPSB/Str/3979
MPSB/Sur/3019
MPSB/Str/3980</t>
  </si>
  <si>
    <t>27-Feb-26
27-Feb-26
27-Feb-26</t>
  </si>
  <si>
    <t>P13 - 4th Lift</t>
  </si>
  <si>
    <t>MPSB/Str/3929
MPSB/Sur/2976
MPSB/Str/3930
MPSB/Sur/3083</t>
  </si>
  <si>
    <t>23-Feb-26
23-Feb-26
23-Feb-26
10-Mar-26</t>
  </si>
  <si>
    <t>P12(A) - 4th Lift</t>
  </si>
  <si>
    <t>MPSB/Sur/239
MPSB/Str/290
MPSB/Str/291</t>
  </si>
  <si>
    <t>P22 - 5th Lift</t>
  </si>
  <si>
    <t>MPSB/Str/406
MPSB/Sur/344
MPSB/Str/407
MPSB/Sur/373</t>
  </si>
  <si>
    <t>22-Jan-25
22-Jan-25
22-Jan-25
27-Jan-25</t>
  </si>
  <si>
    <t>P26 - 5th Lift</t>
  </si>
  <si>
    <t>MPSB/Str/376
MPSB/Str/377
MPSB/Sur/362</t>
  </si>
  <si>
    <t>17-Jan-25
17-Jan-25
26-Jan-25</t>
  </si>
  <si>
    <t>P6 - 5th Lift</t>
  </si>
  <si>
    <t>MPSB/Str/456
MPSB/Sur/385
MPSB/Str/457</t>
  </si>
  <si>
    <t>30-Jan-25
30-Jan-25
30-Jan-25</t>
  </si>
  <si>
    <t>P20 - 5th Lift</t>
  </si>
  <si>
    <t>MPSB/Str/458
MPSB/Sur/386
MPSB/Str/459</t>
  </si>
  <si>
    <t>P24 - 5th Lift</t>
  </si>
  <si>
    <t>MPSB/Str/575
MPSB/Sur/506
MPSB/Str/576
MPSB/Sur/554</t>
  </si>
  <si>
    <t>19-Feb-25
19-Feb-25
19-Feb-25
25-Feb-25</t>
  </si>
  <si>
    <t>P8 - 5th Lift</t>
  </si>
  <si>
    <t>MPSB/Str/540
MPSB/Sur/466
MPSB/Str/539
MPSB/Sur/489</t>
  </si>
  <si>
    <t>15-Feb-25
15-Feb-25
15-Feb-25
18-Feb-25</t>
  </si>
  <si>
    <t>P16 - 5th Lift</t>
  </si>
  <si>
    <t>MPSB/Str/530
MPSB/Str/537
MPSB/Sur/482</t>
  </si>
  <si>
    <t>12-Feb-25
14-Feb-25
17-Feb-25</t>
  </si>
  <si>
    <t>P18 - 5th Lift</t>
  </si>
  <si>
    <t>MPSB/Str/652
MPSB/Str/653
MPSB/Sur/569</t>
  </si>
  <si>
    <t>26-Feb-25
26-Feb-25
26-Feb-25</t>
  </si>
  <si>
    <t>P25 - 5th Lift</t>
  </si>
  <si>
    <t>MPSB/Str/542
MPSB/Sur/468
MPSB/Str/561
MPSB/Sur/533</t>
  </si>
  <si>
    <t>15-Feb-25
15-Feb-25
17-Feb-25
23-Feb-25</t>
  </si>
  <si>
    <t>P28 - 5th Lift</t>
  </si>
  <si>
    <t>MPSB/Str/914
MPSB/Str/915
MPSB/Sur/798</t>
  </si>
  <si>
    <t>26-Mar-25
26-Mar-25
26-Mar-25</t>
  </si>
  <si>
    <t>P10 - 5th Lift</t>
  </si>
  <si>
    <r>
      <rPr>
        <sz val="12"/>
        <rFont val="Calibri"/>
        <family val="2"/>
        <scheme val="minor"/>
      </rPr>
      <t>MPSB/Sur/861</t>
    </r>
    <r>
      <rPr>
        <sz val="12"/>
        <color theme="1"/>
        <rFont val="Calibri"/>
        <family val="2"/>
        <scheme val="minor"/>
      </rPr>
      <t xml:space="preserve">
MPSB/Str/995
MPSB/Str/996</t>
    </r>
  </si>
  <si>
    <t>P14 - 5th Lift</t>
  </si>
  <si>
    <t>MPSB/Str/810
MPSB/Str/811
MPSB/Sur/722
MPSB/Sur/756</t>
  </si>
  <si>
    <t>17-Mar-25
17-Mar-25
17-Mar-25
21-Mar-25</t>
  </si>
  <si>
    <t>P17 - 5th Lift</t>
  </si>
  <si>
    <t>MPSB/Str/954
MPSB/Sur/832
MPSB/Str/955
MPSB/Sur/876</t>
  </si>
  <si>
    <t>P19 - 5th Lift</t>
  </si>
  <si>
    <r>
      <t xml:space="preserve">MPSB/Str/964
MPSB/Sur/837
MPSB/Str/965  
</t>
    </r>
    <r>
      <rPr>
        <sz val="12"/>
        <rFont val="Calibri"/>
        <family val="2"/>
        <scheme val="minor"/>
      </rPr>
      <t>MPSB/Sur/894</t>
    </r>
  </si>
  <si>
    <t>P29 - 5th Lift</t>
  </si>
  <si>
    <r>
      <t xml:space="preserve">MPSB/Str/1117
</t>
    </r>
    <r>
      <rPr>
        <sz val="12"/>
        <rFont val="Calibri"/>
        <family val="2"/>
        <scheme val="minor"/>
      </rPr>
      <t>MPSB/Sur/979</t>
    </r>
    <r>
      <rPr>
        <sz val="12"/>
        <color theme="1"/>
        <rFont val="Calibri"/>
        <family val="2"/>
        <scheme val="minor"/>
      </rPr>
      <t xml:space="preserve">
MPSB/Str/1118</t>
    </r>
  </si>
  <si>
    <t>12-Apr-25
12-Apr-25
12-Apr-25</t>
  </si>
  <si>
    <t>P7 - 5th Lift</t>
  </si>
  <si>
    <r>
      <t xml:space="preserve">MPSB/Str/1048
</t>
    </r>
    <r>
      <rPr>
        <sz val="12"/>
        <rFont val="Calibri"/>
        <family val="2"/>
        <scheme val="minor"/>
      </rPr>
      <t>MPSB/Sur/919</t>
    </r>
    <r>
      <rPr>
        <sz val="12"/>
        <color theme="1"/>
        <rFont val="Calibri"/>
        <family val="2"/>
        <scheme val="minor"/>
      </rPr>
      <t xml:space="preserve">
MPSB/Str/1049
MPSB/Sur/969</t>
    </r>
  </si>
  <si>
    <t>5-Apr-25
5-Apr-25
5-Apr-25
11-Apr-25</t>
  </si>
  <si>
    <t>P9 - 5th Lift</t>
  </si>
  <si>
    <r>
      <t xml:space="preserve">MPSB/Str/1109
</t>
    </r>
    <r>
      <rPr>
        <sz val="12"/>
        <rFont val="Calibri"/>
        <family val="2"/>
        <scheme val="minor"/>
      </rPr>
      <t>MPSB/Sur/985</t>
    </r>
    <r>
      <rPr>
        <sz val="12"/>
        <color theme="1"/>
        <rFont val="Calibri"/>
        <family val="2"/>
        <scheme val="minor"/>
      </rPr>
      <t xml:space="preserve">
MPSB/Str/1110
MPSB/Sur/1022</t>
    </r>
  </si>
  <si>
    <t>12-Apr-25
12-Apr-25
12-Apr-25
17-Apr-25</t>
  </si>
  <si>
    <t>P12 - 5th Lift</t>
  </si>
  <si>
    <r>
      <t xml:space="preserve">MPSB/Str/1107
</t>
    </r>
    <r>
      <rPr>
        <sz val="12"/>
        <rFont val="Calibri"/>
        <family val="2"/>
        <scheme val="minor"/>
      </rPr>
      <t>MPSB/Sur/971</t>
    </r>
    <r>
      <rPr>
        <sz val="12"/>
        <color theme="1"/>
        <rFont val="Calibri"/>
        <family val="2"/>
        <scheme val="minor"/>
      </rPr>
      <t xml:space="preserve">
MPSB/Str/1108</t>
    </r>
  </si>
  <si>
    <t>P15 - 5th Lift</t>
  </si>
  <si>
    <r>
      <t xml:space="preserve">MPSB/Str/1205
</t>
    </r>
    <r>
      <rPr>
        <sz val="12"/>
        <rFont val="Calibri"/>
        <family val="2"/>
        <scheme val="minor"/>
      </rPr>
      <t>MPSB/Sur/1048</t>
    </r>
    <r>
      <rPr>
        <sz val="12"/>
        <color theme="1"/>
        <rFont val="Calibri"/>
        <family val="2"/>
        <scheme val="minor"/>
      </rPr>
      <t xml:space="preserve">
MPSB/Str/1206
MPSB/Sur/1100</t>
    </r>
  </si>
  <si>
    <t>21-Apr-25
21-Apr-25
21-Apr-25
25-Apr-25</t>
  </si>
  <si>
    <t>P21 - 5th Lift</t>
  </si>
  <si>
    <r>
      <t xml:space="preserve">MPSB/Str/1440
</t>
    </r>
    <r>
      <rPr>
        <sz val="12"/>
        <rFont val="Calibri"/>
        <family val="2"/>
        <scheme val="minor"/>
      </rPr>
      <t>MPSB/Sur/1232</t>
    </r>
    <r>
      <rPr>
        <sz val="12"/>
        <color theme="1"/>
        <rFont val="Calibri"/>
        <family val="2"/>
        <scheme val="minor"/>
      </rPr>
      <t xml:space="preserve">
MPSB/Str/1441
MPSB/Sur/1258</t>
    </r>
  </si>
  <si>
    <t>7-May-25
7-May-25
7-May-25
12-May-25</t>
  </si>
  <si>
    <t>P23 - 5th Lift</t>
  </si>
  <si>
    <r>
      <t xml:space="preserve">MPSB/Str/1444
</t>
    </r>
    <r>
      <rPr>
        <sz val="12"/>
        <rFont val="Calibri"/>
        <family val="2"/>
        <scheme val="minor"/>
      </rPr>
      <t>MPSB/Sur/1235</t>
    </r>
    <r>
      <rPr>
        <sz val="12"/>
        <color theme="1"/>
        <rFont val="Calibri"/>
        <family val="2"/>
        <scheme val="minor"/>
      </rPr>
      <t xml:space="preserve">
MPSB/Str/1445
MPSB/Sur/1273</t>
    </r>
  </si>
  <si>
    <t>8-May-25
8-May-25
8-May-25
13-May-25</t>
  </si>
  <si>
    <t>P27 - 5th Lift</t>
  </si>
  <si>
    <t>MPSB/Str/3099
MPSB/Sur/2382
MPSB/Str/3100</t>
  </si>
  <si>
    <t>10-Dec-25
10-Dec-25
10-Dec-25</t>
  </si>
  <si>
    <t>P30 - 5th Lift</t>
  </si>
  <si>
    <r>
      <rPr>
        <sz val="12"/>
        <color theme="1"/>
        <rFont val="Calibri"/>
        <family val="2"/>
        <scheme val="minor"/>
      </rPr>
      <t>MPSB/Str/3657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MPSB/Sur/2780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MPSB/Str/3658</t>
    </r>
  </si>
  <si>
    <t>27-Jan-26
27-Jan-26
27-Jan-26</t>
  </si>
  <si>
    <t>P14(N) - 5th Lift</t>
  </si>
  <si>
    <t>MPSB/Str/3960
MPSB/Sur/3009
MPSB/Str/3961
MPSB/Sur/3041</t>
  </si>
  <si>
    <t>26-Feb-26
26-Feb-26
26-Feb-26
28-Feb-26</t>
  </si>
  <si>
    <t>P11 - 5th Lift</t>
  </si>
  <si>
    <t>MPSB/Str/4056
MPSB/Sur/3069
MPSB/Str/4057</t>
  </si>
  <si>
    <t>7-Mar-26
7-Mar-26
7-Mar-26</t>
  </si>
  <si>
    <t>P13 - 5th Lift</t>
  </si>
  <si>
    <t>MPSB/Str/3962
MPSB/Sur/3010
MPSB/Str/3963
MPSB/Sur/3083</t>
  </si>
  <si>
    <t>26-Feb-26
26-Feb-26
26-Feb-26
10-Mar-26</t>
  </si>
  <si>
    <t>P12(A) - 5th Lift</t>
  </si>
  <si>
    <t>MPSB/Str/470
MPSB/Sur/402
MPSB/Str/471</t>
  </si>
  <si>
    <t>P26 - 6th Lift</t>
  </si>
  <si>
    <t>MPSB/Str/410
MPSB/Sur/350
MPSB/Str/416
MPSB/Sur/393</t>
  </si>
  <si>
    <t>22-Jan-25
23-Jan-25
23-Jan-25
31-Jan-25</t>
  </si>
  <si>
    <t>P6 - 6th Lift</t>
  </si>
  <si>
    <t>MPSB/Str/340
MPSB/Sur/277
MPSB/Str/341
MPSB/Sur/299</t>
  </si>
  <si>
    <t>9-Jan-25
9-Jan-25
9-Jan-25
14-Jan-25</t>
  </si>
  <si>
    <t>P22 - 6th Lift</t>
  </si>
  <si>
    <t>MPSB/Str/702
MPSB/Sur/610
MPSB/Str/703</t>
  </si>
  <si>
    <t>P8 - 6th Lift</t>
  </si>
  <si>
    <t>MPSB/Str/616
MPSB/Sur/549
MPSB/Str/624</t>
  </si>
  <si>
    <t>24-Feb-25
25-Feb-25
25-Feb-25</t>
  </si>
  <si>
    <t>P16 - 6th Lift</t>
  </si>
  <si>
    <t>MPSB/Str/598
MPSB/Sur/527
MPSB/Str/599
MPSB/Sur/556</t>
  </si>
  <si>
    <t>P18 - 6th Lift</t>
  </si>
  <si>
    <t>MPSB/Str/506
MPSB/Sur/440
MPSB/Str/550
MPSB/Sur/484</t>
  </si>
  <si>
    <t>8-Feb-25
8-Feb-25
15-Feb-25
17-Feb-25</t>
  </si>
  <si>
    <t>P20 - 6th Lift</t>
  </si>
  <si>
    <t>MPSB/Str/514
MPSB/Sur/465
MPSB/Str/535
MPSB/Sur/476</t>
  </si>
  <si>
    <t>10-Feb-25
13-Feb-25
13-Feb-25
16-Feb-25</t>
  </si>
  <si>
    <t>P24 - 6th Lift</t>
  </si>
  <si>
    <t>MPSB/Str/641
MPSB/Sur/563
MPSB/Str/642
MPSB/Sur/578</t>
  </si>
  <si>
    <t>P28 - 6th Lift</t>
  </si>
  <si>
    <t>MPSB/Str/991
MPSB/Str/992
MPSB/Sur/859</t>
  </si>
  <si>
    <t>P10 - 6th Lift</t>
  </si>
  <si>
    <t>MPSB/Str/993
MPSB/Str/994
MPSB/Sur/860</t>
  </si>
  <si>
    <t>P17 - 6th Lift</t>
  </si>
  <si>
    <t>MPSB/Str/806
MPSB/Sur/714
MPSB/Str/807
MPSB/Sur/732</t>
  </si>
  <si>
    <t>15-Mar-25
15-Mar-25
15-Mar-25
18-Mar-25</t>
  </si>
  <si>
    <t>P25 - 6th Lift</t>
  </si>
  <si>
    <r>
      <t xml:space="preserve">MPSB/Str/1201
</t>
    </r>
    <r>
      <rPr>
        <sz val="12"/>
        <rFont val="Calibri"/>
        <family val="2"/>
        <scheme val="minor"/>
      </rPr>
      <t>MPSB/Sur/1044</t>
    </r>
    <r>
      <rPr>
        <sz val="12"/>
        <color theme="1"/>
        <rFont val="Calibri"/>
        <family val="2"/>
        <scheme val="minor"/>
      </rPr>
      <t xml:space="preserve">
MPSB/Str/1202</t>
    </r>
  </si>
  <si>
    <t>21-Apr-25
21-Apr-25
21-Apr-25</t>
  </si>
  <si>
    <t>P7 - 6th Lift</t>
  </si>
  <si>
    <r>
      <t xml:space="preserve">MPSB/Str/1155
</t>
    </r>
    <r>
      <rPr>
        <sz val="12"/>
        <rFont val="Calibri"/>
        <family val="2"/>
        <scheme val="minor"/>
      </rPr>
      <t>MPSB/Sur/1004</t>
    </r>
    <r>
      <rPr>
        <sz val="12"/>
        <color theme="1"/>
        <rFont val="Calibri"/>
        <family val="2"/>
        <scheme val="minor"/>
      </rPr>
      <t xml:space="preserve">
MPSB/Str/1156</t>
    </r>
  </si>
  <si>
    <t>16-Apr-25
16-Apr-25
16-Apr-25</t>
  </si>
  <si>
    <t>P9 - 6th Lift</t>
  </si>
  <si>
    <r>
      <t xml:space="preserve">MPSB/Str/1199
</t>
    </r>
    <r>
      <rPr>
        <sz val="12"/>
        <rFont val="Calibri"/>
        <family val="2"/>
        <scheme val="minor"/>
      </rPr>
      <t>MPSB/Sur/1043</t>
    </r>
    <r>
      <rPr>
        <sz val="12"/>
        <color theme="1"/>
        <rFont val="Calibri"/>
        <family val="2"/>
        <scheme val="minor"/>
      </rPr>
      <t xml:space="preserve">
MPSB/Str/1200
MPSB/Sur/1079</t>
    </r>
  </si>
  <si>
    <t>20-Apr-25
20-Apr-25
20-Apr-25
24-Apr-25</t>
  </si>
  <si>
    <t>P12 - 6th Lift</t>
  </si>
  <si>
    <r>
      <t xml:space="preserve">MPSB/Str/1142
</t>
    </r>
    <r>
      <rPr>
        <sz val="12"/>
        <rFont val="Calibri"/>
        <family val="2"/>
        <scheme val="minor"/>
      </rPr>
      <t>MPSB/Sur/1001</t>
    </r>
    <r>
      <rPr>
        <sz val="12"/>
        <color theme="1"/>
        <rFont val="Calibri"/>
        <family val="2"/>
        <scheme val="minor"/>
      </rPr>
      <t xml:space="preserve">
MPSB/Str/1143
MPSB/Sur/1120</t>
    </r>
  </si>
  <si>
    <t>15-Apr-25
15-Apr-25
15-Apr-25
26-Apr-25</t>
  </si>
  <si>
    <t>P14 - 6th Lift</t>
  </si>
  <si>
    <r>
      <t xml:space="preserve">MPSB/Str/1176
</t>
    </r>
    <r>
      <rPr>
        <sz val="12"/>
        <rFont val="Calibri"/>
        <family val="2"/>
        <scheme val="minor"/>
      </rPr>
      <t>MPSB/Sur/1023</t>
    </r>
    <r>
      <rPr>
        <sz val="12"/>
        <color theme="1"/>
        <rFont val="Calibri"/>
        <family val="2"/>
        <scheme val="minor"/>
      </rPr>
      <t xml:space="preserve">
MPSB/Str/1177</t>
    </r>
  </si>
  <si>
    <t>17-Apr-25
17-Apr-25
17-Apr-25</t>
  </si>
  <si>
    <t>P15 - 6th Lift</t>
  </si>
  <si>
    <r>
      <t xml:space="preserve">MPSB/Str/1069
</t>
    </r>
    <r>
      <rPr>
        <sz val="12"/>
        <rFont val="Calibri"/>
        <family val="2"/>
        <scheme val="minor"/>
      </rPr>
      <t>MPSB/Sur/940</t>
    </r>
    <r>
      <rPr>
        <sz val="12"/>
        <color theme="1"/>
        <rFont val="Calibri"/>
        <family val="2"/>
        <scheme val="minor"/>
      </rPr>
      <t xml:space="preserve">
MPSB/Str/1070
MPSB/Sur/977</t>
    </r>
  </si>
  <si>
    <t>8-Apr-25
8-Apr-25
8-Apr-25
12-Apr-25</t>
  </si>
  <si>
    <t>P19 - 6th Lift</t>
  </si>
  <si>
    <r>
      <t xml:space="preserve">MPSB/Str/1312
</t>
    </r>
    <r>
      <rPr>
        <sz val="12"/>
        <rFont val="Calibri"/>
        <family val="2"/>
        <scheme val="minor"/>
      </rPr>
      <t>MPSB/Sur/1135</t>
    </r>
    <r>
      <rPr>
        <sz val="12"/>
        <color theme="1"/>
        <rFont val="Calibri"/>
        <family val="2"/>
        <scheme val="minor"/>
      </rPr>
      <t xml:space="preserve">
MPSB/Str/1313</t>
    </r>
  </si>
  <si>
    <t>28-Apr-25
28-Apr-25
28-Apr-25</t>
  </si>
  <si>
    <t>P21 - 6th Lift</t>
  </si>
  <si>
    <r>
      <t xml:space="preserve">MPSB/Str/1121
</t>
    </r>
    <r>
      <rPr>
        <sz val="12"/>
        <rFont val="Calibri"/>
        <family val="2"/>
        <scheme val="minor"/>
      </rPr>
      <t>MPSB/Sur/981</t>
    </r>
    <r>
      <rPr>
        <sz val="12"/>
        <color theme="1"/>
        <rFont val="Calibri"/>
        <family val="2"/>
        <scheme val="minor"/>
      </rPr>
      <t xml:space="preserve">
MPSB/Str/1122
MPSB/Sur/1018</t>
    </r>
  </si>
  <si>
    <t>13-Apr-25
13-Apr-25
13-Apr-25
17-Apr-25</t>
  </si>
  <si>
    <t>P29 - 6th Lift</t>
  </si>
  <si>
    <r>
      <t xml:space="preserve">MPSB/Str/1552
</t>
    </r>
    <r>
      <rPr>
        <sz val="12"/>
        <rFont val="Calibri"/>
        <family val="2"/>
        <scheme val="minor"/>
      </rPr>
      <t>MPSB/Sur/1333</t>
    </r>
    <r>
      <rPr>
        <sz val="12"/>
        <color theme="1"/>
        <rFont val="Calibri"/>
        <family val="2"/>
        <scheme val="minor"/>
      </rPr>
      <t xml:space="preserve">
MPSB/Str/1553
MPSB/Sur/1357</t>
    </r>
  </si>
  <si>
    <t>22-May-25
22-May-25
22-May-25
26-May-25</t>
  </si>
  <si>
    <t>P23 - 6th Lift</t>
  </si>
  <si>
    <r>
      <t xml:space="preserve">MPSB/Str/1532
</t>
    </r>
    <r>
      <rPr>
        <sz val="12"/>
        <rFont val="Calibri"/>
        <family val="2"/>
        <scheme val="minor"/>
      </rPr>
      <t>MPSB/Sur/1314</t>
    </r>
    <r>
      <rPr>
        <sz val="12"/>
        <color theme="1"/>
        <rFont val="Calibri"/>
        <family val="2"/>
        <scheme val="minor"/>
      </rPr>
      <t xml:space="preserve">
MPSB/Str/1533
MPSB/Sur/1336</t>
    </r>
  </si>
  <si>
    <t>19-May-25
19-May-25
19-May-25
23-May-25</t>
  </si>
  <si>
    <t>P27 - 6th Lift</t>
  </si>
  <si>
    <t>MPSB/Str/3152
MPSB/Sur/2418
MPSB/Str/3153
MPSB/Sur/2439</t>
  </si>
  <si>
    <t>15-Dec-25
15-Dec-25
15-Dec-25
18-Dec-25</t>
  </si>
  <si>
    <t>P30 - 6th Lift</t>
  </si>
  <si>
    <r>
      <rPr>
        <sz val="12"/>
        <color theme="1"/>
        <rFont val="Calibri"/>
        <family val="2"/>
        <scheme val="minor"/>
      </rPr>
      <t>MPSB/Str/3713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MPSB/Sur/2817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MPSB/Str/3714</t>
    </r>
  </si>
  <si>
    <t>P14(N) - 6th Lift</t>
  </si>
  <si>
    <t>MPSB/Str/4077
MPSB/Sur/3084
MPSB/Str/4078</t>
  </si>
  <si>
    <t>10-Mar-26
10-Mar-26
10-Mar-26</t>
  </si>
  <si>
    <t>P11 - 6th Lift</t>
  </si>
  <si>
    <t>MPSB/Str/4143
MPSB/Sur/3142
MPSB/Str/4144</t>
  </si>
  <si>
    <t>18-Mar-26
18-Mar-26
18-Mar-26</t>
  </si>
  <si>
    <t>P13 - 6th Lift</t>
  </si>
  <si>
    <t>MPSB/Str/4086
MPSB/Sur/3091
MPSB/Str/4087
MPSB/Sur/3118</t>
  </si>
  <si>
    <t>11-Mar-26
11-Mar-26
11-Mar-26
14-Mar-26</t>
  </si>
  <si>
    <t>P12(A) - 6th Lift</t>
  </si>
  <si>
    <r>
      <t xml:space="preserve">MPSB/Str/1102
</t>
    </r>
    <r>
      <rPr>
        <sz val="12"/>
        <rFont val="Calibri"/>
        <family val="2"/>
        <scheme val="minor"/>
      </rPr>
      <t>MPSB/Sur/964</t>
    </r>
    <r>
      <rPr>
        <sz val="12"/>
        <color theme="1"/>
        <rFont val="Calibri"/>
        <family val="2"/>
        <scheme val="minor"/>
      </rPr>
      <t xml:space="preserve">
MPSB/Str/1103
MPSB/Sur/1000</t>
    </r>
  </si>
  <si>
    <t>11-Apr-25
11-Apr-25
11-Apr-25
15-Apr-25</t>
  </si>
  <si>
    <t>P10 - 7th Lift</t>
  </si>
  <si>
    <t>MPSB/Str/4120
MPSB/Sur/3123
MPSB/Str/4119</t>
  </si>
  <si>
    <t>15-Mar-26
15-Mar-26
15-Mar-26</t>
  </si>
  <si>
    <t>P11 - 7th Lift</t>
  </si>
  <si>
    <r>
      <t xml:space="preserve">MPSB/Str/1272
</t>
    </r>
    <r>
      <rPr>
        <sz val="12"/>
        <rFont val="Calibri"/>
        <family val="2"/>
        <scheme val="minor"/>
      </rPr>
      <t>MPSB/Sur/1102</t>
    </r>
    <r>
      <rPr>
        <sz val="12"/>
        <color theme="1"/>
        <rFont val="Calibri"/>
        <family val="2"/>
        <scheme val="minor"/>
      </rPr>
      <t xml:space="preserve">
MPSB/Str/1273</t>
    </r>
  </si>
  <si>
    <t>25-Apr-25
25-Apr-25
25-Apr-25</t>
  </si>
  <si>
    <t>P12 - 7th Lift</t>
  </si>
  <si>
    <t>MPSB/Str/4153
MPSB/Sur/3145
MPSB/Str/4154
MPSB/Sur/3237</t>
  </si>
  <si>
    <t>19-Mar-26
19-Mar-26
19-Mar-26
3-Apr-26</t>
  </si>
  <si>
    <t>P12(A) - 7th Lift</t>
  </si>
  <si>
    <t>MPSB/Str/4191
MPSB/Sur/3164
MPSB/Str/4192</t>
  </si>
  <si>
    <t>24-Mar-26
24-Mar-26
24-Mar-26</t>
  </si>
  <si>
    <t>P13 - 7th Lift</t>
  </si>
  <si>
    <r>
      <t xml:space="preserve">MPSB/Str/1214
</t>
    </r>
    <r>
      <rPr>
        <sz val="12"/>
        <rFont val="Calibri"/>
        <family val="2"/>
        <scheme val="minor"/>
      </rPr>
      <t>MPSB/Sur/1056</t>
    </r>
    <r>
      <rPr>
        <sz val="12"/>
        <color theme="1"/>
        <rFont val="Calibri"/>
        <family val="2"/>
        <scheme val="minor"/>
      </rPr>
      <t xml:space="preserve">
MPSB/Str/1215
MPSB/Sur/1120</t>
    </r>
  </si>
  <si>
    <t>21-Apr-25
21-Apr-25
21-Apr-25
26-Apr-25</t>
  </si>
  <si>
    <t>P14 - 7th Lift</t>
  </si>
  <si>
    <t>MPSB/Str/3758
MPSB/Sur/2852
MPSB/Str/3759
MPSB/Sur/2910</t>
  </si>
  <si>
    <t>4-Feb-26
4-Feb-26
4-Feb-26
11-Feb-26</t>
  </si>
  <si>
    <t>P14(N) - 7th Lift</t>
  </si>
  <si>
    <r>
      <t xml:space="preserve">MPSB/Str/1234
</t>
    </r>
    <r>
      <rPr>
        <sz val="12"/>
        <rFont val="Calibri"/>
        <family val="2"/>
        <scheme val="minor"/>
      </rPr>
      <t>MPSB/Sur/1067</t>
    </r>
    <r>
      <rPr>
        <sz val="12"/>
        <color theme="1"/>
        <rFont val="Calibri"/>
        <family val="2"/>
        <scheme val="minor"/>
      </rPr>
      <t xml:space="preserve">
MPSB/Str/1235</t>
    </r>
  </si>
  <si>
    <t>23-Apr-25
23-Apr-25
23-Apr-25</t>
  </si>
  <si>
    <t>P15 - 7th Lift</t>
  </si>
  <si>
    <t>MPSB/Sur/679
MPSB/Str/767
MPSB/Str/768
MPSB/Sur/699</t>
  </si>
  <si>
    <t>09-Mar-25
09-Mar-25
09-Mar-25
11-Mar-25</t>
  </si>
  <si>
    <t>P16 - 7th Lift</t>
  </si>
  <si>
    <r>
      <t xml:space="preserve">MPSB/Str/1088
</t>
    </r>
    <r>
      <rPr>
        <sz val="12"/>
        <rFont val="Calibri"/>
        <family val="2"/>
        <scheme val="minor"/>
      </rPr>
      <t>MPSB/Sur/952</t>
    </r>
    <r>
      <rPr>
        <sz val="12"/>
        <color theme="1"/>
        <rFont val="Calibri"/>
        <family val="2"/>
        <scheme val="minor"/>
      </rPr>
      <t xml:space="preserve">
MPSB/Str/1089
MPSB/Sur/1069</t>
    </r>
  </si>
  <si>
    <t>9-Apr-25
9-Apr-25
9-Apr-25
23-Apr-25</t>
  </si>
  <si>
    <t>P17 - 7th Lift</t>
  </si>
  <si>
    <r>
      <t xml:space="preserve">MPSB/Str/746
</t>
    </r>
    <r>
      <rPr>
        <sz val="12"/>
        <rFont val="Calibri"/>
        <family val="2"/>
        <scheme val="minor"/>
      </rPr>
      <t>MPSB/Sur/664</t>
    </r>
    <r>
      <rPr>
        <sz val="12"/>
        <color theme="1"/>
        <rFont val="Calibri"/>
        <family val="2"/>
        <scheme val="minor"/>
      </rPr>
      <t xml:space="preserve">
MPSB/Str/747
MPSB/Sur/686</t>
    </r>
  </si>
  <si>
    <t>07-Mar-25
07-Mar-25
07-Mar-25
11-Mar-25</t>
  </si>
  <si>
    <t>P18 - 7th Lift</t>
  </si>
  <si>
    <r>
      <t xml:space="preserve">MPSB/Str/1134
</t>
    </r>
    <r>
      <rPr>
        <sz val="12"/>
        <rFont val="Calibri"/>
        <family val="2"/>
        <scheme val="minor"/>
      </rPr>
      <t>MPSB/Sur/996</t>
    </r>
    <r>
      <rPr>
        <sz val="12"/>
        <color theme="1"/>
        <rFont val="Calibri"/>
        <family val="2"/>
        <scheme val="minor"/>
      </rPr>
      <t xml:space="preserve">
MPSB/Str/1135
MPSB/Sur/1050</t>
    </r>
  </si>
  <si>
    <t>15-Apr-25
15-Apr-25
15-Apr-25
21-Apr-25</t>
  </si>
  <si>
    <t>P19 - 7th Lift</t>
  </si>
  <si>
    <t>MPSB/Str/587
MPSB/Sur/521
MPSB/Str/588
MPSB/Sur/544</t>
  </si>
  <si>
    <t>21-Feb-25
21-Feb-25
21-Feb-25
24-Feb-25</t>
  </si>
  <si>
    <t>P20 - 7th Lift</t>
  </si>
  <si>
    <r>
      <t xml:space="preserve">MPSB/Str/1470
</t>
    </r>
    <r>
      <rPr>
        <sz val="12"/>
        <rFont val="Calibri"/>
        <family val="2"/>
        <scheme val="minor"/>
      </rPr>
      <t>MPSB/Sur/1252</t>
    </r>
    <r>
      <rPr>
        <sz val="12"/>
        <color theme="1"/>
        <rFont val="Calibri"/>
        <family val="2"/>
        <scheme val="minor"/>
      </rPr>
      <t xml:space="preserve">
MPSB/Str/1471
MPSB/Sur/1285</t>
    </r>
  </si>
  <si>
    <t>11-May-25
11-May-25
11-May-25
16-May-25</t>
  </si>
  <si>
    <t>P21 - 7th Lift</t>
  </si>
  <si>
    <t>MPSB/Str/437
MPSB/Sur/374
MPSB/Str/438
MPSB/Sur/400</t>
  </si>
  <si>
    <t>P22 - 7th Lift</t>
  </si>
  <si>
    <r>
      <t xml:space="preserve">MPSB/Str/1877
</t>
    </r>
    <r>
      <rPr>
        <sz val="12"/>
        <rFont val="Calibri"/>
        <family val="2"/>
        <scheme val="minor"/>
      </rPr>
      <t>MPSB/Sur/1571</t>
    </r>
    <r>
      <rPr>
        <sz val="12"/>
        <color theme="1"/>
        <rFont val="Calibri"/>
        <family val="2"/>
        <scheme val="minor"/>
      </rPr>
      <t xml:space="preserve">
MPSB/Str/1878
MPSB/Sur/1609</t>
    </r>
  </si>
  <si>
    <t>24-Jul-25
24-Jul-25
24-Jul-25
30-Jul-25</t>
  </si>
  <si>
    <t>P23 - 7th Lift</t>
  </si>
  <si>
    <t>MPSB/Str/573
MPSB/Sur/504
MPSB/Str/574
MPSB/Sur/542</t>
  </si>
  <si>
    <t>P24 - 7th Lift</t>
  </si>
  <si>
    <t>MPSB/Str/863
MPSB/Sur/771
MPSB/Str/864
MPSB/Sur/806</t>
  </si>
  <si>
    <t>23-Mar-25
24-Mar-25
23-Mar-25
27-Mar-25</t>
  </si>
  <si>
    <t>P25 - 7th Lift</t>
  </si>
  <si>
    <t>MPSB/Str/516
MPSB/Sur/467
MPSB/Str/541
MPSB/Sur/492</t>
  </si>
  <si>
    <t>10-Feb-25
15-Feb-25
15-Feb-25
18-Feb-25</t>
  </si>
  <si>
    <t>P26 - 7th Lift</t>
  </si>
  <si>
    <r>
      <t xml:space="preserve">MPSB/Str/1590
</t>
    </r>
    <r>
      <rPr>
        <sz val="12"/>
        <rFont val="Calibri"/>
        <family val="2"/>
        <scheme val="minor"/>
      </rPr>
      <t>MPSB/Sur/1372</t>
    </r>
    <r>
      <rPr>
        <sz val="12"/>
        <color theme="1"/>
        <rFont val="Calibri"/>
        <family val="2"/>
        <scheme val="minor"/>
      </rPr>
      <t xml:space="preserve">
MPSB/Str/1591</t>
    </r>
  </si>
  <si>
    <t>28-May-25
28-May-25
28-May-25</t>
  </si>
  <si>
    <t>P27 - 7th Lift</t>
  </si>
  <si>
    <t>MPSB/Str/762
MPSB/Sur/675
MPSB/Str/763
MPSB/Sur/709</t>
  </si>
  <si>
    <t>10-Mar-25
10-Mar-25
10-Mar-25
13-Mar-25</t>
  </si>
  <si>
    <t>P28 - 7th Lift</t>
  </si>
  <si>
    <r>
      <t xml:space="preserve">MPSB/Str/1207
</t>
    </r>
    <r>
      <rPr>
        <sz val="12"/>
        <rFont val="Calibri"/>
        <family val="2"/>
        <scheme val="minor"/>
      </rPr>
      <t>MPSB/Sur/1051</t>
    </r>
    <r>
      <rPr>
        <sz val="12"/>
        <color theme="1"/>
        <rFont val="Calibri"/>
        <family val="2"/>
        <scheme val="minor"/>
      </rPr>
      <t xml:space="preserve">
MPSB/Str/1208</t>
    </r>
  </si>
  <si>
    <t>P29 - 7th Lift</t>
  </si>
  <si>
    <t>MPSB/Str/3201
MPSB/Sur/2448
MPSB/Str/3202
MPSB/Sur/2469</t>
  </si>
  <si>
    <t>19-Dec-25
19-Dec-25
19-Dec-25
22-Dec-25</t>
  </si>
  <si>
    <t>P30 - 7th Lift</t>
  </si>
  <si>
    <t>MPSB/Str/547
MPSB/Sur/459
MPSB/Str/548
MPSB/Sur/507</t>
  </si>
  <si>
    <t>15-Feb-25
12-Feb-25
15-Feb-25
19-Feb-25</t>
  </si>
  <si>
    <t>P6 - 7th Lift</t>
  </si>
  <si>
    <r>
      <t xml:space="preserve">MPSB/Str/1504
</t>
    </r>
    <r>
      <rPr>
        <sz val="12"/>
        <rFont val="Calibri"/>
        <family val="2"/>
        <scheme val="minor"/>
      </rPr>
      <t>MPSB/Sur/1294</t>
    </r>
    <r>
      <rPr>
        <sz val="12"/>
        <color theme="1"/>
        <rFont val="Calibri"/>
        <family val="2"/>
        <scheme val="minor"/>
      </rPr>
      <t xml:space="preserve">
MPSB/Str/1505
MPSB/Sur/1384</t>
    </r>
  </si>
  <si>
    <t>16-May-25
16-May-25
16-May-25
29-May-25</t>
  </si>
  <si>
    <t>P7 - 7th Lift</t>
  </si>
  <si>
    <r>
      <rPr>
        <sz val="12"/>
        <rFont val="Calibri"/>
        <family val="2"/>
        <scheme val="minor"/>
      </rPr>
      <t>MPSB/Str/825</t>
    </r>
    <r>
      <rPr>
        <sz val="12"/>
        <color theme="1"/>
        <rFont val="Calibri"/>
        <family val="2"/>
        <scheme val="minor"/>
      </rPr>
      <t xml:space="preserve">
MPSB/Str/826
MPSB/Sur/737</t>
    </r>
  </si>
  <si>
    <t>18-Mar-25
18-Mar-25
18-Mar-25</t>
  </si>
  <si>
    <t>P8 - 7th Lift</t>
  </si>
  <si>
    <r>
      <t xml:space="preserve">MPSB/Str/1274
</t>
    </r>
    <r>
      <rPr>
        <sz val="12"/>
        <rFont val="Calibri"/>
        <family val="2"/>
        <scheme val="minor"/>
      </rPr>
      <t>MPSB/Sur/1103</t>
    </r>
    <r>
      <rPr>
        <sz val="12"/>
        <color theme="1"/>
        <rFont val="Calibri"/>
        <family val="2"/>
        <scheme val="minor"/>
      </rPr>
      <t xml:space="preserve">
MPSB/Str/1275</t>
    </r>
  </si>
  <si>
    <t>26-Apr-25
26-Apr-25
26-Apr-25</t>
  </si>
  <si>
    <t>P9 - 7th Lift</t>
  </si>
  <si>
    <t>MPSB/Str/654
MPSB/Sur/570
MPSB/Str/655</t>
  </si>
  <si>
    <t>P6 - 8th Lift</t>
  </si>
  <si>
    <t>MPSB/Str/631
MPSB/Sur/558
MPSB/Str/632
MPSB/Sur/574</t>
  </si>
  <si>
    <t>P20 - 8th Lift</t>
  </si>
  <si>
    <t>MPSB/Str/635
MPSB/Sur/559
MPSB/Str/636
MPSB/Sur/576</t>
  </si>
  <si>
    <t>P24 - 8th Lift</t>
  </si>
  <si>
    <r>
      <rPr>
        <sz val="12"/>
        <rFont val="Calibri"/>
        <family val="2"/>
        <scheme val="minor"/>
      </rPr>
      <t>MPSB/Str/987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MPSB/Str/988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MPSB/Sur/856</t>
    </r>
  </si>
  <si>
    <t>30-Mar-25
30-Mar-25
30-Mar-25</t>
  </si>
  <si>
    <t>P8 - 8th Lift</t>
  </si>
  <si>
    <t>MPSB/Str/912
MPSB/Str/913
MPSB/Sur/797</t>
  </si>
  <si>
    <t>P16 - 8th Lift</t>
  </si>
  <si>
    <t>MPSB/Str/928
MPSB/Sur/807
MPSB/Str/929</t>
  </si>
  <si>
    <t>P18 - 8th Lift</t>
  </si>
  <si>
    <t>MPSB/Str/760
MPSB/Sur/674
MPSB/Str/761
MPSB/Sur/711</t>
  </si>
  <si>
    <t>P22 - 8th Lift</t>
  </si>
  <si>
    <t>MPSB/Str/855
MPSB/Sur/763
MPSB/Str/862
MPSB/Sur/888</t>
  </si>
  <si>
    <t>22-Mar-25
22-Mar-25
23-Mar-25
31-Mar-25</t>
  </si>
  <si>
    <t>P26 - 8th Lift</t>
  </si>
  <si>
    <t>MPSB/Str/830
MPSB/Sur/743
MPSB/Str/831
MPSB/Sur/767</t>
  </si>
  <si>
    <t>19-Mar-25
19-Mar-25
19-Mar-25
23-Mar-25</t>
  </si>
  <si>
    <t>P28 - 8th Lift</t>
  </si>
  <si>
    <r>
      <t xml:space="preserve">MPSB/Str/1386
</t>
    </r>
    <r>
      <rPr>
        <sz val="12"/>
        <rFont val="Calibri"/>
        <family val="2"/>
        <scheme val="minor"/>
      </rPr>
      <t>MPSB/Sur/1179</t>
    </r>
    <r>
      <rPr>
        <sz val="12"/>
        <color theme="1"/>
        <rFont val="Calibri"/>
        <family val="2"/>
        <scheme val="minor"/>
      </rPr>
      <t xml:space="preserve">
MPSB/Str/1387</t>
    </r>
  </si>
  <si>
    <t>P9 - 8th Lift</t>
  </si>
  <si>
    <r>
      <t xml:space="preserve">MPSB/Str/1216
</t>
    </r>
    <r>
      <rPr>
        <sz val="12"/>
        <rFont val="Calibri"/>
        <family val="2"/>
        <scheme val="minor"/>
      </rPr>
      <t>MPSB/Sur/1057</t>
    </r>
    <r>
      <rPr>
        <sz val="12"/>
        <color theme="1"/>
        <rFont val="Calibri"/>
        <family val="2"/>
        <scheme val="minor"/>
      </rPr>
      <t xml:space="preserve">
MPSB/Str/1217</t>
    </r>
  </si>
  <si>
    <t>P10 - 8th Lift</t>
  </si>
  <si>
    <r>
      <t xml:space="preserve">MPSB/Str/1189
</t>
    </r>
    <r>
      <rPr>
        <sz val="12"/>
        <rFont val="Calibri"/>
        <family val="2"/>
        <scheme val="minor"/>
      </rPr>
      <t>MPSB/Sur/1032</t>
    </r>
    <r>
      <rPr>
        <sz val="12"/>
        <color theme="1"/>
        <rFont val="Calibri"/>
        <family val="2"/>
        <scheme val="minor"/>
      </rPr>
      <t xml:space="preserve">
MPSB/Str/1190</t>
    </r>
  </si>
  <si>
    <t>19-Apr-25
19-Apr-25
19-Apr-25</t>
  </si>
  <si>
    <t>P17 - 8th Lift</t>
  </si>
  <si>
    <r>
      <t xml:space="preserve">MPSB/Str/1351
</t>
    </r>
    <r>
      <rPr>
        <sz val="12"/>
        <rFont val="Calibri"/>
        <family val="2"/>
        <scheme val="minor"/>
      </rPr>
      <t>MPSB/Sur/1157</t>
    </r>
    <r>
      <rPr>
        <sz val="12"/>
        <color theme="1"/>
        <rFont val="Calibri"/>
        <family val="2"/>
        <scheme val="minor"/>
      </rPr>
      <t xml:space="preserve">
MPSB/Str/1352</t>
    </r>
  </si>
  <si>
    <t>P19 - 8th Lift</t>
  </si>
  <si>
    <r>
      <t xml:space="preserve">MPSB/Str/1132
</t>
    </r>
    <r>
      <rPr>
        <sz val="12"/>
        <rFont val="Calibri"/>
        <family val="2"/>
        <scheme val="minor"/>
      </rPr>
      <t>MPSB/Sur/993</t>
    </r>
    <r>
      <rPr>
        <sz val="12"/>
        <color theme="1"/>
        <rFont val="Calibri"/>
        <family val="2"/>
        <scheme val="minor"/>
      </rPr>
      <t xml:space="preserve">
MPSB/Str/1133
MPSB/Sur/1036</t>
    </r>
  </si>
  <si>
    <t>14-Apr-25
14-Apr-25
14-Apr-25
19-Apr-25</t>
  </si>
  <si>
    <t>P25 - 8th Lift</t>
  </si>
  <si>
    <r>
      <t xml:space="preserve">MPSB/Str/1474
</t>
    </r>
    <r>
      <rPr>
        <sz val="12"/>
        <rFont val="Calibri"/>
        <family val="2"/>
        <scheme val="minor"/>
      </rPr>
      <t>MPSB/Sur/1254</t>
    </r>
    <r>
      <rPr>
        <sz val="12"/>
        <color theme="1"/>
        <rFont val="Calibri"/>
        <family val="2"/>
        <scheme val="minor"/>
      </rPr>
      <t xml:space="preserve">
MPSB/Str/1475
MPSB/Sur/1289</t>
    </r>
  </si>
  <si>
    <t>12-May-25
12-May-25
12-May-25
16-May-25</t>
  </si>
  <si>
    <t>P15 - 8th Lift</t>
  </si>
  <si>
    <r>
      <t xml:space="preserve">MPSB/Str/1418
</t>
    </r>
    <r>
      <rPr>
        <sz val="12"/>
        <rFont val="Calibri"/>
        <family val="2"/>
        <scheme val="minor"/>
      </rPr>
      <t>MPSB/Sur/1218</t>
    </r>
    <r>
      <rPr>
        <sz val="12"/>
        <color theme="1"/>
        <rFont val="Calibri"/>
        <family val="2"/>
        <scheme val="minor"/>
      </rPr>
      <t xml:space="preserve">
MPSB/Str/1419
MPSB/Sur/1303</t>
    </r>
  </si>
  <si>
    <t>5-May-25
5-May-25
5-May-25
18-May-25</t>
  </si>
  <si>
    <t>P29 - 8th Lift</t>
  </si>
  <si>
    <r>
      <t xml:space="preserve">MPSB/Str/1644
</t>
    </r>
    <r>
      <rPr>
        <sz val="12"/>
        <rFont val="Calibri"/>
        <family val="2"/>
        <scheme val="minor"/>
      </rPr>
      <t>MPSB/Sur/1409</t>
    </r>
    <r>
      <rPr>
        <sz val="12"/>
        <color theme="1"/>
        <rFont val="Calibri"/>
        <family val="2"/>
        <scheme val="minor"/>
      </rPr>
      <t xml:space="preserve">
MPSB/Str/1645
MPSB/Sur/1434</t>
    </r>
  </si>
  <si>
    <t>9-Jun-25
9-Jun-25
9-Jun-25
17-Jun-25</t>
  </si>
  <si>
    <t>P7 - 8th Lift</t>
  </si>
  <si>
    <r>
      <t xml:space="preserve">MPSB/Str/1699
</t>
    </r>
    <r>
      <rPr>
        <sz val="12"/>
        <rFont val="Calibri"/>
        <family val="2"/>
        <scheme val="minor"/>
      </rPr>
      <t>MPSB/Sur/1457</t>
    </r>
    <r>
      <rPr>
        <sz val="12"/>
        <color theme="1"/>
        <rFont val="Calibri"/>
        <family val="2"/>
        <scheme val="minor"/>
      </rPr>
      <t xml:space="preserve">
MPSB/Str/1700
MPSB/Sur/1470</t>
    </r>
  </si>
  <si>
    <t>24-Jun-25
24-Jun-25
24-Jun-25
28-Jun-25</t>
  </si>
  <si>
    <t>P27 - 8th Lift</t>
  </si>
  <si>
    <t>MPSB/Str/2065
MPSB/Sur/1715
MPSB/Str/2066
MPSB/Sur/1750</t>
  </si>
  <si>
    <t>21-Aug-25
21-Aug-25
21-Aug-25
30-Aug-25</t>
  </si>
  <si>
    <t>P21 - 8th Lift</t>
  </si>
  <si>
    <r>
      <t xml:space="preserve">MPSB/Str/2058
</t>
    </r>
    <r>
      <rPr>
        <sz val="12"/>
        <rFont val="Calibri"/>
        <family val="2"/>
        <scheme val="minor"/>
      </rPr>
      <t>MPSB/Sur/1726</t>
    </r>
    <r>
      <rPr>
        <sz val="12"/>
        <color theme="1"/>
        <rFont val="Calibri"/>
        <family val="2"/>
        <scheme val="minor"/>
      </rPr>
      <t xml:space="preserve">
MPSB/Str/2075
MPSB/Sur/1761</t>
    </r>
  </si>
  <si>
    <t>21-Aug-25
23-Aug-25
23-Aug-25
3-Sep-25</t>
  </si>
  <si>
    <t>P23 - 8th Lift</t>
  </si>
  <si>
    <t>MPSB/Str/3307
MPSB/Sur/2526
MPSB/Str/3308</t>
  </si>
  <si>
    <t>28-Dec-25
28-Dec-25
28-Dec-25</t>
  </si>
  <si>
    <t>P30 - 8th Lift</t>
  </si>
  <si>
    <t>MPSB/Str/3977
MPSB/Sur/3018
MPSB/Str/3978</t>
  </si>
  <si>
    <t>P14(N) - 8th Lift</t>
  </si>
  <si>
    <t>MPSB/Str/4215
MPSB/Sur/3180
MPSB/Str/4216</t>
  </si>
  <si>
    <t>27-Mar-26
27-Mar-26
27-Mar-26</t>
  </si>
  <si>
    <t>P11 - 8th Lift</t>
  </si>
  <si>
    <r>
      <t xml:space="preserve">MPSB/Str/4272
MPSB/Sur/3209
</t>
    </r>
    <r>
      <rPr>
        <sz val="12"/>
        <rFont val="Calibri"/>
        <family val="2"/>
        <scheme val="minor"/>
      </rPr>
      <t>MPSB/Str/4273</t>
    </r>
  </si>
  <si>
    <t>31-Mar-26
31-Mar-26
31-Mar-26</t>
  </si>
  <si>
    <t>P13 - 8th Lift</t>
  </si>
  <si>
    <t>MPSB/Str/4257
MPSB/Sur/3202
MPSB/Str/4258
MPSB/Sur/3237</t>
  </si>
  <si>
    <t>30-Mar-26
30-Mar-26
30-Mar-26
3-Apr-26</t>
  </si>
  <si>
    <t>P12(A) - 8th Lift</t>
  </si>
  <si>
    <t>MPSB/Str/712
MPSB/Sur/627
MPSB/Str/713</t>
  </si>
  <si>
    <t>P6 - 9th Lift</t>
  </si>
  <si>
    <r>
      <t xml:space="preserve">MPSB/Str/989
MPSB/Str/990
</t>
    </r>
    <r>
      <rPr>
        <sz val="12"/>
        <rFont val="Calibri"/>
        <family val="2"/>
        <scheme val="minor"/>
      </rPr>
      <t>MPSB/Sur/858</t>
    </r>
  </si>
  <si>
    <t>P16 - 9th Lift</t>
  </si>
  <si>
    <t>MPSB/Str/939
MPSB/Str/940
MPSB/Sur/818</t>
  </si>
  <si>
    <t>28-Mar-25
28-Mar-25
28-Mar-25</t>
  </si>
  <si>
    <t>P18 - 9th Lift</t>
  </si>
  <si>
    <t>MPSB/Str/812
MPSB/Sur/725
MPSB/Str/813
MPSB/Sur/750</t>
  </si>
  <si>
    <t>17-Mar-25
17-Mar-25
17-Mar-25
20-Mar-25</t>
  </si>
  <si>
    <t>P20 - 9th Lift</t>
  </si>
  <si>
    <t>MPSB/Str/773
MPSB/Sur/687
MPSB/Str/774
MPSB/Sur/716</t>
  </si>
  <si>
    <t>11-Mar-25
11-Mar-25
11-Mar-25
15-Mar-25</t>
  </si>
  <si>
    <t>P24 - 9th Lift</t>
  </si>
  <si>
    <t>MPSB/Str/930
MPSB/Sur/808
MPSB/Str/931
MPSB/Sur/890</t>
  </si>
  <si>
    <t>27-Mar-25
27-Mar-25
27-Mar-25
31-Mar-25</t>
  </si>
  <si>
    <t>P26 - 9th Lift</t>
  </si>
  <si>
    <t>MPSB/Str/902
MPSB/Sur/789
MPSB/Str/903
MPSB/Sur/854</t>
  </si>
  <si>
    <t>26-Mar-25
26-Mar-25
26-Mar-25
30-Mar-25</t>
  </si>
  <si>
    <t>P28 - 9th Lift</t>
  </si>
  <si>
    <r>
      <t xml:space="preserve">MPSB/Str/1276
</t>
    </r>
    <r>
      <rPr>
        <sz val="12"/>
        <rFont val="Calibri"/>
        <family val="2"/>
        <scheme val="minor"/>
      </rPr>
      <t>MPSB/Sur/1104</t>
    </r>
    <r>
      <rPr>
        <sz val="12"/>
        <color theme="1"/>
        <rFont val="Calibri"/>
        <family val="2"/>
        <scheme val="minor"/>
      </rPr>
      <t xml:space="preserve">
MPSB/Str/1277</t>
    </r>
  </si>
  <si>
    <t>P8 - 9th Lift</t>
  </si>
  <si>
    <r>
      <t xml:space="preserve">MPSB/Str/1248
</t>
    </r>
    <r>
      <rPr>
        <sz val="12"/>
        <rFont val="Calibri"/>
        <family val="2"/>
        <scheme val="minor"/>
      </rPr>
      <t>MPSB/Sur/1077</t>
    </r>
    <r>
      <rPr>
        <sz val="12"/>
        <color theme="1"/>
        <rFont val="Calibri"/>
        <family val="2"/>
        <scheme val="minor"/>
      </rPr>
      <t xml:space="preserve">
MPSB/Str/1249</t>
    </r>
  </si>
  <si>
    <t>24-Apr-25
24-Apr-25
24-Apr-25</t>
  </si>
  <si>
    <t>P10 - 9th Lift</t>
  </si>
  <si>
    <r>
      <t xml:space="preserve">MPSB/Str/1203
</t>
    </r>
    <r>
      <rPr>
        <sz val="12"/>
        <rFont val="Calibri"/>
        <family val="2"/>
        <scheme val="minor"/>
      </rPr>
      <t>MPSB/Sur/1047</t>
    </r>
    <r>
      <rPr>
        <sz val="12"/>
        <color theme="1"/>
        <rFont val="Calibri"/>
        <family val="2"/>
        <scheme val="minor"/>
      </rPr>
      <t xml:space="preserve">
MPSB/Str/1204</t>
    </r>
  </si>
  <si>
    <t>P22 - 9th Lift</t>
  </si>
  <si>
    <r>
      <t xml:space="preserve">MPSB/Str/1244
</t>
    </r>
    <r>
      <rPr>
        <sz val="12"/>
        <rFont val="Calibri"/>
        <family val="2"/>
        <scheme val="minor"/>
      </rPr>
      <t>MPSB/Sur/1076</t>
    </r>
    <r>
      <rPr>
        <sz val="12"/>
        <color theme="1"/>
        <rFont val="Calibri"/>
        <family val="2"/>
        <scheme val="minor"/>
      </rPr>
      <t xml:space="preserve">
MPSB/Str/1245</t>
    </r>
  </si>
  <si>
    <t>P25 - 9th Lift</t>
  </si>
  <si>
    <r>
      <t xml:space="preserve">MPSB/Str/1538
</t>
    </r>
    <r>
      <rPr>
        <sz val="12"/>
        <rFont val="Calibri"/>
        <family val="2"/>
        <scheme val="minor"/>
      </rPr>
      <t>MPSB/Sur/1325</t>
    </r>
    <r>
      <rPr>
        <sz val="12"/>
        <color theme="1"/>
        <rFont val="Calibri"/>
        <family val="2"/>
        <scheme val="minor"/>
      </rPr>
      <t xml:space="preserve">
MPSB/Str/1539
MPSB/Sur/1347</t>
    </r>
  </si>
  <si>
    <t>21-May-25
21-May-25
21-May-25
26-May-25</t>
  </si>
  <si>
    <t>P15 - 9th Lift</t>
  </si>
  <si>
    <r>
      <t xml:space="preserve">MPSB/Str/1462
</t>
    </r>
    <r>
      <rPr>
        <sz val="12"/>
        <rFont val="Calibri"/>
        <family val="2"/>
        <scheme val="minor"/>
      </rPr>
      <t>MPSB/Sur/1249</t>
    </r>
    <r>
      <rPr>
        <sz val="12"/>
        <color theme="1"/>
        <rFont val="Calibri"/>
        <family val="2"/>
        <scheme val="minor"/>
      </rPr>
      <t xml:space="preserve">
MPSB/Str/1463</t>
    </r>
  </si>
  <si>
    <t>10-May-25
10-May-25
10-May-25</t>
  </si>
  <si>
    <t>P17 - 9th Lift</t>
  </si>
  <si>
    <r>
      <t xml:space="preserve">MPSB/Str/1506
</t>
    </r>
    <r>
      <rPr>
        <sz val="12"/>
        <rFont val="Calibri"/>
        <family val="2"/>
        <scheme val="minor"/>
      </rPr>
      <t>MPSB/Sur/1295</t>
    </r>
    <r>
      <rPr>
        <sz val="12"/>
        <color theme="1"/>
        <rFont val="Calibri"/>
        <family val="2"/>
        <scheme val="minor"/>
      </rPr>
      <t xml:space="preserve">
MPSB/Str/1507
MPSB/Sur/1355</t>
    </r>
  </si>
  <si>
    <t>17-May-25
17-May-25
17-May-25
26-May-25</t>
  </si>
  <si>
    <t>P19 - 9th Lift</t>
  </si>
  <si>
    <r>
      <t xml:space="preserve">MPSB/Str/1489
</t>
    </r>
    <r>
      <rPr>
        <sz val="12"/>
        <rFont val="Calibri"/>
        <family val="2"/>
        <scheme val="minor"/>
      </rPr>
      <t>MPSB/Sur/1275</t>
    </r>
    <r>
      <rPr>
        <sz val="12"/>
        <color theme="1"/>
        <rFont val="Calibri"/>
        <family val="2"/>
        <scheme val="minor"/>
      </rPr>
      <t xml:space="preserve">
MPSB/Str/1490
MPSB/Sur/1324</t>
    </r>
  </si>
  <si>
    <t>14-May-25
14-May-25
14-May-25
20-May-25</t>
  </si>
  <si>
    <t>P29 - 9th Lift</t>
  </si>
  <si>
    <t>MPSB/Str/1667
MPSB/Sur/1426
MPSB/Str/1668</t>
  </si>
  <si>
    <t>16-Jun-25
16-Jun-25
16-Jun-25</t>
  </si>
  <si>
    <t>P9 - 9th Lift</t>
  </si>
  <si>
    <r>
      <t xml:space="preserve">MPSB/Str/1803
</t>
    </r>
    <r>
      <rPr>
        <sz val="12"/>
        <rFont val="Calibri"/>
        <family val="2"/>
        <scheme val="minor"/>
      </rPr>
      <t>MPSB/Sur/1517</t>
    </r>
    <r>
      <rPr>
        <sz val="12"/>
        <color theme="1"/>
        <rFont val="Calibri"/>
        <family val="2"/>
        <scheme val="minor"/>
      </rPr>
      <t xml:space="preserve">
MPSB/Str/1804</t>
    </r>
  </si>
  <si>
    <t>12-Jul-25
12-Jul-25
12-Jul-25</t>
  </si>
  <si>
    <t>P7 - 9th Lift</t>
  </si>
  <si>
    <r>
      <t xml:space="preserve">MPSB/Str/1924
</t>
    </r>
    <r>
      <rPr>
        <sz val="12"/>
        <rFont val="Calibri"/>
        <family val="2"/>
        <scheme val="minor"/>
      </rPr>
      <t>MPSB/Sur/1610</t>
    </r>
    <r>
      <rPr>
        <sz val="12"/>
        <color theme="1"/>
        <rFont val="Calibri"/>
        <family val="2"/>
        <scheme val="minor"/>
      </rPr>
      <t xml:space="preserve">
MPSB/Str/1925</t>
    </r>
  </si>
  <si>
    <t>30-Jul-25
30-Jul-25
30-Jul-25</t>
  </si>
  <si>
    <t>P27 - 9th Lift</t>
  </si>
  <si>
    <t>MPSB/Str/2374
MPSB/Sur/1903
MPSB/Str/2375</t>
  </si>
  <si>
    <t>30-Sep-25
30-Sep-25
30-Sep-25</t>
  </si>
  <si>
    <t>P21 - 9th Lift</t>
  </si>
  <si>
    <r>
      <t xml:space="preserve">MPSB/Str/2243
</t>
    </r>
    <r>
      <rPr>
        <sz val="12"/>
        <rFont val="Calibri"/>
        <family val="2"/>
        <scheme val="minor"/>
      </rPr>
      <t>MPSB/Sur/1828</t>
    </r>
    <r>
      <rPr>
        <sz val="12"/>
        <color theme="1"/>
        <rFont val="Calibri"/>
        <family val="2"/>
        <scheme val="minor"/>
      </rPr>
      <t xml:space="preserve">
MPSB/Str/2244
MPSB/Sur/1905</t>
    </r>
  </si>
  <si>
    <t>16-Sep-25
16-Sep-25
16-Sep-25
30-Sep-25</t>
  </si>
  <si>
    <t>P23 - 9th Lift</t>
  </si>
  <si>
    <t>MPSB/Str/3354
MPSB/Sur/2555
MPSB/Str/3355</t>
  </si>
  <si>
    <t>30-Dec-25
30-Dec-25
30-Dec-25</t>
  </si>
  <si>
    <t>P30 - 9th Lift</t>
  </si>
  <si>
    <t>MPSB/Str/4097
MPSB/Sur/3109
MPSB/Str/4096</t>
  </si>
  <si>
    <t>13-Mar-26
13-Mar-26
13-Mar-26</t>
  </si>
  <si>
    <t>P14(N) - 9th Lift</t>
  </si>
  <si>
    <t>MPSB/Str/4345
MPSB/Sur/3255
MPSB/Str/4346</t>
  </si>
  <si>
    <t>7-Apr-26
7-Apr-26
7-Apr-26</t>
  </si>
  <si>
    <t>P11 - 9th Lift</t>
  </si>
  <si>
    <t>MPSB/Str/4359
MPSB/Sur/3264
MPSB/Str/4360</t>
  </si>
  <si>
    <t>10-Apr-26
10-Apr-26
10-Apr-26</t>
  </si>
  <si>
    <t>P13 - 9th Lift</t>
  </si>
  <si>
    <t>MPSB/Str/4362
MPSB/Sur/3269
MPSB/Str/4363
MPSB/Sur/3321</t>
  </si>
  <si>
    <t>10-Apr-26
10-Apr-26
10-Apr-26
17-Apr-26</t>
  </si>
  <si>
    <t>P12(A) - 9th Lift</t>
  </si>
  <si>
    <t>MPSB/Str/1016
MPSB/Sur/843
MPSB/Str/1017</t>
  </si>
  <si>
    <t>P6 - 10th Lift</t>
  </si>
  <si>
    <t>MPSB/Str/865
MPSB/Sur/769
MPSB/Str/866
MPSB/Sur/817</t>
  </si>
  <si>
    <t>24-Mar-25
24-Mar-25
24-Mar-25
28-Mar-25</t>
  </si>
  <si>
    <t>P20 - 10th Lift</t>
  </si>
  <si>
    <t>MPSB/Str/904
MPSB/Sur/790
MPSB/Str/905</t>
  </si>
  <si>
    <t>P24 - 10th Lift</t>
  </si>
  <si>
    <r>
      <t xml:space="preserve">MPSB/Str/1380
</t>
    </r>
    <r>
      <rPr>
        <sz val="12"/>
        <rFont val="Calibri"/>
        <family val="2"/>
        <scheme val="minor"/>
      </rPr>
      <t>MPSB/Sur/1176</t>
    </r>
    <r>
      <rPr>
        <sz val="12"/>
        <color theme="1"/>
        <rFont val="Calibri"/>
        <family val="2"/>
        <scheme val="minor"/>
      </rPr>
      <t xml:space="preserve">
MPSB/Str/1381</t>
    </r>
  </si>
  <si>
    <t>P8 - 10th Lift</t>
  </si>
  <si>
    <r>
      <t xml:space="preserve">MPSB/Str/1191
</t>
    </r>
    <r>
      <rPr>
        <sz val="12"/>
        <rFont val="Calibri"/>
        <family val="2"/>
        <scheme val="minor"/>
      </rPr>
      <t>MPSB/Sur/1037</t>
    </r>
    <r>
      <rPr>
        <sz val="12"/>
        <color theme="1"/>
        <rFont val="Calibri"/>
        <family val="2"/>
        <scheme val="minor"/>
      </rPr>
      <t xml:space="preserve">
MPSB/Str/1220</t>
    </r>
  </si>
  <si>
    <t>19-Apr-25
19-Apr-25
21-Apr-25</t>
  </si>
  <si>
    <t>P18 - 10th Lift</t>
  </si>
  <si>
    <r>
      <t xml:space="preserve">MPSB/Str/1267
</t>
    </r>
    <r>
      <rPr>
        <sz val="12"/>
        <rFont val="Calibri"/>
        <family val="2"/>
        <scheme val="minor"/>
      </rPr>
      <t>MPSB/Sur/1127</t>
    </r>
    <r>
      <rPr>
        <sz val="12"/>
        <color theme="1"/>
        <rFont val="Calibri"/>
        <family val="2"/>
        <scheme val="minor"/>
      </rPr>
      <t xml:space="preserve">
MPSB/Str/1300</t>
    </r>
  </si>
  <si>
    <t>P22 - 10th Lift</t>
  </si>
  <si>
    <r>
      <t xml:space="preserve">MPSB/Str/1357
</t>
    </r>
    <r>
      <rPr>
        <sz val="12"/>
        <rFont val="Calibri"/>
        <family val="2"/>
        <scheme val="minor"/>
      </rPr>
      <t>MPSB/Sur/1160</t>
    </r>
    <r>
      <rPr>
        <sz val="12"/>
        <color theme="1"/>
        <rFont val="Calibri"/>
        <family val="2"/>
        <scheme val="minor"/>
      </rPr>
      <t xml:space="preserve">
MPSB/Str/1358</t>
    </r>
  </si>
  <si>
    <t>P25 - 10th Lift</t>
  </si>
  <si>
    <r>
      <t xml:space="preserve">MPSB/Str/1153
</t>
    </r>
    <r>
      <rPr>
        <sz val="12"/>
        <rFont val="Calibri"/>
        <family val="2"/>
        <scheme val="minor"/>
      </rPr>
      <t>MPSB/Sur/1003</t>
    </r>
    <r>
      <rPr>
        <sz val="12"/>
        <color theme="1"/>
        <rFont val="Calibri"/>
        <family val="2"/>
        <scheme val="minor"/>
      </rPr>
      <t xml:space="preserve">
MPSB/Str/1154
MPSB/Sur/1066</t>
    </r>
  </si>
  <si>
    <t>16-Apr-25
16-Apr-25
16-Apr-25
22-Apr-25</t>
  </si>
  <si>
    <t>P26 - 10th Lift</t>
  </si>
  <si>
    <r>
      <t xml:space="preserve">MPSB/Str/1123
</t>
    </r>
    <r>
      <rPr>
        <sz val="12"/>
        <rFont val="Calibri"/>
        <family val="2"/>
        <scheme val="minor"/>
      </rPr>
      <t>MPSB/Sur/982</t>
    </r>
    <r>
      <rPr>
        <sz val="12"/>
        <color theme="1"/>
        <rFont val="Calibri"/>
        <family val="2"/>
        <scheme val="minor"/>
      </rPr>
      <t xml:space="preserve">
MPSB/Str/1124
MPSB/Sur/1034</t>
    </r>
  </si>
  <si>
    <t>13-Apr-25
13-Apr-25
13-Apr-25
19-Apr-25</t>
  </si>
  <si>
    <t>P28 - 10th Lift</t>
  </si>
  <si>
    <r>
      <t xml:space="preserve">MPSB/Str/1472
</t>
    </r>
    <r>
      <rPr>
        <sz val="12"/>
        <rFont val="Calibri"/>
        <family val="2"/>
        <scheme val="minor"/>
      </rPr>
      <t>MPSB/Sur/1253</t>
    </r>
    <r>
      <rPr>
        <sz val="12"/>
        <color theme="1"/>
        <rFont val="Calibri"/>
        <family val="2"/>
        <scheme val="minor"/>
      </rPr>
      <t xml:space="preserve">
MPSB/Str/1473
MPSB/Sur/1291</t>
    </r>
  </si>
  <si>
    <t>P10 - 10th Lift</t>
  </si>
  <si>
    <r>
      <t xml:space="preserve">MPSB/Str/1604
</t>
    </r>
    <r>
      <rPr>
        <sz val="12"/>
        <rFont val="Calibri"/>
        <family val="2"/>
        <scheme val="minor"/>
      </rPr>
      <t>MPSB/Sur/1388</t>
    </r>
    <r>
      <rPr>
        <sz val="12"/>
        <color theme="1"/>
        <rFont val="Calibri"/>
        <family val="2"/>
        <scheme val="minor"/>
      </rPr>
      <t xml:space="preserve">
MPSB/Str/1605</t>
    </r>
  </si>
  <si>
    <t>30-May-25
30-May-25
30-May-25</t>
  </si>
  <si>
    <t>P15 - 10th Lift</t>
  </si>
  <si>
    <r>
      <t xml:space="preserve">MPSB/Str/1436
</t>
    </r>
    <r>
      <rPr>
        <sz val="12"/>
        <rFont val="Calibri"/>
        <family val="2"/>
        <scheme val="minor"/>
      </rPr>
      <t>MPSB/Sur/1230</t>
    </r>
    <r>
      <rPr>
        <sz val="12"/>
        <color theme="1"/>
        <rFont val="Calibri"/>
        <family val="2"/>
        <scheme val="minor"/>
      </rPr>
      <t xml:space="preserve">
MPSB/Str/1437</t>
    </r>
  </si>
  <si>
    <t>7-May-25
7-May-25
7-May-25</t>
  </si>
  <si>
    <t>P16 - 10th Lift</t>
  </si>
  <si>
    <r>
      <t xml:space="preserve">MPSB/Str/1588
</t>
    </r>
    <r>
      <rPr>
        <sz val="12"/>
        <rFont val="Calibri"/>
        <family val="2"/>
        <scheme val="minor"/>
      </rPr>
      <t>MPSB/Sur/1371</t>
    </r>
    <r>
      <rPr>
        <sz val="12"/>
        <color theme="1"/>
        <rFont val="Calibri"/>
        <family val="2"/>
        <scheme val="minor"/>
      </rPr>
      <t xml:space="preserve">
MPSB/Str/1589</t>
    </r>
  </si>
  <si>
    <t>P17 - 10th Lift</t>
  </si>
  <si>
    <r>
      <t xml:space="preserve">MPSB/Str/1548
</t>
    </r>
    <r>
      <rPr>
        <sz val="12"/>
        <rFont val="Calibri"/>
        <family val="2"/>
        <scheme val="minor"/>
      </rPr>
      <t>MPSB/Sur/1331</t>
    </r>
    <r>
      <rPr>
        <sz val="12"/>
        <color theme="1"/>
        <rFont val="Calibri"/>
        <family val="2"/>
        <scheme val="minor"/>
      </rPr>
      <t xml:space="preserve">
MPSB/Str/1549</t>
    </r>
  </si>
  <si>
    <t>22-May-25
22-May-25
22-May-25</t>
  </si>
  <si>
    <t>P19 - 10th Lift</t>
  </si>
  <si>
    <r>
      <t xml:space="preserve">MPSB/Str/1563
</t>
    </r>
    <r>
      <rPr>
        <sz val="12"/>
        <rFont val="Calibri"/>
        <family val="2"/>
        <scheme val="minor"/>
      </rPr>
      <t>MPSB/Sur/1343</t>
    </r>
    <r>
      <rPr>
        <sz val="12"/>
        <color theme="1"/>
        <rFont val="Calibri"/>
        <family val="2"/>
        <scheme val="minor"/>
      </rPr>
      <t xml:space="preserve">
MPSB/Str/1564
MPSB/Sur/1362</t>
    </r>
  </si>
  <si>
    <t>24-May-25
24-May-25
24-May-25
27-May-25</t>
  </si>
  <si>
    <t>P29 - 10th Lift</t>
  </si>
  <si>
    <r>
      <t xml:space="preserve">MPSB/Str/1853
</t>
    </r>
    <r>
      <rPr>
        <sz val="12"/>
        <rFont val="Calibri"/>
        <family val="2"/>
        <scheme val="minor"/>
      </rPr>
      <t>MPSB/Sur/1556</t>
    </r>
    <r>
      <rPr>
        <sz val="12"/>
        <color theme="1"/>
        <rFont val="Calibri"/>
        <family val="2"/>
        <scheme val="minor"/>
      </rPr>
      <t xml:space="preserve">
MPSB/Str/1854</t>
    </r>
  </si>
  <si>
    <t>21-Jul-25
21-Jul-25
21-Jul-25</t>
  </si>
  <si>
    <t>P7 - 10th Lift</t>
  </si>
  <si>
    <t>MPSB/Str/1976
MPSB/Sur/1648
MPSB/Str/1977
MPSB/Sur/1706</t>
  </si>
  <si>
    <t>5-Aug-25
5-Aug-25
5-Aug-25
20-Aug-25</t>
  </si>
  <si>
    <t>P9 - 10th Lift</t>
  </si>
  <si>
    <t>MPSB/Str/1994
MPSB/Sur/1656
MPSB/Str/1995
MPSB/Sur/1689</t>
  </si>
  <si>
    <t>7-Aug-25
7-Aug-25
7-Aug-25
14-Aug-25</t>
  </si>
  <si>
    <t>P27 - 10th Lift</t>
  </si>
  <si>
    <t>MPSB/Str/2552
MPSB/Sur/2025
MPSB/Str/2553</t>
  </si>
  <si>
    <t>23-Oct-25
23-Oct-25
23-Oct-25</t>
  </si>
  <si>
    <t>P23 - 10th Lift</t>
  </si>
  <si>
    <t>MPSB/Str/2934
MPSB/Sur/2276
MPSB/Str/2935</t>
  </si>
  <si>
    <t>26-Nov-25
26-Nov-25
26-Nov-25</t>
  </si>
  <si>
    <t>P21 - 10th Lift</t>
  </si>
  <si>
    <t>MPSB/Str/3510
MPSB/Sur/2669
MPSB/Str/3511
MPSB/Sur/2700</t>
  </si>
  <si>
    <t>13-Jan-26
13-Jan-26
13-Jan-26
17-Jan-26</t>
  </si>
  <si>
    <t>P30 - 10th Lift</t>
  </si>
  <si>
    <t>MPSB/Str/4162
MPSB/Sur/3151
MPSB/Str/4163</t>
  </si>
  <si>
    <t>20-Mar-26
20-Mar-26
20-Mar-26</t>
  </si>
  <si>
    <t>P14(N) - 10th Lift</t>
  </si>
  <si>
    <t>MPSB/Str/4367
MPSB/Sur/3255
MPSB/Str/4368</t>
  </si>
  <si>
    <t>11-Apr-26
7-Apr-26
11-Apr-26</t>
  </si>
  <si>
    <t>P11 - 10th Lift</t>
  </si>
  <si>
    <t>MPSB/Str/4416
MPSB/Sur/3307
MPSB/Str/4417</t>
  </si>
  <si>
    <t>16-Apr-26
16-Apr-26
16-Apr-26</t>
  </si>
  <si>
    <t>P13 - 10th Lift</t>
  </si>
  <si>
    <t>MPSB/Str/4396
MPSB/Sur/3296
MPSB/Str/4397
MPSB/Sur/3321</t>
  </si>
  <si>
    <t>14-Apr-26
14-Apr-26
14-Apr-26
17-Apr-26</t>
  </si>
  <si>
    <t>P12(A) - 10th Lift</t>
  </si>
  <si>
    <r>
      <t xml:space="preserve">MPSB/Str/1008
</t>
    </r>
    <r>
      <rPr>
        <sz val="12"/>
        <rFont val="Calibri"/>
        <family val="2"/>
        <scheme val="minor"/>
      </rPr>
      <t>MPSB/Sur/870</t>
    </r>
    <r>
      <rPr>
        <sz val="12"/>
        <color theme="1"/>
        <rFont val="Calibri"/>
        <family val="2"/>
        <scheme val="minor"/>
      </rPr>
      <t xml:space="preserve">
MPSB/Str/1009</t>
    </r>
  </si>
  <si>
    <t>P20 - 11th Lift</t>
  </si>
  <si>
    <r>
      <t xml:space="preserve">MPSB/Str/1115
</t>
    </r>
    <r>
      <rPr>
        <sz val="12"/>
        <rFont val="Calibri"/>
        <family val="2"/>
        <scheme val="minor"/>
      </rPr>
      <t>MPSB/Sur/978</t>
    </r>
    <r>
      <rPr>
        <sz val="12"/>
        <color theme="1"/>
        <rFont val="Calibri"/>
        <family val="2"/>
        <scheme val="minor"/>
      </rPr>
      <t xml:space="preserve">
MPSB/Str/1116</t>
    </r>
  </si>
  <si>
    <t>P6 - 11th Lift</t>
  </si>
  <si>
    <r>
      <t xml:space="preserve">MPSB/Str/1240
</t>
    </r>
    <r>
      <rPr>
        <sz val="12"/>
        <rFont val="Calibri"/>
        <family val="2"/>
        <scheme val="minor"/>
      </rPr>
      <t>MPSB/Sur/1074</t>
    </r>
    <r>
      <rPr>
        <sz val="12"/>
        <color theme="1"/>
        <rFont val="Calibri"/>
        <family val="2"/>
        <scheme val="minor"/>
      </rPr>
      <t xml:space="preserve">
MPSB/Str/1241</t>
    </r>
  </si>
  <si>
    <t>P18 - 11th Lift</t>
  </si>
  <si>
    <r>
      <t xml:space="preserve">MPSB/Str/1242
</t>
    </r>
    <r>
      <rPr>
        <sz val="12"/>
        <rFont val="Calibri"/>
        <family val="2"/>
        <scheme val="minor"/>
      </rPr>
      <t>MPSB/Sur/1075</t>
    </r>
    <r>
      <rPr>
        <sz val="12"/>
        <color theme="1"/>
        <rFont val="Calibri"/>
        <family val="2"/>
        <scheme val="minor"/>
      </rPr>
      <t xml:space="preserve">
MPSB/Str/1243
MPSB/Sur/1126</t>
    </r>
  </si>
  <si>
    <t>24-Apr-25
24-Apr-25
24-Apr-25
27-Apr-25</t>
  </si>
  <si>
    <t>P26 - 11th Lift</t>
  </si>
  <si>
    <r>
      <t xml:space="preserve">MPSB/Str/1327
</t>
    </r>
    <r>
      <rPr>
        <sz val="12"/>
        <rFont val="Calibri"/>
        <family val="2"/>
        <scheme val="minor"/>
      </rPr>
      <t>MPSB/Sur/1144</t>
    </r>
    <r>
      <rPr>
        <sz val="12"/>
        <color theme="1"/>
        <rFont val="Calibri"/>
        <family val="2"/>
        <scheme val="minor"/>
      </rPr>
      <t xml:space="preserve">
MPSB/Str/1328</t>
    </r>
  </si>
  <si>
    <t>29-Apr-25
29-Apr-25
29-Apr-25</t>
  </si>
  <si>
    <t>P28 - 11th Lift</t>
  </si>
  <si>
    <r>
      <t xml:space="preserve">MPSB/Str/1554
</t>
    </r>
    <r>
      <rPr>
        <sz val="12"/>
        <rFont val="Calibri"/>
        <family val="2"/>
        <scheme val="minor"/>
      </rPr>
      <t>MPSB/Sur/1334</t>
    </r>
    <r>
      <rPr>
        <sz val="12"/>
        <color theme="1"/>
        <rFont val="Calibri"/>
        <family val="2"/>
        <scheme val="minor"/>
      </rPr>
      <t xml:space="preserve">
MPSB/Str/1555
MPSB/Sur/1383</t>
    </r>
  </si>
  <si>
    <t>23-May-25
23-May-25
23-May-25
29-May-25</t>
  </si>
  <si>
    <t>P8 - 11th Lift</t>
  </si>
  <si>
    <r>
      <t xml:space="preserve">MPSB/Str/1561
</t>
    </r>
    <r>
      <rPr>
        <sz val="12"/>
        <rFont val="Calibri"/>
        <family val="2"/>
        <scheme val="minor"/>
      </rPr>
      <t>MPSB/Sur/1342</t>
    </r>
    <r>
      <rPr>
        <sz val="12"/>
        <color theme="1"/>
        <rFont val="Calibri"/>
        <family val="2"/>
        <scheme val="minor"/>
      </rPr>
      <t xml:space="preserve">
MPSB/Str/1562</t>
    </r>
  </si>
  <si>
    <t>24-May-25
24-May-25
24-May-25</t>
  </si>
  <si>
    <t>P10 - 11th Lift</t>
  </si>
  <si>
    <r>
      <t xml:space="preserve">MPSB/Str/1491
</t>
    </r>
    <r>
      <rPr>
        <sz val="12"/>
        <rFont val="Calibri"/>
        <family val="2"/>
        <scheme val="minor"/>
      </rPr>
      <t>MPSB/Sur/1278</t>
    </r>
    <r>
      <rPr>
        <sz val="12"/>
        <color theme="1"/>
        <rFont val="Calibri"/>
        <family val="2"/>
        <scheme val="minor"/>
      </rPr>
      <t xml:space="preserve">
MPSB/Str/1492
MPSB/Sur/1319</t>
    </r>
  </si>
  <si>
    <t>15-May-25
15-May-25
15-May-25
20-May-25</t>
  </si>
  <si>
    <t>P16 - 11th Lift</t>
  </si>
  <si>
    <r>
      <t xml:space="preserve">MPSB/Str/1464
</t>
    </r>
    <r>
      <rPr>
        <sz val="12"/>
        <rFont val="Calibri"/>
        <family val="2"/>
        <scheme val="minor"/>
      </rPr>
      <t>MPSB/Sur/1250</t>
    </r>
    <r>
      <rPr>
        <sz val="12"/>
        <color theme="1"/>
        <rFont val="Calibri"/>
        <family val="2"/>
        <scheme val="minor"/>
      </rPr>
      <t xml:space="preserve">
MPSB/Str/1465
MPSB/Sur/1256</t>
    </r>
  </si>
  <si>
    <t>10-May-25
10-May-25
10-May-25
12-May-25</t>
  </si>
  <si>
    <t>P22 - 11th Lift</t>
  </si>
  <si>
    <r>
      <t xml:space="preserve">MPSB/Str/1458
</t>
    </r>
    <r>
      <rPr>
        <sz val="12"/>
        <rFont val="Calibri"/>
        <family val="2"/>
        <scheme val="minor"/>
      </rPr>
      <t>MPSB/Sur/1247</t>
    </r>
    <r>
      <rPr>
        <sz val="12"/>
        <color theme="1"/>
        <rFont val="Calibri"/>
        <family val="2"/>
        <scheme val="minor"/>
      </rPr>
      <t xml:space="preserve">
MPSB/Str/1459
MPSB/Sur/1282</t>
    </r>
  </si>
  <si>
    <t>9-May-25
9-May-25
9-May-25
15-May-25</t>
  </si>
  <si>
    <t>P24 - 11th Lift</t>
  </si>
  <si>
    <r>
      <t xml:space="preserve">MPSB/Str/1513
</t>
    </r>
    <r>
      <rPr>
        <sz val="12"/>
        <rFont val="Calibri"/>
        <family val="2"/>
        <scheme val="minor"/>
      </rPr>
      <t>MPSB/Sur/1302</t>
    </r>
    <r>
      <rPr>
        <sz val="12"/>
        <color theme="1"/>
        <rFont val="Calibri"/>
        <family val="2"/>
        <scheme val="minor"/>
      </rPr>
      <t xml:space="preserve">
MPSB/Str/1514
MPSB/Sur/1323</t>
    </r>
  </si>
  <si>
    <t>18-May-25
18-May-25
18-May-25
20-May-25</t>
  </si>
  <si>
    <t>P25 - 11th Lift</t>
  </si>
  <si>
    <r>
      <t xml:space="preserve">MPSB/Str/1676
</t>
    </r>
    <r>
      <rPr>
        <sz val="12"/>
        <rFont val="Calibri"/>
        <family val="2"/>
        <scheme val="minor"/>
      </rPr>
      <t>MPSB/Sur/1435</t>
    </r>
    <r>
      <rPr>
        <sz val="12"/>
        <color theme="1"/>
        <rFont val="Calibri"/>
        <family val="2"/>
        <scheme val="minor"/>
      </rPr>
      <t xml:space="preserve">
MPSB/Str/1677</t>
    </r>
  </si>
  <si>
    <t>18-Jun-25
18-Jun-25
18-Jun-25</t>
  </si>
  <si>
    <t>P17 - 11th Lift</t>
  </si>
  <si>
    <r>
      <t xml:space="preserve">MPSB/Str/1708
</t>
    </r>
    <r>
      <rPr>
        <sz val="12"/>
        <rFont val="Calibri"/>
        <family val="2"/>
        <scheme val="minor"/>
      </rPr>
      <t>MPSB/Sur/1460</t>
    </r>
    <r>
      <rPr>
        <sz val="12"/>
        <color theme="1"/>
        <rFont val="Calibri"/>
        <family val="2"/>
        <scheme val="minor"/>
      </rPr>
      <t xml:space="preserve">
MPSB/Str/1709</t>
    </r>
  </si>
  <si>
    <t>27-Jun-25
27-Jun-25
27-Jun-25</t>
  </si>
  <si>
    <t>P29 - 11th Lift</t>
  </si>
  <si>
    <r>
      <t xml:space="preserve">MPSB/Str/2073
</t>
    </r>
    <r>
      <rPr>
        <sz val="12"/>
        <rFont val="Calibri"/>
        <family val="2"/>
        <scheme val="minor"/>
      </rPr>
      <t>MPSB/Sur/1721</t>
    </r>
    <r>
      <rPr>
        <sz val="12"/>
        <color theme="1"/>
        <rFont val="Calibri"/>
        <family val="2"/>
        <scheme val="minor"/>
      </rPr>
      <t xml:space="preserve">
MPSB/Str/2074</t>
    </r>
  </si>
  <si>
    <t>23-Aug-25
23-Aug-25
23-Aug-25</t>
  </si>
  <si>
    <t>P7 - 11th Lift</t>
  </si>
  <si>
    <t>MPSB/Str/2012
MPSB/Sur/1669
MPSB/Str/2013
MPSB/Sur/1717</t>
  </si>
  <si>
    <t>9-Aug-25
9-Aug-25
9-Aug-25
22-Aug-25</t>
  </si>
  <si>
    <t>P9 - 11th Lift</t>
  </si>
  <si>
    <t>MPSB/Str/2200
MPSB/Sur/1803
MPSB/Str/2201
MPSB/Sur/1848</t>
  </si>
  <si>
    <t>10-Sep-25
10-Sep-25
10-Sep-25
20-Sep-25</t>
  </si>
  <si>
    <t>P27 - 11th Lift</t>
  </si>
  <si>
    <t>MPSB/Str/2591
MPSB/Sur/2054
MPSB/Str/2592</t>
  </si>
  <si>
    <t>27-Oct-25
27-Oct-25
27-Oct-25</t>
  </si>
  <si>
    <t>P15 - 11th Lift</t>
  </si>
  <si>
    <t>MPSB/Str/2602
MPSB/Sur/2061
MPSB/Str/2603</t>
  </si>
  <si>
    <t>P23 - 11th Lift</t>
  </si>
  <si>
    <t>MPSB/Str/2839
MPSB/Sur/2213
MPSB/Str/2840
MPSB/Sur/2255</t>
  </si>
  <si>
    <t>18-Nov-25
18-Nov-25
18-Nov-25
23-Nov-25</t>
  </si>
  <si>
    <t>P19 - 11th Lift</t>
  </si>
  <si>
    <t>MPSB/Str/2995
MPSB/Sur/2312
MPSB/Str/2996</t>
  </si>
  <si>
    <t>P21 - 11th Lift</t>
  </si>
  <si>
    <t>MPSB/Str/3589
MPSB/Sur/2726
MPSB/Str/3590
MPSB/Sur/2744</t>
  </si>
  <si>
    <t>20-Jan-26
20-Jan-26
20-Jan-26
22-Jan-26</t>
  </si>
  <si>
    <t>P30 - 11th Lift</t>
  </si>
  <si>
    <t>MPSB/Str/4259
MPSB/Sur/3203
MPSB/Str/4260</t>
  </si>
  <si>
    <t>30-Mar-26
30-Mar-26
30-Mar-26</t>
  </si>
  <si>
    <t>P14(N) - 11th Lift</t>
  </si>
  <si>
    <t>MPSB/Str/4473
MPSB/Sur/3344
MPSB/Str/4474</t>
  </si>
  <si>
    <t>24-Apr-26
24-Apr-26
24-Apr-26</t>
  </si>
  <si>
    <t>P11 - 11th Lift</t>
  </si>
  <si>
    <t>MPSB/Str/4527
MPSB/Sur/3382
MPSB/Str/4528</t>
  </si>
  <si>
    <t>29-Apr-26
29-Apr-26
29-Apr-26</t>
  </si>
  <si>
    <t>P13 - 11th Lift</t>
  </si>
  <si>
    <t>MPSB/Str/4525
MPSB/Sur/3381
MPSB/Str/4526
MPSB/Sur/3435</t>
  </si>
  <si>
    <t>29-Apr-26
29-Apr-26
29-Apr-26
8-May-26</t>
  </si>
  <si>
    <t>P12(A) - 11th Lift</t>
  </si>
  <si>
    <r>
      <t xml:space="preserve">MPSB/Str/1196
</t>
    </r>
    <r>
      <rPr>
        <sz val="12"/>
        <rFont val="Calibri"/>
        <family val="2"/>
        <scheme val="minor"/>
      </rPr>
      <t>MPSB/Sur/1040</t>
    </r>
    <r>
      <rPr>
        <sz val="12"/>
        <color theme="1"/>
        <rFont val="Calibri"/>
        <family val="2"/>
        <scheme val="minor"/>
      </rPr>
      <t xml:space="preserve">
MPSB/Str/1197
MPSB/Sur/1091</t>
    </r>
  </si>
  <si>
    <t>19-Apr-25
19-Apr-25
19-Apr-25
24-Apr-25</t>
  </si>
  <si>
    <t>P6 - 12th Lift</t>
  </si>
  <si>
    <r>
      <t xml:space="preserve">MPSB/Str/1314
</t>
    </r>
    <r>
      <rPr>
        <sz val="12"/>
        <rFont val="Calibri"/>
        <family val="2"/>
        <scheme val="minor"/>
      </rPr>
      <t>MPSB/Sur/1136</t>
    </r>
    <r>
      <rPr>
        <sz val="12"/>
        <color theme="1"/>
        <rFont val="Calibri"/>
        <family val="2"/>
        <scheme val="minor"/>
      </rPr>
      <t xml:space="preserve">
MPSB/Str/1315</t>
    </r>
  </si>
  <si>
    <t>P26 - 12th Lift</t>
  </si>
  <si>
    <r>
      <t xml:space="preserve">MPSB/Str/1600
</t>
    </r>
    <r>
      <rPr>
        <sz val="12"/>
        <rFont val="Calibri"/>
        <family val="2"/>
        <scheme val="minor"/>
      </rPr>
      <t>MPSB/Sur/1385</t>
    </r>
    <r>
      <rPr>
        <sz val="12"/>
        <color theme="1"/>
        <rFont val="Calibri"/>
        <family val="2"/>
        <scheme val="minor"/>
      </rPr>
      <t xml:space="preserve">
MPSB/Str/1601</t>
    </r>
  </si>
  <si>
    <t>29-May-25
29-May-25
29-May-25</t>
  </si>
  <si>
    <t>P10 - 12th Lift</t>
  </si>
  <si>
    <r>
      <t xml:space="preserve">MPSB/Str/1476
</t>
    </r>
    <r>
      <rPr>
        <sz val="12"/>
        <rFont val="Calibri"/>
        <family val="2"/>
        <scheme val="minor"/>
      </rPr>
      <t>MPSB/Sur/1259</t>
    </r>
    <r>
      <rPr>
        <sz val="12"/>
        <color theme="1"/>
        <rFont val="Calibri"/>
        <family val="2"/>
        <scheme val="minor"/>
      </rPr>
      <t xml:space="preserve">
MPSB/Str/1477
MPSB/Sur/1297</t>
    </r>
  </si>
  <si>
    <t>12-May-25
12-May-25
12-May-25
17-May-25</t>
  </si>
  <si>
    <t>P20 - 12th Lift</t>
  </si>
  <si>
    <r>
      <t xml:space="preserve">MPSB/Str/1528
</t>
    </r>
    <r>
      <rPr>
        <sz val="12"/>
        <rFont val="Calibri"/>
        <family val="2"/>
        <scheme val="minor"/>
      </rPr>
      <t>MPSB/Sur/1312</t>
    </r>
    <r>
      <rPr>
        <sz val="12"/>
        <color theme="1"/>
        <rFont val="Calibri"/>
        <family val="2"/>
        <scheme val="minor"/>
      </rPr>
      <t xml:space="preserve">
MPSB/Str/1529
MPSB/Sur/1328</t>
    </r>
  </si>
  <si>
    <t>19-May-25
19-May-25
19-May-25
21-May-25</t>
  </si>
  <si>
    <t>P22 - 12th Lift</t>
  </si>
  <si>
    <r>
      <t xml:space="preserve">MPSB/Str/1575
</t>
    </r>
    <r>
      <rPr>
        <sz val="12"/>
        <rFont val="Calibri"/>
        <family val="2"/>
        <scheme val="minor"/>
      </rPr>
      <t>MPSB/Sur/1351</t>
    </r>
    <r>
      <rPr>
        <sz val="12"/>
        <color theme="1"/>
        <rFont val="Calibri"/>
        <family val="2"/>
        <scheme val="minor"/>
      </rPr>
      <t xml:space="preserve">
MPSB/Str/1576</t>
    </r>
  </si>
  <si>
    <t>26-May-25
26-May-25
26-May-25</t>
  </si>
  <si>
    <t>P25 - 12th Lift</t>
  </si>
  <si>
    <r>
      <t xml:space="preserve">MPSB/Str/1535
</t>
    </r>
    <r>
      <rPr>
        <sz val="12"/>
        <rFont val="Calibri"/>
        <family val="2"/>
        <scheme val="minor"/>
      </rPr>
      <t>MPSB/Sur/1321</t>
    </r>
    <r>
      <rPr>
        <sz val="12"/>
        <color theme="1"/>
        <rFont val="Calibri"/>
        <family val="2"/>
        <scheme val="minor"/>
      </rPr>
      <t xml:space="preserve">
MPSB/Str/1536
MPSB/Sur/1341</t>
    </r>
  </si>
  <si>
    <t>20-May-25
20-May-25
20-May-25
24-May-25</t>
  </si>
  <si>
    <t>P28 - 12th Lift</t>
  </si>
  <si>
    <r>
      <t xml:space="preserve">MPSB/Str/1669
</t>
    </r>
    <r>
      <rPr>
        <sz val="12"/>
        <rFont val="Calibri"/>
        <family val="2"/>
        <scheme val="minor"/>
      </rPr>
      <t>MPSB/Sur/1427</t>
    </r>
    <r>
      <rPr>
        <sz val="12"/>
        <color theme="1"/>
        <rFont val="Calibri"/>
        <family val="2"/>
        <scheme val="minor"/>
      </rPr>
      <t xml:space="preserve">
MPSB/Str/1670</t>
    </r>
  </si>
  <si>
    <t>P8 - 12th Lift</t>
  </si>
  <si>
    <r>
      <t xml:space="preserve">MPSB/Str/1751
</t>
    </r>
    <r>
      <rPr>
        <sz val="12"/>
        <rFont val="Calibri"/>
        <family val="2"/>
        <scheme val="minor"/>
      </rPr>
      <t>MPSB/Sur/1483</t>
    </r>
    <r>
      <rPr>
        <sz val="12"/>
        <color theme="1"/>
        <rFont val="Calibri"/>
        <family val="2"/>
        <scheme val="minor"/>
      </rPr>
      <t xml:space="preserve">
MPSB/Str/1752
MPSB/Sur/1574</t>
    </r>
  </si>
  <si>
    <t>2-Jul-25
2-Jul-25
2-Jul-25
24-Jul-25</t>
  </si>
  <si>
    <t>P18 - 12th Lift</t>
  </si>
  <si>
    <r>
      <t xml:space="preserve">MPSB/Str/1753
</t>
    </r>
    <r>
      <rPr>
        <sz val="12"/>
        <rFont val="Calibri"/>
        <family val="2"/>
        <scheme val="minor"/>
      </rPr>
      <t>MPSB/Sur/1484</t>
    </r>
    <r>
      <rPr>
        <sz val="12"/>
        <color theme="1"/>
        <rFont val="Calibri"/>
        <family val="2"/>
        <scheme val="minor"/>
      </rPr>
      <t xml:space="preserve">
MPSB/Str/1754</t>
    </r>
  </si>
  <si>
    <t>3-Jul-25
3-Jul-25
3-Jul-25</t>
  </si>
  <si>
    <t>P16 - 12th Lift</t>
  </si>
  <si>
    <t>MPSB/Str/1760
MPSB/Sur/1490
MPSB/Str/1761
MPSB/Sur/1582</t>
  </si>
  <si>
    <t>4-Jul-25
4-Jul-25
4-Jul-25
25-Jul-25</t>
  </si>
  <si>
    <t>P29 - 12th Lift</t>
  </si>
  <si>
    <t>MPSB/Str/2101
MPSB/Sur/1737
MPSB/Str/2102</t>
  </si>
  <si>
    <t>28-Aug-25
28-Aug-25
28-Aug-25</t>
  </si>
  <si>
    <t>P17 - 12th Lift</t>
  </si>
  <si>
    <t>MPSB/Str/2024
MPSB/Sur/1687
MPSB/Str/2025</t>
  </si>
  <si>
    <t>12-Aug-25
12-Aug-25
12-Aug-25</t>
  </si>
  <si>
    <t>P24 - 12th Lift</t>
  </si>
  <si>
    <t>MPSB/Str/2126
MPSB/Sur/1757
MPSB/Str/2127</t>
  </si>
  <si>
    <t>31-Aug-25
31-Aug-25
31-Aug-25</t>
  </si>
  <si>
    <t>P7 - 12th Lift</t>
  </si>
  <si>
    <t>MPSB/Str/2166
MPSB/Sur/1782
MPSB/Str/2167</t>
  </si>
  <si>
    <t>6-Sep-25
6-Sep-25
6-Sep-25</t>
  </si>
  <si>
    <t>P9 - 12th Lift</t>
  </si>
  <si>
    <t>MPSB/Str/2348
MPSB/Sur/1886
MPSB/Str/2349</t>
  </si>
  <si>
    <t>28-Sep-25
28-Sep-25
28-Sep-25</t>
  </si>
  <si>
    <t>P27 - 12th Lift</t>
  </si>
  <si>
    <t>MPSB/Str/2654
MPSB/Sur/2088
MPSB/Str/2655</t>
  </si>
  <si>
    <t>31-Oct-25
31-Oct-25
31-Oct-25</t>
  </si>
  <si>
    <t>P15 - 12th Lift</t>
  </si>
  <si>
    <t>MPSB/Str/2986
MPSB/Sur/2302
MPSB/Str/2987</t>
  </si>
  <si>
    <t>29-Nov-25
29-Nov-25
29-Nov-25</t>
  </si>
  <si>
    <t>P19 - 12th Lift</t>
  </si>
  <si>
    <t>MPSB/Str/2793
MPSB/Sur/2183
MPSB/Str/2794
MPSB/Sur/2223</t>
  </si>
  <si>
    <t>13-Nov-25
13-Nov-25
13-Nov-25
19-Nov-25</t>
  </si>
  <si>
    <t>P23 - 12th Lift</t>
  </si>
  <si>
    <t>MPSB/Str/3227
MPSB/Sur/2467
MPSB/Str/3228
MPSB/Sur/2487</t>
  </si>
  <si>
    <t>22-Dec-25
22-Dec-25
22-Dec-25
24-Dec-25</t>
  </si>
  <si>
    <t>P21 - 12th Lift</t>
  </si>
  <si>
    <t>MPSB/Str/3640
MPSB/Sur/2757
MPSB/Str/3641
MPSB/Sur/2774</t>
  </si>
  <si>
    <t>24-Jan-26
24-Jan-26
24-Jan-26
25-Jan-26</t>
  </si>
  <si>
    <t>P30 - 12th Lift</t>
  </si>
  <si>
    <t>MPSB/Str/4543
MPSB/Sur/3394
MPSB/Str/4544</t>
  </si>
  <si>
    <t>30-Apr-26
30-Apr-26
30-Apr-26</t>
  </si>
  <si>
    <t>P13 - 12th Lift</t>
  </si>
  <si>
    <t>MPSB/Str/4322
MPSB/Sur/3240
MPSB/Str/4323</t>
  </si>
  <si>
    <t>4-Apr-26
4-Apr-26
4-Apr-26</t>
  </si>
  <si>
    <t>P14(N) - 12th Lift</t>
  </si>
  <si>
    <t>MPSB/Str/4602
MPSB/Sur/3433
MPSB/Str/4603</t>
  </si>
  <si>
    <t>8-May-26
8-May-26
8-May-26</t>
  </si>
  <si>
    <t>P11 - 12th Lift</t>
  </si>
  <si>
    <t>MPSB/Str/4543
MPSB/Sur/3394
MPSB/Str/4544
MPSB/Sur/3435</t>
  </si>
  <si>
    <t>30-Apr-26
30-Apr-26
30-Apr-26
8-May-26</t>
  </si>
  <si>
    <t>P12(A) - 12th Lift</t>
  </si>
  <si>
    <r>
      <t xml:space="preserve">MPSB/Str/1359
</t>
    </r>
    <r>
      <rPr>
        <sz val="12"/>
        <rFont val="Calibri"/>
        <family val="2"/>
        <scheme val="minor"/>
      </rPr>
      <t>MPSB/Sur/1161</t>
    </r>
    <r>
      <rPr>
        <sz val="12"/>
        <color theme="1"/>
        <rFont val="Calibri"/>
        <family val="2"/>
        <scheme val="minor"/>
      </rPr>
      <t xml:space="preserve">
MPSB/Str/1360</t>
    </r>
  </si>
  <si>
    <t>P26 - 13th Lift</t>
  </si>
  <si>
    <r>
      <t xml:space="preserve">MPSB/Str/1521
</t>
    </r>
    <r>
      <rPr>
        <sz val="12"/>
        <rFont val="Calibri"/>
        <family val="2"/>
        <scheme val="minor"/>
      </rPr>
      <t>MPSB/Sur/1307</t>
    </r>
    <r>
      <rPr>
        <sz val="12"/>
        <color theme="1"/>
        <rFont val="Calibri"/>
        <family val="2"/>
        <scheme val="minor"/>
      </rPr>
      <t xml:space="preserve">
MPSB/Str/1522</t>
    </r>
  </si>
  <si>
    <t>19-May-25
19-May-25
19-May-25</t>
  </si>
  <si>
    <t>P6 - 13th Lift</t>
  </si>
  <si>
    <t>MPSB/Str/1674
MPSB/Str/1675
MPSB/Sur/1462</t>
  </si>
  <si>
    <t>17-Jun-25
17-Jun-25
27-Jun-25</t>
  </si>
  <si>
    <t>P10 - 13th Lift</t>
  </si>
  <si>
    <r>
      <t xml:space="preserve">MPSB/Str/1690
</t>
    </r>
    <r>
      <rPr>
        <sz val="12"/>
        <rFont val="Calibri"/>
        <family val="2"/>
        <scheme val="minor"/>
      </rPr>
      <t>MPSB/Sur/1448</t>
    </r>
    <r>
      <rPr>
        <sz val="12"/>
        <color theme="1"/>
        <rFont val="Calibri"/>
        <family val="2"/>
        <scheme val="minor"/>
      </rPr>
      <t xml:space="preserve">
MPSB/Str/1691</t>
    </r>
  </si>
  <si>
    <t>21-Jun-25
21-Jun-25
21-Jun-25</t>
  </si>
  <si>
    <t>P20 - 13th Lift</t>
  </si>
  <si>
    <t>MPSB/Sur/1360
MPSB/Str/1662
MPSB/Str/1663</t>
  </si>
  <si>
    <t>27-May-25
14-Jun-25
14-Jun-25</t>
  </si>
  <si>
    <t>P22 - 13th Lift</t>
  </si>
  <si>
    <r>
      <t xml:space="preserve">MPSB/Str/1765
</t>
    </r>
    <r>
      <rPr>
        <sz val="12"/>
        <rFont val="Calibri"/>
        <family val="2"/>
        <scheme val="minor"/>
      </rPr>
      <t>MPSB/Sur/1494</t>
    </r>
    <r>
      <rPr>
        <sz val="12"/>
        <color theme="1"/>
        <rFont val="Calibri"/>
        <family val="2"/>
        <scheme val="minor"/>
      </rPr>
      <t xml:space="preserve">
MPSB/Str/1766
MPSB/Sur/1562</t>
    </r>
  </si>
  <si>
    <t>5-Jul-25
5-Jul-25
5-Jul-25
22-Jul-25</t>
  </si>
  <si>
    <t>P8 - 13th Lift</t>
  </si>
  <si>
    <r>
      <t xml:space="preserve">MPSB/Str/1784
</t>
    </r>
    <r>
      <rPr>
        <sz val="12"/>
        <rFont val="Calibri"/>
        <family val="2"/>
        <scheme val="minor"/>
      </rPr>
      <t>MPSB/Sur/1505</t>
    </r>
    <r>
      <rPr>
        <sz val="12"/>
        <color theme="1"/>
        <rFont val="Calibri"/>
        <family val="2"/>
        <scheme val="minor"/>
      </rPr>
      <t xml:space="preserve">
MPSB/Str/1785
MPSB/Sur/1574</t>
    </r>
  </si>
  <si>
    <t>9-Jul-25
9-Jul-25
9-Jul-25
24-Jul-25</t>
  </si>
  <si>
    <t>P18 - 13th Lift</t>
  </si>
  <si>
    <r>
      <t xml:space="preserve">MPSB/Str/1883
</t>
    </r>
    <r>
      <rPr>
        <sz val="12"/>
        <rFont val="Calibri"/>
        <family val="2"/>
        <scheme val="minor"/>
      </rPr>
      <t>MPSB/Sur/1577</t>
    </r>
    <r>
      <rPr>
        <sz val="12"/>
        <color theme="1"/>
        <rFont val="Calibri"/>
        <family val="2"/>
        <scheme val="minor"/>
      </rPr>
      <t xml:space="preserve">
MPSB/Str/1884</t>
    </r>
  </si>
  <si>
    <t>25-Jul-25
25-Jul-25
25-Jul-25</t>
  </si>
  <si>
    <t>P16 - 13th Lift</t>
  </si>
  <si>
    <t>MPSB/Str/2008
MPSB/Sur/1666
MPSB/Str/2009
MPSB/Sur/1723</t>
  </si>
  <si>
    <t>9-Aug-25
9-Aug-25
9-Aug-25
23-Aug-25</t>
  </si>
  <si>
    <t>P28 - 13th Lift</t>
  </si>
  <si>
    <t>MPSB/Str/2114
MPSB/Sur/1748
MPSB/Str/2115</t>
  </si>
  <si>
    <t>30-Aug-25
30-Aug-25
30-Aug-25</t>
  </si>
  <si>
    <t>P29 - 13th Lift</t>
  </si>
  <si>
    <t>MPSB/Str/2229
MPSB/Sur/1822
MPSB/Str/2230
MPSB/Sur/1869</t>
  </si>
  <si>
    <t>13-Sep-25
13-Sep-25
13-Sep-25
24-Sep-25</t>
  </si>
  <si>
    <t>P7 - 13th Lift</t>
  </si>
  <si>
    <t>MPSB/Str/2288
MPSB/Sur/1854
MPSB/Str/2289</t>
  </si>
  <si>
    <t>22-Sep-25
22-Sep-25
22-Sep-25</t>
  </si>
  <si>
    <t>P9 - 13th Lift</t>
  </si>
  <si>
    <t>MPSB/Str/2220
MPSB/Sur/1813
MPSB/Str/2221
MPSB/Sur/1837</t>
  </si>
  <si>
    <t>12-Sep-25
12-Sep-25
12-Sep-25
19-Sep-25</t>
  </si>
  <si>
    <t>P17 - 13th Lift</t>
  </si>
  <si>
    <t>MPSB/Str/2193
MPSB/Sur/1797
MPSB/Str/2194
MPSB/Sur/1824</t>
  </si>
  <si>
    <t>9-Sep-25
9-Sep-25
9-Sep-25
15-Sep-25</t>
  </si>
  <si>
    <t>P25 - 13th Lift</t>
  </si>
  <si>
    <t>MPSB/Str/2483
MPSB/Sur/1989
MPSB/Str/2484
MPSB/Sur/2051</t>
  </si>
  <si>
    <t>15-Oct-25
15-Oct-25
15-Oct-25
26-Oct-25</t>
  </si>
  <si>
    <t>P24 - 13th Lift</t>
  </si>
  <si>
    <t>MPSB/Str/2481
MPSB/Sur/1988
MPSB/Str/2482
MPSB/Sur/2042</t>
  </si>
  <si>
    <t>15-Oct-25
15-Oct-25
15-Oct-25
25-Oct-25</t>
  </si>
  <si>
    <t>P27 - 13th Lift</t>
  </si>
  <si>
    <t>MPSB/Str/2921
MPSB/Sur/2264
MPSB/Str/2922</t>
  </si>
  <si>
    <t>25-Nov-25
25-Nov-25
25-Nov-25</t>
  </si>
  <si>
    <t>P23 - 13th Lift</t>
  </si>
  <si>
    <t>MPSB/Str/3094
MPSB/Sur/2378
MPSB/Str/3095</t>
  </si>
  <si>
    <t>P15 - 13th Lift</t>
  </si>
  <si>
    <t>MPSB/Str/3148
MPSB/Sur/2417
MPSB/Str/3149
MPSB/Sur/2454</t>
  </si>
  <si>
    <t>15-Dec-25
15-Dec-25
15-Dec-25
20-Dec-25</t>
  </si>
  <si>
    <t>P19 - 13th Lift</t>
  </si>
  <si>
    <t>MPSB/Str/3323
MPSB/Sur/2533
MPSB/Str/3324</t>
  </si>
  <si>
    <t>29-Dec-25
29-Dec-25
29-Dec-25</t>
  </si>
  <si>
    <t>P21 - 13th Lift</t>
  </si>
  <si>
    <t>MPSB/Str/3653
MPSB/Sur/2778
MPSB/Str/3654
MPSB/Sur/2801</t>
  </si>
  <si>
    <t>27-Jan-26
27-Jan-26
27-Jan-26
30-Jan-26</t>
  </si>
  <si>
    <t>P30 - 13th Lift</t>
  </si>
  <si>
    <t>MPSB/Str/4395
MPSB/Sur/3295
MPSB/Str/4394</t>
  </si>
  <si>
    <t>13-Apr-26
13-Apr-26
13-Apr-26</t>
  </si>
  <si>
    <t>P14(N) - 13th Lift</t>
  </si>
  <si>
    <t>MPSB/Str/4684
MPSB/Sur/3480
MPSB/Str/4685</t>
  </si>
  <si>
    <t>15-May-26
15-May-26
15-May-26</t>
  </si>
  <si>
    <t>P11 - 13th Lift</t>
  </si>
  <si>
    <t>MPSB/Str/4764
MPSB/Sur/3536
MPSB/Str/4765</t>
  </si>
  <si>
    <t>23-May-26
23-May-26
23-May-26</t>
  </si>
  <si>
    <t>P13 - 13th Lift</t>
  </si>
  <si>
    <t>MPSB/Str/4716
MPSB/Sur/3501
MPSB/Str/4717</t>
  </si>
  <si>
    <t>18-May-26
18-May-26
18-May-26</t>
  </si>
  <si>
    <t>P12(A) - 13th Lift</t>
  </si>
  <si>
    <r>
      <t xml:space="preserve">MPSB/Str/1582
</t>
    </r>
    <r>
      <rPr>
        <sz val="12"/>
        <rFont val="Calibri"/>
        <family val="2"/>
        <scheme val="minor"/>
      </rPr>
      <t>MPSB/Sur/1364</t>
    </r>
    <r>
      <rPr>
        <sz val="12"/>
        <color theme="1"/>
        <rFont val="Calibri"/>
        <family val="2"/>
        <scheme val="minor"/>
      </rPr>
      <t xml:space="preserve">
MPSB/Str/1583</t>
    </r>
  </si>
  <si>
    <t>27-May-25
27-May-25
27-May-25</t>
  </si>
  <si>
    <t>P6 - 14th Lift</t>
  </si>
  <si>
    <r>
      <t xml:space="preserve">MPSB/Str/1495
</t>
    </r>
    <r>
      <rPr>
        <sz val="12"/>
        <rFont val="Calibri"/>
        <family val="2"/>
        <scheme val="minor"/>
      </rPr>
      <t>MPSB/Sur/1280</t>
    </r>
    <r>
      <rPr>
        <sz val="12"/>
        <color theme="1"/>
        <rFont val="Calibri"/>
        <family val="2"/>
        <scheme val="minor"/>
      </rPr>
      <t xml:space="preserve">
MPSB/Str/1496
MPSB/Sur/1316</t>
    </r>
  </si>
  <si>
    <t>15-May-25
15-May-25
15-May-25
19-May-25</t>
  </si>
  <si>
    <t>P26 - 14th Lift</t>
  </si>
  <si>
    <t>MPSB/Str/1694
MPSB/Sur/1451
MPSB/Str/1695
MPSB/Sur/1462</t>
  </si>
  <si>
    <t>23-Jun-25
23-Jun-25
23-Jun-25
27-Jun-25</t>
  </si>
  <si>
    <t>P10 - 14th Lift</t>
  </si>
  <si>
    <r>
      <t xml:space="preserve">MPSB/Str/1805
</t>
    </r>
    <r>
      <rPr>
        <sz val="12"/>
        <rFont val="Calibri"/>
        <family val="2"/>
        <scheme val="minor"/>
      </rPr>
      <t>MPSB/Sur/1518</t>
    </r>
    <r>
      <rPr>
        <sz val="12"/>
        <color theme="1"/>
        <rFont val="Calibri"/>
        <family val="2"/>
        <scheme val="minor"/>
      </rPr>
      <t xml:space="preserve">
MPSB/Str/1806
MPSB/Sur/1562</t>
    </r>
  </si>
  <si>
    <t>12-Jul-25
12-Jul-25
12-Jul-25
22-Jul-25</t>
  </si>
  <si>
    <t>P8 - 14th Lift</t>
  </si>
  <si>
    <r>
      <t xml:space="preserve">MPSB/Str/1815
</t>
    </r>
    <r>
      <rPr>
        <sz val="12"/>
        <rFont val="Calibri"/>
        <family val="2"/>
        <scheme val="minor"/>
      </rPr>
      <t>MPSB/Sur/1529</t>
    </r>
    <r>
      <rPr>
        <sz val="12"/>
        <color theme="1"/>
        <rFont val="Calibri"/>
        <family val="2"/>
        <scheme val="minor"/>
      </rPr>
      <t xml:space="preserve">
MPSB/Str/1816</t>
    </r>
  </si>
  <si>
    <t>15-Jul-25
15-Jul-25
15-Jul-25</t>
  </si>
  <si>
    <t>P18 - 14th Lift</t>
  </si>
  <si>
    <r>
      <t xml:space="preserve">MPSB/Str/1889
</t>
    </r>
    <r>
      <rPr>
        <sz val="12"/>
        <rFont val="Calibri"/>
        <family val="2"/>
        <scheme val="minor"/>
      </rPr>
      <t>MPSB/Sur/1583</t>
    </r>
    <r>
      <rPr>
        <sz val="12"/>
        <color theme="1"/>
        <rFont val="Calibri"/>
        <family val="2"/>
        <scheme val="minor"/>
      </rPr>
      <t xml:space="preserve">
MPSB/Str/1915</t>
    </r>
  </si>
  <si>
    <t>25-Jul-25
25-Jul-25
28-Jul-25</t>
  </si>
  <si>
    <t>P22 - 14th Lift</t>
  </si>
  <si>
    <t>MPSB/Str/1970
MPSB/Sur/1643
MPSB/Str/1971
MPSB/Sur/1732</t>
  </si>
  <si>
    <t>4-Aug-25
4-Aug-25
4-Aug-25
26-Aug-25</t>
  </si>
  <si>
    <t>P16 - 14th Lift</t>
  </si>
  <si>
    <t>MPSB/Str/2038
MPSB/Sur/1697
MPSB/Str/2039
MPSB/Sur/1723</t>
  </si>
  <si>
    <t>18-Aug-25
18-Aug-25
18-Aug-25
23-Aug-25</t>
  </si>
  <si>
    <t>P28 - 14th Lift</t>
  </si>
  <si>
    <t>MPSB/Str/2378
MPSB/Sur/1907
MPSB/Str/2379</t>
  </si>
  <si>
    <t>P9 - 14th Lift</t>
  </si>
  <si>
    <t>MPSB/Str/2365
MPSB/Sur/1894
MPSB/Str/2366</t>
  </si>
  <si>
    <t>P17 - 14th Lift</t>
  </si>
  <si>
    <t>MPSB/Str/2350
MPSB/Sur/1887
MPSB/Str/2351</t>
  </si>
  <si>
    <t>29-Sep-25
29-Sep-25
29-Sep-25</t>
  </si>
  <si>
    <t>P25 - 14th Lift</t>
  </si>
  <si>
    <t>MPSB/Str/2280
MPSB/Sur/1846
MPSB/Str/2281</t>
  </si>
  <si>
    <t>20-Sep-25
20-Sep-25
20-Sep-25</t>
  </si>
  <si>
    <t>P29 - 14th Lift</t>
  </si>
  <si>
    <t>MPSB/Str/2461
MPSB/Sur/1975
MPSB/Str/2462</t>
  </si>
  <si>
    <t>13-Oct-25
13-Oct-25
13-Oct-25</t>
  </si>
  <si>
    <t>P7 - 14th Lift</t>
  </si>
  <si>
    <t>MPSB/Str/2402
MPSB/Sur/1923
MPSB/Str/2403
MPSB/Sur/1962</t>
  </si>
  <si>
    <t>06-Oct-25
06-Oct-25
06-Oct-25
10-Oct-25</t>
  </si>
  <si>
    <t>P20 - 14th Lift</t>
  </si>
  <si>
    <t>MPSB/Str/2537
MPSB/Sur/2017
MPSB/Str/2538
MPSB/Sur/2051</t>
  </si>
  <si>
    <t>20-Oct-25
20-Oct-25
20-Oct-25
26-Oct-25</t>
  </si>
  <si>
    <t>P24 - 14th Lift</t>
  </si>
  <si>
    <t>MPSB/Str/2706
MPSB/Sur/2128
MPSB/Str/2707
MPSB/Sur/2185</t>
  </si>
  <si>
    <t>05-Nov-25
05-Nov-25
05-Nov-25
13-Nov-25</t>
  </si>
  <si>
    <t>P27 - 14th Lift</t>
  </si>
  <si>
    <t>MPSB/Str/3194
MPSB/Sur/2446
MPSB/Str/3195</t>
  </si>
  <si>
    <t>19-Dec-25
19-Dec-25
19-Dec-25</t>
  </si>
  <si>
    <t>P15 - 14th Lift</t>
  </si>
  <si>
    <t>MPSB/Str/3261
MPSB/Sur/2488
MPSB/Str/3262
MPSB/Sur/2504</t>
  </si>
  <si>
    <t>24-Dec-25
24-Dec-25
24-Dec-25
26-Dec-25</t>
  </si>
  <si>
    <t>P19 - 14th Lift</t>
  </si>
  <si>
    <t>MPSB/Str/3087
MPSB/Sur/2369
MPSB/Str/3088
MPSB/Sur/2401</t>
  </si>
  <si>
    <t>8-Dec-25
8-Dec-25
8-Dec-25
12-Dec-25</t>
  </si>
  <si>
    <t>P23 - 14th Lift</t>
  </si>
  <si>
    <t>MPSB/Str/3438
MPSB/Sur/2618
MPSB/Str/3439
MPSB/Sur/2650</t>
  </si>
  <si>
    <t>6-Jan-26
6-Jan-26
6-Jan-26
11-Jan-26</t>
  </si>
  <si>
    <t>P21 - 14th Lift</t>
  </si>
  <si>
    <t>MPSB/Str/3732
MPSB/Sur/2826
MPSB/Str/3733</t>
  </si>
  <si>
    <t>P30 - 14th Lift</t>
  </si>
  <si>
    <t>MPSB/Str/4455
MPSB/Sur/3333
MPSB/Str/4456</t>
  </si>
  <si>
    <t>21-Apr-26
21-Apr-26
21-Apr-26</t>
  </si>
  <si>
    <t>P14(N) - 14th Lift</t>
  </si>
  <si>
    <t>MPSB/Str/4874
MPSB/Sur/3614
MPSB/Str/4875</t>
  </si>
  <si>
    <t>6-Jun-26
6-Jun-26
6-Jun-26</t>
  </si>
  <si>
    <t>P12(A) - 14th Lift</t>
  </si>
  <si>
    <t>MPSB/Str/4896
MPSB/Sur/3640
MPSB/Str/4897</t>
  </si>
  <si>
    <t>12-Jun-26
12-Jun-26
12-Jun-26</t>
  </si>
  <si>
    <t>P11 - 14th Lift</t>
  </si>
  <si>
    <t>MPSB/Str/4943
MPSB/Sur/3664
MPSB/Str/4944</t>
  </si>
  <si>
    <t>18-Jun-26
18-Jun-26
18-Jun-26</t>
  </si>
  <si>
    <t>P13 - 14th Lift</t>
  </si>
  <si>
    <r>
      <t xml:space="preserve">MPSB/Str/1550
</t>
    </r>
    <r>
      <rPr>
        <sz val="12"/>
        <rFont val="Calibri"/>
        <family val="2"/>
        <scheme val="minor"/>
      </rPr>
      <t>MPSB/Sur/1332</t>
    </r>
    <r>
      <rPr>
        <sz val="12"/>
        <color theme="1"/>
        <rFont val="Calibri"/>
        <family val="2"/>
        <scheme val="minor"/>
      </rPr>
      <t xml:space="preserve">
MPSB/Str/1551
MPSB/Sur/1359</t>
    </r>
  </si>
  <si>
    <t>P26 - 15th Lift</t>
  </si>
  <si>
    <r>
      <t xml:space="preserve">MPSB/Str/1705
</t>
    </r>
    <r>
      <rPr>
        <sz val="12"/>
        <rFont val="Calibri"/>
        <family val="2"/>
        <scheme val="minor"/>
      </rPr>
      <t>MPSB/Sur/1458</t>
    </r>
    <r>
      <rPr>
        <sz val="12"/>
        <color theme="1"/>
        <rFont val="Calibri"/>
        <family val="2"/>
        <scheme val="minor"/>
      </rPr>
      <t xml:space="preserve">
MPSB/Str/1706</t>
    </r>
  </si>
  <si>
    <t>26-Jun-25
26-Jun-25
26-Jun-25</t>
  </si>
  <si>
    <t>P6 - 15th Lift</t>
  </si>
  <si>
    <r>
      <t xml:space="preserve">MPSB/Str/1720
</t>
    </r>
    <r>
      <rPr>
        <sz val="12"/>
        <rFont val="Calibri"/>
        <family val="2"/>
        <scheme val="minor"/>
      </rPr>
      <t>MPSB/Sur/1466</t>
    </r>
    <r>
      <rPr>
        <sz val="12"/>
        <color theme="1"/>
        <rFont val="Calibri"/>
        <family val="2"/>
        <scheme val="minor"/>
      </rPr>
      <t xml:space="preserve">
MPSB/Str/1721</t>
    </r>
  </si>
  <si>
    <t>28-Jun-25
28-Jun-25
28-Jun-25</t>
  </si>
  <si>
    <t>P10 - 15th Lift</t>
  </si>
  <si>
    <t>MPSB/Str/1968
MPSB/Sur/1642
MPSB/Str/1969
MPSB/Sur/1710</t>
  </si>
  <si>
    <t>3-Aug-25
3-Aug-25
3-Aug-25
21-Aug-25</t>
  </si>
  <si>
    <t>P8 - 15th Lift</t>
  </si>
  <si>
    <t>MPSB/Str/2094
MPSB/Sur/1735
MPSB/Str/2095</t>
  </si>
  <si>
    <t>27-Aug-25
27-Aug-25
27-Aug-25</t>
  </si>
  <si>
    <t>P16 - 15th Lift</t>
  </si>
  <si>
    <t>MPSB/Str/1928
MPSB/Sur/1614
MPSB/Str/1929
MPSB/Sur/1677</t>
  </si>
  <si>
    <t>31-Jul-25
31-Jul-25
31-Jul-25
11-Aug-25</t>
  </si>
  <si>
    <t>P18 - 15th Lift</t>
  </si>
  <si>
    <t>MPSB/Str/2103
MPSB/Sur/1738
MPSB/Str/2104</t>
  </si>
  <si>
    <t>P22 - 15th Lift</t>
  </si>
  <si>
    <t>MPSB/Str/2175
MPSB/Sur/1785
MPSB/Str/2176
MPSB/Sur/1810</t>
  </si>
  <si>
    <t>7-Sep-25
7-Sep-25
7-Sep-25
11-Sep-25</t>
  </si>
  <si>
    <t>P28 - 15th Lift</t>
  </si>
  <si>
    <t>MPSB/Str/2569
MPSB/Sur/2037
MPSB/Str/2570</t>
  </si>
  <si>
    <t>24-Oct-25
24-Oct-25
24-Oct-25</t>
  </si>
  <si>
    <t>P7 - 15th Lift</t>
  </si>
  <si>
    <t>MPSB/Str/2664
MPSB/Sur/2096
MPSB/Str/2665</t>
  </si>
  <si>
    <t>P9 - 15th Lift</t>
  </si>
  <si>
    <t>MPSB/Str/2512
MPSB/Sur/2005
MPSB/Str/2513</t>
  </si>
  <si>
    <t>18-Oct-25
18-Oct-25
18-Oct-25</t>
  </si>
  <si>
    <t>P17 - 15th Lift</t>
  </si>
  <si>
    <t>MPSB/Str/2518
MPSB/Sur/2008
MPSB/Str/2519
MPSB/Sur/2031</t>
  </si>
  <si>
    <t>18-Oct-25
18-Oct-25
18-Oct-25
23-Oct-25</t>
  </si>
  <si>
    <t>P20 - 15th Lift</t>
  </si>
  <si>
    <t>MPSB/Str/2488
MPSB/Sur/1991
MPSB/Str/2489
MPSB/Sur/2029</t>
  </si>
  <si>
    <t>16-Oct-25
16-Oct-25
16-Oct-25
23-Oct-25</t>
  </si>
  <si>
    <t>P25 - 15th Lift</t>
  </si>
  <si>
    <t>MPSB/Str/2413
MPSB/Sur/1935
MPSB/Str/2414
MPSB/Sur/1974</t>
  </si>
  <si>
    <t>07-Oct-25
07-Oct-25
07-Oct-25
13-Oct-25</t>
  </si>
  <si>
    <t>P29 - 15th Lift</t>
  </si>
  <si>
    <t>MPSB/Str/2709
MPSB/Sur/2134
MPSB/Str/2710</t>
  </si>
  <si>
    <t>06-Nov-25
06-Nov-25
06-Nov-25</t>
  </si>
  <si>
    <t>P24 - 15th Lift</t>
  </si>
  <si>
    <t>MPSB/Str/2871
MPSB/Sur/2239
MPSB/Str/2872
MPSB/Sur/2260</t>
  </si>
  <si>
    <t>20-Nov-25
20-Nov-25
20-Nov-25
24-Nov-25</t>
  </si>
  <si>
    <t>P27 - 15th Lift</t>
  </si>
  <si>
    <t>MPSB/Str/3317
MPSB/Sur/2529
MPSB/Str/3318</t>
  </si>
  <si>
    <t>P15 - 15th Lift</t>
  </si>
  <si>
    <t>MPSB/Str/3352
MPSB/Sur/2554
MPSB/Str/3353</t>
  </si>
  <si>
    <t>P19 - 15th Lift</t>
  </si>
  <si>
    <t>MPSB/Str/3177
MPSB/Sur/2431
MPSB/Str/3203
MPSB/Sur/2474</t>
  </si>
  <si>
    <t>17-Dec-25
17-Dec-25
19-Dec-25
23-Dec-25</t>
  </si>
  <si>
    <t>P23 - 15th Lift</t>
  </si>
  <si>
    <t>MPSB/Str/3521
MPSB/Sur/2677
MPSB/Str/3522
MPSB/Sur/2713</t>
  </si>
  <si>
    <t>14-Jan-26
14-Jan-26
14-Jan-26
19-Jan-26</t>
  </si>
  <si>
    <t>P21 - 15th Lift</t>
  </si>
  <si>
    <t>MPSB/Str/3834
MPSB/Sur/2914
MPSB/Str/3835
MPSB/Sur/2936</t>
  </si>
  <si>
    <t>11-Feb-26
11-Feb-26
11-Feb-26
15-Feb-26</t>
  </si>
  <si>
    <t>P30 - 15th Lift</t>
  </si>
  <si>
    <t>MPSB/Str/4666
MPSB/Sur/3474
MPSB/Str/4667</t>
  </si>
  <si>
    <t>13-May-26
13-May-26
13-May-26</t>
  </si>
  <si>
    <t>P14(N) - 15th Lift</t>
  </si>
  <si>
    <t>MPSB/Str/4978
MPSB/Sur/3676
MPSB/Str/4979</t>
  </si>
  <si>
    <t>22-Jun-26
22-Jun-26
22-Jun-26</t>
  </si>
  <si>
    <t>P12(A) - 15th Lift</t>
  </si>
  <si>
    <t>MPSB/Str/5002
MPSB/Sur/3690
MPSB/Str/5003</t>
  </si>
  <si>
    <t>25-Jun-26
25-Jun-26
25-Jun-26</t>
  </si>
  <si>
    <t>P11 - 15th Lift</t>
  </si>
  <si>
    <r>
      <t xml:space="preserve">MPSB/Str/1732
</t>
    </r>
    <r>
      <rPr>
        <sz val="12"/>
        <rFont val="Calibri"/>
        <family val="2"/>
        <scheme val="minor"/>
      </rPr>
      <t>MPSB/Sur/1473</t>
    </r>
    <r>
      <rPr>
        <sz val="12"/>
        <color theme="1"/>
        <rFont val="Calibri"/>
        <family val="2"/>
        <scheme val="minor"/>
      </rPr>
      <t xml:space="preserve">
MPSB/Str/1733</t>
    </r>
  </si>
  <si>
    <t>29-Jun-25
29-Jun-25
29-Jun-25</t>
  </si>
  <si>
    <t>P6 - 16th Lift</t>
  </si>
  <si>
    <r>
      <t xml:space="preserve">MPSB/Str/1728
</t>
    </r>
    <r>
      <rPr>
        <sz val="12"/>
        <rFont val="Calibri"/>
        <family val="2"/>
        <scheme val="minor"/>
      </rPr>
      <t>MPSB/Sur/1472</t>
    </r>
    <r>
      <rPr>
        <sz val="12"/>
        <color theme="1"/>
        <rFont val="Calibri"/>
        <family val="2"/>
        <scheme val="minor"/>
      </rPr>
      <t xml:space="preserve">
MPSB/Str/1729</t>
    </r>
  </si>
  <si>
    <t>P26 - 16th Lift</t>
  </si>
  <si>
    <r>
      <t xml:space="preserve">MPSB/Str/1807
</t>
    </r>
    <r>
      <rPr>
        <sz val="12"/>
        <rFont val="Calibri"/>
        <family val="2"/>
        <scheme val="minor"/>
      </rPr>
      <t>MPSB/Sur/1519</t>
    </r>
    <r>
      <rPr>
        <sz val="12"/>
        <color theme="1"/>
        <rFont val="Calibri"/>
        <family val="2"/>
        <scheme val="minor"/>
      </rPr>
      <t xml:space="preserve">
MPSB/Str/1808
MPSB/Sur/1550</t>
    </r>
  </si>
  <si>
    <t>14-Jul-25
14-Jul-25
14-Jul-25
19-Jul-25</t>
  </si>
  <si>
    <t>P10 - 16th Lift</t>
  </si>
  <si>
    <t>MPSB/Str/2047
MPSB/Sur/1700
MPSB/Str/2048
MPSB/Sur/1710</t>
  </si>
  <si>
    <t>18-Aug-25
18-Aug-25
18-Aug-25
21-Aug-25</t>
  </si>
  <si>
    <t>P8 - 16th Lift</t>
  </si>
  <si>
    <t>MPSB/Str/1996
MPSB/Sur/1658
MPSB/Str/1997
MPSB/Sur/1677</t>
  </si>
  <si>
    <t>7-Aug-25
7-Aug-25
7-Aug-25
11-Aug-25</t>
  </si>
  <si>
    <t>P18 - 16th Lift</t>
  </si>
  <si>
    <t>MPSB/Str/2147
MPSB/Sur/1766
MPSB/Str/2148
MPSB/Sur/1788</t>
  </si>
  <si>
    <t>4-Sep-25
4-Sep-25
4-Sep-25
8-Sep-25</t>
  </si>
  <si>
    <t>P16 - 16th Lift</t>
  </si>
  <si>
    <t>MPSB/Str/2356
MPSB/Sur/1890
MPSB/Str/2357</t>
  </si>
  <si>
    <t>P22 - 16th Lift</t>
  </si>
  <si>
    <t>MPSB/Str/2292
MPSB/Sur/1856
MPSB/Str/2315</t>
  </si>
  <si>
    <t>22-Sep-25
22-Sep-25
25-Sep-25</t>
  </si>
  <si>
    <t>P28 - 16th Lift</t>
  </si>
  <si>
    <t>MPSB/Str/2611
MPSB/Sur/2062
MPSB/Str/2612</t>
  </si>
  <si>
    <t>28-Oct-25
28-Oct-25
28-Oct-25</t>
  </si>
  <si>
    <t>P17 - 16th Lift</t>
  </si>
  <si>
    <t>MPSB/Str/2628
MPSB/Sur/2069
MPSB/Str/2629</t>
  </si>
  <si>
    <t>30-Oct-25
30-Oct-25
30-Oct-25</t>
  </si>
  <si>
    <t>P20 - 16th Lift</t>
  </si>
  <si>
    <t>MPSB/Str/2619
MPSB/Sur/2066
MPSB/Str/2620</t>
  </si>
  <si>
    <t>29-Oct-25
29-Oct-25
29-Oct-25</t>
  </si>
  <si>
    <t>P25 - 16th Lift</t>
  </si>
  <si>
    <t>MPSB/Str/2586
MPSB/Sur/2049
MPSB/Str/2587</t>
  </si>
  <si>
    <t>25-Oct-25
25-Oct-25
25-Oct-25</t>
  </si>
  <si>
    <t>P29 - 16th Lift</t>
  </si>
  <si>
    <t>MPSB/Str/2867
MPSB/Sur/2232
MPSB/Str/2868</t>
  </si>
  <si>
    <t>20-Nov-25
20-Nov-25
20-Nov-25</t>
  </si>
  <si>
    <t>P7 - 16th Lift</t>
  </si>
  <si>
    <t>MPSB/Str/2777
MPSB/Sur/2176
MPSB/Str/2778</t>
  </si>
  <si>
    <t>12-Nov-25
12-Nov-25
12-Nov-25</t>
  </si>
  <si>
    <t>P9 - 16th Lift</t>
  </si>
  <si>
    <t>MPSB/Str/2923
MPSB/Sur/2265
MPSB/Str/2924</t>
  </si>
  <si>
    <t>P24 - 16th Lift</t>
  </si>
  <si>
    <t>MPSB/Str/3003
MPSB/Sur/2316
MPSB/Str/3004</t>
  </si>
  <si>
    <t>P27 - 16th Lift</t>
  </si>
  <si>
    <t>MPSB/Str/3284
MPSB/Sur/2506
MPSB/Str/3285</t>
  </si>
  <si>
    <t>26-Dec-25
26-Dec-25
26-Dec-25</t>
  </si>
  <si>
    <t>P23 - 16th Lift</t>
  </si>
  <si>
    <t>MPSB/Str/3444
MPSB/Sur/2620
MPSB/Str/3445</t>
  </si>
  <si>
    <t>7-Jan-26
7-Jan-26
7-Jan-26</t>
  </si>
  <si>
    <t>P15 - 16th Lift</t>
  </si>
  <si>
    <t>MPSB/Str/3475
MPSB/Sur/2641
MPSB/Str/3476
MPSB/Sur/2668</t>
  </si>
  <si>
    <t>9-Jan-26
9-Jan-26
9-Jan-26
13-Jan-26</t>
  </si>
  <si>
    <t>P19 - 16th Lift</t>
  </si>
  <si>
    <t>MPSB/Str/3617
MPSB/Sur/2746
MPSB/Str/3618
MPSB/Sur/2772</t>
  </si>
  <si>
    <t>23-Jan-26
23-Jan-26
23-Jan-26
25-Jan-26</t>
  </si>
  <si>
    <t>P21 - 16th Lift</t>
  </si>
  <si>
    <t>MPSB/Str/3955
MPSB/Sur/3008
MPSB/Str/3956</t>
  </si>
  <si>
    <t>26-Feb-26
26-Feb-26
26-Feb-26</t>
  </si>
  <si>
    <t>P30 - 16th Lift</t>
  </si>
  <si>
    <t>MPSB/Str/4779
MPSB/Sur/3545
MPSB/Str/4780</t>
  </si>
  <si>
    <t>25-May-26
25-May-26
25-May-26</t>
  </si>
  <si>
    <t>P14(N) - 16th Lift</t>
  </si>
  <si>
    <r>
      <t xml:space="preserve">MPSB/Str/1857
</t>
    </r>
    <r>
      <rPr>
        <sz val="12"/>
        <rFont val="Calibri"/>
        <family val="2"/>
        <scheme val="minor"/>
      </rPr>
      <t>MPSB/Sur/1557</t>
    </r>
    <r>
      <rPr>
        <sz val="12"/>
        <color theme="1"/>
        <rFont val="Calibri"/>
        <family val="2"/>
        <scheme val="minor"/>
      </rPr>
      <t xml:space="preserve">
MPSB/Str/1858
MPSB/Sur/1628</t>
    </r>
  </si>
  <si>
    <t>21-Jul-25
21-Jul-25
21-Jul-25
31-Jul-25</t>
  </si>
  <si>
    <t>P26 - 17th Lift</t>
  </si>
  <si>
    <r>
      <t xml:space="preserve">MPSB/Str/1902
</t>
    </r>
    <r>
      <rPr>
        <sz val="12"/>
        <rFont val="Calibri"/>
        <family val="2"/>
        <scheme val="minor"/>
      </rPr>
      <t>MPSB/Sur/1594</t>
    </r>
    <r>
      <rPr>
        <sz val="12"/>
        <color theme="1"/>
        <rFont val="Calibri"/>
        <family val="2"/>
        <scheme val="minor"/>
      </rPr>
      <t xml:space="preserve">
MPSB/Str/1903</t>
    </r>
  </si>
  <si>
    <t>27-Jul-25
27-Jul-25
27-Jul-25</t>
  </si>
  <si>
    <t>P6 - 17th Lift</t>
  </si>
  <si>
    <r>
      <t xml:space="preserve">MPSB/Str/1930
</t>
    </r>
    <r>
      <rPr>
        <sz val="12"/>
        <rFont val="Calibri"/>
        <family val="2"/>
        <scheme val="minor"/>
      </rPr>
      <t>MPSB/Sur/1615</t>
    </r>
    <r>
      <rPr>
        <sz val="12"/>
        <color theme="1"/>
        <rFont val="Calibri"/>
        <family val="2"/>
        <scheme val="minor"/>
      </rPr>
      <t xml:space="preserve">
MPSB/Str/1931</t>
    </r>
  </si>
  <si>
    <t>31-Jul-25
31-Jul-25
31-Jul-25</t>
  </si>
  <si>
    <t>P10 - 17th Lift</t>
  </si>
  <si>
    <t>MPSB/Str/2107
MPSB/Sur/1745
MPSB/Str/2108</t>
  </si>
  <si>
    <t>29-Aug-25
29-Aug-25
29-Aug-25</t>
  </si>
  <si>
    <t>P18 - 17th Lift</t>
  </si>
  <si>
    <t>MPSB/Str/2190
MPSB/Sur/1796
MPSB/Str/2191</t>
  </si>
  <si>
    <t>9-Sep-25
9-Sep-25
9-Sep-25</t>
  </si>
  <si>
    <t>P8 - 17th Lift</t>
  </si>
  <si>
    <t>MPSB/Str/2290
MPSB/Sur/1855
MPSB/Str/2291</t>
  </si>
  <si>
    <t>P16 - 17th Lift</t>
  </si>
  <si>
    <t>MPSB/Str/2475
MPSB/Sur/1984
MPSB/Str/2476
MPSB/Sur/2010</t>
  </si>
  <si>
    <t>14-Oct-25
14-Oct-25
14-Oct-25
18-Oct-25</t>
  </si>
  <si>
    <t>P22 - 17th Lift</t>
  </si>
  <si>
    <t>MPSB/Str/2442
MPSB/Sur/1960
MPSB/Str/2460
MPSB/Sur/2001</t>
  </si>
  <si>
    <t>10-Oct-25
10-Oct-25
13-Oct-25
17-Oct-25</t>
  </si>
  <si>
    <t>P28 - 17th Lift</t>
  </si>
  <si>
    <t>MPSB/Str/2652
MPSB/Sur/2082
MPSB/Str/2653</t>
  </si>
  <si>
    <t>P29 - 17th Lift</t>
  </si>
  <si>
    <t>MPSB/Str/2938
MPSB/Sur/2278
MPSB/Str/2939</t>
  </si>
  <si>
    <t>P7 - 17th Lift</t>
  </si>
  <si>
    <t>MPSB/Str/2811
MPSB/Sur/2193
MPSB/Str/2812
MPSB/Sur/2215</t>
  </si>
  <si>
    <t>14-Nov-25
14-Nov-25
14-Nov-25
18-Nov-25</t>
  </si>
  <si>
    <t>P20 - 17th Lift</t>
  </si>
  <si>
    <t>MPSB/Str/2749
MPSB/Sur/2161
MPSB/Str/2750
MPSB/Sur/2199</t>
  </si>
  <si>
    <t>09-Nov-25
09-Nov-25
09-Nov-25
15-Nov-25</t>
  </si>
  <si>
    <t>P25 - 17th Lift</t>
  </si>
  <si>
    <t>MPSB/Str/3165
MPSB/Sur/2424
MPSB/Str/3166</t>
  </si>
  <si>
    <t>16-Dec-25
16-Dec-25
16-Dec-25</t>
  </si>
  <si>
    <t>P9 - 17th Lift</t>
  </si>
  <si>
    <t>MPSB/Str/3387
MPSB/Sur/2575
MPSB/Str/3388</t>
  </si>
  <si>
    <t>31-Dec-25
31-Dec-25
31-Dec-25</t>
  </si>
  <si>
    <t>P23 - 17th Lift</t>
  </si>
  <si>
    <t>MPSB/Str/3085
MPSB/Sur/2368
MPSB/Str/3086
MPSB/Sur/2388</t>
  </si>
  <si>
    <t>8-Dec-25
8-Dec-25
8-Dec-25
11-Dec-25</t>
  </si>
  <si>
    <t>P24 - 17th Lift</t>
  </si>
  <si>
    <t>MPSB/Str/3281
MPSB/Sur/2505
MPSB/Str/3325</t>
  </si>
  <si>
    <t>26-Dec-25
26-Dec-25
29-Dec-25</t>
  </si>
  <si>
    <t>P27 - 17th Lift</t>
  </si>
  <si>
    <t>MPSB/Str/3569
MPSB/Sur/2711
MPSB/Str/3570
MPSB/Sur/2767</t>
  </si>
  <si>
    <t>19-Jan-26
19-Jan-26
19-Jan-26
24-Jan-26</t>
  </si>
  <si>
    <t>P17 - 17th Lift</t>
  </si>
  <si>
    <t>MPSB/Str/3545
MPSB/Sur/2697
MPSB/Str/3546
MPSB/Sur/2725</t>
  </si>
  <si>
    <t>16-Jan-26
16-Jan-26
16-Jan-26
20-Jan-26</t>
  </si>
  <si>
    <t>P19 - 17th Lift</t>
  </si>
  <si>
    <t>MPSB/Str/3693
MPSB/Sur/2805
MPSB/Str/3694</t>
  </si>
  <si>
    <t>30-Jan-26
30-Jan-26
30-Jan-26</t>
  </si>
  <si>
    <t>P21 - 17th Lift</t>
  </si>
  <si>
    <t>MPSB/Str/3886
MPSB/Sur/2951
MPSB/Str/3887
MPSB/Sur/2990</t>
  </si>
  <si>
    <t>17-Feb-26
17-Feb-26
17-Feb-26
25-Feb-26</t>
  </si>
  <si>
    <t>P15 - 17th Lift</t>
  </si>
  <si>
    <t>MPSB/Str/4567
MPSB/Sur/3406
MPSB/Str/4568</t>
  </si>
  <si>
    <t>P30 - 17th Lift</t>
  </si>
  <si>
    <t>MPSB/Str/4894
MPSB/Sur/3639
MPSB/Str/4895</t>
  </si>
  <si>
    <t>P14(N) - 17th Lift</t>
  </si>
  <si>
    <t>MPSB/Str/2010
MPSB/Sur/1668
MPSB/Str/2011
MPSB/Sur/1704</t>
  </si>
  <si>
    <t>9-Aug-25
9-Aug-25
9-Aug-25
20-Aug-25</t>
  </si>
  <si>
    <t>P6 - 18th Lift</t>
  </si>
  <si>
    <t>MPSB/Str/1985
MPSB/Sur/1654
MPSB/Str/1986</t>
  </si>
  <si>
    <t>5-Aug-25
5-Aug-25
5-Aug-25</t>
  </si>
  <si>
    <t>P26 - 18th Lift</t>
  </si>
  <si>
    <t>MPSB/Str/2337
MPSB/Sur/1884
MPSB/Str/2338</t>
  </si>
  <si>
    <t>P16 - 18th Lift</t>
  </si>
  <si>
    <t>MPSB/Str/2286
MPSB/Sur/1853
MPSB/Str/2287</t>
  </si>
  <si>
    <t>P8 - 18th Lift</t>
  </si>
  <si>
    <t>MPSB/Str/2159
MPSB/Sur/1777
MPSB/Str/2160</t>
  </si>
  <si>
    <t>P18 - 18th Lift</t>
  </si>
  <si>
    <t>MPSB/Str/2593
MPSB/Sur/2056
MPSB/Str/2594
MPSB/Sur/2072</t>
  </si>
  <si>
    <t>27-Oct-25
27-Oct-25
27-Oct-25
30-Oct-25</t>
  </si>
  <si>
    <t>P22 - 18th Lift</t>
  </si>
  <si>
    <t>MPSB/Str/2632
MPSB/Sur/2070
MPSB/Str/2633</t>
  </si>
  <si>
    <t>P28 - 18th Lift</t>
  </si>
  <si>
    <t>MPSB/Str/2775
MPSB/Sur/2175
MPSB/Str/2776</t>
  </si>
  <si>
    <t>P10 - 18th Lift</t>
  </si>
  <si>
    <t>MPSB/Str/2962
MPSB/Sur/2289
MPSB/Str/2963</t>
  </si>
  <si>
    <t>27-Nov-25
27-Nov-25
27-Nov-25</t>
  </si>
  <si>
    <t>P20 - 18th Lift</t>
  </si>
  <si>
    <t>MPSB/Str/2895
MPSB/Sur/2250
MPSB/Str/2896
MPSB/Sur/2297</t>
  </si>
  <si>
    <t>22-Nov-25
22-Nov-25
22-Nov-25
28-Nov-25</t>
  </si>
  <si>
    <t>P25 - 18th Lift</t>
  </si>
  <si>
    <t>MPSB/Str/2972
MPSB/Sur/2296
MPSB/Str/2973</t>
  </si>
  <si>
    <t>P29 - 18th Lift</t>
  </si>
  <si>
    <t>MPSB/Str/3054
MPSB/Sur/2346
MPSB/Str/3055
MPSB/Sur/2522</t>
  </si>
  <si>
    <t>5-Dec-25
5-Dec-25
5-Dec-25
28-Dec-25</t>
  </si>
  <si>
    <t>P7 - 18th Lift</t>
  </si>
  <si>
    <t>MPSB/Str/3246
MPSB/Sur/2481
MPSB/Str/3247</t>
  </si>
  <si>
    <t>24-Dec-25
24-Dec-25
24-Dec-25</t>
  </si>
  <si>
    <t>P9 - 18th Lift</t>
  </si>
  <si>
    <t>MPSB/Str/3300
MPSB/Sur/2518
MPSB/Str/3301
MPSB/Sur/2577</t>
  </si>
  <si>
    <t>27-Dec-25
27-Dec-25
27-Dec-25
31-Dec-25</t>
  </si>
  <si>
    <t>P24 - 18th Lift</t>
  </si>
  <si>
    <t>MPSB/Str/3642
MPSB/Sur/2758
MPSB/Str/3643
MPSB/Sur/2789</t>
  </si>
  <si>
    <t>24-Jan-26
24-Jan-26
24-Jan-26
28-Jan-26</t>
  </si>
  <si>
    <t>P19 - 18th Lift</t>
  </si>
  <si>
    <t>MPSB/Str/3508
MPSB/Sur/2666
MPSB/Str/3509
MPSB/Sur/2695</t>
  </si>
  <si>
    <t>13-Jan-26
13-Jan-26
13-Jan-26
16-Jan-26</t>
  </si>
  <si>
    <t>P23 - 18th Lift</t>
  </si>
  <si>
    <t>MPSB/Str/3695
MPSB/Sur/2806
MPSB/Str/3696</t>
  </si>
  <si>
    <t>P27 - 18th Lift</t>
  </si>
  <si>
    <t>MPSB/Str/3797
MPSB/Sur/2887
MPSB/Str/3798
MPSB/Sur/3053</t>
  </si>
  <si>
    <t>7-Feb-26
7-Feb-26
7-Feb-26
28-Feb-26</t>
  </si>
  <si>
    <t>P17 - 18th Lift</t>
  </si>
  <si>
    <t>MPSB/Str/3855
MPSB/Sur/2931
MPSB/Str/3856
MPSB/Sur/2999</t>
  </si>
  <si>
    <t>14-Feb-26
14-Feb-26
14-Feb-26
25-Feb-26</t>
  </si>
  <si>
    <t>P21 - 18th Lift</t>
  </si>
  <si>
    <t>MPSB/Str/4091
MPSB/Sur/3105
MPSB/Str/4092</t>
  </si>
  <si>
    <t>12-Mar-26
12-Mar-26
12-Mar-26</t>
  </si>
  <si>
    <t>P15 - 18th Lift</t>
  </si>
  <si>
    <t>MPSB/Str/2321
MPSB/Sur/1871
MPSB/Str/2322</t>
  </si>
  <si>
    <t>25-Sep-25
25-Sep-25
25-Sep-25</t>
  </si>
  <si>
    <t>P6 - 19th Lift</t>
  </si>
  <si>
    <t>MPSB/Str/2360
MPSB/Sur/1891
MPSB/Str/2361</t>
  </si>
  <si>
    <t>P8 - 19th Lift</t>
  </si>
  <si>
    <t>MPSB/Str/2339
MPSB/Sur/1885
MPSB/Str/2340</t>
  </si>
  <si>
    <t>P18 - 19th Lift</t>
  </si>
  <si>
    <t>MPSB/Str/2154
MPSB/Sur/1773
MPSB/Str/2155
MPSB/Sur/1815</t>
  </si>
  <si>
    <t>5-Sep-25
5-Sep-25
5-Sep-25
12-Sep-25</t>
  </si>
  <si>
    <t>P26 - 19th Lift</t>
  </si>
  <si>
    <t>MPSB/Str/2458
MPSB/Sur/1971
MPSB/Str/2459</t>
  </si>
  <si>
    <t>P16 - 19th Lift</t>
  </si>
  <si>
    <t>MPSB/Str/2979
MPSB/Sur/2301
MPSB/Str/2980</t>
  </si>
  <si>
    <t>P10 - 19th Lift</t>
  </si>
  <si>
    <t>MPSB/Str/2873
MPSB/Sur/2240
MPSB/Str/2874
MPSB/Sur/2267</t>
  </si>
  <si>
    <t>20-Nov-25
20-Nov-25
20-Nov-25
25-Nov-25</t>
  </si>
  <si>
    <t>P22 - 19th Lift</t>
  </si>
  <si>
    <t>MPSB/Str/3001
MPSB/Sur/2315
MPSB/Str/3002</t>
  </si>
  <si>
    <t>P25 - 19th Lift</t>
  </si>
  <si>
    <t>MPSB/Str/2936
MPSB/Sur/2277
MPSB/Str/2937</t>
  </si>
  <si>
    <t>P28 - 19th Lift</t>
  </si>
  <si>
    <t>MPSB/Str/3379
MPSB/Sur/2571
MPSB/Str/3380</t>
  </si>
  <si>
    <t>P9 - 19th Lift</t>
  </si>
  <si>
    <t>MPSB/Str/3175
MPSB/Sur/2430
MPSB/Str/3176
MPSB/Sur/2485</t>
  </si>
  <si>
    <t>17-Dec-25
17-Dec-25
17-Dec-25
24-Dec-25</t>
  </si>
  <si>
    <t>P20 - 19th Lift</t>
  </si>
  <si>
    <t>MPSB/Str/3092
MPSB/Sur/2371
MPSB/Str/3123</t>
  </si>
  <si>
    <t>9-Dec-25
9-Dec-25
12-Dec-25</t>
  </si>
  <si>
    <t>P29 - 19th Lift</t>
  </si>
  <si>
    <t>MPSB/Str/3591
MPSB/Sur/2727
MPSB/Str/3592
MPSB/Sur/2770</t>
  </si>
  <si>
    <t>20-Jan-26
20-Jan-26
20-Jan-26
25-Jan-26</t>
  </si>
  <si>
    <t>P23 - 19th Lift</t>
  </si>
  <si>
    <t>MPSB/Str/3459
MPSB/Sur/2627
MPSB/Str/3460
MPSB/Sur/2660</t>
  </si>
  <si>
    <t>8-Jan-26
8-Jan-26
8-Jan-26
12-Jan-26</t>
  </si>
  <si>
    <t>P24 - 19th Lift</t>
  </si>
  <si>
    <t>MPSB/Str/3820
MPSB/Sur/2902
MPSB/Str/3821</t>
  </si>
  <si>
    <t>10-Feb-26
10-Feb-26
10-Feb-26</t>
  </si>
  <si>
    <t>P7 - 19th Lift</t>
  </si>
  <si>
    <t>MPSB/Str/3922
MPSB/Sur/2974
MPSB/Str/3923
MPSB/Sur/3053</t>
  </si>
  <si>
    <t>P17 - 19th Lift</t>
  </si>
  <si>
    <t>MPSB/Str/3795
MPSB/Sur/2886
MPSB/Str/3796
MPSB/Sur/2994</t>
  </si>
  <si>
    <t>7-Feb-26
7-Feb-26
7-Feb-26
25-Feb-26</t>
  </si>
  <si>
    <t>P19 - 19th Lift</t>
  </si>
  <si>
    <t>MPSB/Str/3975
MPSB/Sur/3017
MPSB/Str/3976</t>
  </si>
  <si>
    <t>P21 - 19th Lift</t>
  </si>
  <si>
    <t>MPSB/Str/3934
MPSB/Sur/2981
MPSB/Str/3935</t>
  </si>
  <si>
    <t>24-Feb-26
24-Feb-26
24-Feb-26</t>
  </si>
  <si>
    <t>P27 - 19th Lift</t>
  </si>
  <si>
    <t>MPSB/Str/4442
MPSB/Sur/3329
MPSB/Str/4443</t>
  </si>
  <si>
    <t>20-Apr-26
20-Apr-26
20-Apr-26</t>
  </si>
  <si>
    <t>P15 - 19th Lift</t>
  </si>
  <si>
    <t>MPSB/Str/2578
MPSB/Sur/2046
MPSB/Str/2579</t>
  </si>
  <si>
    <t>P8 - 20th Lift</t>
  </si>
  <si>
    <t>MPSB/Str/2530
MPSB/Sur/2016
MPSB/Str/2531</t>
  </si>
  <si>
    <t>20-Oct-25
20-Oct-25
20-Oct-25</t>
  </si>
  <si>
    <t>P16 - 20th Lift</t>
  </si>
  <si>
    <t>MPSB/Str/2435
MPSB/Sur/1956
MPSB/Str/2436</t>
  </si>
  <si>
    <t>09-Oct-25
09-Oct-25
09-Oct-25</t>
  </si>
  <si>
    <t>P26 - 20th Lift</t>
  </si>
  <si>
    <t>MPSB/Str/3136
MPSB/Sur/2409
MPSB/Str/3137
MPSB/Sur/2437</t>
  </si>
  <si>
    <t>14-Dec-25
14-Dec-25
14-Dec-25
18-Dec-25</t>
  </si>
  <si>
    <t>P22 - 20th Lift</t>
  </si>
  <si>
    <t>MPSB/Str/3356
MPSB/Sur/2556
MPSB/Str/3357</t>
  </si>
  <si>
    <t>P25 - 20th Lift</t>
  </si>
  <si>
    <t>MPSB/Str/3179
MPSB/Sur/2432
MPSB/Str/3180
MPSB/Sur/2476</t>
  </si>
  <si>
    <t>17-Dec-25
17-Dec-25
17-Dec-25
23-Dec-25</t>
  </si>
  <si>
    <t>P28 - 20th Lift</t>
  </si>
  <si>
    <t>MPSB/Str/3624
MPSB/Sur/2750
MPSB/Str/3625</t>
  </si>
  <si>
    <t>23-Jan-26
23-Jan-26
23-Jan-26</t>
  </si>
  <si>
    <t>P9 - 20th Lift</t>
  </si>
  <si>
    <t>MPSB/Str/3613
MPSB/Sur/2742
MPSB/Str/3614</t>
  </si>
  <si>
    <t>22-Jan-26
22-Jan-26
22-Jan-26</t>
  </si>
  <si>
    <t>P20 - 20th Lift</t>
  </si>
  <si>
    <t>MPSB/Str/3672
MPSB/Sur/2795
MPSB/Str/3673</t>
  </si>
  <si>
    <t>29-Jan-26
29-Jan-26
29-Jan-26</t>
  </si>
  <si>
    <t>P23 - 20th Lift</t>
  </si>
  <si>
    <t>MPSB/Str/3572
MPSB/Sur/2715
MPSB/Str/3573
MPSB/Sur/2761</t>
  </si>
  <si>
    <t>P24 - 20th Lift</t>
  </si>
  <si>
    <t>MPSB/Str/3880
MPSB/Sur/2949
MPSB/Str/3881
MPSB/Sur/2994</t>
  </si>
  <si>
    <t>P19 - 20th Lift</t>
  </si>
  <si>
    <t>MPSB/Str/3746
MPSB/Sur/2844
MPSB/Str/3747</t>
  </si>
  <si>
    <t>2-Feb-26
2-Feb-26
2-Feb-26</t>
  </si>
  <si>
    <t>P29 - 20th Lift</t>
  </si>
  <si>
    <t>MPSB/Str/4128
MPSB/Sur/3131
MPSB/Str/4129</t>
  </si>
  <si>
    <t>16-Mar-26
16-Mar-26
16-Mar-26</t>
  </si>
  <si>
    <t>P21 - 20th Lift</t>
  </si>
  <si>
    <t>MPSB/Str/4073
MPSB/Sur/3081
MPSB/Str/4074</t>
  </si>
  <si>
    <t>9-Mar-26
9-Mar-26
9-Mar-26</t>
  </si>
  <si>
    <t>P27 - 20th Lift</t>
  </si>
  <si>
    <t>MPSB/Str/4475
MPSB/Sur/3347
MPSB/Str/4476</t>
  </si>
  <si>
    <t>P17 - 20th Lift</t>
  </si>
  <si>
    <t>MPSB/Str/4637
MPSB/Sur/3455
MPSB/Str/4638</t>
  </si>
  <si>
    <t>11-May-26
11-May-26
11-May-26</t>
  </si>
  <si>
    <t>P15 - 20th Lift</t>
  </si>
  <si>
    <t>MPSB/Str/3263
MPSB/Sur/2489
MPSB/Str/3283</t>
  </si>
  <si>
    <t>24-Dec-25
24-Dec-25
26-Dec-25</t>
  </si>
  <si>
    <t>P22 - 21st Lift</t>
  </si>
  <si>
    <t>MPSB/Str/3709
MPSB/Sur/2816
MPSB/Str/3710</t>
  </si>
  <si>
    <t>P24 - 21st Lift</t>
  </si>
  <si>
    <t>MPSB/Str/3486
MPSB/Sur/2648
MPSB/Str/3487</t>
  </si>
  <si>
    <t>11-Jan-26
11-Jan-26
11-Jan-26</t>
  </si>
  <si>
    <t>P28 - 21st Lift</t>
  </si>
  <si>
    <t>MPSB/Str/3767
MPSB/Sur/2863
MPSB/Str/3768
MPSB/Sur/3001</t>
  </si>
  <si>
    <t>5-Feb-26
5-Feb-26
5-Feb-26
25-Feb-26</t>
  </si>
  <si>
    <t>P23 - 21st Lift</t>
  </si>
  <si>
    <t>MPSB/Str/4376
MPSB/Sur/3279
MPSB/Str/4377</t>
  </si>
  <si>
    <t>11-Apr-26
11-Apr-26
11-Apr-26</t>
  </si>
  <si>
    <t>P21 - 21st Lift</t>
  </si>
  <si>
    <t>MPSB/Str/3904
MPSB/Sur/2963
MPSB/Str/3905
MPSB/Sur/3001</t>
  </si>
  <si>
    <t>20-Feb-26
20-Feb-26
20-Feb-26
25-Feb-26</t>
  </si>
  <si>
    <t>P23 - 22nd Lift</t>
  </si>
  <si>
    <t>402.b</t>
  </si>
  <si>
    <t>MPSB/Str/3754</t>
  </si>
  <si>
    <t>P26 - Bottom Plugging</t>
  </si>
  <si>
    <t>Well Plugging</t>
  </si>
  <si>
    <t>MPSB/Str/3781</t>
  </si>
  <si>
    <t>P8 - Bottom Plugging</t>
  </si>
  <si>
    <t>MPSB/Str/3952</t>
  </si>
  <si>
    <t>P22 - Bottom Plugging</t>
  </si>
  <si>
    <t>MPSB/Str/4164</t>
  </si>
  <si>
    <t>P20 - Bottom Plugging</t>
  </si>
  <si>
    <t>MPSB/Str/4231</t>
  </si>
  <si>
    <t>P19 - Bottom Plugging</t>
  </si>
  <si>
    <t>MPSB/Str/4435</t>
  </si>
  <si>
    <t>P25 - Bottom Plugging</t>
  </si>
  <si>
    <t>MPSB/Str/4565</t>
  </si>
  <si>
    <t>P7 - Bottom Plugging</t>
  </si>
  <si>
    <t>MPSB/Str/4803</t>
  </si>
  <si>
    <t>P29 - Bottom Plugging</t>
  </si>
  <si>
    <t>MPSB/Str/4975</t>
  </si>
  <si>
    <t>P24 - Bottom Plugging</t>
  </si>
  <si>
    <t>MPSB/Str/5073</t>
  </si>
  <si>
    <t>P23 - Bottom Plugging</t>
  </si>
  <si>
    <t>MPSB/Str/3951</t>
  </si>
  <si>
    <t>P26 - Well Cap</t>
  </si>
  <si>
    <t>Well Cap Reinforcement
Well Cap Concreting</t>
  </si>
  <si>
    <t>MPSB/Str/4033
MPSB/Str/4034</t>
  </si>
  <si>
    <t>28-Feb-26
28-Feb-26</t>
  </si>
  <si>
    <t>P8 - Well Cap</t>
  </si>
  <si>
    <t>MPSB/Sur/3119
MPSB/Str/4108</t>
  </si>
  <si>
    <t>14-Mar-26
14-Mar-26</t>
  </si>
  <si>
    <t>P22 - Well Cap</t>
  </si>
  <si>
    <t>MPSB/Sur/3195
MPSB/Str/4237</t>
  </si>
  <si>
    <t>29-Mar-26
29-Mar-26</t>
  </si>
  <si>
    <t>P20 - Well Cap</t>
  </si>
  <si>
    <t>MPSB/Sur/3342
MPSB/Str/4470</t>
  </si>
  <si>
    <t>23-Apr-26
23-Apr-26</t>
  </si>
  <si>
    <t>P19 - Well Cap</t>
  </si>
  <si>
    <t>MPSB/Sur/3497
MPSB/Str/4709</t>
  </si>
  <si>
    <t>18-May-26
18-May-26</t>
  </si>
  <si>
    <t>P25 - Well Cap</t>
  </si>
  <si>
    <t>MPSB/Sur/3584
MPSB/Str/4837</t>
  </si>
  <si>
    <t>31-May-26
31-May-26</t>
  </si>
  <si>
    <t>P7 - Well Cap</t>
  </si>
  <si>
    <t>MPSB/Sur/3700
MPSB/Str/5029</t>
  </si>
  <si>
    <t>29-Jun-26
29-Jun-26</t>
  </si>
  <si>
    <t>P29 - Well Cap</t>
  </si>
  <si>
    <t>MPSB/Sur/3801
MPSB/Str/5219</t>
  </si>
  <si>
    <t>29-Jul-26
29-Jul-26</t>
  </si>
  <si>
    <t>MPSB/Str/4725
MPSB/Sur/3510
MPSB/Str/4726</t>
  </si>
  <si>
    <t>19-May-26
19-May-26
19-May-26</t>
  </si>
  <si>
    <t>P19 - Lower Pylon - 1st Lift</t>
  </si>
  <si>
    <t>MPSB/Str/4588
MPSB/Sur/3421
MPSB/Str/4589</t>
  </si>
  <si>
    <t>6-May-26
6-May-26
6-May-26</t>
  </si>
  <si>
    <t>P19 - Lower Pylon - Starter</t>
  </si>
  <si>
    <t>MPSB/Str/4754
MPSB/Sur/3530
MPSB/Str/4755</t>
  </si>
  <si>
    <t>22-May-26
22-May-26
22-May-26</t>
  </si>
  <si>
    <t>P20 - Lower Pylon - 1st Lift</t>
  </si>
  <si>
    <t>MPSB/Str/4993
MPSB/Sur/3685
MPSB/Str/4994</t>
  </si>
  <si>
    <t>23-Jun-26
23-Jun-26
23-Jun-26</t>
  </si>
  <si>
    <t>P20 - Lower Pylon - 2nd Lift</t>
  </si>
  <si>
    <t>MPSB/Str/4660
MPSB/Sur/3470
MPSB/Str/4661</t>
  </si>
  <si>
    <t>12-May-26
12-May-26
12-May-26</t>
  </si>
  <si>
    <t>P20 - Lower Pylon - Starter</t>
  </si>
  <si>
    <t>MPSB/Str/4428
MPSB/Sur/3318
MPSB/Str/4429</t>
  </si>
  <si>
    <t>17-Apr-26
17-Apr-26
17-Apr-26</t>
  </si>
  <si>
    <t>P22 - Lower Pylon - 1st Lift</t>
  </si>
  <si>
    <t>MPSB/Str/4678
MPSB/Sur/3479
MPSB/Str/4679</t>
  </si>
  <si>
    <t>14-May-26
14-May-26
14-May-26</t>
  </si>
  <si>
    <t>P22 - Lower Pylon - 2nd Lift</t>
  </si>
  <si>
    <t>MPSB/Str/5007
MPSB/Sur/3692
MPSB/Str/5008</t>
  </si>
  <si>
    <t>P22 - Lower Pylon - 3rd Lift</t>
  </si>
  <si>
    <t>MPSB/Str/4332
MPSB/Sur/3247
MPSB/Str/4333</t>
  </si>
  <si>
    <t>6-Apr-26
6-Apr-26
6-Apr-26</t>
  </si>
  <si>
    <t>P22 - Lower Pylon - Starter</t>
  </si>
  <si>
    <t>MPSB/Str/5017
MPSB/Sur/3693
MPSB/Str/5018</t>
  </si>
  <si>
    <t>26-Jun-26
26-Jun-26
26-Jun-26</t>
  </si>
  <si>
    <t>P25 - Lower Pylon - 1st Lift</t>
  </si>
  <si>
    <t>MPSB/Str/5100
MPSB/Sur/3733
MPSB/Str/5101</t>
  </si>
  <si>
    <t>9-Jul-26
9-Jul-26
9-Jul-26</t>
  </si>
  <si>
    <t>MPSB/Str/4902
MPSB/Sur/3651
MPSB/Str/4903</t>
  </si>
  <si>
    <t>14-Jun-26
14-Jun-26
14-Jun-26</t>
  </si>
  <si>
    <t>P25 - Lower Pylon - Starter</t>
  </si>
  <si>
    <t>MPSB/Str/4523
MPSB/Sur/3378
MPSB/Str/4524</t>
  </si>
  <si>
    <t>28-Apr-26
28-Apr-26
28-Apr-26</t>
  </si>
  <si>
    <t>P26 - Lower Pylon - 1st Lift</t>
  </si>
  <si>
    <t>MPSB/Str/4741
MPSB/Sur/3526
MPSB/Str/4742</t>
  </si>
  <si>
    <t>21-May-26
21-May-26
21-May-26</t>
  </si>
  <si>
    <t>P26 - Lower Pylon - 2nd Lift</t>
  </si>
  <si>
    <t>MPSB/Str/4904
MPSB/Sur/3652
MPSB/Str/4905</t>
  </si>
  <si>
    <t>15-Jun-26
15-Jun-26
15-Jun-26</t>
  </si>
  <si>
    <t>P26 - Lower Pylon - 3rd Lift</t>
  </si>
  <si>
    <t>MPSB/Str/5234
MPSB/Sur/3806
MPSB/Str/5235</t>
  </si>
  <si>
    <t>30-Jul-26
30-Jul-26
30-Jul-26</t>
  </si>
  <si>
    <t>MPSB/Str/4318
MPSB/Sur/3238
MPSB/Str/4319</t>
  </si>
  <si>
    <t>P26 - Lower Pylon - Starter</t>
  </si>
  <si>
    <t>MPSB/Str/5175
MPSB/Sur/3781
MPSB/Str/5176</t>
  </si>
  <si>
    <t>21-Jul-26
21-Jul-26
21-Jul-26</t>
  </si>
  <si>
    <t>MPSB/Str/5230
MPSB/Sur/3804
MPSB/Str/5231</t>
  </si>
  <si>
    <t>MPSB/Str/5127
MPSB/Sur/3752
MPSB/Str/5128</t>
  </si>
  <si>
    <t>13-Jul-26
12-Jul-26
13-Jul-26</t>
  </si>
  <si>
    <t>MPSB/Str/4927
MPSB/Sur/3675
MPSB/Str/4976</t>
  </si>
  <si>
    <t>17-Jun-26
21-Jun-26
21-Jun-26</t>
  </si>
  <si>
    <t>P7 - Lower Pylon - 1st Lift</t>
  </si>
  <si>
    <t>MPSB/Str/5107
MPSB/Sur/3738
MPSB/Str/5108</t>
  </si>
  <si>
    <t>MPSB/Str/4886
MPSB/Sur/3625
MPSB/Str/4887</t>
  </si>
  <si>
    <t>10-Jun-26
10-Jun-26
10-Jun-26</t>
  </si>
  <si>
    <t>P7 - Lower Pylon - Starter</t>
  </si>
  <si>
    <t>MPSB/Str/4337
MPSB/Sur/3243
MPSB/Str/4328</t>
  </si>
  <si>
    <t>5-Apr-26
5-Apr-26
5-Apr-26</t>
  </si>
  <si>
    <t>P8 - Lower Pylon - 1st Lift</t>
  </si>
  <si>
    <t>MPSB/Str/4407
MPSB/Sur/3303
MPSB/Str/4408</t>
  </si>
  <si>
    <t>15-Apr-26
15-Apr-26
15-Apr-26</t>
  </si>
  <si>
    <t>P8 - Lower Pylon - 2nd Lift</t>
  </si>
  <si>
    <t>MPSB/Str/4514
MPSB/Sur/3370
MPSB/Str/4515</t>
  </si>
  <si>
    <t>P8 - Lower Pylon - 3rd Lift</t>
  </si>
  <si>
    <t>MPSB/Str/4690
MPSB/Sur/3484
MPSB/Str/4691</t>
  </si>
  <si>
    <t>P8 - Lower Pylon - 4th Lift</t>
  </si>
  <si>
    <t>MPSB/Str/4793
MPSB/Sur/3556
MPSB/Str/4794</t>
  </si>
  <si>
    <t>27-May-26
27-May-26
27-May-26</t>
  </si>
  <si>
    <t>P8 - Lower Pylon - 5th Lift</t>
  </si>
  <si>
    <t>MPSB/Str/4997
MPSB/Sur/3689
MPSB/Str/4998</t>
  </si>
  <si>
    <t>24-Jun-26
24-Jun-26
24-Jun-26</t>
  </si>
  <si>
    <t>P8 - Lower Pylon - 6th Lift</t>
  </si>
  <si>
    <t>MPSB/Str/5150
MPSB/Sur/3767
MPSB/Str/5151</t>
  </si>
  <si>
    <t>15-Jul-26
15-Jul-26
15-Jul-26</t>
  </si>
  <si>
    <t>MPSB/Str/4310
MPSB/Sur/3233
MPSB/Str/4311</t>
  </si>
  <si>
    <t>1-Apr-26
1-Apr-26
1-Apr-26</t>
  </si>
  <si>
    <t>P8 - Lower Pylon - Starter</t>
  </si>
  <si>
    <t>MPSB/MB/19
MPSB/Sur/1429
MPSB/MB/20</t>
  </si>
  <si>
    <t>P17-BP-S09a-O©</t>
  </si>
  <si>
    <t>Profile Check
Survey Check
Formwork &amp; Concreting</t>
  </si>
  <si>
    <t>MPSB/MB/22
MPSB/MB/25</t>
  </si>
  <si>
    <t>21-Jun-25
25-Jun-25</t>
  </si>
  <si>
    <t>P17-BP-S10a-O</t>
  </si>
  <si>
    <t>MPSB/Sur/1482
MPSB/MB/0031</t>
  </si>
  <si>
    <t>2-Jul-25
2-Jul-25</t>
  </si>
  <si>
    <t>P17-BP-S11a-O©</t>
  </si>
  <si>
    <t>MPSB/MB/034
MPSB/Sur/1506
MPSB/MB/038</t>
  </si>
  <si>
    <t>7-Jul-25
9-Jul-25                                                                                                                                                                                                                                                                                                                                                                                  9-Jul-25</t>
  </si>
  <si>
    <t>P17-BP-S12a-O</t>
  </si>
  <si>
    <t>MPSB/MB/040
MPSB/Sur/1527
MPSB/MB/042</t>
  </si>
  <si>
    <t>11-Jul-25
15-Jul-25                                                                                                                                                                                                                                                                                                                                                                                15-Jul-25</t>
  </si>
  <si>
    <t>P17-BP-S13a-O©</t>
  </si>
  <si>
    <t>MPSB/MB/046
MPSB/Sur/1558
MPSB/MB/049</t>
  </si>
  <si>
    <t>17-Jul-25
21-Jul-25                                                                                                                                                                                                                                                                                                                                                                                21-Jul-25</t>
  </si>
  <si>
    <t>P17-BP-S14a-O</t>
  </si>
  <si>
    <t>MPSB/MB/054
MPSB/Sur/1589
MPSB/MB/057</t>
  </si>
  <si>
    <t>25-Jul-25
26-Jul-25                                                                                                                                                                                                                                                                                                                                                                             28-Jul-25</t>
  </si>
  <si>
    <t>P17-BP-S15a-O©</t>
  </si>
  <si>
    <t>MPSB/MB/033
MPSB/Sur/1508
MPSB/MB/039</t>
  </si>
  <si>
    <t>3-Jul-25
10-Jul-25                                                                                                                                                                                                                                                                                                                                                                                10-Jul-25</t>
  </si>
  <si>
    <t>P25-KS-S09-O©</t>
  </si>
  <si>
    <t>MPSB/MB/044
MPSB/Sur/1546
MPSB/MB/047</t>
  </si>
  <si>
    <t>16-Jul-25
19-Jul-25                                                                                                                                                                                                                                                                                                                                                                                  19-Jul-25</t>
  </si>
  <si>
    <t>P25-KS-S10-O</t>
  </si>
  <si>
    <t>MPSB/MB/037
MPSB/Sur/1603
MPSB/MB/059</t>
  </si>
  <si>
    <t>8-Jul-25
29-Jul-25                                                                                                                                                                                                                                                                                                                                                                                  29-Jul-25</t>
  </si>
  <si>
    <t>P25-KS-S11-O©</t>
  </si>
  <si>
    <t>MPSB/MB/60
MPSB/Sur/1636
MPSB/MB/65</t>
  </si>
  <si>
    <t>30-Jul-25
1-Aug-25
1-Aug-25</t>
  </si>
  <si>
    <t>P17-BP-S16a-O</t>
  </si>
  <si>
    <t>MPSB/MB/69
MPSB/Sur/1657
MPSB/MB/74</t>
  </si>
  <si>
    <t>4-Aug-25
7-Aug-25
7-Aug-25</t>
  </si>
  <si>
    <t>P17-BP-S17a-O©</t>
  </si>
  <si>
    <t>MPSB/MB/75
MPSB/Sur/1685
MPSB/MB/83</t>
  </si>
  <si>
    <t>7-Aug-25
12-Aug-25
12-Aug-25</t>
  </si>
  <si>
    <t>P17-BP-S18a-O</t>
  </si>
  <si>
    <t>MPSB/MB/84
MPSB/Sur/1698
MPSB/MB/93</t>
  </si>
  <si>
    <t>12-Aug-25
18-Aug-25
18-Aug-25</t>
  </si>
  <si>
    <t>P17-BP-S19a-O©</t>
  </si>
  <si>
    <t>MPSB/Sur/1727
MPSB/MB/107</t>
  </si>
  <si>
    <t>24-Aug-25
24-Aug-25</t>
  </si>
  <si>
    <t>P17-BP-S20a-O</t>
  </si>
  <si>
    <t>MPSB/MB/119
MPSB/Sur/1752
MPSB/MB/122</t>
  </si>
  <si>
    <t>29-Aug-25
30-Aug-25
30-Aug-25</t>
  </si>
  <si>
    <t>P17-BP-S21a-O©</t>
  </si>
  <si>
    <t>MPSB/MB/92
MPSB/Sur/1714
MPSB/MB/104</t>
  </si>
  <si>
    <t>18-Aug-25
21-Aug-25
21-Aug-25</t>
  </si>
  <si>
    <t>P17-BP-S22a-O</t>
  </si>
  <si>
    <t>MPSB/MB/110
MPSB/Sur/1741
MPSB/MB/116</t>
  </si>
  <si>
    <t>26-Aug-25
28-Aug-25
28-Aug-25</t>
  </si>
  <si>
    <t>P17-BP-S23a-O©</t>
  </si>
  <si>
    <t>MPSB/MB/58
MPSB/Sur/1645
MPSB/MB/68</t>
  </si>
  <si>
    <t>29-Jul-25
4-Aug-25
4-Aug-25</t>
  </si>
  <si>
    <t>P17-KS-S09-O©</t>
  </si>
  <si>
    <t>MPSB/MB/76
MPSB/Sur/1681
MPSB/MB/80</t>
  </si>
  <si>
    <t>7-Aug-25
11-Aug-25
11-Aug-25</t>
  </si>
  <si>
    <t>P17-KS-S10-O</t>
  </si>
  <si>
    <t>MPSB/MB/86
MPSB/Sur/1696
MPSB/MB/90</t>
  </si>
  <si>
    <t>12-Aug-25
16-Aug-25
16-Aug-25</t>
  </si>
  <si>
    <t>P17-KS-S11-O©</t>
  </si>
  <si>
    <t>MPSB/MB/95
MPSB/Sur/1713
MPSB/MB/103</t>
  </si>
  <si>
    <t>P17-KS-S12-O</t>
  </si>
  <si>
    <t>MPSB/MB/108
MPSB/Sur/1736
MPSB/MB/112</t>
  </si>
  <si>
    <t>24-Aug-25
27-Aug-25
27-Aug-25</t>
  </si>
  <si>
    <t>P17-KS-S13-O©</t>
  </si>
  <si>
    <t>MPSB/MB/114
MPSB/Sur/1753
MPSB/MB/123</t>
  </si>
  <si>
    <t>27-Aug-25
30-Aug-25
30-Aug-25</t>
  </si>
  <si>
    <t>P17-KS-S14-O</t>
  </si>
  <si>
    <t>MPSB/MB/63
MPSB/Sur/1644
MPSB/MB/67</t>
  </si>
  <si>
    <t>1-Aug-25
4-Aug-25
4-Aug-25</t>
  </si>
  <si>
    <t>P25-KS-S12-O</t>
  </si>
  <si>
    <t>MPSB/MB/72
MPSB/Sur/1667
MPSB/MB/78</t>
  </si>
  <si>
    <t>7-Aug-25
9-Aug-25
9-Aug-25</t>
  </si>
  <si>
    <t>P25-KS-S13-O©</t>
  </si>
  <si>
    <t>MPSB/MB/85
MPSB/Sur/1695
MPSB/MB/89</t>
  </si>
  <si>
    <t>P25-KS-S14-O</t>
  </si>
  <si>
    <t>MPSB/MB/96
MPSB/Sur/1712
MPSB/MB/101</t>
  </si>
  <si>
    <t>P25-KS-S15-O©</t>
  </si>
  <si>
    <t>MPSB/MB/100
MPSB/Sur/1730
MPSB/MB/109</t>
  </si>
  <si>
    <t>21-Aug-25
25-Aug-25
25-Aug-25</t>
  </si>
  <si>
    <t>P25-KS-S16-O</t>
  </si>
  <si>
    <t>MPSB/MB/121
MPSB/Sur/1759
MPSB/MB/127</t>
  </si>
  <si>
    <t>30-Aug-25
1-Sep-25
1-Sep-25</t>
  </si>
  <si>
    <t>P17-BP-S24a-O</t>
  </si>
  <si>
    <t>MPSB/MB/134
MPSB/Sur/1778
MPSB/MB/138</t>
  </si>
  <si>
    <t>4-Sep-25
6-Sep-25
6-Sep-25</t>
  </si>
  <si>
    <t>P17-BP-S25a-O©</t>
  </si>
  <si>
    <t>MPSB/MB/141
MPSB/Sur/1800
MPSB/MB/144</t>
  </si>
  <si>
    <t>8-Sep-25
9-Sep-25
9-Sep-25</t>
  </si>
  <si>
    <t>P17-BP-S26a-O</t>
  </si>
  <si>
    <t>MPSB/MB/151
MPSB/Sur/1818
MPSB/MB/157</t>
  </si>
  <si>
    <t>11-Sep-25
13-Sep-25
13-Sep-25</t>
  </si>
  <si>
    <t>P17-BP-S27a-O©</t>
  </si>
  <si>
    <t>MPSB/MB/166
MPSB/Sur/1833
MPSB/MB/177</t>
  </si>
  <si>
    <t>15-Sep-25
18-Sep-25
18-Sep-25</t>
  </si>
  <si>
    <t>P17-BP-S28a-O</t>
  </si>
  <si>
    <t>MPSB/MB/182
MPSB/Sur/1861
MPSB/MB/192</t>
  </si>
  <si>
    <t>19-Sep-25
23-Sep-25
23-Sep-25</t>
  </si>
  <si>
    <t>P17-BP-S29a-O©</t>
  </si>
  <si>
    <t>MPSB/MB/200
MPSB/Sur/1882
MPSB/MB/207</t>
  </si>
  <si>
    <t>25-Sep-25
27-Sep-25
27-Sep-25</t>
  </si>
  <si>
    <t>P17-BP-S30a-O</t>
  </si>
  <si>
    <t>MPSB/Str/2345
MPSB/Sur/1897
MPSB/MB/213</t>
  </si>
  <si>
    <t>29-Sep-25
30-Sep-25
30-Sep-25</t>
  </si>
  <si>
    <t>P17-BP-S31a-O©</t>
  </si>
  <si>
    <t>MPSB/MB/128
MPSB/Sur/1769
MPSB/MB/135</t>
  </si>
  <si>
    <t>1-Sep-25
4-Sep-25
4-Sep-25</t>
  </si>
  <si>
    <t>P17-KS-S15-O©</t>
  </si>
  <si>
    <t>MPSB/MB/137
MPSB/Sur/1794
MPSB/MB/142</t>
  </si>
  <si>
    <t>6-Sep-25
8-Sep-25
8-Sep-25</t>
  </si>
  <si>
    <t>P17-KS-S16-O</t>
  </si>
  <si>
    <t>MPSB/MB/152
MPSB/Sur/1816
MPSB/MB/154</t>
  </si>
  <si>
    <t>11-Sep-25
12-Sep-25
12-Sep-25</t>
  </si>
  <si>
    <t>P17-KS-S17-O©</t>
  </si>
  <si>
    <t>MPSB/MB/162
MPSB/Sur/1834
MPSB/MB/178</t>
  </si>
  <si>
    <t>13-Sep-25
18-Sep-25
18-Sep-25</t>
  </si>
  <si>
    <t>P17-KS-S18-O</t>
  </si>
  <si>
    <t>MPSB/MB/185
MPSB/Sur/1859
MPSB/MB/188</t>
  </si>
  <si>
    <t>20-Sep-25
22-Sep-25
22-Sep-25</t>
  </si>
  <si>
    <t>P17-KS-S19-O©</t>
  </si>
  <si>
    <t>MPSB/MB/196
MPSB/Sur/1878
MPSB/MB/206</t>
  </si>
  <si>
    <t>24-Sep-25
27-Sep-25
27-Sep-25</t>
  </si>
  <si>
    <t>P17-KS-S20-O</t>
  </si>
  <si>
    <t>MPSB/Str/2346
MPSB/Sur/1896
MPSB/MB/212</t>
  </si>
  <si>
    <t>P17-KS-S21-O©</t>
  </si>
  <si>
    <t>MPSB/MB/111
MPSB/Sur/1758
MPSB/MB/126</t>
  </si>
  <si>
    <t>27-Aug-25
1-Sep-25
1-Sep-25</t>
  </si>
  <si>
    <t>P25-KS-S17-O©</t>
  </si>
  <si>
    <t>MPSB/MB/133
MPSB/Sur/1793
MPSB/MB/140</t>
  </si>
  <si>
    <t>4-Sep-25
8-Sep-25
8-Sep-25</t>
  </si>
  <si>
    <t>P25-KS-S18-O</t>
  </si>
  <si>
    <t>MPSB/MB/148
MPSB/Sur/1820
MPSB/MB/159</t>
  </si>
  <si>
    <t>10-Sep-25
13-Sep-25
13-Sep-25</t>
  </si>
  <si>
    <t>P25-KS-S19-O©</t>
  </si>
  <si>
    <t>MPSB/MB/169
MPSB/Sur/1838
MPSB/MB/180</t>
  </si>
  <si>
    <t>16-Sep-25
19-Sep-25
19-Sep-25</t>
  </si>
  <si>
    <t>P25-KS-S20-O</t>
  </si>
  <si>
    <t>MPSB/MB/202
MPSB/Sur/1876
MPSB/MB/204</t>
  </si>
  <si>
    <t>25-Sep-25
26-Sep-25
26-Sep-25</t>
  </si>
  <si>
    <t>P25-KS-S21-O©</t>
  </si>
  <si>
    <t>MPSB/MB/125
MPSB/Sur/1819
MPSB/MB/158</t>
  </si>
  <si>
    <t>1-Sep-25
13-Sep-25
13-Sep-25</t>
  </si>
  <si>
    <t>P25-BP-S09a-O©</t>
  </si>
  <si>
    <t>MPSB/MB/170
MPSB/Sur/1860
MPSB/MB/191</t>
  </si>
  <si>
    <t>16-Sep-25
22-Sep-25
22-Sep-25</t>
  </si>
  <si>
    <t>P25-BP-S10a-O</t>
  </si>
  <si>
    <t>MPSB/MB/201
MPSB/Sur/1883
MPSB/MB/209</t>
  </si>
  <si>
    <t>P25-BP-S11a-O©</t>
  </si>
  <si>
    <t>MPSB/MB/210
MPSB/Sur/1895
MPSB/MB/211</t>
  </si>
  <si>
    <t>P25-BP-S12a-O</t>
  </si>
  <si>
    <t>MPSB/MB/264
MPSB/Sur/2011
MPSB/MB/271</t>
  </si>
  <si>
    <t>16-Oct-25
18-Oct-25
18-Oct-25</t>
  </si>
  <si>
    <t>P17-BP-S33a-O©</t>
  </si>
  <si>
    <t>MPSB/MB/285
MPSB/Sur/2043
MPSB/MB/294</t>
  </si>
  <si>
    <t>23-Oct-25
25-Oct-25
25-Oct-25</t>
  </si>
  <si>
    <t>P17-BP-S34a-O</t>
  </si>
  <si>
    <t>MPSB/MB/197
MPSB/Sur/1898
MPSB/MB/214</t>
  </si>
  <si>
    <t>24-Sep-25
30-Sep-25
30-Sep-25</t>
  </si>
  <si>
    <t>P18-KS-S01a-E</t>
  </si>
  <si>
    <t>MPSB/MB/220
MPSB/Sur/1934
MPSB/MB/233</t>
  </si>
  <si>
    <t>03-Oct-25
07-Oct-25
07-Oct-25</t>
  </si>
  <si>
    <t>P18-KS-S01-E</t>
  </si>
  <si>
    <t>MPSB/MB/245
MPSB/Sur/1976
MPSB/MB/256</t>
  </si>
  <si>
    <t>10-Oct-25
13-Oct-25
13-Oct-25</t>
  </si>
  <si>
    <t>P18-KS-S02-E</t>
  </si>
  <si>
    <t>MPSB/MB/276
MPSB/Sur/2024
MPSB/MB/281</t>
  </si>
  <si>
    <t>20-Oct-25
22-Oct-25
22-Oct-25</t>
  </si>
  <si>
    <t>P18-KS-S03-E</t>
  </si>
  <si>
    <t>MPSB/MB/297
MPSB/Sur/2064
MPSB/MB/302</t>
  </si>
  <si>
    <t>27-Oct-25
28-Oct-25
28-Oct-25</t>
  </si>
  <si>
    <t>P18-KS-S04-E</t>
  </si>
  <si>
    <t>MPSB/MB/305
MPSB/Sur/2087
MPSB/MB/319</t>
  </si>
  <si>
    <t>30-Oct-25
31-Oct-25
31-Oct-25</t>
  </si>
  <si>
    <t>P18-KS-S05-E</t>
  </si>
  <si>
    <t>MPSB/MB/195
MPSB/Sur/1927
MPSB/MB/230</t>
  </si>
  <si>
    <t>24-Sep-25
06-Oct-25
06-Oct-25</t>
  </si>
  <si>
    <t>P17-KS-S22-O</t>
  </si>
  <si>
    <t>MPSB/MB/227
MPSB/Sur/1957
MPSB/MB/241</t>
  </si>
  <si>
    <t>06-Oct-25
09-Oct-25
09-Oct-25</t>
  </si>
  <si>
    <t>P17-KS-S23-O©</t>
  </si>
  <si>
    <t>MPSB/MB/249
MPSB/Sur/1978
MPSB/MB/257</t>
  </si>
  <si>
    <t>11-Oct-25
14-Oct-25
14-Oct-25</t>
  </si>
  <si>
    <t>P17-KS-S24-O</t>
  </si>
  <si>
    <t>MPSB/MB/259
MPSB/Sur/1998
MPSB/MB/266</t>
  </si>
  <si>
    <t>14-Oct-25
17-Oct-25
17-Oct-25</t>
  </si>
  <si>
    <t>P17-KS-S25-O©</t>
  </si>
  <si>
    <t>MPSB/MB/273
MPSB/Sur/2023
MPSB/MB/278</t>
  </si>
  <si>
    <t>19-Oct-25
22-Oct-25
22-Oct-25</t>
  </si>
  <si>
    <t>P17-KS-S26-O</t>
  </si>
  <si>
    <t>MPSB/MB/286
MPSB/Sur/2057
MPSB/MB/296</t>
  </si>
  <si>
    <t>23-Oct-25
27-Oct-25
27-Oct-25</t>
  </si>
  <si>
    <t>P17-KS-S27-O©</t>
  </si>
  <si>
    <t>MPSB/MB/301
MPSB/Sur/2073
MPSB/MB/307</t>
  </si>
  <si>
    <t>28-Oct-25
30-Oct-25
30-Oct-25</t>
  </si>
  <si>
    <t>P17-KS-S28-O</t>
  </si>
  <si>
    <t>MPSB/MB/232
MPSB/Sur/1949
MPSB/MB/239</t>
  </si>
  <si>
    <t>P25-BP-S13a-O©</t>
  </si>
  <si>
    <t>MPSB/MB/248
MPSB/Sur/1972
MPSB/MB/253</t>
  </si>
  <si>
    <t>11-Oct-25
13-Oct-25
13-Oct-25</t>
  </si>
  <si>
    <t>P25-BP-S14a-O</t>
  </si>
  <si>
    <t>MPSB/MB/262
MPSB/Sur/2002
MPSB/MB/270</t>
  </si>
  <si>
    <t>15-Oct-25
17-Oct-25
17-Oct-25</t>
  </si>
  <si>
    <t>P25-BP-S15a-O©</t>
  </si>
  <si>
    <t>MPSB/MB/280
MPSB/Sur/2036
MPSB/MB/288</t>
  </si>
  <si>
    <t>22-Oct-25
24-Oct-25
24-Oct-25</t>
  </si>
  <si>
    <t>P25-BP-S16a-O</t>
  </si>
  <si>
    <t>MPSB/MB/304
MPSB/Sur/2074
MPSB/MB/310</t>
  </si>
  <si>
    <t>P25-BP-S17a-O©</t>
  </si>
  <si>
    <t>MPSB/MB/198
MPSB/Sur/1915
MPSB/MB/217</t>
  </si>
  <si>
    <t>24-Sep-25
03-Oct-25
03-Oct-25</t>
  </si>
  <si>
    <t>P23-KS-S09a-O©</t>
  </si>
  <si>
    <t>MPSB/MB/231
MPSB/Sur/1948
MPSB/MB/235</t>
  </si>
  <si>
    <t>06-Oct-25
08-Oct-25
08-Oct-25</t>
  </si>
  <si>
    <t>P23-KS-S10a-O</t>
  </si>
  <si>
    <t>MPSB/MB/243
MPSB/Sur/1970
MPSB/MB/250</t>
  </si>
  <si>
    <t>10-Oct-25
11-Oct-25
11-Oct-25</t>
  </si>
  <si>
    <t>P23-KS-S11a-O©</t>
  </si>
  <si>
    <t>MPSB/MB/252
MPSB/Sur/1987
MPSB/MB/260</t>
  </si>
  <si>
    <t>13-Oct-25
15-Oct-25
15-Oct-25</t>
  </si>
  <si>
    <t>P23-KS-S12a-O</t>
  </si>
  <si>
    <t>MPSB/MB/269
MPSB/Sur/2015
MPSB/MB/272</t>
  </si>
  <si>
    <t>17-Oct-25
18-Oct-25
18-Oct-25</t>
  </si>
  <si>
    <t>P23-KS-S13a-O©</t>
  </si>
  <si>
    <t>MPSB/MB/274
MPSB/Sur/2018
MPSB/MB/279</t>
  </si>
  <si>
    <t>P23-KS-S14a-O</t>
  </si>
  <si>
    <t>MPSB/MB/289
MPSB/Sur/2055
MPSB/MB/295</t>
  </si>
  <si>
    <t>24-Oct-25
27-Oct-25
27-Oct-25</t>
  </si>
  <si>
    <t>P23-KS-S15a-O©</t>
  </si>
  <si>
    <t>MPSB/MB/303
MPSB/Sur/2075
MPSB/MB/311</t>
  </si>
  <si>
    <t>P23-KS-S16a-O</t>
  </si>
  <si>
    <t>MPSB/MB/320
MPSB/Sur/2119
MPSB/MB/327</t>
  </si>
  <si>
    <t>01-Nov-25
03-Nov-25
03-Nov-25</t>
  </si>
  <si>
    <t>P17-KS-S29-O©</t>
  </si>
  <si>
    <t>MPSB/MB/329
MPSB/Sur/2169
MPSB/MB/344</t>
  </si>
  <si>
    <t>04-Nov-25
10-Nov-25
10-Nov-25</t>
  </si>
  <si>
    <t>P17-KS-S30-O</t>
  </si>
  <si>
    <t>MPSB/MB/369
MPSB/Sur/2237
MPSB/MB/381</t>
  </si>
  <si>
    <t>17-Nov-25
20-Nov-25
20-Nov-25</t>
  </si>
  <si>
    <t>P17-KS-S31-O©</t>
  </si>
  <si>
    <t>MPSB/MB/390
MPSB/Sur/2272
MPSB/MB/402</t>
  </si>
  <si>
    <t>22-Nov-25
25-Nov-25
25-Nov-25</t>
  </si>
  <si>
    <t>P17-KS-S32-O</t>
  </si>
  <si>
    <t>MPSB/MB/323
MPSB/Sur/2129
MPSB/MB/332</t>
  </si>
  <si>
    <t>03-Nov-25
06-Nov-25
06-Nov-25</t>
  </si>
  <si>
    <t>P18-KS-S06-E</t>
  </si>
  <si>
    <t>MPSB/MB/312
MPSB/Sur/2122
MPSB/MB/331</t>
  </si>
  <si>
    <t>31-Oct-25
04-Nov-25
04-Nov-25</t>
  </si>
  <si>
    <t>P23-KS-S17a-O©</t>
  </si>
  <si>
    <t>MPSB/MB/336
MPSB/Sur/2141
MPSB/MB/337</t>
  </si>
  <si>
    <t>07-Nov-25
07-Nov-25
07-Nov-25</t>
  </si>
  <si>
    <t>P23-KS-S18a-O</t>
  </si>
  <si>
    <t>MPSB/MB/346
MPSB/Sur/2194
MPSB/MB/359</t>
  </si>
  <si>
    <t>11-Nov-25
15-Nov-25
15-Nov-25</t>
  </si>
  <si>
    <t>P23-KS-S19a-O©</t>
  </si>
  <si>
    <t>MPSB/MB/374
MPSB/Sur/2229
MPSB/MB/377</t>
  </si>
  <si>
    <t>19-Nov-25
20-Nov-25
20-Nov-25</t>
  </si>
  <si>
    <t>P23-KS-S20a-O</t>
  </si>
  <si>
    <t>MPSB/MB/414
MPSB/Sur/2299
MPSB/MB/417</t>
  </si>
  <si>
    <t>27-Nov-25
28-Nov-25
28-Nov-25</t>
  </si>
  <si>
    <t>P23-KS-S21a-O©</t>
  </si>
  <si>
    <t>MPSB/MB/343
MPSB/Sur/2182
MPSB/MB/353</t>
  </si>
  <si>
    <t>09-Nov-25
13-Nov-25
13-Nov-25</t>
  </si>
  <si>
    <t>P24-KS-S08-M©</t>
  </si>
  <si>
    <t>MPSB/MB/366
MPSB/Sur/2220
MPSB/MB/373</t>
  </si>
  <si>
    <t>17-Nov-25
18-Nov-25
18-Nov-25</t>
  </si>
  <si>
    <t>P24-KS-S09-M</t>
  </si>
  <si>
    <t>MPSB/MB/386
MPSB/Sur/2248
MPSB/MB/389</t>
  </si>
  <si>
    <t>21-Nov-25
22-Nov-25
22-Nov-25</t>
  </si>
  <si>
    <t>P24-KS-S10-M©</t>
  </si>
  <si>
    <t>MPSB/MB/400
MPSB/Sur/2281
MPSB/MB/406</t>
  </si>
  <si>
    <t>25-Nov-25
26-Nov-25
26-Nov-25</t>
  </si>
  <si>
    <t>P24-KS-S11-M</t>
  </si>
  <si>
    <t>MPSB/MB/425
MPSB/Sur/2305
MPSB/MB/426</t>
  </si>
  <si>
    <t>P24-KS-S12-M©</t>
  </si>
  <si>
    <t>MPSB/MB/347
MPSB/Sur/2195
MPSB/MB/360</t>
  </si>
  <si>
    <t>P25-BP-S18a-O</t>
  </si>
  <si>
    <t>MPSB/MB/375
MPSB/Sur/2244
MPSB/MB/388</t>
  </si>
  <si>
    <t>19-Nov-25
21-Nov-25
21-Nov-25</t>
  </si>
  <si>
    <t>P25-BP-S19a-O©</t>
  </si>
  <si>
    <t>MPSB/MB/418
MPSB/MB/427</t>
  </si>
  <si>
    <t>28-Nov-25
30-Nov-25</t>
  </si>
  <si>
    <t>P25-BP-S20a-O</t>
  </si>
  <si>
    <t>MPSB/MB/351
MPSB/Sur/2207
MPSB/MB/363</t>
  </si>
  <si>
    <t>11-Nov-25
17-Nov-25
17-Nov-25</t>
  </si>
  <si>
    <t>P7-BP-S01-O</t>
  </si>
  <si>
    <t>MPSB/MB/383
MPSB/Sur/2258
MPSB/MB/397</t>
  </si>
  <si>
    <t>21-Nov-25
24-Nov-25
24-Nov-25</t>
  </si>
  <si>
    <t>P7-BP-S02-O</t>
  </si>
  <si>
    <t>MPSB/MB/412
MPSB/Sur/2303
MPSB/MB/422</t>
  </si>
  <si>
    <t>27-Nov-25
29-Nov-25
29-Nov-25</t>
  </si>
  <si>
    <t>P7-BP-S03-O</t>
  </si>
  <si>
    <t>MPSB/MB/338
MPSB/Sur/2177
MPSB/MB/352</t>
  </si>
  <si>
    <t>08-Nov-25
12-Nov-25
12-Nov-25</t>
  </si>
  <si>
    <t>P7-BP-S09-O©</t>
  </si>
  <si>
    <t>MPSB/MB/358
MPSB/Sur/2206
MPSB/MB/362</t>
  </si>
  <si>
    <t>14-Nov-25
17-Nov-25
17-Nov-25</t>
  </si>
  <si>
    <t>P7-BP-S10-O</t>
  </si>
  <si>
    <t>MPSB/MB/367
MPSB/Sur/2238
MPSB/MB/382</t>
  </si>
  <si>
    <t>18-Nov-25
20-Nov-25
20-Nov-25</t>
  </si>
  <si>
    <t>P7-BP-S11-O©</t>
  </si>
  <si>
    <t>MPSB/MB/368
MPSB/Sur/2257
MPSB/MB/396</t>
  </si>
  <si>
    <t>18-Nov-25
24-Nov-25
24-Nov-25</t>
  </si>
  <si>
    <t>P7-BP-S12-O</t>
  </si>
  <si>
    <t>MPSB/MB/403
MPSB/Sur/2291
MPSB/MB/415</t>
  </si>
  <si>
    <t>26-Nov-25
27-Nov-25
27-Nov-25</t>
  </si>
  <si>
    <t>P7-BP-S13-O©</t>
  </si>
  <si>
    <t>MPSB/MB/398
MPSB/MB/419</t>
  </si>
  <si>
    <t>24-Nov-25
28-Nov-25</t>
  </si>
  <si>
    <t>P7-BP-S14-O</t>
  </si>
  <si>
    <t>MPSB/MB/354
MPSB/Sur/2205
MPSB/MB/361</t>
  </si>
  <si>
    <t>13-Nov-25
17-Nov-25
17-Nov-25</t>
  </si>
  <si>
    <t>P7-KS-S09a-O©</t>
  </si>
  <si>
    <t>MPSB/MB/384
MPSB/Sur/2249
MPSB/MB/391</t>
  </si>
  <si>
    <t>P7-KS-S10a-O</t>
  </si>
  <si>
    <t>MPSB/MB/404
MPSB/Sur/2285
MPSB/MB/411</t>
  </si>
  <si>
    <t>P7-KS-S11a-O©</t>
  </si>
  <si>
    <t>MPSB/MB/420
MPSB/Sur/2304
MPSB/MB/423</t>
  </si>
  <si>
    <t>28-Nov-25
29-Nov-25
29-Nov-25</t>
  </si>
  <si>
    <t>P7-KS-S12a-O</t>
  </si>
  <si>
    <t>MPSB/MB/434
MPSB/Sur/2336
MPSB/MB/435</t>
  </si>
  <si>
    <t>2-Dec-25
4-Dec-25
2-Dec-25</t>
  </si>
  <si>
    <t>P17-KS-S33-O©</t>
  </si>
  <si>
    <t>MPSB/MB/453
MPSB/Sur/2366
MPSB/MB/464</t>
  </si>
  <si>
    <t>6-Dec-25
8-Dec-25
8-Dec-25</t>
  </si>
  <si>
    <t>P17-KS-S34-O</t>
  </si>
  <si>
    <t>MPSB/MB/461
MPSB/Sur/2377
MPSB/MB/472</t>
  </si>
  <si>
    <t>7-Dec-25
9-Dec-25
9-Dec-25</t>
  </si>
  <si>
    <t>P23-BP-S09-O©</t>
  </si>
  <si>
    <t>MPSB/MB/490
MPSB/Sur/2402
MPSB/MB/491</t>
  </si>
  <si>
    <t>13-Dec-25
13-Dec-25
13-Dec-25</t>
  </si>
  <si>
    <t>P23-BP-S10-O</t>
  </si>
  <si>
    <t>MPSB/MB/508
MPSB/Sur/2445
MPSB/MB/522</t>
  </si>
  <si>
    <t>16-Dec-25
18-Dec-25
18-Dec-25</t>
  </si>
  <si>
    <t>P23-BP-S11-O©</t>
  </si>
  <si>
    <t>MPSB/MB/528
MPSB/Sur/2458
MPSB/MB/534</t>
  </si>
  <si>
    <t>20-Dec-25
21-Dec-25
21-Dec-25</t>
  </si>
  <si>
    <t>P23-BP-S12-O</t>
  </si>
  <si>
    <t>MPSB/MB/540
MPSB/Sur/2496
MPSB/MB/566</t>
  </si>
  <si>
    <t>23-Dec-25
25-Dec-25
25-Dec-25</t>
  </si>
  <si>
    <t>P23-BP-S13-O©</t>
  </si>
  <si>
    <t>MPSB/MB/569
MPSB/Sur/2512
MPSB/MB/575</t>
  </si>
  <si>
    <t>26-Dec-25
27-Dec-25
27-Dec-25</t>
  </si>
  <si>
    <t>P23-BP-S14-O</t>
  </si>
  <si>
    <t>MPSB/MB/387
MPSB/Sur/2347
MPSB/MB/452</t>
  </si>
  <si>
    <t>21-Nov-25
5-Dec-25
5-Dec-25</t>
  </si>
  <si>
    <t>P24-KS-S13-M</t>
  </si>
  <si>
    <t>MPSB/MB/462
MPSB/Sur/2376
MPSB/MB/471</t>
  </si>
  <si>
    <t>8-Dec-25
9-Dec-25
9-Dec-25</t>
  </si>
  <si>
    <t>P24-KS-S14-M©</t>
  </si>
  <si>
    <t>MPSB/MB/485
MPSB/Sur/2398
MPSB/MB/487</t>
  </si>
  <si>
    <t>12-Dec-25
12-Dec-25
12-Dec-25</t>
  </si>
  <si>
    <t>P24-KS-S15-M</t>
  </si>
  <si>
    <t>MPSB/MB/505
MPSB/Sur/2420
MPSB/MB/507</t>
  </si>
  <si>
    <t>15-Dec-25
16-Dec-25
16-Dec-25</t>
  </si>
  <si>
    <t>P24-KS-S16-M©</t>
  </si>
  <si>
    <t>MPSB/MB/527
MPSB/Sur/2451
MPSB/MB/529</t>
  </si>
  <si>
    <t>20-Dec-25
20-Dec-25
20-Dec-25</t>
  </si>
  <si>
    <t>P24-KS-S17-M</t>
  </si>
  <si>
    <t>MPSB/MB/564
MPSB/Sur/2497
MPSB/MB/567</t>
  </si>
  <si>
    <t>25-Dec-25
25-Dec-25
25-Dec-25</t>
  </si>
  <si>
    <t>P24-KS-S18-M</t>
  </si>
  <si>
    <t>MPSB/MB/595
MPSB/Sur/2578
MPSB/MB/611</t>
  </si>
  <si>
    <t>30-Dec-25
31-Dec-25
31-Dec-25</t>
  </si>
  <si>
    <t>P25-BP-S21a-O©</t>
  </si>
  <si>
    <t>MPSB/MB/506
MPSB/Sur/2433
MPSB/MB/520</t>
  </si>
  <si>
    <t>15-Dec-25
17-Dec-25
17-Dec-25</t>
  </si>
  <si>
    <t>P25-KS-S22-O</t>
  </si>
  <si>
    <t>MPSB/MB/539
MPSB/Sur/2472
MPSB/MB/541</t>
  </si>
  <si>
    <t>23-Dec-25
23-Dec-25
23-Dec-25</t>
  </si>
  <si>
    <t>P25-KS-S23-O©</t>
  </si>
  <si>
    <t>MPSB/MB/568
MPSB/Sur/2511
MPSB/MB/574</t>
  </si>
  <si>
    <t>P25-KS-S24-O</t>
  </si>
  <si>
    <t>MPSB/MB/593
MPSB/Sur/2551
MPSB/MB/596</t>
  </si>
  <si>
    <t>29-Dec-25
30-Dec-25
30-Dec-25</t>
  </si>
  <si>
    <t>P25-KS-S25-O©</t>
  </si>
  <si>
    <t>MPSB/MB/445
MPSB/Sur/2352
MPSB/MB/454</t>
  </si>
  <si>
    <t>4-Dec-25
6-Dec-25
6-Dec-25</t>
  </si>
  <si>
    <t>P7-BP-S04-O</t>
  </si>
  <si>
    <t>MPSB/MB/467
MPSB/Sur/2380
MPSB/MB/474</t>
  </si>
  <si>
    <t>8-Dec-25
10-Dec-25
10-Dec-25</t>
  </si>
  <si>
    <t>P7-BP-S05-O</t>
  </si>
  <si>
    <t>MPSB/MB/496
MPSB/Sur/2427
MPSB/MB/513</t>
  </si>
  <si>
    <t>14-Dec-25
17-Dec-25
17-Dec-25</t>
  </si>
  <si>
    <t>P7-BP-S06-O</t>
  </si>
  <si>
    <t>MPSB/MB/512
MPSB/Sur/2463
MPSB/MB/537</t>
  </si>
  <si>
    <t>17-Dec-25
22-Dec-25
22-Dec-25</t>
  </si>
  <si>
    <t>P7-BP-S07-O</t>
  </si>
  <si>
    <t>MPSB/MB/545
MPSB/Sur/2515
MPSB/MB/576</t>
  </si>
  <si>
    <t>23-Dec-25
27-Dec-25
27-Dec-25</t>
  </si>
  <si>
    <t>P7-BP-S08-O</t>
  </si>
  <si>
    <t>MPSB/MB/440
MPSB/Sur/2337
MPSB/MB/448</t>
  </si>
  <si>
    <t>3-Dec-25
4-Dec-25
4-Dec-25</t>
  </si>
  <si>
    <t>P7-BP-S15-O©</t>
  </si>
  <si>
    <t>MPSB/MB/458
MPSB/Sur/2381
MPSB/MB/468</t>
  </si>
  <si>
    <t>6-Dec-25
10-Dec-25
9-Dec-25</t>
  </si>
  <si>
    <t>P7-BP-S16-O</t>
  </si>
  <si>
    <t>MPSB/MB/476
MPSB/Sur/2415
MPSB/MB/504</t>
  </si>
  <si>
    <t>10-Dec-25
15-Dec-25
15-Dec-25</t>
  </si>
  <si>
    <t>P7-BP-S17-O©</t>
  </si>
  <si>
    <t>MPSB/MB/511
MPSB/Sur/2429
MPSB/MB/515</t>
  </si>
  <si>
    <t>17-Dec-25
17-Dec-25
17-Dec-25</t>
  </si>
  <si>
    <t>P7-BP-S18-O</t>
  </si>
  <si>
    <t>MPSB/MB/531
MPSB/Sur/2464
MPSB/MB/538</t>
  </si>
  <si>
    <t>20-Dec-25
22-Dec-25
22-Dec-25</t>
  </si>
  <si>
    <t>P7-BP-S19-O©</t>
  </si>
  <si>
    <t>MPSB/MB/552
MPSB/Sur/2495
MPSB/MB/559</t>
  </si>
  <si>
    <t>24-Dec-25
25-Dec-25
25-Dec-25</t>
  </si>
  <si>
    <t>P7-BP-S20-O</t>
  </si>
  <si>
    <t>MPSB/Sur/2531
MPSB/MB/584</t>
  </si>
  <si>
    <t>29-Dec-25
30-Dec-25</t>
  </si>
  <si>
    <t>P7-BP-S21-O©</t>
  </si>
  <si>
    <t>MPSB/MB/459
MPSB/Sur/2367
MPSB/MB/465</t>
  </si>
  <si>
    <t>P7-BP-S22-O</t>
  </si>
  <si>
    <t>MPSB/MB/477
MPSB/Sur/2399
MPSB/MB/489</t>
  </si>
  <si>
    <t>10-Dec-25
12-Dec-25
12-Dec-25</t>
  </si>
  <si>
    <t>P7-BP-S23-O©</t>
  </si>
  <si>
    <t>MPSB/MB/502
MPSB/Sur/2421
MPSB/MB/510</t>
  </si>
  <si>
    <t>P7-BP-S24-O</t>
  </si>
  <si>
    <t>MPSB/MB/521
MPSB/Sur/2449
MPSB/MB/525</t>
  </si>
  <si>
    <t>18-Dec-25
19-Dec-25
19-Dec-25</t>
  </si>
  <si>
    <t>P7-BP-S25-O©</t>
  </si>
  <si>
    <t>MPSB/MB/543
MPSB/Sur/2490
MPSB/MB/553</t>
  </si>
  <si>
    <t>23-Dec-25
24-Dec-25
24-Dec-25</t>
  </si>
  <si>
    <t>P7-BP-S26-O</t>
  </si>
  <si>
    <t>MPSB/MB/578
MPSB/Sur/2530
MPSB/MB/583</t>
  </si>
  <si>
    <t>27-Dec-25
29-Dec-25
29-Dec-25</t>
  </si>
  <si>
    <t>P7-BP-S27-O©</t>
  </si>
  <si>
    <t>MPSB/MB/444
MPSB/Sur/2344
MPSB/MB/451</t>
  </si>
  <si>
    <t>4-Dec-25
5-Dec-25
5-Dec-25</t>
  </si>
  <si>
    <t>P7-KS-S13a-O©</t>
  </si>
  <si>
    <t>MPSB/MB/466
MPSB/Sur/2379
MPSB/MB/473</t>
  </si>
  <si>
    <t>P7-KS-S14a-O</t>
  </si>
  <si>
    <t>MPSB/MB/484
MPSB/Sur/2405
MPSB/MB/493</t>
  </si>
  <si>
    <t>11-Dec-25
13-Dec-25
13-Dec-25</t>
  </si>
  <si>
    <t>P7-KS-S15a-O©</t>
  </si>
  <si>
    <t>MPSB/MB/501
MPSB/Sur/2428
MPSB/MB/514</t>
  </si>
  <si>
    <t>P7-KS-S16a-O</t>
  </si>
  <si>
    <t>MPSB/MB/535
MPSB/Sur/2491
MPSB/MB/554</t>
  </si>
  <si>
    <t>22-Dec-25
24-Dec-25
24-Dec-25</t>
  </si>
  <si>
    <t>P7-KS-S17a-O©</t>
  </si>
  <si>
    <t>MPSB/MB/601
MPSB/Sur/2552
MPSB/MB/604</t>
  </si>
  <si>
    <t>P7-KS-S18a-O</t>
  </si>
  <si>
    <t>MPSB/MB/530
MPSB/Sur/2477
MPSB/MB/542</t>
  </si>
  <si>
    <t>20-Dec-25
23-Dec-25
23-Dec-25</t>
  </si>
  <si>
    <t>P8-KS-S08-M©</t>
  </si>
  <si>
    <t>MPSB/Sur/2516
MPSB/MB/577</t>
  </si>
  <si>
    <t>27-Dec-25
27-Dec-25</t>
  </si>
  <si>
    <t>P8-KS-S09-M</t>
  </si>
  <si>
    <t>MPSB/MB/819
MPSB/Sur/2786
MPSB/MB/826</t>
  </si>
  <si>
    <t>27-Jan-26
28-Jan-26
28-Jan-26</t>
  </si>
  <si>
    <t>P23-KS-S22a-O</t>
  </si>
  <si>
    <t>MPSB/MB/881
MPSB/Sur/2838
MPSB/MB/883</t>
  </si>
  <si>
    <t>P23-KS-S23a-O©</t>
  </si>
  <si>
    <t>MPSB/MB/644
MPSB/Sur/2626
MPSB/MB/676</t>
  </si>
  <si>
    <t>6-Jan-26
8-Jan-26
8-Jan-26</t>
  </si>
  <si>
    <t>P23-BP-S15-O©</t>
  </si>
  <si>
    <t>MPSB/MB/688
MPSB/Sur/2661
MPSB/MB/697</t>
  </si>
  <si>
    <t>10-Jan-26
12-Jan-26
12-Jan-26</t>
  </si>
  <si>
    <t>P23-BP-S16-O</t>
  </si>
  <si>
    <t>MPSB/MB/728
MPSB/Sur/2693
MPSB/MB/742</t>
  </si>
  <si>
    <t>14-Jan-26
16-Jan-26
16-Jan-26</t>
  </si>
  <si>
    <t>P23-BP-S17-O©</t>
  </si>
  <si>
    <t>MPSB/MB/748
MPSB/Sur/2716
MPSB/MB/753</t>
  </si>
  <si>
    <t>17-Jan-26
19-Jan-26
19-Jan-26</t>
  </si>
  <si>
    <t>P23-BP-S18-O</t>
  </si>
  <si>
    <t>MPSB/MB/791
MPSB/Sur/2764
MPSB/MB/797</t>
  </si>
  <si>
    <t>23-Jan-26
24-Jan-26
24-Jan-26</t>
  </si>
  <si>
    <t>P23-BP-S19-O©</t>
  </si>
  <si>
    <t>MPSB/MB/843
MPSB/Sur/2820
MPSB/MB/847</t>
  </si>
  <si>
    <t>30-Jan-26
31-Jan-26
31-Jan-26</t>
  </si>
  <si>
    <t>P23-BP-S20-O</t>
  </si>
  <si>
    <t>MPSB/MB/610
MPSB/Sur/2594
MPSB/MB/618</t>
  </si>
  <si>
    <t>31-Dec-25
3-Jan-26
3-Jan-26</t>
  </si>
  <si>
    <t>P25-KS-S26-O</t>
  </si>
  <si>
    <t>MPSB/MB/642
MPSB/Sur/2614
MPSB/MB/645</t>
  </si>
  <si>
    <t>5-Jan-26
6-Jan-26
6-Jan-26</t>
  </si>
  <si>
    <t>P25-KS-S27-O©</t>
  </si>
  <si>
    <t>MPSB/Sur/2644
MPSB/MB/685</t>
  </si>
  <si>
    <t>9-Jan-26
9-Jan-26</t>
  </si>
  <si>
    <t>P25-KS-S28-O</t>
  </si>
  <si>
    <t>MPSB/MB/696
MPSB/Sur/2680
MPSB/MB/729</t>
  </si>
  <si>
    <t>12-Jan-26
14-Jan-26
14-Jan-26</t>
  </si>
  <si>
    <t>P25-KS-S29-O©</t>
  </si>
  <si>
    <t>MPSB/MB/747
MPSB/Sur/2706
MPSB/MB/751</t>
  </si>
  <si>
    <t>17-Jan-26
18-Jan-26
18-Jan-26</t>
  </si>
  <si>
    <t>P25-KS-S30-O</t>
  </si>
  <si>
    <t>MPSB/MB/781
MPSB/Sur/2749
MPSB/MB/792</t>
  </si>
  <si>
    <t>22-Jan-26
23-Jan-26
23-Jan-26</t>
  </si>
  <si>
    <t>P25-KS-S31-O©</t>
  </si>
  <si>
    <t>MPSB/MB/842
MPSB/Sur/2821
MPSB/MB/848</t>
  </si>
  <si>
    <t>P25-KS-S32-O</t>
  </si>
  <si>
    <t>MPSB/MB/790
MPSB/Sur/2781
MPSB/MB/818</t>
  </si>
  <si>
    <t>23-Jan-26
27-Jan-26
27-Jan-26</t>
  </si>
  <si>
    <t>P25-KS-S01-O</t>
  </si>
  <si>
    <t>MPSB/MB/767
MPSB/Sur/2741
MPSB/MB/777</t>
  </si>
  <si>
    <t>20-Jan-26
22-Jan-26
22-Jan-26</t>
  </si>
  <si>
    <t>P25-BP-S22a-O</t>
  </si>
  <si>
    <t>MPSB/MB/820
MPSB/Sur/2787
MPSB/MB/827</t>
  </si>
  <si>
    <t>P25-BP-S23a-O©</t>
  </si>
  <si>
    <t>MPSB/MB/882
MPSB/Sur/2839
MPSB/MB/884</t>
  </si>
  <si>
    <t>P25-BP-S24a-O</t>
  </si>
  <si>
    <t>MPSB/Sur/2672
MPSB/MB/712</t>
  </si>
  <si>
    <t>13-Jan-26
13-Jan-26</t>
  </si>
  <si>
    <t>P6-BP-S01a-E</t>
  </si>
  <si>
    <t>MPSB/MB/735
MPSB/Sur/2690
MPSB/MB/737</t>
  </si>
  <si>
    <t>15-Jan-26
16-Jan-26
16-Jan-26</t>
  </si>
  <si>
    <t>P6-BP-S01-E</t>
  </si>
  <si>
    <t>MPSB/MB/756
MPSB/Sur/2721
MPSB/MB/763</t>
  </si>
  <si>
    <t>19-Jan-26
20-Jan-26
20-Jan-26</t>
  </si>
  <si>
    <t>P6-BP-S02-E</t>
  </si>
  <si>
    <t>MPSB/MB/789
MPSB/Sur/2776
MPSB/MB/810</t>
  </si>
  <si>
    <t>P6-BP-S03-E</t>
  </si>
  <si>
    <t>MPSB/Sur/2815
MPSB/MB/841</t>
  </si>
  <si>
    <t>30-Jan-26
30-Jan-26</t>
  </si>
  <si>
    <t>P6-BP-S04-E</t>
  </si>
  <si>
    <t>MPSB/MB/833
MPSB/Sur/2813
MPSB/MB/838</t>
  </si>
  <si>
    <t>29-Jan-26
30-Jan-26
30-Jan-26</t>
  </si>
  <si>
    <t>P7-KS-S23a-O©</t>
  </si>
  <si>
    <t>MPSB/MB/806
MPSB/Sur/2777
MPSB/MB/811</t>
  </si>
  <si>
    <t>25-Jan-26
27-Jan-26
27-Jan-26</t>
  </si>
  <si>
    <t>P7-KS-S22a-O</t>
  </si>
  <si>
    <t>MPSB/MB/726
MPSB/Sur/2692
MPSB/MB/739</t>
  </si>
  <si>
    <t>P7-KS-S21a-O©</t>
  </si>
  <si>
    <t>MPSB/MB/686
MPSB/Sur/2662
MPSB/MB/700</t>
  </si>
  <si>
    <t>P7-KS-S20a-O</t>
  </si>
  <si>
    <t>MPSB/MB/630
MPSB/Sur/2615
MPSB/MB/654</t>
  </si>
  <si>
    <t>P7-KS-S19a-O©</t>
  </si>
  <si>
    <t>MPSB/MB/831
MPSB/Sur/2814
MPSB/MB/839</t>
  </si>
  <si>
    <t>P7-KS-S08a-O</t>
  </si>
  <si>
    <t>MPSB/MB/787
MPSB/Sur/2762
MPSB/MB/793</t>
  </si>
  <si>
    <t>P7-KS-S07a-O</t>
  </si>
  <si>
    <t>MPSB/MB/755
MPSB/Sur/2722
MPSB/MB/764</t>
  </si>
  <si>
    <t>P7-KS-S06a-O</t>
  </si>
  <si>
    <t>MPSB/MB/734
MPSB/Sur/2691
MPSB/MB/738</t>
  </si>
  <si>
    <t>P7-KS-S05a-O</t>
  </si>
  <si>
    <t>MPSB/MB/710
MPSB/Sur/2671
MPSB/MB/711</t>
  </si>
  <si>
    <t>13-Jan-26
13-Jan-26
13-Jan-26</t>
  </si>
  <si>
    <t>P7-KS-S04a-O</t>
  </si>
  <si>
    <t>MPSB/MB/665
MPSB/Sur/2665
MPSB/MB/695</t>
  </si>
  <si>
    <t>8-Jan-26
11-Jan-26
11-Jan-26</t>
  </si>
  <si>
    <t>P7-KS-S03a-O</t>
  </si>
  <si>
    <t>MPSB/MB/628
MPSB/Sur/2611
MPSB/MB/636</t>
  </si>
  <si>
    <t>4-Jan-26
5-Jan-26
5-Jan-26</t>
  </si>
  <si>
    <t>P7-KS-S02a-O</t>
  </si>
  <si>
    <t>MPSB/MB/603
MPSB/Sur/2587
MPSB/MB/615</t>
  </si>
  <si>
    <t>30-Dec-26
2-Jan-26
2-Jan-26</t>
  </si>
  <si>
    <t>P7-KS-S01a-O</t>
  </si>
  <si>
    <t>MPSB/MB/602
MPSB/Sur/2586
MPSB/MB/614</t>
  </si>
  <si>
    <t>P7-BP-S28-O</t>
  </si>
  <si>
    <t>MPSB/MB/629
MPSB/Sur/2616
MPSB/MB/655</t>
  </si>
  <si>
    <t>P7-BP-S29-O©</t>
  </si>
  <si>
    <t>MPSB/MB/657
MPSB/Sur/2639
MPSB/MB/678</t>
  </si>
  <si>
    <t>7-Jan-26
9-Jan-26
9-Jan-26</t>
  </si>
  <si>
    <t>P7-BP-S30-O</t>
  </si>
  <si>
    <t>MPSB/MB/689
MPSB/Sur/2679
MPSB/MB/727</t>
  </si>
  <si>
    <t>11-Jan-26
14-Jan-26
14-Jan-26</t>
  </si>
  <si>
    <t>P7-BP-S31-O©</t>
  </si>
  <si>
    <t>MPSB/MB/741
MPSB/Sur/2719
MPSB/MB/757</t>
  </si>
  <si>
    <t>16-Jan-26
19-Jan-26
19-Jan-26</t>
  </si>
  <si>
    <t>P7-BP-S32-O</t>
  </si>
  <si>
    <t>MPSB/MB/770
MPSB/Sur/2739
MPSB/MB/774</t>
  </si>
  <si>
    <t>21-Jan-26
22-Jan-26
22-Jan-26</t>
  </si>
  <si>
    <t>P7-BP-S33-O©</t>
  </si>
  <si>
    <t>MPSB/MB/808
MPSB/Sur/2797
MPSB/MB/829</t>
  </si>
  <si>
    <t>25-Jan-26
29-Jan-26
29-Jan-26</t>
  </si>
  <si>
    <t>P7-BP-S34-O</t>
  </si>
  <si>
    <t>MPSB/MB/854
MPSB/Sur/2831
MPSB/MB/874</t>
  </si>
  <si>
    <t>P8-KS-S16-M©</t>
  </si>
  <si>
    <t>MPSB/MB/807
MPSB/Sur/2798
MPSB/MB/830</t>
  </si>
  <si>
    <t>P8-KS-S15-M</t>
  </si>
  <si>
    <t>MPSB/MB/769
MPSB/Sur/2740
MPSB/MB/775</t>
  </si>
  <si>
    <t>P8-KS-S14-M©</t>
  </si>
  <si>
    <t>MPSB/MB/745
MPSB/Sur/2720
MPSB/MB/758</t>
  </si>
  <si>
    <t>P8-KS-S13-M</t>
  </si>
  <si>
    <t>MPSB/MB/705
MPSB/Sur/2678
MPSB/MB/721</t>
  </si>
  <si>
    <t>P8-KS-S12-M©</t>
  </si>
  <si>
    <t>MPSB/MB/656
MPSB/Sur/2625
MPSB/MB/666</t>
  </si>
  <si>
    <t>7-Jan-26
8-Jan-26
8-Jan-26</t>
  </si>
  <si>
    <t>P8-KS-S11-M</t>
  </si>
  <si>
    <t>MPSB/MB/619
MPSB/Sur/2610
MPSB/MB/631</t>
  </si>
  <si>
    <t>3-Jan-26
5-Jan-26
5-Jan-26</t>
  </si>
  <si>
    <t>P8-KS-S10-M©</t>
  </si>
  <si>
    <t>MPSB/MB/853
MPSB/Sur/2850
MPSB/MB/892</t>
  </si>
  <si>
    <t>31-Jan-26
3-Feb-26
3-Feb-26</t>
  </si>
  <si>
    <t>P6-BP-S05-E</t>
  </si>
  <si>
    <t>MPSB/MB/910
MPSB/Sur/2888
MPSB/MB/937</t>
  </si>
  <si>
    <t>5-Feb-26
8-Feb-26
8-Feb-26</t>
  </si>
  <si>
    <t>P6-BP-S06-E</t>
  </si>
  <si>
    <t>MPSB/MB/867
MPSB/Sur/2832
MPSB/MB/875</t>
  </si>
  <si>
    <t>P7-KS-S24a-O</t>
  </si>
  <si>
    <t>MPSB/MB/931
MPSB/Sur/2896
MPSB/MB/942</t>
  </si>
  <si>
    <t>7-Feb-26
9-Feb-26
9-Feb-26</t>
  </si>
  <si>
    <t>P7-KS-S25a-O©</t>
  </si>
  <si>
    <t>MPSB/MB/980
MPSB/Sur/2941
MPSB/MB/999</t>
  </si>
  <si>
    <t>13-Feb-26
16-Feb-26
16-Feb-26</t>
  </si>
  <si>
    <t>P7-KS-S26a-O</t>
  </si>
  <si>
    <t>MPSB/MB/1000
MPSB/Sur/2959
MPSB/MB/1030</t>
  </si>
  <si>
    <t>16-Feb-26
19-Feb-26
19-Feb-26</t>
  </si>
  <si>
    <t>P7-KS-S27a-O©</t>
  </si>
  <si>
    <t>MPSB/MB/923
MPSB/Sur/2987
MPSB/MB/1073</t>
  </si>
  <si>
    <t>6-Feb-26
24-Feb-26
24-Feb-26</t>
  </si>
  <si>
    <t>P7-KS-S28a-O</t>
  </si>
  <si>
    <t>MPSB/MB/1082
MPSB/Sur/3011
MPSB/MB/1089</t>
  </si>
  <si>
    <t>25-Feb-26
26-Feb-26
26-Feb-26</t>
  </si>
  <si>
    <t>P7-KS-S29a-O©</t>
  </si>
  <si>
    <t>MPSB/MB/912
MPSB/Sur/2882
MPSB/MB/932</t>
  </si>
  <si>
    <t>5-Feb-26
7-Feb-26
7-Feb-26</t>
  </si>
  <si>
    <t>P8-KS-S17-M</t>
  </si>
  <si>
    <t>MPSB/MB/943
MPSB/Sur/2930
MPSB/MB/989</t>
  </si>
  <si>
    <t>9-Feb-26
14-Feb-26
14-Feb-26</t>
  </si>
  <si>
    <t>P8-KS-S18-M</t>
  </si>
  <si>
    <t>MPSB/MB/1048
MPSB/Sur/3005
MPSB/MB/1081</t>
  </si>
  <si>
    <t>23-Feb-26
25-Feb-26
25-Feb-26</t>
  </si>
  <si>
    <t>P8-BP-S08-M©</t>
  </si>
  <si>
    <t>MPSB/MB/1095
MPSB/Sur/3023
MPSB/MB/1101</t>
  </si>
  <si>
    <t>26-Feb-26
27-Feb-26
27-Feb-26</t>
  </si>
  <si>
    <t>P8-BP-S09-M</t>
  </si>
  <si>
    <t>MPSB/MB/943
MPSB/Sur/2859
MPSB/MB/911</t>
  </si>
  <si>
    <t>9-Feb-26
5-Feb-26
5-Feb-26</t>
  </si>
  <si>
    <t>P9-KS-S01-O</t>
  </si>
  <si>
    <t>MPSB/MB/944
MPSB/Sur/2917
MPSB/MB/964</t>
  </si>
  <si>
    <t>9-Feb-26
11-Feb-26
11-Feb-26</t>
  </si>
  <si>
    <t>P9-KS-S02-O</t>
  </si>
  <si>
    <t>MPSB/MB/1003
MPSB/Sur/2946
MPSB/MB/1009</t>
  </si>
  <si>
    <t>17-Feb-26
17-Feb-26
17-Feb-26</t>
  </si>
  <si>
    <t>P9-KS-S03-O</t>
  </si>
  <si>
    <t>MPSB/MB/1028
MPSB/Sur/2975
MPSB/MB/1042</t>
  </si>
  <si>
    <t>19-Feb-26
21-Feb-26
21-Feb-26</t>
  </si>
  <si>
    <t>P9-KS-S04-O</t>
  </si>
  <si>
    <t>MPSB/MB/1050
MPSB/Sur/3004
MPSB/MB/1080</t>
  </si>
  <si>
    <t>P9-KS-S05-O</t>
  </si>
  <si>
    <t>MPSB/MB/1091
MPSB/Sur/3013
MPSB/MB/1096</t>
  </si>
  <si>
    <t>P9-KS-S06-O</t>
  </si>
  <si>
    <t>MPSB/MB/1102
MPSB/Sur/3049
MPSB/MB/1126</t>
  </si>
  <si>
    <t>27-Feb-26
28-Feb-26
28-Feb-26</t>
  </si>
  <si>
    <t>P9-KS-S07-O</t>
  </si>
  <si>
    <t>MPSB/MB/930
MPSB/Sur/2895
MPSB/MB/941</t>
  </si>
  <si>
    <t>P9-BP-S09a-O©</t>
  </si>
  <si>
    <t>MPSB/MB/895
MPSB/Sur/2929
MPSB/MB/988</t>
  </si>
  <si>
    <t>3-Feb-26
14-Feb-26
14-Feb-26</t>
  </si>
  <si>
    <t>P9-BP-S10a-O</t>
  </si>
  <si>
    <t>MPSB/MB/1002
MPSB/Sur/2945
MPSB/MB/1008</t>
  </si>
  <si>
    <t>P9-BP-S11a-O©</t>
  </si>
  <si>
    <t>MPSB/MB/1019
MPSB/Sur/2958
MPSB/MB/1029</t>
  </si>
  <si>
    <t>18-Feb-26
19-Feb-26
19-Feb-26</t>
  </si>
  <si>
    <t>P9-BP-S12a-O</t>
  </si>
  <si>
    <t>MPSB/MB/1049
MPSB/Sur/2986
MPSB/MB/1072</t>
  </si>
  <si>
    <t>23-Feb-26
24-Feb-26
24-Feb-26</t>
  </si>
  <si>
    <t>P9-BP-S13a-O©</t>
  </si>
  <si>
    <t>MPSB/MB/1083
MPSB/Sur/3012
MPSB/MB/1092</t>
  </si>
  <si>
    <t>P9-BP-S14a-O</t>
  </si>
  <si>
    <t>MPSB/MB/1093
MPSB/Sur/3047
MPSB/MB/1124</t>
  </si>
  <si>
    <t>26-Feb-26
28-Feb-26
28-Feb-26</t>
  </si>
  <si>
    <t>P9-BP-S15a-O©</t>
  </si>
  <si>
    <t>MPSB/MB/1094
MPSB/Sur/3024
MPSB/MB/1125</t>
  </si>
  <si>
    <t>26-Feb-26
27-Feb-26
28-Feb-26</t>
  </si>
  <si>
    <t>P10-KS-S01a-E</t>
  </si>
  <si>
    <t>MPSB/MB/928
MPSB/Sur/2885
MPSB/MB/936</t>
  </si>
  <si>
    <t>6-Feb-26
7-Feb-26
7-Feb-26</t>
  </si>
  <si>
    <t>P23-KS-S24a-O</t>
  </si>
  <si>
    <t>MPSB/MB/956
MPSB/Sur/2916
MPSB/MB/962</t>
  </si>
  <si>
    <t>10-Feb-26
11-Feb-26
11-Feb-26</t>
  </si>
  <si>
    <t>P23-KS-S25a-O©</t>
  </si>
  <si>
    <t>MPSB/MB/984
MPSB/Sur/2933
MPSB/MB/995</t>
  </si>
  <si>
    <t>13-Feb-26
14-Feb-26
14-Feb-26</t>
  </si>
  <si>
    <t>P23-KS-S26a-O</t>
  </si>
  <si>
    <t>MPSB/MB/1013
MPSB/Sur/2950
MPSB/MB/1012</t>
  </si>
  <si>
    <t>P23-KS-S27a-O©</t>
  </si>
  <si>
    <t>MPSB/MB/1023
MPSB/Sur/2968
MPSB/MB/1037</t>
  </si>
  <si>
    <t>18-Feb-26
20-Feb-26
20-Feb-26</t>
  </si>
  <si>
    <t>P23-KS-S28a-O</t>
  </si>
  <si>
    <t>MPSB/MB/1023
MPSB/Sur/2985
MPSB/MB/1064</t>
  </si>
  <si>
    <t>18-Feb-26
24-Feb-26
24-Feb-26</t>
  </si>
  <si>
    <t>P23-KS-S29a-O©</t>
  </si>
  <si>
    <t>MPSB/MB/1066
MPSB/Sur/3026
MPSB/MB/1108</t>
  </si>
  <si>
    <t>24-Feb-26
27-Feb-26
27-Feb-26</t>
  </si>
  <si>
    <t>P23-KS-S30a-O</t>
  </si>
  <si>
    <t>MPSB/MB/1099
MPSB/Sur/3030
MPSB/MB/1114</t>
  </si>
  <si>
    <t>P23-KS-S31a-O©</t>
  </si>
  <si>
    <t>MPSB/MB/927
MPSB/Sur/2897
MPSB/MB/948</t>
  </si>
  <si>
    <t>6-Feb-26
9-Feb-26
9-Feb-26</t>
  </si>
  <si>
    <t>P23-BP-S21-O©</t>
  </si>
  <si>
    <t>MPSB/MB/1061
MPSB/Sur/3002
MPSB/MB/1075</t>
  </si>
  <si>
    <t>P23-BP-S22-O</t>
  </si>
  <si>
    <t>MPSB/MB/1040
MPSB/Sur/3025
MPSB/MB/1107</t>
  </si>
  <si>
    <t>20-Feb-26
27-Feb-26
27-Feb-26</t>
  </si>
  <si>
    <t>P23-BP-S23-O©</t>
  </si>
  <si>
    <t>MPSB/MB/1113
MPSB/Sur/3029
MPSB/MB/1112</t>
  </si>
  <si>
    <t>28-Feb-26
28-Feb-26
28-Feb-26</t>
  </si>
  <si>
    <t>P23-BP-S24-O</t>
  </si>
  <si>
    <t>MPSB/MB/940
MPSB/Sur/2898
MPSB/MB/949</t>
  </si>
  <si>
    <t>8-Feb-26
9-Feb-26
9-Feb-26</t>
  </si>
  <si>
    <t>P25-KS-S33-O©</t>
  </si>
  <si>
    <t>MPSB/MB/970
MPSB/Sur/2925
MPSB/MB/987</t>
  </si>
  <si>
    <t>12-Feb-26
13-Feb-26
13-Feb-26</t>
  </si>
  <si>
    <t>P25-KS-S34-O</t>
  </si>
  <si>
    <t>MPSB/MB/888
MPSB/Sur/2849
MPSB/MB/891</t>
  </si>
  <si>
    <t>2-Feb-26
3-Feb-26
3-Feb-26</t>
  </si>
  <si>
    <t>P25-KS-S02-O</t>
  </si>
  <si>
    <t>MPSB/MB/939
MPSB/Sur/2903
MPSB/MB/958</t>
  </si>
  <si>
    <t>8-Feb-26
10-Feb-26
10-Feb-26</t>
  </si>
  <si>
    <t>P25-KS-S03-O</t>
  </si>
  <si>
    <t>MPSB/MB/983
MPSB/Sur/2932
MPSB/MB/994</t>
  </si>
  <si>
    <t>P25-KS-S04-O</t>
  </si>
  <si>
    <t>MPSB/MB/1014
MPSB/Sur/2953
MPSB/MB/1021</t>
  </si>
  <si>
    <t>17-Feb-26
18-Feb-26
18-Feb-26</t>
  </si>
  <si>
    <t>P25-KS-S05-O</t>
  </si>
  <si>
    <t>MPSB/MB/1045
MPSB/Sur/2979
MPSB/MB/1058</t>
  </si>
  <si>
    <t>21-Feb-26
23-Feb-26
23-Feb-26</t>
  </si>
  <si>
    <t>P25-KS-S06-O</t>
  </si>
  <si>
    <t>MPSB/MB/1100
MPSB/Sur/3031
MPSB/MB/1115</t>
  </si>
  <si>
    <t>P25-KS-S07-O</t>
  </si>
  <si>
    <t>MPSB/MB/957
MPSB/Sur/2915
MPSB/MB/961</t>
  </si>
  <si>
    <t>P25-BP-S25a-O©</t>
  </si>
  <si>
    <t>MPSB/MB/982
MPSB/Sur/2937
MPSB/MB/998</t>
  </si>
  <si>
    <t>13-Feb-26
15-Feb-26
15-Feb-26</t>
  </si>
  <si>
    <t>P25-BP-S26a-O</t>
  </si>
  <si>
    <t>MPSB/MB/1015
MPSB/Sur/2954
MPSB/MB/1022</t>
  </si>
  <si>
    <t>P25-BP-S27a-O©</t>
  </si>
  <si>
    <t>MPSB/MB/1024
MPSB/Sur/2969
MPSB/MB/1038</t>
  </si>
  <si>
    <t>P25-BP-S28a-O</t>
  </si>
  <si>
    <t>MPSB/MB/1039
MPSB/Sur/2980
MPSB/MB/1059</t>
  </si>
  <si>
    <t>20-Feb-26
23-Feb-26
23-Feb-26</t>
  </si>
  <si>
    <t>P25-BP-S29a-O©</t>
  </si>
  <si>
    <t>MPSB/MB/1065
MPSB/Sur/3014
MPSB/MB/1097</t>
  </si>
  <si>
    <t>24-Feb-26
26-Feb-26
26-Feb-26</t>
  </si>
  <si>
    <t>P25-BP-S30a-O</t>
  </si>
  <si>
    <t>MPSB/MB/1119
MPSB/Sur/3033
MPSB/MB/1120</t>
  </si>
  <si>
    <t>P25-BP-S31a-O©</t>
  </si>
  <si>
    <t>MPSB/MB/1060
MPSB/Sur/3003
MPSB/MB/1076</t>
  </si>
  <si>
    <t>P26-KS-S01a-E</t>
  </si>
  <si>
    <t>MPSB/MB/1109
MPSB/Sur/3032
MPSB/MB/1116</t>
  </si>
  <si>
    <t>P26-KS-S01-E</t>
  </si>
  <si>
    <t>MPSB/MB/1121
MPSB/Sur/3034
MPSB/MB/1122</t>
  </si>
  <si>
    <t>P26-KS-S02-E</t>
  </si>
  <si>
    <t>MPSB/MB/1090
MPSB/Sur/3065
MPSB/MB/1161</t>
  </si>
  <si>
    <t>26-Feb-26
6-Mar-26
6-Mar-26</t>
  </si>
  <si>
    <t>P7-KS-S30a-O</t>
  </si>
  <si>
    <t>MPSB/MB/1200
MPSB/Sur/3085
MPSB/MB/1206</t>
  </si>
  <si>
    <t>9-Mar-26
10-Mar-26
10-Mar-26</t>
  </si>
  <si>
    <t>P7-KS-S31a-O©</t>
  </si>
  <si>
    <t>MPSB/MB/1244
MPSB/Sur/3122
MPSB/Str/4118</t>
  </si>
  <si>
    <t>12-Mar-26
14-Mar-26
14-Mar-26</t>
  </si>
  <si>
    <t>P7-KS-S32a-O</t>
  </si>
  <si>
    <t>MPSB/MB/1298
MPSB/Sur/3144
MPSB/MB/1303</t>
  </si>
  <si>
    <t>18-Mar-26
19-Mar-26
19-Mar-26</t>
  </si>
  <si>
    <t>P7-KS-S33a-O©</t>
  </si>
  <si>
    <t>MPSB/MB/1344
MPSB/Sur/3177
MPSB/MB/1362</t>
  </si>
  <si>
    <t>24-Mar-26
26-Mar-26
26-Mar-26</t>
  </si>
  <si>
    <t>P7-KS-S34a-O</t>
  </si>
  <si>
    <t>MPSB/MB/1160
MPSB/Sur/3072
MPSB/MB/1176</t>
  </si>
  <si>
    <t>6-Mar-26
7-Mar-26
7-Mar-26</t>
  </si>
  <si>
    <t>P8-BP-S10-M©</t>
  </si>
  <si>
    <t>MPSB/MB/1231
MPSB/Sur/3107
MPSB/MB/1247</t>
  </si>
  <si>
    <t>11-Mar-26
12-Mar-26
12-Mar-26</t>
  </si>
  <si>
    <t>P8-BP-S11-M</t>
  </si>
  <si>
    <t>MPSB/MB/1278
MPSB/Sur/3139
MPSB/MB/1288</t>
  </si>
  <si>
    <t>16-Mar-26
17-Mar-26
17-Mar-26</t>
  </si>
  <si>
    <t>P8-BP-S12-M©</t>
  </si>
  <si>
    <t>MPSB/MB/1335
MPSB/Sur/3165
MPSB/MB/1341</t>
  </si>
  <si>
    <t>23-Mar-26
24-Mar-26
24-Mar-26</t>
  </si>
  <si>
    <t>P8-BP-S13-M</t>
  </si>
  <si>
    <t>MPSB/MB/1370
MPSB/Sur/3192
MPSB/MB/1389</t>
  </si>
  <si>
    <t>27-Mar-26
29-Mar-26
29-Mar-26</t>
  </si>
  <si>
    <t>P8-BP-S14-M©</t>
  </si>
  <si>
    <t>MPSB/MB/1399
MPSB/Sur/3229
MPSB/MB/1419</t>
  </si>
  <si>
    <t>P8-BP-S15-M</t>
  </si>
  <si>
    <t>MPSB/MB/1265
MPSB/Sur/3134
MPSB/MB/1275</t>
  </si>
  <si>
    <t>14-Mar-26
17-Mar-26
16-Mar-26</t>
  </si>
  <si>
    <t>P8-KS-S01-M</t>
  </si>
  <si>
    <t>MPSB/MB/1345
MPSB/Sur/3175
MPSB/MB/1358</t>
  </si>
  <si>
    <t>P8-KS-S02-M</t>
  </si>
  <si>
    <t>MPSB/MB/1388
MPSB/Sur/3211
MPSB/MB/1401</t>
  </si>
  <si>
    <t>29-Mar-26
31-Mar-26
31-Mar-26</t>
  </si>
  <si>
    <t>P8-KS-S03-M</t>
  </si>
  <si>
    <t>MPSB/MB/1158
MPSB/Sur/3066
MPSB/MB/1162</t>
  </si>
  <si>
    <t>6-Mar-26
6-Mar-26
7-Mar-26</t>
  </si>
  <si>
    <t>P9-KS-S08-O</t>
  </si>
  <si>
    <t>MPSB/MB/1177
MPSB/Sur/3077
MPSB/MB/1191</t>
  </si>
  <si>
    <t>7-Mar-26
8-Mar-26
8-Mar-26</t>
  </si>
  <si>
    <t>P9-BP-S16a-O</t>
  </si>
  <si>
    <t>MPSB/MB/1190
MPSB/Sur/3100
MPSB/MB/1232</t>
  </si>
  <si>
    <t>9-Mar-26
11-Mar-26
11-Mar-26</t>
  </si>
  <si>
    <t>P9-BP-S17a-O©</t>
  </si>
  <si>
    <t>MPSB/MB/1257
MPSB/Sur/3062
MPSB/str/4107</t>
  </si>
  <si>
    <t>13-Mar-26
14-Mar-26
14-Mar-26</t>
  </si>
  <si>
    <t>P9-BP-S18a-O</t>
  </si>
  <si>
    <t>MPSB/MB/1302
MPSB/Sur/3153
MPSB/MB/1311</t>
  </si>
  <si>
    <t>19-Mar-26
20-Mar-26
20-Mar-26</t>
  </si>
  <si>
    <t>P9-BP-S19a-O©</t>
  </si>
  <si>
    <t>MPSB/MB/1343
MPSB/Sur/3176
MPSB/MB/1360</t>
  </si>
  <si>
    <t>P9-BP-S20a-O</t>
  </si>
  <si>
    <t>MPSB/MB/1387
MPSB/Sur/3210
MPSB/MB/1398</t>
  </si>
  <si>
    <t>P9-BP-S21a-O©</t>
  </si>
  <si>
    <t>MPSB/MB/1159
MPSB/Sur/3067
MPSB/MB/1163</t>
  </si>
  <si>
    <t>6-Mar-26
6-Mar-26
6-Mar-26</t>
  </si>
  <si>
    <t>P10-KS-S01-E</t>
  </si>
  <si>
    <t>MPSB/MB/1230
MPSB/Sur/3106
MPSB/MB/1246</t>
  </si>
  <si>
    <t>P10-KS-S02-E</t>
  </si>
  <si>
    <t>MPSB/MB/1277
MPSB/Sur/3140
MPSB/MB/1289</t>
  </si>
  <si>
    <t>P10-KS-S03-E</t>
  </si>
  <si>
    <t>MPSB/MB/1336
MPSB/Sur/3166
MPSB/MB/1342</t>
  </si>
  <si>
    <t>P10-KS-S04-E</t>
  </si>
  <si>
    <t>MPSB/MB/1361
MPSB/Sur/3183
MPSB/MB/1377</t>
  </si>
  <si>
    <t>26-Mar-26
28-Mar-26
28-Mar-26</t>
  </si>
  <si>
    <t>P10-KS-S05-E</t>
  </si>
  <si>
    <t>MPSB/MB/1400
MPSB/Sur/3227
MPSB/MB/1417</t>
  </si>
  <si>
    <t>P10-KS-S06-E</t>
  </si>
  <si>
    <t>MPSB/MB/1352
MPSB/Sur/3179
MPSB/MB/1363</t>
  </si>
  <si>
    <t>P21-KS-S09-O©</t>
  </si>
  <si>
    <t>MPSB/MB/1382
MPSB/Sur/3217
MPSB/MB/1407</t>
  </si>
  <si>
    <t>28-Mar-26
31-Mar-26
31-Mar-26</t>
  </si>
  <si>
    <t>P21-KS-S10-O</t>
  </si>
  <si>
    <t>MPSB/MB/1413
MPSB/Sur/3225
MPSB/MB/1414</t>
  </si>
  <si>
    <t>P21-KS-S11-O©</t>
  </si>
  <si>
    <t>MPSB/MB/1145
MPSB/Sur/3061
MPSB/MB/1147</t>
  </si>
  <si>
    <t>5-Mar-26
5-Mar-26
5-Mar-26</t>
  </si>
  <si>
    <t>P23-KS-S32a-O</t>
  </si>
  <si>
    <t>MPSB/MB/1210
MPSB/Sur/3104
MPSB/MB/1241</t>
  </si>
  <si>
    <t>10-Mar-26
12-Mar-26
12-Mar-26</t>
  </si>
  <si>
    <t>P23-KS-S33a-O©</t>
  </si>
  <si>
    <t>MPSB/MB/1322
MPSB/Sur/3127
MPSB/MB/1269</t>
  </si>
  <si>
    <t>P23-KS-S34a-O</t>
  </si>
  <si>
    <t>MPSB/MB/1233
MPSB/Sur/3101
MPSB/MB/1235</t>
  </si>
  <si>
    <t>11-Mar-26
11-Mar-26
11-Mar-26</t>
  </si>
  <si>
    <t>P23-KS-S01a-O</t>
  </si>
  <si>
    <t>MPSB/MB/1262
MPSB/Sur/3128
MPSB/MB/1270</t>
  </si>
  <si>
    <t>13-Mar-26
16-Mar-26
16-Mar-26</t>
  </si>
  <si>
    <t>P23-KS-S02a-O</t>
  </si>
  <si>
    <t>MPSB/MB/1299
MPSB/Sur/3157
MPSB/MB/1330</t>
  </si>
  <si>
    <t>18-Mar-26
21-Mar-26
21-Mar-26</t>
  </si>
  <si>
    <t>P23-KS-S03a-O</t>
  </si>
  <si>
    <t>MPSB/MB/1338
MPSB/Sur/3167
MPSB/MB/1350</t>
  </si>
  <si>
    <t>P23-KS-S04a-O</t>
  </si>
  <si>
    <t>MPSB/MB/1372
MPSB/Sur/3186
MPSB/MB/1379</t>
  </si>
  <si>
    <t>27-Mar-26
28-Mar-26
28-Mar-26</t>
  </si>
  <si>
    <t>P23-KS-S05a-O</t>
  </si>
  <si>
    <t>MPSB/MB/1402
MPSB/Sur/3222
MPSB/MB/1410</t>
  </si>
  <si>
    <t>P23-KS-S06a-O</t>
  </si>
  <si>
    <t>MPSB/MB/1409
MPSB/Sur/3224
MPSB/MB/1412</t>
  </si>
  <si>
    <t>P23-KS-S07a-O</t>
  </si>
  <si>
    <t>MPSB/MB/1171
MPSB/Sur/3073
MPSB/MB/1183</t>
  </si>
  <si>
    <t>P23-BP-S25-O©</t>
  </si>
  <si>
    <t>MPSB/MB/1209
MPSB/Sur/3088
MPSB/MB/1211</t>
  </si>
  <si>
    <t>P23-BP-S26-O</t>
  </si>
  <si>
    <t>MPSB/MB/1240
MPSB/Sur/3121
MPSB/MB/1267</t>
  </si>
  <si>
    <t>P23-BP-S27-O©</t>
  </si>
  <si>
    <t>MPSB/MB/1268
MPSB/Sur/3137
MPSB/MB/1283</t>
  </si>
  <si>
    <t>P23-BP-S28-O</t>
  </si>
  <si>
    <t>MPSB/MB/1329
MPSB/Sur/3161
MPSB/MB/1340</t>
  </si>
  <si>
    <t>21-Mar-26
23-Mar-26
23-Mar-26</t>
  </si>
  <si>
    <t>P23-BP-S29-O©</t>
  </si>
  <si>
    <t>MPSB/MB/1334
MPSB/Sur/3174
MPSB/MB/1357</t>
  </si>
  <si>
    <t>21-Mar-26
25-Mar-26
25-Mar-26</t>
  </si>
  <si>
    <t>P23-BP-S30-O</t>
  </si>
  <si>
    <t>MPSB/MB/1374
MPSB/Sur/3205
MPSB/MB/1394</t>
  </si>
  <si>
    <t>27-Mar-26
30-Mar-26
30-Mar-26</t>
  </si>
  <si>
    <t>P23-BP-S31-O©</t>
  </si>
  <si>
    <t>MPSB/MB/1404
MPSB/Sur/3223
MPSB/MB/1411</t>
  </si>
  <si>
    <t>P23-BP-S32-O</t>
  </si>
  <si>
    <t>MPSB/MB/1381
MPSB/Sur/3218
MPSB/MB/1408</t>
  </si>
  <si>
    <t>P24-BP-S08-M©</t>
  </si>
  <si>
    <t>MPSB/MB/1146
MPSB/Sur/3062
MPSB/MB/1148</t>
  </si>
  <si>
    <t>P25-BP-S32a-O</t>
  </si>
  <si>
    <t>MPSB/MB/1182
MPSB/Sur/3078
MPSB/MB/1195</t>
  </si>
  <si>
    <t>P25-BP-S33a-O©</t>
  </si>
  <si>
    <t>MPSB/MB/1234
MPSB/Sur/3103
MPSB/MB/1239</t>
  </si>
  <si>
    <t>P25-BP-S34a-O</t>
  </si>
  <si>
    <t>MPSB/MB/1181
MPSB/Sur/3079
MPSB/MB/1196</t>
  </si>
  <si>
    <t>P26-KS-S03-E</t>
  </si>
  <si>
    <t>MPSB/MB/1258
MPSB/Sur/3113
MPSB/MB/1259</t>
  </si>
  <si>
    <t>P26-KS-S04-E</t>
  </si>
  <si>
    <t>MPSB/Sur/3138
MPSB/MB/1284</t>
  </si>
  <si>
    <t>17-Mar-26
17-Mar-26</t>
  </si>
  <si>
    <t>P26-KS-S05-E</t>
  </si>
  <si>
    <t>MPSB/MB/1300
MPSB/Sur/3158
MPSB/MB/1331</t>
  </si>
  <si>
    <t>P26-KS-S06-E</t>
  </si>
  <si>
    <t>MPSB/MB/1422
MPSB/Sur/3253
MPSB/MB/1449</t>
  </si>
  <si>
    <t>31-Mar-26
6-Apr-26
6-Apr-26</t>
  </si>
  <si>
    <t>P8-BP-S16-M©</t>
  </si>
  <si>
    <t>MPSB/MB/1452
MPSB/Sur/3290
MPSB/MB/1517</t>
  </si>
  <si>
    <t>7-Apr-26
13-Apr-26
13-Apr-26</t>
  </si>
  <si>
    <t>P8-BP-S17-M</t>
  </si>
  <si>
    <t>MPSB/MB/1532
MPSB/Sur/3312
MPSB/MB/1556</t>
  </si>
  <si>
    <t>14-Apr-26
17-Apr-26
17-Apr-26</t>
  </si>
  <si>
    <t>P8-BP-S18-M</t>
  </si>
  <si>
    <t>MPSB/MB/1622
MPSB/Sur/3349
MPSB/MB/1639</t>
  </si>
  <si>
    <t>24-Apr-26
25-Apr-26
25-Apr-26</t>
  </si>
  <si>
    <t>P8-BP-S01-M</t>
  </si>
  <si>
    <t>MPSB/MB/1651
MPSB/Sur/3385
MPSB/MB/1665</t>
  </si>
  <si>
    <t>27-Apr-26
29-Apr-26
29-Apr-26</t>
  </si>
  <si>
    <t>P8-BP-S02-M</t>
  </si>
  <si>
    <t>MPSB/MB/1421
MPSB/Sur/3254
MPSB/MB/1450</t>
  </si>
  <si>
    <t>P8-KS-S04-M</t>
  </si>
  <si>
    <t>MPSB/MB/1473
MPSB/Sur/3280
MPSB/MB/1510</t>
  </si>
  <si>
    <t>10-Apr-26
12-Apr-26
12-Apr-26</t>
  </si>
  <si>
    <t>P8-KS-S05-M</t>
  </si>
  <si>
    <t>MPSB/MB/1525
MPSB/Sur/3298
MPSB/MB/1544</t>
  </si>
  <si>
    <t>14-Apr-26
14-Apr-26
16-Apr-26</t>
  </si>
  <si>
    <t>P8-KS-S06-M</t>
  </si>
  <si>
    <t>MPSB/MB/1569
MPSB/Sur/3325
MPSB/MB/1570</t>
  </si>
  <si>
    <t>18-Apr-26
18-Apr-26
18-Apr-26</t>
  </si>
  <si>
    <t>P8-KS-S07-M</t>
  </si>
  <si>
    <t>MPSB/MB/1474
MPSB/Sur/3272
MPSB/MB/1490</t>
  </si>
  <si>
    <t>P9-KS-S09-O©</t>
  </si>
  <si>
    <t>MPSB/MB/1531
MPSB/Sur/3306
MPSB/MB/1534</t>
  </si>
  <si>
    <t>14-Apr-26
15-Apr-26
15-Apr-26</t>
  </si>
  <si>
    <t>P9-KS-S10-O</t>
  </si>
  <si>
    <t>MPSB/MB/1558
MPSB/Sur/3326
MPSB/MB/1573</t>
  </si>
  <si>
    <t>17-Apr-26
18-Apr-26
18-Apr-26</t>
  </si>
  <si>
    <t>P9-KS-S11-O©</t>
  </si>
  <si>
    <t>MPSB/MB/1605
MPSB/Sur/3335
MPSB/MB/1606</t>
  </si>
  <si>
    <t>P9-KS-S12-O</t>
  </si>
  <si>
    <t>MPSB/MB/1619
MPSB/Sur/3345
MPSB/MB/1621</t>
  </si>
  <si>
    <t>23-Apr-26
24-Apr-26
24-Apr-26</t>
  </si>
  <si>
    <t>P9-KS-S13-O©</t>
  </si>
  <si>
    <t>MPSB/MB/1636
MPSB/Sur/3365
MPSB/MB/1652</t>
  </si>
  <si>
    <t>25-Apr-26
27-Apr-26
27-Apr-26</t>
  </si>
  <si>
    <t>P9-KS-S14-O</t>
  </si>
  <si>
    <t>MPSB/MB/1668
MPSB/Sur/3401
MPSB/MB/1680</t>
  </si>
  <si>
    <t>29-Apr-26
30-Apr-26
30-Apr-26</t>
  </si>
  <si>
    <t>P9-KS-S15-O©</t>
  </si>
  <si>
    <t>MPSB/MB/1637
MPSB/Sur/3386
MPSB/MB/1667</t>
  </si>
  <si>
    <t>25-Apr-26
29-Apr-26
29-Apr-26</t>
  </si>
  <si>
    <t>P9-KS-S22-O</t>
  </si>
  <si>
    <t>MPSB/MB/1451
MPSB/Sur/3256
MPSB/MB/1453</t>
  </si>
  <si>
    <t>P9-BP-S22a-O</t>
  </si>
  <si>
    <t>MPSB/MB/1471
MPSB/Sur/3275
MPSB/MB/1493</t>
  </si>
  <si>
    <t>8-Apr-26
11-Apr-26
11-Apr-26</t>
  </si>
  <si>
    <t>P9-BP-S23a-O©</t>
  </si>
  <si>
    <t>MPSB/MB/1516
MPSB/Sur/3297
MPSB/MB/1524</t>
  </si>
  <si>
    <t>13-Apr-26
14-Apr-26
14-Apr-26</t>
  </si>
  <si>
    <t>P9-BP-S24a-O</t>
  </si>
  <si>
    <t>MPSB/MB/1545
MPSB/Sur/3313
MPSB/MB/1557</t>
  </si>
  <si>
    <t>16-Apr-26
17-Apr-26
17-Apr-26</t>
  </si>
  <si>
    <t>P9-BP-S25a-O©</t>
  </si>
  <si>
    <t>MPSB/MB/1578
MPSB/Sur/3330
MPSB/MB/1585</t>
  </si>
  <si>
    <t>19-Apr-26
20-Apr-26
20-Apr-26</t>
  </si>
  <si>
    <t>P9-BP-S26a-O</t>
  </si>
  <si>
    <t>MPSB/MB/1607
MPSB/Sur/3343
MPSB/MB/1618</t>
  </si>
  <si>
    <t>21-Apr-26
23-Apr-26
23-Apr-26</t>
  </si>
  <si>
    <t>P9-BP-S27a-O©</t>
  </si>
  <si>
    <t>MPSB/MB/1638
MPSB/Sur/3366
MPSB/MB/1653</t>
  </si>
  <si>
    <t>P9-BP-S28a-O</t>
  </si>
  <si>
    <t>MPSB/MB/1641
MPSB/Sur/3377
MPSB/MB/1646</t>
  </si>
  <si>
    <t>25-Apr-26
28-Apr-26
27-Apr-26</t>
  </si>
  <si>
    <t>P21-BP-S09a-O©</t>
  </si>
  <si>
    <t>MPSB/MB/1673
MPSB/Sur/3392
MPSB/MB/1676</t>
  </si>
  <si>
    <t>P21-BP-S10a-O</t>
  </si>
  <si>
    <t>MPSB/MB/1444
MPSB/Sur/3248
MPSB/MB/1445</t>
  </si>
  <si>
    <t>P21-KS-S12-O</t>
  </si>
  <si>
    <t>MPSB/MB/1465
MPSB/Sur/3268
MPSB/MB/1487</t>
  </si>
  <si>
    <t>7-Apr-26
10-Apr-26
10-Apr-26</t>
  </si>
  <si>
    <t>P21-KS-S13-O©</t>
  </si>
  <si>
    <t>MPSB/MB/1491
MPSB/Sur/3288
MPSB/MB/1511</t>
  </si>
  <si>
    <t>10-Apr-26
13-Apr-26
13-Apr-26</t>
  </si>
  <si>
    <t>P21-KS-S14-O</t>
  </si>
  <si>
    <t>MPSB/MB/1443
MPSB/Sur/3257
MPSB/MB/1467</t>
  </si>
  <si>
    <t>6-Apr-26
7-Apr-26
7-Apr-26</t>
  </si>
  <si>
    <t>P23-KS-S08a-O</t>
  </si>
  <si>
    <t>MPSB/MB/1488
MPSB/Sur/3277
MPSB/MB/1500</t>
  </si>
  <si>
    <t>10-Apr-26
11-Apr-26
11-Apr-26</t>
  </si>
  <si>
    <t>P23-BP-S34-O</t>
  </si>
  <si>
    <t>MPSB/Sur/3258
MPSB/MB/1472</t>
  </si>
  <si>
    <t>8-Apr-26
8-Apr-26</t>
  </si>
  <si>
    <t>P23-BP-S33-O©</t>
  </si>
  <si>
    <t>MPSB/MB/1672
MPSB/Sur/3391
MPSB/MB/1675</t>
  </si>
  <si>
    <t>P24-BP-S17-M</t>
  </si>
  <si>
    <t>MPSB/MB/1664
MPSB/Sur/3390
MPSB/MB/1674</t>
  </si>
  <si>
    <t>P24-BP-S16-M©</t>
  </si>
  <si>
    <t>MPSB/MB/1631
MPSB/Sur/3364
MPSB/MB/1645</t>
  </si>
  <si>
    <t>24-Apr-26
27-Apr-26
27-Apr-26</t>
  </si>
  <si>
    <t>P24-BP-S15-M</t>
  </si>
  <si>
    <t>MPSB/MB/1593
MPSB/Sur/3346
MPSB/MB/1630</t>
  </si>
  <si>
    <t>20-Apr-26
24-Apr-26
24-Apr-26</t>
  </si>
  <si>
    <t>P24-BP-S14-M©</t>
  </si>
  <si>
    <t>MPSB/MB/1560
MPSB/Sur/3332
MPSB/MB/1594</t>
  </si>
  <si>
    <t>17-Apr-26
20-Apr-26
20-Apr-26</t>
  </si>
  <si>
    <t>P24-BP-S13-M</t>
  </si>
  <si>
    <t>MPSB/MB/1536
MPSB/Sur/3314
MPSB/MB/1561</t>
  </si>
  <si>
    <t>15-Apr-26
17-Apr-26
17-Apr-26</t>
  </si>
  <si>
    <t>P24-BP-S12-M©</t>
  </si>
  <si>
    <t>MPSB/MB/1498
MPSB/Sur/3289
MPSB/MB/1513</t>
  </si>
  <si>
    <t>11-Apr-26
13-Apr-26
13-Apr-26</t>
  </si>
  <si>
    <t>P24-BP-S11-M</t>
  </si>
  <si>
    <t>MPSB/MB/1485
MPSB/Sur/3267
MPSB/MB/1486</t>
  </si>
  <si>
    <t>P24-BP-S10-M©</t>
  </si>
  <si>
    <t>MPSB/MB/1416
MPSB/Sur/3249
MPSB/MB/1446</t>
  </si>
  <si>
    <t>P24-BP-S09-M</t>
  </si>
  <si>
    <t>MPSB/MB/1497
MPSB/Sur/3315
MPSB/MB/1566</t>
  </si>
  <si>
    <t>11-Apr-26
17-Apr-26
17-Apr-26</t>
  </si>
  <si>
    <t>P25-BP-S01a-O</t>
  </si>
  <si>
    <t>MPSB/MB/1596
MPSB/Sur/3384
MPSB/MB/1663</t>
  </si>
  <si>
    <t>20-Apr-26
29-Apr-26
29-Apr-26</t>
  </si>
  <si>
    <t>P25-BP-S02a-O</t>
  </si>
  <si>
    <t>MPSB/MB/1666
MPSB/Sur/3389
MPSB/MB/1671</t>
  </si>
  <si>
    <t>P25-BP-S03a-O</t>
  </si>
  <si>
    <t>MPSB/MB/1686
MPSB/Sur/3417
MPSB/MB/1701</t>
  </si>
  <si>
    <t>2-May-26
5-May-26
5-May-26</t>
  </si>
  <si>
    <t>P9-KS-S16-O</t>
  </si>
  <si>
    <t>MPSB/MB/1721
MPSB/Sur/3459
MPSB/MB/1743</t>
  </si>
  <si>
    <t>8-May-26
11-May-26
11-May-26</t>
  </si>
  <si>
    <t>P9-KS-S17-O©</t>
  </si>
  <si>
    <t>MPSB/MB/1758
MPSB/Sur/3487
MPSB/MB/1776</t>
  </si>
  <si>
    <t>14-May-26
16-May-26
16-May-26</t>
  </si>
  <si>
    <t>P9-KS-S18-O</t>
  </si>
  <si>
    <t>MPSB/MB/1807
MPSB/Sur/3525
MPSB/MB/1817</t>
  </si>
  <si>
    <t>20-May-26
21-May-26
21-May-26</t>
  </si>
  <si>
    <t>P9-KS-S19-O©</t>
  </si>
  <si>
    <t>MPSB/MB/1698
MPSB/Sur/3425
MPSB/MB/1712</t>
  </si>
  <si>
    <t>5-May-26
7-May-26
7-May-26</t>
  </si>
  <si>
    <t>P9-KS-S23-O©</t>
  </si>
  <si>
    <t>MPSB/MB/1741
MPSB/Sur/3467
MPSB/MB/1748</t>
  </si>
  <si>
    <t>11-May-26
12-May-26
12-May-26</t>
  </si>
  <si>
    <t>P9-KS-S24-O</t>
  </si>
  <si>
    <t>MPSB/MB/1784
MPSB/Sur/3505
MPSB/MB/1795</t>
  </si>
  <si>
    <t>17-May-26
18-May-26
18-May-26</t>
  </si>
  <si>
    <t>P9-KS-S25-O©</t>
  </si>
  <si>
    <t>MPSB/MB/1836
MPSB/Sur/3553
MPSB/MB/1852</t>
  </si>
  <si>
    <t>23-May-26
26-May-26
26-May-26</t>
  </si>
  <si>
    <t>P9-KS-S26-O</t>
  </si>
  <si>
    <t>MPSB/MB/1681
MPSB/Sur/3412
MPSB/MB/1691</t>
  </si>
  <si>
    <t>30-Apr-26
4-May-26
4-May-26</t>
  </si>
  <si>
    <t>P9-BP-S29a-O©</t>
  </si>
  <si>
    <t>MPSB/MB/1720
MPSB/Sur/3442
MPSB/MB/1729</t>
  </si>
  <si>
    <t>8-May-26
9-May-26
9-May-26</t>
  </si>
  <si>
    <t>P9-BP-S30a-O</t>
  </si>
  <si>
    <t>MPSB/MB/1753
MPSB/Sur/3493
MPSB/MB/1783</t>
  </si>
  <si>
    <t>13-May-26
16-May-26
16-May-26</t>
  </si>
  <si>
    <t>P9-BP-S31a-O©</t>
  </si>
  <si>
    <t>MPSB/MB/1808
MPSB/Sur/3531
MPSB/MB/1824</t>
  </si>
  <si>
    <t>20-May-26
22-May-26
22-May-26</t>
  </si>
  <si>
    <t>P9-BP-S32a-O</t>
  </si>
  <si>
    <t>MPSB/MB/1843
MPSB/Sur/3592
MPSB/MB/1888</t>
  </si>
  <si>
    <t>25-May-26
31-May-26
31-May-26</t>
  </si>
  <si>
    <t>P9-BP-S33a-O©</t>
  </si>
  <si>
    <t>MPSB/MB/1687
MPSB/Sur/3414
MPSB/MB/1696</t>
  </si>
  <si>
    <t>2-May-26
4-May-26
4-May-26</t>
  </si>
  <si>
    <t>P8-BP-S03-M</t>
  </si>
  <si>
    <t>MPSB/MB/1700
MPSB/Sur/3426
MPSB/MB/1713</t>
  </si>
  <si>
    <t>P8-BP-S04-M</t>
  </si>
  <si>
    <t>MPSB/MB/1742
MPSB/Sur/3473
MPSB/MB/1752</t>
  </si>
  <si>
    <t>11-May-26
13-May-26
13-May-26</t>
  </si>
  <si>
    <t>P8-BP-S05-M</t>
  </si>
  <si>
    <t>MPSB/MB/1785
MPSB/Sur/3518
MPSB/MB/1806</t>
  </si>
  <si>
    <t>17-May-26
20-May-26
20-May-26</t>
  </si>
  <si>
    <t>P8-BP-S06-M</t>
  </si>
  <si>
    <t>MPSB/MB/1825
MPSB/Sur/3539
MPSB/MB/1837</t>
  </si>
  <si>
    <t>22-May-26
23-May-26
23-May-26</t>
  </si>
  <si>
    <t>P8-BP-S07-M</t>
  </si>
  <si>
    <t>MPSB/MB/1685
MPSB/MB/1690</t>
  </si>
  <si>
    <t>2-May-26
4-May-26</t>
  </si>
  <si>
    <t>P16-BP-S08-M©</t>
  </si>
  <si>
    <t>MPSB/MB/1709
MPSB/Sur/3424
MPSB/MB/1711</t>
  </si>
  <si>
    <t>6-May-26
7-May-26
7-May-26</t>
  </si>
  <si>
    <t>P16-BP-S09-M</t>
  </si>
  <si>
    <t>MPSB/MB/1744
MPSB/Sur/3472
MPSB/MB/1751</t>
  </si>
  <si>
    <t>P16-BP-S10-M©</t>
  </si>
  <si>
    <t>MPSB/MB/1768
MPSB/Sur/3517
MPSB/MB/1805</t>
  </si>
  <si>
    <t>15-May-26
20-May-26
20-May-26</t>
  </si>
  <si>
    <t>P16-BP-S11-M</t>
  </si>
  <si>
    <t>MPSB/MB/1835
MPSB/Sur/3548
MPSB/MB/1844</t>
  </si>
  <si>
    <t>23-May-26
25-May-26
25-May-26</t>
  </si>
  <si>
    <t>P16-BP-S12-M©</t>
  </si>
  <si>
    <t>MPSB/MB/1706
MPSB/Sur/3427
MPSB/MB/1716</t>
  </si>
  <si>
    <t>P21-KS-S15-O©</t>
  </si>
  <si>
    <t>MPSB/MB/1735
MPSB/Sur/3427
MPSB/MB/1747</t>
  </si>
  <si>
    <t>9-May-26
12-May-26
12-May-26</t>
  </si>
  <si>
    <t>P21-KS-S16-O</t>
  </si>
  <si>
    <t>MPSB/MB/1761
MPSB/Sur/3488
MPSB/MB/1777</t>
  </si>
  <si>
    <t>P21-KS-S17-O©</t>
  </si>
  <si>
    <t>MPSB/MB/1787
MPSB/Sur/3509
MPSB/MB/1802</t>
  </si>
  <si>
    <t>18-May-26
19-May-26
19-May-26</t>
  </si>
  <si>
    <t>P21-KS-S18-O</t>
  </si>
  <si>
    <t>MPSB/MB/1827
MPSB/Sur/3562
MPSB/MB/1863</t>
  </si>
  <si>
    <t>22-May-26
27-May-26
27-May-26</t>
  </si>
  <si>
    <t>P21-KS-S19-O©</t>
  </si>
  <si>
    <t>MPSB/MB/1874
MPSB/Sur/3579
MPSB/MB/1880</t>
  </si>
  <si>
    <t>29-May-26
30-May-26
30-May-26</t>
  </si>
  <si>
    <t>P21-KS-S20-O</t>
  </si>
  <si>
    <t>MPSB/MB/1880
MPSB/Sur/3534
MPSB/MB/1832</t>
  </si>
  <si>
    <t>19-May-26
22-May-26
22-May-26</t>
  </si>
  <si>
    <t>P21-KS-S22-O</t>
  </si>
  <si>
    <t>MPSB/MB/1856
MPSB/Sur/3554
MPSB/MB/1857</t>
  </si>
  <si>
    <t>26-May-26
26-May-26
26-May-26</t>
  </si>
  <si>
    <t>P21-KS-S23-O©</t>
  </si>
  <si>
    <t>MPSB/MB/1862
MPSB/Sur/3569
MPSB/MB/1868</t>
  </si>
  <si>
    <t>27-May-26
29-May-26
29-May-26</t>
  </si>
  <si>
    <t>P21-KS-S24-O</t>
  </si>
  <si>
    <t>MPSB/MB/1881
MPSB/Sur/3581
MPSB/MB/1883</t>
  </si>
  <si>
    <t>30-May-26
30-May-26
30-May-26</t>
  </si>
  <si>
    <t>P21-KS-S25-O©</t>
  </si>
  <si>
    <t>MPSB/MB/1718
MPSB/Sur/3457
MPSB/MB/1737</t>
  </si>
  <si>
    <t>7-May-26
11-May-26
11-May-26</t>
  </si>
  <si>
    <t>P21-BP-S11a-O©</t>
  </si>
  <si>
    <t>MPSB/MB/1738
MPSB/MB/1762</t>
  </si>
  <si>
    <t>11-May-26
14-May-26</t>
  </si>
  <si>
    <t>P21-BP-S12a-O</t>
  </si>
  <si>
    <t>MPSB/MB/1763
MPSB/Sur/3489
MPSB/MB/1778</t>
  </si>
  <si>
    <t>P21-BP-S13a-O©</t>
  </si>
  <si>
    <t>MPSB/MB/1813
MPSB/Sur/3522
MPSB/MB/1814</t>
  </si>
  <si>
    <t>20-May-26
20-May-26
20-May-26</t>
  </si>
  <si>
    <t>P21-BP-S14a-O</t>
  </si>
  <si>
    <t>MPSB/MB/1821
MPSB/Sur/3535
MPSB/MB/1833</t>
  </si>
  <si>
    <t>21-May-26
22-May-26
22-May-26</t>
  </si>
  <si>
    <t>P21-BP-S15a-O©</t>
  </si>
  <si>
    <t>MPSB/MB/1845
MPSB/Sur/3555
MPSB/MB/1860</t>
  </si>
  <si>
    <t>25-May-26
26-May-26
26-May-26</t>
  </si>
  <si>
    <t>P21-BP-S16a-O</t>
  </si>
  <si>
    <t>MPSB/MB/1872
MPSB/Sur/3571
MPSB/MB/1873</t>
  </si>
  <si>
    <t>29-May-26
29-May-26
29-May-26</t>
  </si>
  <si>
    <t>P21-BP-S17a-O©</t>
  </si>
  <si>
    <t>MPSB/MB/1865
MPSB/Sur/3570
MPSB/MB/1871</t>
  </si>
  <si>
    <t>28-May-26
29-May-26
29-May-26</t>
  </si>
  <si>
    <t>P23-BP-S01-O</t>
  </si>
  <si>
    <t>MPSB/MB/1875
MPSB/Sur/3577
MPSB/MB/1877</t>
  </si>
  <si>
    <t>P23-BP-S02-O</t>
  </si>
  <si>
    <t>MPSB/MB/1727
MPSB/Sur/3446
MPSB/MB/1734</t>
  </si>
  <si>
    <t>P24-BP-S18-M</t>
  </si>
  <si>
    <t>MPSB/MB/1728
MPSB/Sur/3458
MPSB/MB/1740</t>
  </si>
  <si>
    <t>P25-BP-S05a-O</t>
  </si>
  <si>
    <t>MPSB/MB/1756
MPSB/Sur/3482
MPSB/MB/1773</t>
  </si>
  <si>
    <t>13-May-26
15-May-26
15-May-26</t>
  </si>
  <si>
    <t>P25-BP-S06a-O</t>
  </si>
  <si>
    <t>MPSB/MB/1782
MPSB/Sur/3508
MPSB/MB/1801</t>
  </si>
  <si>
    <t>16-May-26
19-May-26
19-May-26</t>
  </si>
  <si>
    <t>P25-BP-S07a-O</t>
  </si>
  <si>
    <t>MPSB/MB/1822
MPSB/Sur/3533
MPSB/MB/1831</t>
  </si>
  <si>
    <t>P25-BP-S08a-O</t>
  </si>
  <si>
    <t>MPSB/MB/2002
MPSB/Sur/3686
MPSB/MB/2022</t>
  </si>
  <si>
    <t>22-Jun-26
24-Jun-26
24-Jun-26</t>
  </si>
  <si>
    <t>P9-BP-S01a-O</t>
  </si>
  <si>
    <t>MPSB/MB/2035
MPSB/Sur/3698
MPSB/MB/2046</t>
  </si>
  <si>
    <t>26-Jun-26
28-Jun-26
28-Jun-26</t>
  </si>
  <si>
    <t>P9-BP-S02a-O</t>
  </si>
  <si>
    <t>MPSB/MB/2044
MPSB/Sur/3707
MPSB/MB/2056</t>
  </si>
  <si>
    <t>27-Jun-26
30-Jun-26
30-Jun-26</t>
  </si>
  <si>
    <t>P9-BP-S03a-O</t>
  </si>
  <si>
    <t>MPSB/MB/1920
MPSB/Sur/3626
MPSB/MB/1942</t>
  </si>
  <si>
    <t>6-Jun-26
10-Jun-26
10-Jun-26</t>
  </si>
  <si>
    <t>P9-BP-S34a-O</t>
  </si>
  <si>
    <t>MPSB/Sur/1842
MPSB/Sur/3619
MPSB/MB/1935</t>
  </si>
  <si>
    <t>25-May-26
8-Jun-26
8-Jun-26</t>
  </si>
  <si>
    <t>P9-KS-S20-O</t>
  </si>
  <si>
    <t>MPSB/MB/1854
MPSB/Sur/3638
MPSB/MB/1957</t>
  </si>
  <si>
    <t>26-May-26
11-Jun-26
11-Jun-26</t>
  </si>
  <si>
    <t>P9-KS-S21-O©</t>
  </si>
  <si>
    <t>MPSB/MB/1908
MPSB/Sur/3610
MPSB/MB/1910</t>
  </si>
  <si>
    <t>4-Jun-26
5-Jun-26
5-Jun-26</t>
  </si>
  <si>
    <t>P9-KS-S27-O©</t>
  </si>
  <si>
    <t>MPSB/MB/1943
MPSB/Sur/3645
MPSB/MB/1961</t>
  </si>
  <si>
    <t>10-Jun-26
12-Jun-26
12-Jun-26</t>
  </si>
  <si>
    <t>P9-KS-S28-O</t>
  </si>
  <si>
    <t>MPSB/MB/1969
MPSB/Sur/3661
MPSB/MB/1984</t>
  </si>
  <si>
    <t>15-Jun-26
17-Jun-26
17-Jun-26</t>
  </si>
  <si>
    <t>P9-KS-S29-O©</t>
  </si>
  <si>
    <t>MPSB/MB/1989
MPSB/Sur/3678
MPSB/MB/2004</t>
  </si>
  <si>
    <t>18-Jun-26
22-Jun-26
22-Jun-26</t>
  </si>
  <si>
    <t>P9-KS-S30-O</t>
  </si>
  <si>
    <t>MPSB/MB/2019
MPSB/Sur/3702
MPSB/MB/2053</t>
  </si>
  <si>
    <t>24-Jun-26
29-Jun-26
29-Jun-26</t>
  </si>
  <si>
    <t>P9-KS-S31-O©</t>
  </si>
  <si>
    <t>MPSB/MB/1967
MPSB/Sur/3657
MPSB/MB/1978</t>
  </si>
  <si>
    <t>14-Jun-26
16-Jun-26
16-Jun-26</t>
  </si>
  <si>
    <t>P16-BP-S13-M</t>
  </si>
  <si>
    <t>MPSB/MB/1998
MPSB/Sur/3677
MPSB/MB/2003</t>
  </si>
  <si>
    <t>19-Jun-26
22-Jun-26
22-Jun-26</t>
  </si>
  <si>
    <t>P16-BP-S14-M©</t>
  </si>
  <si>
    <t>MPSB/MB/2024
MPSB/Sur/3695
MPSB/MB/2033</t>
  </si>
  <si>
    <t>24-Jun-26
26-Jun-26
26-Jun-26</t>
  </si>
  <si>
    <t>P16-BP-S15-M</t>
  </si>
  <si>
    <t>MPSB/MB/2047
MPSB/Sur/3705
MPSB/MB/2054</t>
  </si>
  <si>
    <t>28-Jun-26
30-Jun-26
30-Jun-26</t>
  </si>
  <si>
    <t>P16-BP-S16-M©</t>
  </si>
  <si>
    <t>MPSB/MB/2034
MPSB/Sur/3701
MPSB/MB/2052</t>
  </si>
  <si>
    <t>26-Jun-26
29-Jun-26
29-Jun-26</t>
  </si>
  <si>
    <t>P16-KS-S08-M©</t>
  </si>
  <si>
    <t>MPSB/MB/1878
MPSB/Sur/3578
MPSB/MB/1941</t>
  </si>
  <si>
    <t>30-May-26
30-May-26
9-Jun-26</t>
  </si>
  <si>
    <t>P21-BP-S18a-O</t>
  </si>
  <si>
    <t>MPSB/MB/1982
MPSB/Sur/3665
MPSB/MB/1986</t>
  </si>
  <si>
    <t>17-Jun-26
18-Jun-26
18-Jun-26</t>
  </si>
  <si>
    <t>P21-BP-S19a-O©</t>
  </si>
  <si>
    <t>MPSB/MB/2051
MPSB/Sur/3715
MPSB/MB/2060</t>
  </si>
  <si>
    <t>29-Jun-26
30-Jun-26
30-Jun-26</t>
  </si>
  <si>
    <t>P21-BP-S20a-O</t>
  </si>
  <si>
    <t>MPSB/MB/1876
MPSB/Sur/3615
MPSB/MB/1925</t>
  </si>
  <si>
    <t>29-May-26
6-Jun-26
6-Jun-26</t>
  </si>
  <si>
    <t>P21-BP-S22a-O</t>
  </si>
  <si>
    <t>MPSB/MB/1952
MPSB/Sur/3650
MPSB/MB/1964</t>
  </si>
  <si>
    <t>11-Jun-26
13-Jun-26
13-Jun-26</t>
  </si>
  <si>
    <t>P21-BP-S23a-O©</t>
  </si>
  <si>
    <t>MPSB/MB/2001
MPSB/Sur/3679
MPSB/MB/2007</t>
  </si>
  <si>
    <t>21-Jun-26
22-Jun-26
22-Jun-26</t>
  </si>
  <si>
    <t>P21-BP-S24a-O</t>
  </si>
  <si>
    <t>MPSB/MB/1916
MPSB/Sur/3611
MPSB/MB/1917</t>
  </si>
  <si>
    <t>5-Jun-26
5-Jun-26
5-Jun-26</t>
  </si>
  <si>
    <t>P21-KS-S21-O©</t>
  </si>
  <si>
    <t>MPSB/MB/1919
MPSB/Sur/3616
MPSB/MB/1926</t>
  </si>
  <si>
    <t>5-Jun-26
6-Jun-26
6-Jun-26</t>
  </si>
  <si>
    <t>P21-KS-S26-O</t>
  </si>
  <si>
    <t>MPSB/MB/1933
MPSB/Sur/3627
MPSB/MB/1947</t>
  </si>
  <si>
    <t>8-Jun-26
10-Jun-26
10-Jun-26</t>
  </si>
  <si>
    <t>P21-KS-S27-O©</t>
  </si>
  <si>
    <t>MPSB/MB/1948
MPSB/Sur/3656
MPSB/MB/1972</t>
  </si>
  <si>
    <t>10-Jun-26
15-Jun-26
15-Jun-26</t>
  </si>
  <si>
    <t>P21-KS-S28-O</t>
  </si>
  <si>
    <t>MPSB/MB/1966
MPSB/Sur/3659
MPSB/MB/1983</t>
  </si>
  <si>
    <t>13-Jun-26
17-Jun-26
17-Jun-26</t>
  </si>
  <si>
    <t>P21-KS-S29-O©</t>
  </si>
  <si>
    <t>MPSB/MB/1988
MPSB/Sur/3688
MPSB/MB/2025</t>
  </si>
  <si>
    <t>18-Jun-26
24-Jun-26
24-Jun-26</t>
  </si>
  <si>
    <t>P21-KS-S30-O</t>
  </si>
  <si>
    <t>MPSB/MB/2010
MPSB/MB/2048
MPSB/MB/2049</t>
  </si>
  <si>
    <t>22-Jun-26
29-Jun-26
29-Jun-26</t>
  </si>
  <si>
    <t>P21-KS-S31-O©</t>
  </si>
  <si>
    <t>MPSB/MB/2063
MPSB/Sur/3718
MPSB/MB/2065</t>
  </si>
  <si>
    <t>30-Jun-26
30-Jun-26
30-Jun-26</t>
  </si>
  <si>
    <t>P21-KS-S32-O</t>
  </si>
  <si>
    <t>MPSB/MB/1993
MPSB/Sur/3669
MPSB/MB/1994</t>
  </si>
  <si>
    <t>19-Jun-26
19-Jun-26
19-Jun-26</t>
  </si>
  <si>
    <t>P22-BP-S01a-E</t>
  </si>
  <si>
    <t>MPSB/MB/2012
MPSB/Sur/3683
MPSB/MB/2013</t>
  </si>
  <si>
    <t>P22-BP-S01-E</t>
  </si>
  <si>
    <t>MPSB/MB/2026
MPSB/Sur/3696
MPSB/MB/2036</t>
  </si>
  <si>
    <t>P22-BP-S02-E</t>
  </si>
  <si>
    <t>MPSB/MB/2041
MPSB/Sur/3716
MPSB/MB/2061</t>
  </si>
  <si>
    <t>P22-BP-S03-E</t>
  </si>
  <si>
    <t>MPSB/Sur/3617
MPSB/MB/1930</t>
  </si>
  <si>
    <t>8-Jun-26
8-Jun-26</t>
  </si>
  <si>
    <t>P23-BP-S03-O</t>
  </si>
  <si>
    <t>MPSB/MB/1940
MPSB/Sur/3636
MPSB/MB/1951</t>
  </si>
  <si>
    <t>9-Jun-26
11-Jun-26
11-Jun-26</t>
  </si>
  <si>
    <t>P23-BP-S04-O</t>
  </si>
  <si>
    <t>MPSB/MB/1963
MPSB/Sur/3655
MPSB/MB/1971</t>
  </si>
  <si>
    <t>13-Jun-26
15-Jun-26
15-Jun-26</t>
  </si>
  <si>
    <t>P23-BP-S05-O</t>
  </si>
  <si>
    <t>MPSB/MB/1981
MPSB/Sur/3670
MPSB/MB/1996</t>
  </si>
  <si>
    <t>17-Jun-26
19-Jun-26
19-Jun-26</t>
  </si>
  <si>
    <t>P23-BP-S06-O</t>
  </si>
  <si>
    <t>MPSB/MB/2005
MPSB/Sur/3684
MPSB/MB/2015</t>
  </si>
  <si>
    <t>20-Jun-26
23-Jun-26
23-Jun-26</t>
  </si>
  <si>
    <t>P23-BP-S07-O</t>
  </si>
  <si>
    <t>MPSB/MB/2016
MPSB/MB/2037</t>
  </si>
  <si>
    <t>23-Jun-26
26-Jun-26</t>
  </si>
  <si>
    <t>P23-BP-S08-O</t>
  </si>
  <si>
    <t>MPSB/MB/237
MPSB/Sur/1963
MPSB/MB/244</t>
  </si>
  <si>
    <t>08-Oct-25
10-Oct-25
10-Oct-25</t>
  </si>
  <si>
    <t>MPSB/MB/2084
MPSB/Sur/3736
MPSB/MB/2090</t>
  </si>
  <si>
    <t>7-Jul-26
9-Jul-26
9-Jul-26</t>
  </si>
  <si>
    <t>MPSB/MB/2099
MPSB/Sur/3762
MPSB/MB/2133</t>
  </si>
  <si>
    <t>10-Jul-26
14-Jul-26
14-Jul-26</t>
  </si>
  <si>
    <t>MPSB/MB/2150
MPSB/Sur/3779
MPSB/MB/2166</t>
  </si>
  <si>
    <t>17-Jul-26
20-Jul-26
20-Jul-26</t>
  </si>
  <si>
    <t>MPSB/MB/2169
MPSB/Sur/3787
MPSB/MB/2183</t>
  </si>
  <si>
    <t>21-Jul-26
23-Jul-26
23-Jul-26</t>
  </si>
  <si>
    <t>MPSB/MB/2201
MPSB/Sur/3800
MPSB/MB/2218</t>
  </si>
  <si>
    <t>25-Jul-26
28-Jul-26
28-Jul-26</t>
  </si>
  <si>
    <t>MPSB/MB/2097
MPSB/Sur/3741
MPSB/MB/2101</t>
  </si>
  <si>
    <t>10-Jul-26
10-Jul-26
10-Jul-26</t>
  </si>
  <si>
    <t>MPSB/MB/2131
MPSB/Sur/3766
MPSB/MB/2140</t>
  </si>
  <si>
    <t>14-Jul-26
15-Jul-26
15-Jul-26</t>
  </si>
  <si>
    <t>MPSB/MB/2161
MPSB/Sur/3783
MPSB/MB/2171</t>
  </si>
  <si>
    <t>19-Jul-26
21-Jul-26
21-Jul-26</t>
  </si>
  <si>
    <t>MPSB/MB/2086
MPSB/Sur/3731
MPSB/MB/2087</t>
  </si>
  <si>
    <t>7-Jul-26
8-Jul-26
8-Jul-26</t>
  </si>
  <si>
    <t>MPSB/MB/2098
MPSB/Sur/3758
MPSB/MB/2116</t>
  </si>
  <si>
    <t>10-Jul-26
13-Jul-26
13-Jul-26</t>
  </si>
  <si>
    <t>MPSB/MB/2148
MPSB/MB/2156</t>
  </si>
  <si>
    <t>17-Jul-26
18-Jul-26</t>
  </si>
  <si>
    <t>MPSB/MB/2170
MPSB/Sur/3789
MPSB/MB/2192</t>
  </si>
  <si>
    <t>MPSB/MB/2181
MPSB/Sur/3797
MPSB/MB/2211</t>
  </si>
  <si>
    <t>23-Jul-26
27-Jul-26
27-Jul-26</t>
  </si>
  <si>
    <t>MPSB/MB/2224
MPSB/Sur/3808
MPSB/MB/2232</t>
  </si>
  <si>
    <t>29-Jul-26
30-Jul-26
30-Jul-26</t>
  </si>
  <si>
    <t>MPSB/MB/2227
MPSB/Sur/3816
MPSB/MB/2243</t>
  </si>
  <si>
    <t>30-Jul-26
31-Jul-26
31-Jul-26</t>
  </si>
  <si>
    <t>MPSB/MB/2223
MPSB/Sur/3807
MPSB/MB/2231</t>
  </si>
  <si>
    <t>MPSB/MB/2230
MPSB/Sur/3819
MPSB/MB/2246</t>
  </si>
  <si>
    <t>MPSB/MB/2100
MPSB/Sur/3748
MPSB/MB/2109</t>
  </si>
  <si>
    <t>10-Jul-26
11-Jul-26
11-Jul-26</t>
  </si>
  <si>
    <t>MPSB/MB/2147
MPSB/Sur/3773
MPSB/MB/2149</t>
  </si>
  <si>
    <t>17-Jul-26
17-Jul-26
17-Jul-26</t>
  </si>
  <si>
    <t>MPSB/MB/2085
MPSB/Sur/3735
MPSB/MB/2089</t>
  </si>
  <si>
    <t>MPSB/MB/2132
MPSB/Sur/3765
MPSB/MB/2139</t>
  </si>
  <si>
    <t>MPSB/MB/2163
MPSB/Sur/3780
MPSB/MB/2167</t>
  </si>
  <si>
    <t>19-Jul-26
20-Jul-26
20-Jul-26</t>
  </si>
  <si>
    <t>MPSB/MB/2168
MPSB/Sur/3786
MPSB/MB/2182</t>
  </si>
  <si>
    <t>MPSB/MB/2180
MPSB/Sur/3796
MPSB/MB/2210</t>
  </si>
  <si>
    <t>MPSB/MB/2228
MPSB/Sur/3817
MPSB/MB/2244</t>
  </si>
  <si>
    <t>MPSB/MB/2234
MPSB/Sur/3812
MPSB/MB/2238</t>
  </si>
  <si>
    <t>MPSB/MB/2114
MPSB/Sur/3763
MPSB/MB/2137</t>
  </si>
  <si>
    <t>11-Jul-26
15-Jul-26
15-Jul-26</t>
  </si>
  <si>
    <t>MPSB/Sur/3749
MPSB/MB/2113</t>
  </si>
  <si>
    <t>11-Jul-26
11-Jul-26</t>
  </si>
  <si>
    <t>MPSB/MB/2135
MPSB/Sur/3777
MPSB/MB/2159</t>
  </si>
  <si>
    <t>15-Jul-26
18-Jul-26
18-Jul-26</t>
  </si>
  <si>
    <t>MPSB/MB/2165
MPSB/Sur/3785
MPSB/MB/2179</t>
  </si>
  <si>
    <t>19-Jul-26
22-Jul-26
22-Jul-26</t>
  </si>
  <si>
    <t>MPSB/MB/2189
MPSB/Sur/3791
MPSB/MB/2196</t>
  </si>
  <si>
    <t>23-Jul-26
25-Jul-26
25-Jul-26</t>
  </si>
  <si>
    <t>MPSB/MB/2199
MPSB/Sur/3799
MPSB/MB/2214</t>
  </si>
  <si>
    <t>MPSB/MB/2217
MPSB/Sur/3809
MPSB/MB/2235</t>
  </si>
  <si>
    <t>28-Jul-26
30-Jul-26
30-Jul-26</t>
  </si>
  <si>
    <t>MPSB/MB/2236
MPSB/Sur/3813
MPSB/MB/2239</t>
  </si>
  <si>
    <t>MPSB/MB/2095
MPSB/Sur/3745
MPSB/MB/2107</t>
  </si>
  <si>
    <t>9-Jul-26
10-Jul-26
10-Jul-26</t>
  </si>
  <si>
    <t>MPSB/MB/2120
MPSB/Sur/3764
MPSB/MB/2138</t>
  </si>
  <si>
    <t>13-Jul-26
15-Jul-26
15-Jul-26</t>
  </si>
  <si>
    <t>MPSB/MB/2081
MPSB/Sur/3759
MPSB/MB/2118</t>
  </si>
  <si>
    <t>7-Jul-26
13-Jul-26
13-Jul-26</t>
  </si>
  <si>
    <t>MPSB/MB/2136
MPSB/Sur/3775
MPSB/MB/2154</t>
  </si>
  <si>
    <t>15-Jul-26
17-Jul-26
17-Jul-26</t>
  </si>
  <si>
    <t>MPSB/MB/2153
MPSB/Sur/3784
MPSB/MB/2178</t>
  </si>
  <si>
    <t>17-Jul-26
22-Jul-26
22-Jul-26</t>
  </si>
  <si>
    <t>MPSB/MB/2127
MPSB/Sur/3771
MPSB/MB/2144</t>
  </si>
  <si>
    <t>14-Jul-26
16-Jul-26
16-Jul-26</t>
  </si>
  <si>
    <t>MPSB/MB/2164
MPSB/Sur/3790
MPSB/MB/2195</t>
  </si>
  <si>
    <t>19-Jul-26
24-Jul-26
24-Jul-26</t>
  </si>
  <si>
    <t>MPSB/MB/2216
MPSB/Sur/3802
MPSB/MB/2225</t>
  </si>
  <si>
    <t>28-Jul-26
29-Jul-26
29-Jul-26</t>
  </si>
  <si>
    <t>MPSB/MB/2237
MPSB/Sur/3815
MPSB/MB/2241</t>
  </si>
  <si>
    <t>406.a</t>
  </si>
  <si>
    <t>407.c</t>
  </si>
  <si>
    <t>408.a</t>
  </si>
  <si>
    <t xml:space="preserve">MPSB/L&amp;T/TIIC/2026/1543 </t>
  </si>
  <si>
    <t>408.c</t>
  </si>
  <si>
    <t>Well Reconciliation Statement</t>
  </si>
  <si>
    <t>Well ID</t>
  </si>
  <si>
    <t>Well Depth</t>
  </si>
  <si>
    <t>Length Executed</t>
  </si>
  <si>
    <t>Lift</t>
  </si>
  <si>
    <t>Check</t>
  </si>
  <si>
    <t>Component</t>
  </si>
  <si>
    <t>Height</t>
  </si>
  <si>
    <t>No. of Locations</t>
  </si>
  <si>
    <t>Total Length</t>
  </si>
  <si>
    <t>Locations</t>
  </si>
  <si>
    <t>Well Curb</t>
  </si>
  <si>
    <t>Below Transition</t>
  </si>
  <si>
    <t xml:space="preserve">Transition </t>
  </si>
  <si>
    <t>Above Transition</t>
  </si>
  <si>
    <t>P4</t>
  </si>
  <si>
    <t>P4 - Well Curb</t>
  </si>
  <si>
    <t>P4 - 1st Lift</t>
  </si>
  <si>
    <t>Middle Pylon</t>
  </si>
  <si>
    <t>P8 / P12 / P16 / P20 / P24 / P28</t>
  </si>
  <si>
    <t>P4 - 2nd Lift</t>
  </si>
  <si>
    <t>EJ Pier</t>
  </si>
  <si>
    <t>P6 / P10 / P14 / P18 / P22 / P26 / P30</t>
  </si>
  <si>
    <t>P4 - 3rd Lift</t>
  </si>
  <si>
    <t>Outer Pylon</t>
  </si>
  <si>
    <t>P7 / P9 / P11 / P13 / P15 / P17 / P19 / P21 / P23 / P25 / P27 / P29</t>
  </si>
  <si>
    <t>P4 - 4th Lift</t>
  </si>
  <si>
    <t>P4 - 5th Lift</t>
  </si>
  <si>
    <t>P4 - 6th Lift</t>
  </si>
  <si>
    <t>Package 1</t>
  </si>
  <si>
    <t>P4 - 7th Lift</t>
  </si>
  <si>
    <t>Package 2</t>
  </si>
  <si>
    <t>P4 - 8th Lift</t>
  </si>
  <si>
    <t>Package 3</t>
  </si>
  <si>
    <t>P4 - 9th Lift</t>
  </si>
  <si>
    <t>Package 4</t>
  </si>
  <si>
    <t>P4 - 10th Lift</t>
  </si>
  <si>
    <t>P4 - 11th Lift</t>
  </si>
  <si>
    <t>P4 - 12th Lift</t>
  </si>
  <si>
    <t>P4 - 13th Lift</t>
  </si>
  <si>
    <t>P4 - 14th Lift</t>
  </si>
  <si>
    <t>P4 - 15th Lift</t>
  </si>
  <si>
    <t>P4 - 16th Lift</t>
  </si>
  <si>
    <t>P4 - 17th Lift</t>
  </si>
  <si>
    <t>P5</t>
  </si>
  <si>
    <t>P5 - Well Curb</t>
  </si>
  <si>
    <t>P5 - 1st Lift</t>
  </si>
  <si>
    <t>P5 - 2nd Lift</t>
  </si>
  <si>
    <t>P5 - 3rd Lift</t>
  </si>
  <si>
    <t>P5 - 4th Lift</t>
  </si>
  <si>
    <t>P5 - 5th Lift</t>
  </si>
  <si>
    <t>P5 - 6th Lift</t>
  </si>
  <si>
    <t>P5 - 7th Lift</t>
  </si>
  <si>
    <t>P5 - 8th Lift</t>
  </si>
  <si>
    <t>P5 - 9th Lift</t>
  </si>
  <si>
    <t>P5 - 10th Lift</t>
  </si>
  <si>
    <t>P5 - 11th Lift</t>
  </si>
  <si>
    <t>P5 - 12th Lift</t>
  </si>
  <si>
    <t>P5 - 13th Lift</t>
  </si>
  <si>
    <t>P5 - 14th Lift</t>
  </si>
  <si>
    <t>P5 - 15th Lift</t>
  </si>
  <si>
    <t>P5 - 16th Lift</t>
  </si>
  <si>
    <t>P5 - 17th Lift</t>
  </si>
  <si>
    <t>P5 - 18th Lift</t>
  </si>
  <si>
    <t>Scope</t>
  </si>
  <si>
    <t>Executed</t>
  </si>
  <si>
    <t>Balance</t>
  </si>
  <si>
    <t>P12(N)</t>
  </si>
  <si>
    <t>P13- 5th Lift</t>
  </si>
  <si>
    <t>P13- 6th Lift</t>
  </si>
  <si>
    <t>P13- 7th Lift</t>
  </si>
  <si>
    <t>P13- 8th Lift</t>
  </si>
  <si>
    <t>P15- 18th Lift</t>
  </si>
  <si>
    <t>P12(N) - Well Curb</t>
  </si>
  <si>
    <t>P12(N) - 1st Lift</t>
  </si>
  <si>
    <t>P12(N) - 2nd Lift</t>
  </si>
  <si>
    <t>P12(N) - 3rd Lift</t>
  </si>
  <si>
    <t>P12(N) - 4th Lift</t>
  </si>
  <si>
    <t>P12(N) - 5th Lift</t>
  </si>
  <si>
    <t>P12(N) - 6th Lift</t>
  </si>
  <si>
    <t>P12(N) - 7th Lift</t>
  </si>
  <si>
    <t>P14(N) - 18th Lift</t>
  </si>
  <si>
    <t>P17 - 21st Lift</t>
  </si>
  <si>
    <t>P30 - 18th Lift</t>
  </si>
  <si>
    <t>P30 - 19th Lift</t>
  </si>
  <si>
    <t>Lower Pylon Reconciliation Statement</t>
  </si>
  <si>
    <t>Pylon ID</t>
  </si>
  <si>
    <t>P4 - Lower Pylon - Starter</t>
  </si>
  <si>
    <t>P4 - Lower Pylon - 1st Lift</t>
  </si>
  <si>
    <t>P5 - Lower Pylon - Starter</t>
  </si>
  <si>
    <t>P5 - Lower Pylon - 1st Lift</t>
  </si>
  <si>
    <t>P6 - Lower Pylon - Starter</t>
  </si>
  <si>
    <t>P6 - Lower Pylon - 1st Lift</t>
  </si>
  <si>
    <t>P9 - Lower Pylon - Starter</t>
  </si>
  <si>
    <t>P9 - Lower Pylon - 1st Lift</t>
  </si>
  <si>
    <t>P10 - Lower Pylon - Starter</t>
  </si>
  <si>
    <t>P10 - Lower Pylon - 1st Lift</t>
  </si>
  <si>
    <t>P11 - Lower Pylon - Starter</t>
  </si>
  <si>
    <t>P11 - Lower Pylon - 1st Lift</t>
  </si>
  <si>
    <t>P12(N) - Lower Pylon - Starter</t>
  </si>
  <si>
    <t>P12(N) - Lower Pylon - 1st Lift</t>
  </si>
  <si>
    <t>P12(A) - Lower Pylon - Starter</t>
  </si>
  <si>
    <t>P12(A) - Lower Pylon - 1st Lift</t>
  </si>
  <si>
    <t>P13 - Lower Pylon - Starter</t>
  </si>
  <si>
    <t>P13 - Lower Pylon - 1st Lift</t>
  </si>
  <si>
    <t>P14(N) - Lower Pylon - Starter</t>
  </si>
  <si>
    <t>P14(N) - Lower Pylon - 1st Lift</t>
  </si>
  <si>
    <t>P15 - Lower Pylon - Starter</t>
  </si>
  <si>
    <t>P15 - Lower Pylon - 1st Lift</t>
  </si>
  <si>
    <t>P16 - Lower Pylon - Starter</t>
  </si>
  <si>
    <t>P16 - Lower Pylon - 1st Lift</t>
  </si>
  <si>
    <t>P17 - Lower Pylon - Starter</t>
  </si>
  <si>
    <t>P17 - Lower Pylon - 1st Lift</t>
  </si>
  <si>
    <t>P18 - Lower Pylon - Starter</t>
  </si>
  <si>
    <t>P18 - Lower Pylon - 1st Lift</t>
  </si>
  <si>
    <t>P21 - Lower Pylon - Starter</t>
  </si>
  <si>
    <t>P21 - Lower Pylon - 1st Lift</t>
  </si>
  <si>
    <t>P23 - Lower Pylon - Starter</t>
  </si>
  <si>
    <t>P23 - Lower Pylon - 1st Lift</t>
  </si>
  <si>
    <t>P24 - Lower Pylon - Starter</t>
  </si>
  <si>
    <t>P24 - Lower Pylon - 1st Lift</t>
  </si>
  <si>
    <t>P27 - Lower Pylon - Starter</t>
  </si>
  <si>
    <t>P27 - Lower Pylon - 1st Lift</t>
  </si>
  <si>
    <t>P28 - Lower Pylon - Starter</t>
  </si>
  <si>
    <t>P28 - Lower Pylon - 1st Lift</t>
  </si>
  <si>
    <t>P30 - Lower Pylon - Starter</t>
  </si>
  <si>
    <t>P30 - Lower Pylon - 1st Lift</t>
  </si>
  <si>
    <t>Main Bridge - Segments - Scope Vs Casting</t>
  </si>
  <si>
    <t>Module 1</t>
  </si>
  <si>
    <t>Module 2</t>
  </si>
  <si>
    <t>Module 3</t>
  </si>
  <si>
    <t>Module 4</t>
  </si>
  <si>
    <t>Module 5</t>
  </si>
  <si>
    <t>Module 6</t>
  </si>
  <si>
    <t>P10-BP-S01a-E</t>
  </si>
  <si>
    <t>P14-BP-S01a-E</t>
  </si>
  <si>
    <t>P18-BP-S01a-E</t>
  </si>
  <si>
    <t>P26-BP-S01a-E</t>
  </si>
  <si>
    <t>P10-BP-S01-E</t>
  </si>
  <si>
    <t>P14-BP-S01-E</t>
  </si>
  <si>
    <t>P18-BP-S01-E</t>
  </si>
  <si>
    <t>P26-BP-S01-E</t>
  </si>
  <si>
    <t>P10-BP-S02-E</t>
  </si>
  <si>
    <t>P14-BP-S02-E</t>
  </si>
  <si>
    <t>P18-BP-S02-E</t>
  </si>
  <si>
    <t>P26-BP-S02-E</t>
  </si>
  <si>
    <t>P10-BP-S03-E</t>
  </si>
  <si>
    <t>P14-BP-S03-E</t>
  </si>
  <si>
    <t>P18-BP-S03-E</t>
  </si>
  <si>
    <t>P26-BP-S03-E</t>
  </si>
  <si>
    <t>P10-BP-S04-E</t>
  </si>
  <si>
    <t>P14-BP-S04-E</t>
  </si>
  <si>
    <t>P18-BP-S04-E</t>
  </si>
  <si>
    <t>P26-BP-S04-E</t>
  </si>
  <si>
    <t>P10-BP-S05-E</t>
  </si>
  <si>
    <t>P14-BP-S05-E</t>
  </si>
  <si>
    <t>P18-BP-S05-E</t>
  </si>
  <si>
    <t>P26-BP-S05-E</t>
  </si>
  <si>
    <t>P10-BP-S06-E</t>
  </si>
  <si>
    <t>P14-BP-S06-E</t>
  </si>
  <si>
    <t>P18-BP-S06-E</t>
  </si>
  <si>
    <t>P26-BP-S06-E</t>
  </si>
  <si>
    <t>P11-KS-S34a-O</t>
  </si>
  <si>
    <t>P15-KS-S34a-O</t>
  </si>
  <si>
    <t>P19-KS-S34a-O</t>
  </si>
  <si>
    <t>P27-KS-S34a-O</t>
  </si>
  <si>
    <t>P11-KS-S33a-O©</t>
  </si>
  <si>
    <t>P15-KS-S33a-O©</t>
  </si>
  <si>
    <t>P19-KS-S33a-O©</t>
  </si>
  <si>
    <t>P27-KS-S33a-O©</t>
  </si>
  <si>
    <t>P11-KS-S32a-O</t>
  </si>
  <si>
    <t>P15-KS-S32a-O</t>
  </si>
  <si>
    <t>P19-KS-S32a-O</t>
  </si>
  <si>
    <t>P27-KS-S32a-O</t>
  </si>
  <si>
    <t>P11-KS-S31a-O©</t>
  </si>
  <si>
    <t>P15-KS-S31a-O©</t>
  </si>
  <si>
    <t>P19-KS-S31a-O©</t>
  </si>
  <si>
    <t>P27-KS-S31a-O©</t>
  </si>
  <si>
    <t>P11-KS-S30a-O</t>
  </si>
  <si>
    <t>P15-KS-S30a-O</t>
  </si>
  <si>
    <t>P19-KS-S30a-O</t>
  </si>
  <si>
    <t>P27-KS-S30a-O</t>
  </si>
  <si>
    <t>P11-KS-S29a-O©</t>
  </si>
  <si>
    <t>P15-KS-S29a-O©</t>
  </si>
  <si>
    <t>P19-KS-S29a-O©</t>
  </si>
  <si>
    <t>P27-KS-S29a-O©</t>
  </si>
  <si>
    <t>P11-KS-S28a-O</t>
  </si>
  <si>
    <t>P15-KS-S28a-O</t>
  </si>
  <si>
    <t>P19-KS-S28a-O</t>
  </si>
  <si>
    <t>P27-KS-S28a-O</t>
  </si>
  <si>
    <t>P11-KS-S27a-O©</t>
  </si>
  <si>
    <t>P15-KS-S27a-O©</t>
  </si>
  <si>
    <t>P19-KS-S27a-O©</t>
  </si>
  <si>
    <t>P27-KS-S27a-O©</t>
  </si>
  <si>
    <t>P11-KS-S26a-O</t>
  </si>
  <si>
    <t>P15-KS-S26a-O</t>
  </si>
  <si>
    <t>P19-KS-S26a-O</t>
  </si>
  <si>
    <t>P27-KS-S26a-O</t>
  </si>
  <si>
    <t>P11-KS-S25a-O©</t>
  </si>
  <si>
    <t>P15-KS-S25a-O©</t>
  </si>
  <si>
    <t>P19-KS-S25a-O©</t>
  </si>
  <si>
    <t>P27-KS-S25a-O©</t>
  </si>
  <si>
    <t>P11-KS-S24a-O</t>
  </si>
  <si>
    <t>P15-KS-S24a-O</t>
  </si>
  <si>
    <t>P19-KS-S24a-O</t>
  </si>
  <si>
    <t>P27-KS-S24a-O</t>
  </si>
  <si>
    <t>P11-KS-S23a-O©</t>
  </si>
  <si>
    <t>P15-KS-S23a-O©</t>
  </si>
  <si>
    <t>P19-KS-S23a-O©</t>
  </si>
  <si>
    <t>P27-KS-S23a-O©</t>
  </si>
  <si>
    <t>P11-KS-S22a-O</t>
  </si>
  <si>
    <t>P15-KS-S22a-O</t>
  </si>
  <si>
    <t>P19-KS-S22a-O</t>
  </si>
  <si>
    <t>P27-KS-S22a-O</t>
  </si>
  <si>
    <t>P11-KS-S21a-O©</t>
  </si>
  <si>
    <t>P15-KS-S21a-O©</t>
  </si>
  <si>
    <t>P19-KS-S21a-O©</t>
  </si>
  <si>
    <t>P27-KS-S21a-O©</t>
  </si>
  <si>
    <t>P11-KS-S20a-O</t>
  </si>
  <si>
    <t>P15-KS-S20a-O</t>
  </si>
  <si>
    <t>P19-KS-S20a-O</t>
  </si>
  <si>
    <t>P27-KS-S20a-O</t>
  </si>
  <si>
    <t>P11-KS-S19a-O©</t>
  </si>
  <si>
    <t>P15-KS-S19a-O©</t>
  </si>
  <si>
    <t>P19-KS-S19a-O©</t>
  </si>
  <si>
    <t>P27-KS-S19a-O©</t>
  </si>
  <si>
    <t>P11-KS-S18a-O</t>
  </si>
  <si>
    <t>P15-KS-S18a-O</t>
  </si>
  <si>
    <t>P19-KS-S18a-O</t>
  </si>
  <si>
    <t>P27-KS-S18a-O</t>
  </si>
  <si>
    <t>P11-KS-S17a-O©</t>
  </si>
  <si>
    <t>P15-KS-S17a-O©</t>
  </si>
  <si>
    <t>P19-KS-S17a-O©</t>
  </si>
  <si>
    <t>P27-KS-S17a-O©</t>
  </si>
  <si>
    <t>P11-KS-S16a-O</t>
  </si>
  <si>
    <t>P15-KS-S16a-O</t>
  </si>
  <si>
    <t>P19-KS-S16a-O</t>
  </si>
  <si>
    <t>P27-KS-S16a-O</t>
  </si>
  <si>
    <t>P11-KS-S15a-O©</t>
  </si>
  <si>
    <t>P15-KS-S15a-O©</t>
  </si>
  <si>
    <t>P19-KS-S15a-O©</t>
  </si>
  <si>
    <t>P27-KS-S15a-O©</t>
  </si>
  <si>
    <t>P11-KS-S14a-O</t>
  </si>
  <si>
    <t>P15-KS-S14a-O</t>
  </si>
  <si>
    <t>P19-KS-S14a-O</t>
  </si>
  <si>
    <t>P27-KS-S14a-O</t>
  </si>
  <si>
    <t>P11-KS-S13a-O©</t>
  </si>
  <si>
    <t>P15-KS-S13a-O©</t>
  </si>
  <si>
    <t>P19-KS-S13a-O©</t>
  </si>
  <si>
    <t>P27-KS-S13a-O©</t>
  </si>
  <si>
    <t>P11-KS-S12a-O</t>
  </si>
  <si>
    <t>P15-KS-S12a-O</t>
  </si>
  <si>
    <t>P19-KS-S12a-O</t>
  </si>
  <si>
    <t>P27-KS-S12a-O</t>
  </si>
  <si>
    <t>P11-KS-S11a-O©</t>
  </si>
  <si>
    <t>P15-KS-S11a-O©</t>
  </si>
  <si>
    <t>P19-KS-S11a-O©</t>
  </si>
  <si>
    <t>P27-KS-S11a-O©</t>
  </si>
  <si>
    <t>P11-KS-S10a-O</t>
  </si>
  <si>
    <t>P19-KS-S10a-O</t>
  </si>
  <si>
    <t>P27-KS-S10a-O</t>
  </si>
  <si>
    <t>P11-KS-S09a-O©</t>
  </si>
  <si>
    <t>P27-KS-S09a-O©</t>
  </si>
  <si>
    <t>P11-KS-S08a-O</t>
  </si>
  <si>
    <t>P15-KS-S08a-O</t>
  </si>
  <si>
    <t>P19-KS-S08a-O</t>
  </si>
  <si>
    <t>P27-KS-S08a-O</t>
  </si>
  <si>
    <t>P11-KS-S07a-O</t>
  </si>
  <si>
    <t>P15-KS-S07a-O</t>
  </si>
  <si>
    <t>P19-KS-S07a-O</t>
  </si>
  <si>
    <t>P27-KS-S07a-O</t>
  </si>
  <si>
    <t>P11-KS-S06a-O</t>
  </si>
  <si>
    <t>P15-KS-S06a-O</t>
  </si>
  <si>
    <t>P19-KS-S06a-O</t>
  </si>
  <si>
    <t>P27-KS-S06a-O</t>
  </si>
  <si>
    <t>P11-KS-S05a-O</t>
  </si>
  <si>
    <t>P15-KS-S05a-O</t>
  </si>
  <si>
    <t>P19-KS-S05a-O</t>
  </si>
  <si>
    <t>P27-KS-S05a-O</t>
  </si>
  <si>
    <t>P11-KS-S04a-O</t>
  </si>
  <si>
    <t>P15-KS-S04a-O</t>
  </si>
  <si>
    <t>P19-KS-S04a-O</t>
  </si>
  <si>
    <t>P27-KS-S04a-O</t>
  </si>
  <si>
    <t>P11-KS-S03a-O</t>
  </si>
  <si>
    <t>P15-KS-S03a-O</t>
  </si>
  <si>
    <t>P19-KS-S03a-O</t>
  </si>
  <si>
    <t>P27-KS-S03a-O</t>
  </si>
  <si>
    <t>P11-KS-S02a-O</t>
  </si>
  <si>
    <t>P15-KS-S02a-O</t>
  </si>
  <si>
    <t>P19-KS-S02a-O</t>
  </si>
  <si>
    <t>P27-KS-S02a-O</t>
  </si>
  <si>
    <t>P11-KS-S01a-O</t>
  </si>
  <si>
    <t>P15-KS-S01a-O</t>
  </si>
  <si>
    <t>P19-KS-S01a-O</t>
  </si>
  <si>
    <t>P27-KS-S01a-O</t>
  </si>
  <si>
    <t>P11-BP-S01-O</t>
  </si>
  <si>
    <t>P15-BP-S01-O</t>
  </si>
  <si>
    <t>P19-BP-S01-O</t>
  </si>
  <si>
    <t>P27-BP-S01-O</t>
  </si>
  <si>
    <t>P11-BP-S02-O</t>
  </si>
  <si>
    <t>P15-BP-S02-O</t>
  </si>
  <si>
    <t>P19-BP-S02-O</t>
  </si>
  <si>
    <t>P27-BP-S02-O</t>
  </si>
  <si>
    <t>P11-BP-S03-O</t>
  </si>
  <si>
    <t>P15-BP-S03-O</t>
  </si>
  <si>
    <t>P19-BP-S03-O</t>
  </si>
  <si>
    <t>P27-BP-S03-O</t>
  </si>
  <si>
    <t>P11-BP-S04-O</t>
  </si>
  <si>
    <t>P15-BP-S04-O</t>
  </si>
  <si>
    <t>P19-BP-S04-O</t>
  </si>
  <si>
    <t>P27-BP-S04-O</t>
  </si>
  <si>
    <t>P11-BP-S05-O</t>
  </si>
  <si>
    <t>P15-BP-S05-O</t>
  </si>
  <si>
    <t>P19-BP-S05-O</t>
  </si>
  <si>
    <t>P27-BP-S05-O</t>
  </si>
  <si>
    <t>P11-BP-S06-O</t>
  </si>
  <si>
    <t>P15-BP-S06-O</t>
  </si>
  <si>
    <t>P19-BP-S06-O</t>
  </si>
  <si>
    <t>P27-BP-S06-O</t>
  </si>
  <si>
    <t>P11-BP-S07-O</t>
  </si>
  <si>
    <t>P15-BP-S07-O</t>
  </si>
  <si>
    <t>P19-BP-S07-O</t>
  </si>
  <si>
    <t>P27-BP-S07-O</t>
  </si>
  <si>
    <t>P11-BP-S08-O</t>
  </si>
  <si>
    <t>P15-BP-S08-O</t>
  </si>
  <si>
    <t>P19-BP-S08-O</t>
  </si>
  <si>
    <t>P27-BP-S08-O</t>
  </si>
  <si>
    <t>P11-BP-S09-O©</t>
  </si>
  <si>
    <t>P15-BP-S09-O©</t>
  </si>
  <si>
    <t>P19-BP-S09-O©</t>
  </si>
  <si>
    <t>P27-BP-S09-O©</t>
  </si>
  <si>
    <t>P11-BP-S10-O</t>
  </si>
  <si>
    <t>P19-BP-S10-O</t>
  </si>
  <si>
    <t>P27-BP-S10-O</t>
  </si>
  <si>
    <t>P11-BP-S11-O©</t>
  </si>
  <si>
    <t>P19-BP-S11-O©</t>
  </si>
  <si>
    <t>P27-BP-S11-O©</t>
  </si>
  <si>
    <t>P11-BP-S12-O</t>
  </si>
  <si>
    <t>P19-BP-S12-O</t>
  </si>
  <si>
    <t>P27-BP-S12-O</t>
  </si>
  <si>
    <t>P11-BP-S13-O©</t>
  </si>
  <si>
    <t>P19-BP-S13-O©</t>
  </si>
  <si>
    <t>P27-BP-S13-O©</t>
  </si>
  <si>
    <t>P11-BP-S14-O</t>
  </si>
  <si>
    <t>P19-BP-S14-O</t>
  </si>
  <si>
    <t>P27-BP-S14-O</t>
  </si>
  <si>
    <t>P11-BP-S15-O©</t>
  </si>
  <si>
    <t>P19-BP-S15-O©</t>
  </si>
  <si>
    <t>P27-BP-S15-O©</t>
  </si>
  <si>
    <t>P11-BP-S16-O</t>
  </si>
  <si>
    <t>P15-BP-S16-O</t>
  </si>
  <si>
    <t>P19-BP-S16-O</t>
  </si>
  <si>
    <t>P27-BP-S16-O</t>
  </si>
  <si>
    <t>P11-BP-S17-O©</t>
  </si>
  <si>
    <t>P15-BP-S17-O©</t>
  </si>
  <si>
    <t>P19-BP-S17-O©</t>
  </si>
  <si>
    <t>P27-BP-S17-O©</t>
  </si>
  <si>
    <t>P11-BP-S18-O</t>
  </si>
  <si>
    <t>P15-BP-S18-O</t>
  </si>
  <si>
    <t>P19-BP-S18-O</t>
  </si>
  <si>
    <t>P27-BP-S18-O</t>
  </si>
  <si>
    <t>P11-BP-S19-O©</t>
  </si>
  <si>
    <t>P15-BP-S19-O©</t>
  </si>
  <si>
    <t>P19-BP-S19-O©</t>
  </si>
  <si>
    <t>P27-BP-S19-O©</t>
  </si>
  <si>
    <t>P11-BP-S20-O</t>
  </si>
  <si>
    <t>P15-BP-S20-O</t>
  </si>
  <si>
    <t>P19-BP-S20-O</t>
  </si>
  <si>
    <t>P27-BP-S20-O</t>
  </si>
  <si>
    <t>P11-BP-S21-O©</t>
  </si>
  <si>
    <t>P15-BP-S21-O©</t>
  </si>
  <si>
    <t>P19-BP-S21-O©</t>
  </si>
  <si>
    <t>P27-BP-S21-O©</t>
  </si>
  <si>
    <t>P11-BP-S22-O</t>
  </si>
  <si>
    <t>P19-BP-S22-O</t>
  </si>
  <si>
    <t>P27-BP-S22-O</t>
  </si>
  <si>
    <t>P11-BP-S23-O©</t>
  </si>
  <si>
    <t>P15-BP-S23-O©</t>
  </si>
  <si>
    <t>P19-BP-S23-O©</t>
  </si>
  <si>
    <t>P27-BP-S23-O©</t>
  </si>
  <si>
    <t>P11-BP-S24-O</t>
  </si>
  <si>
    <t>P15-BP-S24-O</t>
  </si>
  <si>
    <t>P19-BP-S24-O</t>
  </si>
  <si>
    <t>P27-BP-S24-O</t>
  </si>
  <si>
    <t>P11-BP-S25-O©</t>
  </si>
  <si>
    <t>P15-BP-S25-O©</t>
  </si>
  <si>
    <t>P19-BP-S25-O©</t>
  </si>
  <si>
    <t>P27-BP-S25-O©</t>
  </si>
  <si>
    <t>P11-BP-S26-O</t>
  </si>
  <si>
    <t>P15-BP-S26-O</t>
  </si>
  <si>
    <t>P19-BP-S26-O</t>
  </si>
  <si>
    <t>P27-BP-S26-O</t>
  </si>
  <si>
    <t>P11-BP-S27-O©</t>
  </si>
  <si>
    <t>P15-BP-S27-O©</t>
  </si>
  <si>
    <t>P19-BP-S27-O©</t>
  </si>
  <si>
    <t>P27-BP-S27-O©</t>
  </si>
  <si>
    <t>P11-BP-S28-O</t>
  </si>
  <si>
    <t>P15-BP-S28-O</t>
  </si>
  <si>
    <t>P19-BP-S28-O</t>
  </si>
  <si>
    <t>P27-BP-S28-O</t>
  </si>
  <si>
    <t>P11-BP-S29-O©</t>
  </si>
  <si>
    <t>P15-BP-S29-O©</t>
  </si>
  <si>
    <t>P19-BP-S29-O©</t>
  </si>
  <si>
    <t>P27-BP-S29-O©</t>
  </si>
  <si>
    <t>P11-BP-S30-O</t>
  </si>
  <si>
    <t>P15-BP-S30-O</t>
  </si>
  <si>
    <t>P19-BP-S30-O</t>
  </si>
  <si>
    <t>P27-BP-S30-O</t>
  </si>
  <si>
    <t>P11-BP-S31-O©</t>
  </si>
  <si>
    <t>P15-BP-S31-O©</t>
  </si>
  <si>
    <t>P19-BP-S31-O©</t>
  </si>
  <si>
    <t>P27-BP-S31-O©</t>
  </si>
  <si>
    <t>P11-BP-S32-O</t>
  </si>
  <si>
    <t>P15-BP-S32-O</t>
  </si>
  <si>
    <t>P19-BP-S32-O</t>
  </si>
  <si>
    <t>P27-BP-S32-O</t>
  </si>
  <si>
    <t>P11-BP-S33-O©</t>
  </si>
  <si>
    <t>P15-BP-S33-O©</t>
  </si>
  <si>
    <t>P19-BP-S33-O©</t>
  </si>
  <si>
    <t>P27-BP-S33-O©</t>
  </si>
  <si>
    <t>P11-BP-S34-O</t>
  </si>
  <si>
    <t>P15-BP-S34-O</t>
  </si>
  <si>
    <t>P19-BP-S34-O</t>
  </si>
  <si>
    <t>P27-BP-S34-O</t>
  </si>
  <si>
    <t>P12-KS-S18-M</t>
  </si>
  <si>
    <t>P16-KS-S18-M</t>
  </si>
  <si>
    <t>P20-KS-S18-M</t>
  </si>
  <si>
    <t>P28-KS-S18-M</t>
  </si>
  <si>
    <t>P12-KS-S17-M</t>
  </si>
  <si>
    <t>P16-KS-S17-M</t>
  </si>
  <si>
    <t>P20-KS-S17-M</t>
  </si>
  <si>
    <t>P28-KS-S17-M</t>
  </si>
  <si>
    <t>P12-KS-S16-M©</t>
  </si>
  <si>
    <t>P16-KS-S16-M©</t>
  </si>
  <si>
    <t>P20-KS-S16-M©</t>
  </si>
  <si>
    <t>P28-KS-S16-M©</t>
  </si>
  <si>
    <t>P12-KS-S15-M</t>
  </si>
  <si>
    <t>P16-KS-S15-M</t>
  </si>
  <si>
    <t>P20-KS-S15-M</t>
  </si>
  <si>
    <t>P28-KS-S15-M</t>
  </si>
  <si>
    <t>P12-KS-S14-M©</t>
  </si>
  <si>
    <t>P20-KS-S14-M©</t>
  </si>
  <si>
    <t>P28-KS-S14-M©</t>
  </si>
  <si>
    <t>P12-KS-S13-M</t>
  </si>
  <si>
    <t>P20-KS-S13-M</t>
  </si>
  <si>
    <t>P28-KS-S13-M</t>
  </si>
  <si>
    <t>P12-KS-S12-M©</t>
  </si>
  <si>
    <t>P20-KS-S12-M©</t>
  </si>
  <si>
    <t>P28-KS-S12-M©</t>
  </si>
  <si>
    <t>P12-KS-S11-M</t>
  </si>
  <si>
    <t>P20-KS-S11-M</t>
  </si>
  <si>
    <t>P28-KS-S11-M</t>
  </si>
  <si>
    <t>P12-KS-S10-M©</t>
  </si>
  <si>
    <t>P20-KS-S10-M©</t>
  </si>
  <si>
    <t>P28-KS-S10-M©</t>
  </si>
  <si>
    <t>P12-KS-S09-M</t>
  </si>
  <si>
    <t>P20-KS-S09-M</t>
  </si>
  <si>
    <t>P28-KS-S09-M</t>
  </si>
  <si>
    <t>P12-KS-S08-M©</t>
  </si>
  <si>
    <t>P20-KS-S08-M©</t>
  </si>
  <si>
    <t>P28-KS-S08-M©</t>
  </si>
  <si>
    <t>P12-KS-S07-M</t>
  </si>
  <si>
    <t>P16-KS-S07-M</t>
  </si>
  <si>
    <t>P20-KS-S07-M</t>
  </si>
  <si>
    <t>P24-KS-S07-M</t>
  </si>
  <si>
    <t>P28-KS-S07-M</t>
  </si>
  <si>
    <t>P12-KS-S06-M</t>
  </si>
  <si>
    <t>P16-KS-S06-M</t>
  </si>
  <si>
    <t>P20-KS-S06-M</t>
  </si>
  <si>
    <t>P24-KS-S06-M</t>
  </si>
  <si>
    <t>P28-KS-S06-M</t>
  </si>
  <si>
    <t>P12-KS-S05-M</t>
  </si>
  <si>
    <t>P16-KS-S05-M</t>
  </si>
  <si>
    <t>P20-KS-S05-M</t>
  </si>
  <si>
    <t>P24-KS-S05-M</t>
  </si>
  <si>
    <t>P28-KS-S05-M</t>
  </si>
  <si>
    <t>P12-KS-S04-M</t>
  </si>
  <si>
    <t>P16-KS-S04-M</t>
  </si>
  <si>
    <t>P20-KS-S04-M</t>
  </si>
  <si>
    <t>P28-KS-S04-M</t>
  </si>
  <si>
    <t>P12-KS-S03-M</t>
  </si>
  <si>
    <t>P16-KS-S03-M</t>
  </si>
  <si>
    <t>P20-KS-S03-M</t>
  </si>
  <si>
    <t>P28-KS-S03-M</t>
  </si>
  <si>
    <t>P12-KS-S02-M</t>
  </si>
  <si>
    <t>P16-KS-S02-M</t>
  </si>
  <si>
    <t>P20-KS-S02-M</t>
  </si>
  <si>
    <t>P28-KS-S02-M</t>
  </si>
  <si>
    <t>P12-KS-S01-M</t>
  </si>
  <si>
    <t>P16-KS-S01-M</t>
  </si>
  <si>
    <t>P20-KS-S01-M</t>
  </si>
  <si>
    <t>P28-KS-S01-M</t>
  </si>
  <si>
    <t>P12-BP-S01-M</t>
  </si>
  <si>
    <t>P16-BP-S01-M</t>
  </si>
  <si>
    <t>P20-BP-S01-M</t>
  </si>
  <si>
    <t>P24-BP-S01-M</t>
  </si>
  <si>
    <t>P28-BP-S01-M</t>
  </si>
  <si>
    <t>P12-BP-S02-M</t>
  </si>
  <si>
    <t>P16-BP-S02-M</t>
  </si>
  <si>
    <t>P20-BP-S02-M</t>
  </si>
  <si>
    <t>P24-BP-S02-M</t>
  </si>
  <si>
    <t>P28-BP-S02-M</t>
  </si>
  <si>
    <t>P12-BP-S03-M</t>
  </si>
  <si>
    <t>P16-BP-S03-M</t>
  </si>
  <si>
    <t>P20-BP-S03-M</t>
  </si>
  <si>
    <t>P24-BP-S03-M</t>
  </si>
  <si>
    <t>P28-BP-S03-M</t>
  </si>
  <si>
    <t>P12-BP-S04-M</t>
  </si>
  <si>
    <t>P16-BP-S04-M</t>
  </si>
  <si>
    <t>P20-BP-S04-M</t>
  </si>
  <si>
    <t>P24-BP-S04-M</t>
  </si>
  <si>
    <t>P28-BP-S04-M</t>
  </si>
  <si>
    <t>P12-BP-S05-M</t>
  </si>
  <si>
    <t>P16-BP-S05-M</t>
  </si>
  <si>
    <t>P20-BP-S05-M</t>
  </si>
  <si>
    <t>P24-BP-S05-M</t>
  </si>
  <si>
    <t>P28-BP-S05-M</t>
  </si>
  <si>
    <t>P12-BP-S06-M</t>
  </si>
  <si>
    <t>P16-BP-S06-M</t>
  </si>
  <si>
    <t>P20-BP-S06-M</t>
  </si>
  <si>
    <t>P24-BP-S06-M</t>
  </si>
  <si>
    <t>P28-BP-S06-M</t>
  </si>
  <si>
    <t>P12-BP-S07-M</t>
  </si>
  <si>
    <t>P16-BP-S07-M</t>
  </si>
  <si>
    <t>P20-BP-S07-M</t>
  </si>
  <si>
    <t>P24-BP-S07-M</t>
  </si>
  <si>
    <t>P28-BP-S07-M</t>
  </si>
  <si>
    <t>P12-BP-S08-M©</t>
  </si>
  <si>
    <t>P20-BP-S08-M©</t>
  </si>
  <si>
    <t>P28-BP-S08-M©</t>
  </si>
  <si>
    <t>P12-BP-S09-M</t>
  </si>
  <si>
    <t>P20-BP-S09-M</t>
  </si>
  <si>
    <t>P28-BP-S09-M</t>
  </si>
  <si>
    <t>P12-BP-S10-M©</t>
  </si>
  <si>
    <t>P20-BP-S10-M©</t>
  </si>
  <si>
    <t>P28-BP-S10-M©</t>
  </si>
  <si>
    <t>P12-BP-S11-M</t>
  </si>
  <si>
    <t>P20-BP-S11-M</t>
  </si>
  <si>
    <t>P28-BP-S11-M</t>
  </si>
  <si>
    <t>P12-BP-S12-M©</t>
  </si>
  <si>
    <t>P20-BP-S12-M©</t>
  </si>
  <si>
    <t>P28-BP-S12-M©</t>
  </si>
  <si>
    <t>P12-BP-S13-M</t>
  </si>
  <si>
    <t>P20-BP-S13-M</t>
  </si>
  <si>
    <t>P28-BP-S13-M</t>
  </si>
  <si>
    <t>P12-BP-S14-M©</t>
  </si>
  <si>
    <t>P20-BP-S14-M©</t>
  </si>
  <si>
    <t>P28-BP-S14-M©</t>
  </si>
  <si>
    <t>P12-BP-S15-M</t>
  </si>
  <si>
    <t>P20-BP-S15-M</t>
  </si>
  <si>
    <t>P28-BP-S15-M</t>
  </si>
  <si>
    <t>P12-BP-S16-M©</t>
  </si>
  <si>
    <t>P20-BP-S16-M©</t>
  </si>
  <si>
    <t>P28-BP-S16-M©</t>
  </si>
  <si>
    <t>P12-BP-S17-M</t>
  </si>
  <si>
    <t>P20-BP-S17-M</t>
  </si>
  <si>
    <t>P28-BP-S17-M</t>
  </si>
  <si>
    <t>P12-BP-S18-M</t>
  </si>
  <si>
    <t>P20-BP-S18-M</t>
  </si>
  <si>
    <t>P28-BP-S18-M</t>
  </si>
  <si>
    <t>P13-KS-S34-O</t>
  </si>
  <si>
    <t>P29-KS-S34-O</t>
  </si>
  <si>
    <t>P13-KS-S33-O©</t>
  </si>
  <si>
    <t>P29-KS-S33-O©</t>
  </si>
  <si>
    <t>P13-KS-S32-O</t>
  </si>
  <si>
    <t>P29-KS-S32-O</t>
  </si>
  <si>
    <t>P13-KS-S31-O©</t>
  </si>
  <si>
    <t>P29-KS-S31-O©</t>
  </si>
  <si>
    <t>P13-KS-S30-O</t>
  </si>
  <si>
    <t>P29-KS-S30-O</t>
  </si>
  <si>
    <t>P13-KS-S29-O©</t>
  </si>
  <si>
    <t>P29-KS-S29-O©</t>
  </si>
  <si>
    <t>P13-KS-S28-O</t>
  </si>
  <si>
    <t>P29-KS-S28-O</t>
  </si>
  <si>
    <t>P13-KS-S27-O©</t>
  </si>
  <si>
    <t>P29-KS-S27-O©</t>
  </si>
  <si>
    <t>P13-KS-S26-O</t>
  </si>
  <si>
    <t>P29-KS-S26-O</t>
  </si>
  <si>
    <t>P13-KS-S25-O©</t>
  </si>
  <si>
    <t>P29-KS-S25-O©</t>
  </si>
  <si>
    <t>P13-KS-S24-O</t>
  </si>
  <si>
    <t>P29-KS-S24-O</t>
  </si>
  <si>
    <t>P13-KS-S23-O©</t>
  </si>
  <si>
    <t>P29-KS-S23-O©</t>
  </si>
  <si>
    <t>P13-KS-S22-O</t>
  </si>
  <si>
    <t>P29-KS-S22-O</t>
  </si>
  <si>
    <t>P13-KS-S21-O©</t>
  </si>
  <si>
    <t>P29-KS-S21-O©</t>
  </si>
  <si>
    <t>P13-KS-S20-O</t>
  </si>
  <si>
    <t>P29-KS-S20-O</t>
  </si>
  <si>
    <t>P13-KS-S19-O©</t>
  </si>
  <si>
    <t>P29-KS-S19-O©</t>
  </si>
  <si>
    <t>P13-KS-S18-O</t>
  </si>
  <si>
    <t>P29-KS-S18-O</t>
  </si>
  <si>
    <t>P13-KS-S17-O©</t>
  </si>
  <si>
    <t>P29-KS-S17-O©</t>
  </si>
  <si>
    <t>P13-KS-S16-O</t>
  </si>
  <si>
    <t>P29-KS-S16-O</t>
  </si>
  <si>
    <t>P13-KS-S15-O©</t>
  </si>
  <si>
    <t>P29-KS-S15-O©</t>
  </si>
  <si>
    <t>P13-KS-S14-O</t>
  </si>
  <si>
    <t>P29-KS-S14-O</t>
  </si>
  <si>
    <t>P13-KS-S13-O©</t>
  </si>
  <si>
    <t>P29-KS-S13-O©</t>
  </si>
  <si>
    <t>P13-KS-S12-O</t>
  </si>
  <si>
    <t>P29-KS-S12-O</t>
  </si>
  <si>
    <t>P13-KS-S11-O©</t>
  </si>
  <si>
    <t>P29-KS-S11-O©</t>
  </si>
  <si>
    <t>P13-KS-S10-O</t>
  </si>
  <si>
    <t>P29-KS-S10-O</t>
  </si>
  <si>
    <t>P13-KS-S09-O©</t>
  </si>
  <si>
    <t>P29-KS-S09-O©</t>
  </si>
  <si>
    <t>P13-KS-S08-O</t>
  </si>
  <si>
    <t>P17-KS-S08-O</t>
  </si>
  <si>
    <t>P21-KS-S08-O</t>
  </si>
  <si>
    <t>P25-KS-S08-O</t>
  </si>
  <si>
    <t>P29-KS-S08-O</t>
  </si>
  <si>
    <t>P13-KS-S07-O</t>
  </si>
  <si>
    <t>P17-KS-S07-O</t>
  </si>
  <si>
    <t>P21-KS-S07-O</t>
  </si>
  <si>
    <t>P29-KS-S07-O</t>
  </si>
  <si>
    <t>P13-KS-S06-O</t>
  </si>
  <si>
    <t>P17-KS-S06-O</t>
  </si>
  <si>
    <t>P21-KS-S06-O</t>
  </si>
  <si>
    <t>P29-KS-S06-O</t>
  </si>
  <si>
    <t>P13-KS-S05-O</t>
  </si>
  <si>
    <t>P17-KS-S05-O</t>
  </si>
  <si>
    <t>P21-KS-S05-O</t>
  </si>
  <si>
    <t>P29-KS-S05-O</t>
  </si>
  <si>
    <t>P13-KS-S04-O</t>
  </si>
  <si>
    <t>P17-KS-S04-O</t>
  </si>
  <si>
    <t>P21-KS-S04-O</t>
  </si>
  <si>
    <t>P29-KS-S04-O</t>
  </si>
  <si>
    <t>P13-KS-S03-O</t>
  </si>
  <si>
    <t>P17-KS-S03-O</t>
  </si>
  <si>
    <t>P21-KS-S03-O</t>
  </si>
  <si>
    <t>P29-KS-S03-O</t>
  </si>
  <si>
    <t>P13-KS-S02-O</t>
  </si>
  <si>
    <t>P17-KS-S02-O</t>
  </si>
  <si>
    <t>P21-KS-S02-O</t>
  </si>
  <si>
    <t>P29-KS-S02-O</t>
  </si>
  <si>
    <t>P13-KS-S01-O</t>
  </si>
  <si>
    <t>P17-KS-S01-O</t>
  </si>
  <si>
    <t>P21-KS-S01-O</t>
  </si>
  <si>
    <t>P29-KS-S01-O</t>
  </si>
  <si>
    <t>P13-BP-S01a-O</t>
  </si>
  <si>
    <t>P17-BP-S01a-O</t>
  </si>
  <si>
    <t>P21-BP-S01a-O</t>
  </si>
  <si>
    <t>P29-BP-S01a-O</t>
  </si>
  <si>
    <t>P13-BP-S02a-O</t>
  </si>
  <si>
    <t>P17-BP-S02a-O</t>
  </si>
  <si>
    <t>P21-BP-S02a-O</t>
  </si>
  <si>
    <t>P29-BP-S02a-O</t>
  </si>
  <si>
    <t>P13-BP-S03a-O</t>
  </si>
  <si>
    <t>P17-BP-S03a-O</t>
  </si>
  <si>
    <t>P21-BP-S03a-O</t>
  </si>
  <si>
    <t>P29-BP-S03a-O</t>
  </si>
  <si>
    <t>P13-BP-S04a-O</t>
  </si>
  <si>
    <t>P17-BP-S04a-O</t>
  </si>
  <si>
    <t>P21-BP-S04a-O</t>
  </si>
  <si>
    <t>P25-BP-S04a-O</t>
  </si>
  <si>
    <t>P29-BP-S04a-O</t>
  </si>
  <si>
    <t>P13-BP-S05a-O</t>
  </si>
  <si>
    <t>P17-BP-S05a-O</t>
  </si>
  <si>
    <t>P21-BP-S05a-O</t>
  </si>
  <si>
    <t>P29-BP-S05a-O</t>
  </si>
  <si>
    <t>P13-BP-S06a-O</t>
  </si>
  <si>
    <t>P17-BP-S06a-O</t>
  </si>
  <si>
    <t>P21-BP-S06a-O</t>
  </si>
  <si>
    <t>P29-BP-S06a-O</t>
  </si>
  <si>
    <t>P13-BP-S07a-O</t>
  </si>
  <si>
    <t>P17-BP-S07a-O</t>
  </si>
  <si>
    <t>P21-BP-S07a-O</t>
  </si>
  <si>
    <t>P29-BP-S07a-O</t>
  </si>
  <si>
    <t>P13-BP-S08a-O</t>
  </si>
  <si>
    <t>P17-BP-S08a-O</t>
  </si>
  <si>
    <t>P21-BP-S08a-O</t>
  </si>
  <si>
    <t>P29-BP-S08a-O</t>
  </si>
  <si>
    <t>P13-BP-S09a-O©</t>
  </si>
  <si>
    <t>P29-BP-S09a-O©</t>
  </si>
  <si>
    <t>P13-BP-S10a-O</t>
  </si>
  <si>
    <t>P29-BP-S10a-O</t>
  </si>
  <si>
    <t>P13-BP-S11a-O©</t>
  </si>
  <si>
    <t>P29-BP-S11a-O©</t>
  </si>
  <si>
    <t>P13-BP-S12a-O</t>
  </si>
  <si>
    <t>P29-BP-S12a-O</t>
  </si>
  <si>
    <t>P13-BP-S13a-O©</t>
  </si>
  <si>
    <t>P29-BP-S13a-O©</t>
  </si>
  <si>
    <t>P13-BP-S14a-O</t>
  </si>
  <si>
    <t>P29-BP-S14a-O</t>
  </si>
  <si>
    <t>P13-BP-S15a-O©</t>
  </si>
  <si>
    <t>P29-BP-S15a-O©</t>
  </si>
  <si>
    <t>P13-BP-S16a-O</t>
  </si>
  <si>
    <t>P29-BP-S16a-O</t>
  </si>
  <si>
    <t>P13-BP-S17a-O©</t>
  </si>
  <si>
    <t>P29-BP-S17a-O©</t>
  </si>
  <si>
    <t>P13-BP-S18a-O</t>
  </si>
  <si>
    <t>P29-BP-S18a-O</t>
  </si>
  <si>
    <t>P13-BP-S19a-O©</t>
  </si>
  <si>
    <t>P29-BP-S19a-O©</t>
  </si>
  <si>
    <t>P13-BP-S20a-O</t>
  </si>
  <si>
    <t>P29-BP-S20a-O</t>
  </si>
  <si>
    <t>P13-BP-S21a-O©</t>
  </si>
  <si>
    <t>P29-BP-S21a-O©</t>
  </si>
  <si>
    <t>P13-BP-S22a-O</t>
  </si>
  <si>
    <t>P29-BP-S22a-O</t>
  </si>
  <si>
    <t>P13-BP-S23a-O©</t>
  </si>
  <si>
    <t>P29-BP-S23a-O©</t>
  </si>
  <si>
    <t>P13-BP-S24a-O</t>
  </si>
  <si>
    <t>P29-BP-S24a-O</t>
  </si>
  <si>
    <t>P13-BP-S25a-O©</t>
  </si>
  <si>
    <t>P29-BP-S25a-O©</t>
  </si>
  <si>
    <t>P13-BP-S26a-O</t>
  </si>
  <si>
    <t>P29-BP-S26a-O</t>
  </si>
  <si>
    <t>P13-BP-S27a-O©</t>
  </si>
  <si>
    <t>P29-BP-S27a-O©</t>
  </si>
  <si>
    <t>P13-BP-S28a-O</t>
  </si>
  <si>
    <t>P29-BP-S28a-O</t>
  </si>
  <si>
    <t>P13-BP-S29a-O©</t>
  </si>
  <si>
    <t>P29-BP-S29a-O©</t>
  </si>
  <si>
    <t>P13-BP-S30a-O</t>
  </si>
  <si>
    <t>P29-BP-S30a-O</t>
  </si>
  <si>
    <t>P13-BP-S31a-O©</t>
  </si>
  <si>
    <t>P29-BP-S31a-O©</t>
  </si>
  <si>
    <t>P13-BP-S32a-O</t>
  </si>
  <si>
    <t>P21-BP-S32a-O</t>
  </si>
  <si>
    <t>P29-BP-S32a-O</t>
  </si>
  <si>
    <t>P13-BP-S33a-O©</t>
  </si>
  <si>
    <t>P21-BP-S33a-O©</t>
  </si>
  <si>
    <t>P29-BP-S33a-O©</t>
  </si>
  <si>
    <t>P13-BP-S34a-O</t>
  </si>
  <si>
    <t>P21-BP-S34a-O</t>
  </si>
  <si>
    <t>P29-BP-S34a-O</t>
  </si>
  <si>
    <t>P14-KS-S06-E</t>
  </si>
  <si>
    <t>P22-KS-S06-E</t>
  </si>
  <si>
    <t>P30-KS-S06-E</t>
  </si>
  <si>
    <t>P14-KS-S05-E</t>
  </si>
  <si>
    <t>P22-KS-S05-E</t>
  </si>
  <si>
    <t>P30-KS-S05-E</t>
  </si>
  <si>
    <t>P14-KS-S04-E</t>
  </si>
  <si>
    <t>P22-KS-S04-E</t>
  </si>
  <si>
    <t>P30-KS-S04-E</t>
  </si>
  <si>
    <t>P14-KS-S03-E</t>
  </si>
  <si>
    <t>P22-KS-S03-E</t>
  </si>
  <si>
    <t>P30-KS-S03-E</t>
  </si>
  <si>
    <t>P14-KS-S02-E</t>
  </si>
  <si>
    <t>P22-KS-S02-E</t>
  </si>
  <si>
    <t>P30-KS-S02-E</t>
  </si>
  <si>
    <t>P14-KS-S01-E</t>
  </si>
  <si>
    <t>P22-KS-S01-E</t>
  </si>
  <si>
    <t>P30-KS-S01-E</t>
  </si>
  <si>
    <t>P14-KS-S01a-E</t>
  </si>
  <si>
    <t>P22-KS-S01a-E</t>
  </si>
  <si>
    <t>P30-KS-S01a-E</t>
  </si>
  <si>
    <t>Month</t>
  </si>
  <si>
    <t>No. of  Segments Casted</t>
  </si>
  <si>
    <t>No. of Cable Stay Segments Casted</t>
  </si>
  <si>
    <t>Schedule 5 - Wetland and Approach Viaduct Works</t>
  </si>
  <si>
    <t>501.a.1</t>
  </si>
  <si>
    <t>For Wetland Viaduct - On completion of Piles</t>
  </si>
  <si>
    <t>MPSB/Sur/192
MPSB/Str/200</t>
  </si>
  <si>
    <t>Km 11+284 - PL19/P1</t>
  </si>
  <si>
    <t>PL19/P1 - WV2</t>
  </si>
  <si>
    <t>MPSB/Sur/197
MPSB/Str/212</t>
  </si>
  <si>
    <t>14-Dec-24
16-Dec-24</t>
  </si>
  <si>
    <t>Km 11+284 - PL19/P3</t>
  </si>
  <si>
    <t>PL19/P3 - WV2</t>
  </si>
  <si>
    <t>MPSB/Sur/198
MPSB/Str/220</t>
  </si>
  <si>
    <t>16-Dec-24
18-Dec-24</t>
  </si>
  <si>
    <t>Km 11+320 - PL20/P2</t>
  </si>
  <si>
    <t>PL20/P2 - WV2</t>
  </si>
  <si>
    <t>MPSB/Sur/199
MPSB/Str/213</t>
  </si>
  <si>
    <t>Km 11+320 - PL20/P4</t>
  </si>
  <si>
    <t>PL20/P4 - WV2</t>
  </si>
  <si>
    <t>MPSB/Sur/205
MPSB/Str/237</t>
  </si>
  <si>
    <t>19-Dec-24
23-Dec-24</t>
  </si>
  <si>
    <t>Km 11+320 - PL20/P3</t>
  </si>
  <si>
    <t>PL20/P3 - WV2</t>
  </si>
  <si>
    <t>MPSB/Sur/193
MPSB/Str/201</t>
  </si>
  <si>
    <t>Km 11+320 - PL20/P1</t>
  </si>
  <si>
    <t>PL20/P1 - WV2</t>
  </si>
  <si>
    <t>MPSB/Sur/213
MPSB/Str/243</t>
  </si>
  <si>
    <t>Km 11+284 - PL19/P4</t>
  </si>
  <si>
    <t>PL19/P4 - WV2</t>
  </si>
  <si>
    <t>MPSB/Sur/208
MPSB/Str/244</t>
  </si>
  <si>
    <t>20-Dec-24
24-Dec-24</t>
  </si>
  <si>
    <t>Km 11+320 - PR20/P1</t>
  </si>
  <si>
    <t>PR20/P1 - WV2</t>
  </si>
  <si>
    <t>MPSB/Sur/217
MPSB/Str/248</t>
  </si>
  <si>
    <t>Km 11+284 - PL19/P2</t>
  </si>
  <si>
    <t>PL19/P2 - WV2</t>
  </si>
  <si>
    <t>MPSB/Sur/218
MPSB/Str/249</t>
  </si>
  <si>
    <t>Km 11+320 - PR20/P3</t>
  </si>
  <si>
    <t>PR20/P3 - WV2</t>
  </si>
  <si>
    <t>MPSB/Sur/221
MPSB/Str/257</t>
  </si>
  <si>
    <t>Km 11+212 - PR17/P2</t>
  </si>
  <si>
    <t>PR17/P2 - WV2</t>
  </si>
  <si>
    <t>MPSB/Sur/226
MPSB/Str/263</t>
  </si>
  <si>
    <t>Km 11+212 - PR17/P4</t>
  </si>
  <si>
    <t>PR17/P4 - WV2</t>
  </si>
  <si>
    <t>MPSB/Sur/225
MPSB/Str/296</t>
  </si>
  <si>
    <t>Km 11+320 - PR20/P4</t>
  </si>
  <si>
    <t>PR20/P4 - WV2</t>
  </si>
  <si>
    <t>MPSB/Sur/230
MPSB/Str/273</t>
  </si>
  <si>
    <t>Km 11+212 - PL17/P2</t>
  </si>
  <si>
    <t>PL17/P2 - WV2</t>
  </si>
  <si>
    <t>MPSB/Sur/232
MPSB/Str/275</t>
  </si>
  <si>
    <t>Km 11+212 - PR17/P1</t>
  </si>
  <si>
    <t>PR17/P1 - WV2</t>
  </si>
  <si>
    <t>MPSB/Sur/231
MPSB/Str/274</t>
  </si>
  <si>
    <t>Km 11+176 - PR16/P1</t>
  </si>
  <si>
    <t>PR16/P1 - WV2</t>
  </si>
  <si>
    <t>MPSB/Sur/242
MPSB/Str/285</t>
  </si>
  <si>
    <t>Km 11+212 - PR17/P3</t>
  </si>
  <si>
    <t>PR17/P3 - WV2</t>
  </si>
  <si>
    <t>MPSB/Sur/254
MPSB/Str/313</t>
  </si>
  <si>
    <t>Km 11+176 - PL16/P1</t>
  </si>
  <si>
    <t>PL16/P1 - WV2</t>
  </si>
  <si>
    <t>MPSB/Sur/234
MPSB/Str/283</t>
  </si>
  <si>
    <t>Km 11+176 - PR16/P3</t>
  </si>
  <si>
    <t>PR16/P3 - WV2</t>
  </si>
  <si>
    <t>MPSB/Sur/255
MPSB/Str/314</t>
  </si>
  <si>
    <t>Km 11+140 - PR15/P1</t>
  </si>
  <si>
    <t>PR15/P1 - WV2</t>
  </si>
  <si>
    <t>MPSB/Sur/256
MPSB/Str/315</t>
  </si>
  <si>
    <t>Km 11+176 - PL16/P3</t>
  </si>
  <si>
    <t>PL16/P3 - WV2</t>
  </si>
  <si>
    <t>MPSB/Sur/258
MPSB/Str/317</t>
  </si>
  <si>
    <t>Km 11+212 - PL17/P1</t>
  </si>
  <si>
    <t>PL17/P1 - WV2</t>
  </si>
  <si>
    <t>MPSB/Sur/257
MPSB/Str/322</t>
  </si>
  <si>
    <t>3-Jan-25
6-Jan-25</t>
  </si>
  <si>
    <t>Km 11+140 - PL15/P1</t>
  </si>
  <si>
    <t>PL15/P1 - WV2</t>
  </si>
  <si>
    <t>MPSB/Sur/259
MPSB/Str/321</t>
  </si>
  <si>
    <t>4-Jan-25
6-Jan-25</t>
  </si>
  <si>
    <t>Km 11+176 - PR16/P2</t>
  </si>
  <si>
    <t>PR16/P2 - WV2</t>
  </si>
  <si>
    <t>MPSB/Sur/261
MPSB/Str/323</t>
  </si>
  <si>
    <t>Km 11+212 - PL17/P4</t>
  </si>
  <si>
    <t>PL17/P4 - WV2</t>
  </si>
  <si>
    <t>MPSB/Sur/266
MPSB/Str/320</t>
  </si>
  <si>
    <t>7-Jan-25
6-Jan-25</t>
  </si>
  <si>
    <t>Km 11+140 - PR15/P2</t>
  </si>
  <si>
    <t>PR15/P2 - WV2</t>
  </si>
  <si>
    <t>MPSB/Sur/262
MPSB/Str/324</t>
  </si>
  <si>
    <t>Km 11+104 - PL14/P1</t>
  </si>
  <si>
    <t>PL14/P1 - WV2</t>
  </si>
  <si>
    <t>MPSB/Sur/263
MPSB/Str/325</t>
  </si>
  <si>
    <t>Km 11+176 - PL16/P2</t>
  </si>
  <si>
    <t>PL16/P2 - WV2</t>
  </si>
  <si>
    <t>MPSB/Sur/264
MPSB/Str/326</t>
  </si>
  <si>
    <t>Km 11+176 - PR16/P4</t>
  </si>
  <si>
    <t>PR16/P4 - WV2</t>
  </si>
  <si>
    <t>MPSB/Sur/265
MPSB/Str/327</t>
  </si>
  <si>
    <t>Km 11+140 - PR15/P5</t>
  </si>
  <si>
    <t>PR15/P5 - WV2</t>
  </si>
  <si>
    <t>MPSB/Sur/267
MPSB/Str/328</t>
  </si>
  <si>
    <t>Km 11+140 - PL15/P2</t>
  </si>
  <si>
    <t>PL15/P2 - WV2</t>
  </si>
  <si>
    <t>MPSB/Sur/268
MPSB/Str/329</t>
  </si>
  <si>
    <t>Km 11+104 - PR14/P2</t>
  </si>
  <si>
    <t>PR14/P2 - WV2</t>
  </si>
  <si>
    <t>MPSB/Sur/269
MPSB/Str/330</t>
  </si>
  <si>
    <t>Km 11+176 - PL16/P4</t>
  </si>
  <si>
    <t>PL16/P4 - WV2</t>
  </si>
  <si>
    <t>MPSB/Sur/278
MPSB/Str/342</t>
  </si>
  <si>
    <t>Km 11+104 - PL14/P2</t>
  </si>
  <si>
    <t>PL14/P2 - WV2</t>
  </si>
  <si>
    <t>MPSB/Sur/296
MPSB/Str/361</t>
  </si>
  <si>
    <t>Km 11+140 - PR15/P3</t>
  </si>
  <si>
    <t>PR15/P3 - WV2</t>
  </si>
  <si>
    <t>MPSB/Sur/280
MPSB/Str/360</t>
  </si>
  <si>
    <t>10-Jan-25
13-Jan-25</t>
  </si>
  <si>
    <t>Km 11+104 - PR14/P3</t>
  </si>
  <si>
    <t>PR14/P3 - WV2</t>
  </si>
  <si>
    <t>MPSB/Sur/349
MPSB/Str/415</t>
  </si>
  <si>
    <t>Km 11+068 - PR13/P4</t>
  </si>
  <si>
    <t>PR13/P4 - WV2</t>
  </si>
  <si>
    <t>MPSB/Sur/302
MPSB/Str/364</t>
  </si>
  <si>
    <t>Km 11+104 - PL14/P3</t>
  </si>
  <si>
    <t>PL14/P3 - WV2</t>
  </si>
  <si>
    <t>MPSB/Sur/298
MPSB/Str/362</t>
  </si>
  <si>
    <t>Km 11+140 - PL15/P5</t>
  </si>
  <si>
    <t>PL15/P5 - WV2</t>
  </si>
  <si>
    <t>MPSB/Sur/303
MPSB/Str/365</t>
  </si>
  <si>
    <t>Km 11+320 - PR20/P2</t>
  </si>
  <si>
    <t>PR20/P2 - WV2</t>
  </si>
  <si>
    <t>MPSB/Sur/304
MPSB/Str/368</t>
  </si>
  <si>
    <t>Km 11+140 - PR15/P4</t>
  </si>
  <si>
    <t>PR15/P4 - WV2</t>
  </si>
  <si>
    <t>MPSB/Sur/305
MPSB/Str/369</t>
  </si>
  <si>
    <t>Km 11+284 - PR19/P3</t>
  </si>
  <si>
    <t>PR19/P3 - WV2</t>
  </si>
  <si>
    <t>MPSB/Sur/318
MPSB/Str/379</t>
  </si>
  <si>
    <t>Km 11+140 - PL15/P3</t>
  </si>
  <si>
    <t>PL15/P3 - WV2</t>
  </si>
  <si>
    <t>MPSB/Sur/311
MPSB/Str/373</t>
  </si>
  <si>
    <t>Km 11+104 - PL14/P4</t>
  </si>
  <si>
    <t>PL14/P4 - WV2</t>
  </si>
  <si>
    <t>MPSB/Sur/332
MPSB/Str/393</t>
  </si>
  <si>
    <t>Km 11+284 - PR19/P1</t>
  </si>
  <si>
    <t>PR19/P1 - WV2</t>
  </si>
  <si>
    <t>MPSB/Sur/338
MPSB/Str/402</t>
  </si>
  <si>
    <t>Km 11+068 - PR13/P1</t>
  </si>
  <si>
    <t>PR13/P1 - WV2</t>
  </si>
  <si>
    <t>MPSB/Sur/330
MPSB/Str/404</t>
  </si>
  <si>
    <t>20-Jan-25
22-Jan-25</t>
  </si>
  <si>
    <t>Km 11+104 - PR14/P1</t>
  </si>
  <si>
    <t>PR14/P1 - WV2</t>
  </si>
  <si>
    <t>MPSB/Sur/346
MPSB/Str/412</t>
  </si>
  <si>
    <t>Km 11+284 - PR19/P2</t>
  </si>
  <si>
    <t>PR19/P2 - WV2</t>
  </si>
  <si>
    <t>MPSB/Sur/339
MPSB/Str/403</t>
  </si>
  <si>
    <t>Km 11+284 - PR19/P4</t>
  </si>
  <si>
    <t>PR19/P4 - WV2</t>
  </si>
  <si>
    <t>MPSB/Sur/376
MPSB/Str/445</t>
  </si>
  <si>
    <t>Km 11+068 - PL13/P3</t>
  </si>
  <si>
    <t>PL13/P3 - WV2</t>
  </si>
  <si>
    <t>MPSB/Sur/355
MPSB/Str/422</t>
  </si>
  <si>
    <t>Km 11+032 - PR12/P3</t>
  </si>
  <si>
    <t>PR12/P3 - WV2</t>
  </si>
  <si>
    <t>MPSB/Sur/356
MPSB/Str/423</t>
  </si>
  <si>
    <t>Km 11+032 - PL12/P4</t>
  </si>
  <si>
    <t>PL12/P4 - WV2</t>
  </si>
  <si>
    <t>MPSB/Sur/359
MPSB/Str/430</t>
  </si>
  <si>
    <t>25-Jan-25
27-Jan-25</t>
  </si>
  <si>
    <t>Km 11+068 - PL13/P4</t>
  </si>
  <si>
    <t>PL13/P4 - WV2</t>
  </si>
  <si>
    <t>MPSB/Sur/363
MPSB/Str/428</t>
  </si>
  <si>
    <t>Km 11+032 - PL12/P1</t>
  </si>
  <si>
    <t>PL12/P1 - WV2</t>
  </si>
  <si>
    <t>MPSB/Sur/364
MPSB/Str/429</t>
  </si>
  <si>
    <t>Km 11+032 - PR12/P2</t>
  </si>
  <si>
    <t>PR12/P2 - WV2</t>
  </si>
  <si>
    <t>MPSB/Sur/381
MPSB/Str/451</t>
  </si>
  <si>
    <t>Km 11+068 - PL13/P2</t>
  </si>
  <si>
    <t>PL13/P2 - WV2</t>
  </si>
  <si>
    <t>MPSB/Sur/383
MPSB/Str/453</t>
  </si>
  <si>
    <t>Km 11+032 - PL12/P5</t>
  </si>
  <si>
    <t>PL12/P5 - WV2</t>
  </si>
  <si>
    <t>MPSB/Sur/384
MPSB/Str/454</t>
  </si>
  <si>
    <t>Km 11+032 - PR12/P5</t>
  </si>
  <si>
    <t>PR12/P5 - WV2</t>
  </si>
  <si>
    <t>MPSB/Sur/388
MPSB/Str/463</t>
  </si>
  <si>
    <t>Km 11+032 - PL12/P2</t>
  </si>
  <si>
    <t>PL12/P2 - WV2</t>
  </si>
  <si>
    <t>MPSB/Sur/315
MPSB/Str/372</t>
  </si>
  <si>
    <t>Km 11+140 - PL15/P4</t>
  </si>
  <si>
    <t>PL15/P4 - WV2</t>
  </si>
  <si>
    <t>MPSB/Sur/319
MPSB/Str/378</t>
  </si>
  <si>
    <t>Km 11+104 - PR14/P4</t>
  </si>
  <si>
    <t>PR14/P4 - WV2</t>
  </si>
  <si>
    <t>MPSB/Sur/253
MPSB/Str/312</t>
  </si>
  <si>
    <t>Km 11+212 - PL17/P3</t>
  </si>
  <si>
    <t>PL17/P3 - WV2</t>
  </si>
  <si>
    <t>MPSB/Sur/375
MPSB/Str/440</t>
  </si>
  <si>
    <t>Km 10+996 - PL11/P1</t>
  </si>
  <si>
    <t>PL11/P1 - WV2</t>
  </si>
  <si>
    <t>MPSB/Sur/382
MPSB/Str/452</t>
  </si>
  <si>
    <t>Km 10+996 - PL11/P4</t>
  </si>
  <si>
    <t>PL11/P4 - WV2</t>
  </si>
  <si>
    <t>MPSB/Sur/377
MPSB/Str/446</t>
  </si>
  <si>
    <t>Km 10+996 - PR11/P2</t>
  </si>
  <si>
    <t>PR11/P2 - WV2</t>
  </si>
  <si>
    <t>MPSB/Sur/337
MPSB/Str/419</t>
  </si>
  <si>
    <t>21-Jan-25
23-Jan-25</t>
  </si>
  <si>
    <t>Km 11+068 - PL13/P1</t>
  </si>
  <si>
    <t>PL13/P1 - WV2</t>
  </si>
  <si>
    <t>MPSB/Sur/407
MPSB/Str/480</t>
  </si>
  <si>
    <t>Km 10+996 - PR11/P3</t>
  </si>
  <si>
    <t>PR11/P3 - WV2</t>
  </si>
  <si>
    <t>MPSB/Sur/412
MPSB/Str/486</t>
  </si>
  <si>
    <t>Km 10+996 - PL11/P2</t>
  </si>
  <si>
    <t>PL11/P2 - WV2</t>
  </si>
  <si>
    <t>MPSB/Sur/413
MPSB/Str/519</t>
  </si>
  <si>
    <t>4-Feb-25
10-Feb-25</t>
  </si>
  <si>
    <t>Km 10+960 - PL10/P1</t>
  </si>
  <si>
    <t>PL10/P1 - WV2</t>
  </si>
  <si>
    <t>MPSB/Sur/414
MPSB/Str/488</t>
  </si>
  <si>
    <t>Km 11+032 - PL12/P3</t>
  </si>
  <si>
    <t>PL12/P3 - WV2</t>
  </si>
  <si>
    <t>MPSB/Sur/429
MPSB/Str/520</t>
  </si>
  <si>
    <t>7-Feb-25
10-Feb-25</t>
  </si>
  <si>
    <t>Km 10+996 - PR11/P1</t>
  </si>
  <si>
    <t>PR11/P1 - WV2</t>
  </si>
  <si>
    <t>MPSB/Sur/416
MPSB/Str/554</t>
  </si>
  <si>
    <t>4-Feb-25
16-Feb-25</t>
  </si>
  <si>
    <t>Km 11+032 - PR12/P1</t>
  </si>
  <si>
    <t>PR12/P1 - WV2</t>
  </si>
  <si>
    <t>MPSB/Sur/430
MPSB/Str/498</t>
  </si>
  <si>
    <t>Km 10+960 - PR10/P3</t>
  </si>
  <si>
    <t>PR10/P3 - WV2</t>
  </si>
  <si>
    <t>MPSB/Sur/472
MPSB/Str/551</t>
  </si>
  <si>
    <t>Km 11+032 - PR12/P4</t>
  </si>
  <si>
    <t>PR12/P4 - WV2</t>
  </si>
  <si>
    <t>MPSB/Sur/439
MPSB/Str/518</t>
  </si>
  <si>
    <t>8-Feb-25
10-Feb-25</t>
  </si>
  <si>
    <t>Km 10+996 - PL11/P3</t>
  </si>
  <si>
    <t>PL11/P3 - WV2</t>
  </si>
  <si>
    <t>MPSB/Sur/450
MPSB/Str/555</t>
  </si>
  <si>
    <t>11-Feb-25
17-Feb-25</t>
  </si>
  <si>
    <t>Km 11+356 - PL21/P1</t>
  </si>
  <si>
    <t>PL21/P1 - WV2</t>
  </si>
  <si>
    <t>MPSB/Sur/451
MPSB/Str/553</t>
  </si>
  <si>
    <t>11-Feb-25
16-Feb-25</t>
  </si>
  <si>
    <t>Km 11+356 - PR21/P1</t>
  </si>
  <si>
    <t>PR21/P1 - WV2</t>
  </si>
  <si>
    <t>MPSB/Sur/458
MPSB/Str/527</t>
  </si>
  <si>
    <t>Km 11+068 - PR13/P3</t>
  </si>
  <si>
    <t>PR13/P3 - WV2</t>
  </si>
  <si>
    <t>MPSB/Sur/462
MPSB/Str/532</t>
  </si>
  <si>
    <t>Km 10+996 - PR11/P4</t>
  </si>
  <si>
    <t>PR11/P4 - WV2</t>
  </si>
  <si>
    <t>MPSB/Sur/463
MPSB/Str/533</t>
  </si>
  <si>
    <t>Km 10+960 - PR10/P2</t>
  </si>
  <si>
    <t>PR10/P2 - WV2</t>
  </si>
  <si>
    <t>MPSB/Sur/464
MPSB/Str/534</t>
  </si>
  <si>
    <t>Km 11+068 - PR13/P2</t>
  </si>
  <si>
    <t>PR13/P2 - WV2</t>
  </si>
  <si>
    <t>MPSB/Sur/473
MPSB/Str/714</t>
  </si>
  <si>
    <t>16-Feb-25
28-Feb-25</t>
  </si>
  <si>
    <t>Km 10+960 - PL10/P4</t>
  </si>
  <si>
    <t>PL10/P4 - WV2</t>
  </si>
  <si>
    <t>MPSB/Sur/478
MPSB/Str/556</t>
  </si>
  <si>
    <t>Km 10+960 - PR10/P4</t>
  </si>
  <si>
    <t>PR10/P4 - WV2</t>
  </si>
  <si>
    <t>MPSB/Sur/479
MPSB/Str/557</t>
  </si>
  <si>
    <t>Km 10+924 - PL9/P1</t>
  </si>
  <si>
    <t>PL9/P1 - WV2</t>
  </si>
  <si>
    <t>MPSB/Sur/497
MPSB/Str/567</t>
  </si>
  <si>
    <t>Km 10+960 - PL10/P2</t>
  </si>
  <si>
    <t>PL10/P2 - WV2</t>
  </si>
  <si>
    <t>MPSB/Sur/522
MPSB/Str/582</t>
  </si>
  <si>
    <t>Km 11+356 - PR21/P2</t>
  </si>
  <si>
    <t>PR21/P2 - WV2</t>
  </si>
  <si>
    <t>MPSB/Sur/513
MPSB/Str/580</t>
  </si>
  <si>
    <t>Km 10+924 - PR9/P2</t>
  </si>
  <si>
    <t>PR9/P2 - WV2</t>
  </si>
  <si>
    <t>MPSB/Sur/514
MPSB/Str/581</t>
  </si>
  <si>
    <t>Km 10+924 - PL9/P4</t>
  </si>
  <si>
    <t>PL9/P4 - WV2</t>
  </si>
  <si>
    <t>MPSB/Sur/516
MPSB/Str/583</t>
  </si>
  <si>
    <t>Km 10+960 - PR10/P1</t>
  </si>
  <si>
    <t>PR10/P1 - WV2</t>
  </si>
  <si>
    <t>MPSB/Sur/517
MPSB/Str/611</t>
  </si>
  <si>
    <t>21-Feb-25
24-Feb-25</t>
  </si>
  <si>
    <t>Km 10+924 - PL9/P5</t>
  </si>
  <si>
    <t>PL9/P5 - WV2</t>
  </si>
  <si>
    <t>MPSB/Sur/525
MPSB/Str/593</t>
  </si>
  <si>
    <t>Km 10+924 - PR9/P3</t>
  </si>
  <si>
    <t>PR9/P3 - WV2</t>
  </si>
  <si>
    <t>MPSB/Str/610</t>
  </si>
  <si>
    <t>Km 10+888 - PL8/P4</t>
  </si>
  <si>
    <t>PL8/P4 - WV2</t>
  </si>
  <si>
    <t>MPSB/Sur/538
MPSB/Str/612</t>
  </si>
  <si>
    <t>Km 11+356 - PL21/P2</t>
  </si>
  <si>
    <t>PL21/P2 - WV2</t>
  </si>
  <si>
    <t>MPSB/Sur/539
MPSB/Str/621</t>
  </si>
  <si>
    <t>24-Feb-25
25-Feb-25</t>
  </si>
  <si>
    <t>Km 10+888 - PR8/P2</t>
  </si>
  <si>
    <t>PR8/P2 - WV2</t>
  </si>
  <si>
    <t>MPSB/Sur/540
MPSB/Str/622</t>
  </si>
  <si>
    <t>Km 10+924 - PR9/P5</t>
  </si>
  <si>
    <t>PR9/P5 - WV2</t>
  </si>
  <si>
    <t>MPSB/Sur/547
MPSB/Str/623</t>
  </si>
  <si>
    <t>Km 10+924 - PL9/P2</t>
  </si>
  <si>
    <t>PL9/P2 - WV2</t>
  </si>
  <si>
    <t>MPSB/Sur/548
MPSB/Str/649</t>
  </si>
  <si>
    <t>25-Feb-25
26-Feb-25</t>
  </si>
  <si>
    <t>Km 11+356 - PR21/P3</t>
  </si>
  <si>
    <t>PR21/P3 - WV2</t>
  </si>
  <si>
    <t>MPSB/Sur/565
MPSB/Str/646</t>
  </si>
  <si>
    <t>Km 10+888 - PL8/P1</t>
  </si>
  <si>
    <t>PL8/P1 - WV2</t>
  </si>
  <si>
    <t>MPSB/Sur/566
MPSB/Str/647</t>
  </si>
  <si>
    <t>Km 10+888 - PR8/P3</t>
  </si>
  <si>
    <t>PR8/P3 - WV2</t>
  </si>
  <si>
    <t>MPSB/Sur/567
MPSB/Str/648</t>
  </si>
  <si>
    <t>Km 10+852 - PR7/P2</t>
  </si>
  <si>
    <t>PR7/P2 - WV2</t>
  </si>
  <si>
    <t>MPSB/Sur/586
MPSB/Str/662</t>
  </si>
  <si>
    <t>Km 11+356 - PL21/P3</t>
  </si>
  <si>
    <t>PL21/P3 - WV2</t>
  </si>
  <si>
    <t>MPSB/Sur/635
MPSB/Str/720</t>
  </si>
  <si>
    <t>Km 11+356 - PL21/P4</t>
  </si>
  <si>
    <t>PL21/P4 - WV2</t>
  </si>
  <si>
    <t>MPSB/Sur/587
MPSB/Str/663</t>
  </si>
  <si>
    <t>Km 10+924 - PL9/P3</t>
  </si>
  <si>
    <t>PL9/P3 - WV2</t>
  </si>
  <si>
    <t>MPSB/Sur/588
MPSB/Str/664</t>
  </si>
  <si>
    <t>Km 10+924 - PR9/P4</t>
  </si>
  <si>
    <t>PR9/P4 - WV2</t>
  </si>
  <si>
    <t>MPSB/Sur/589
MPSB/Str/665</t>
  </si>
  <si>
    <t>Km 10+852 - PL7/P4</t>
  </si>
  <si>
    <t>PL7/P4 - WV2</t>
  </si>
  <si>
    <t>MPSB/Sur/630
MPSB/Str/715</t>
  </si>
  <si>
    <t>Km 10+924 - PR9/P1</t>
  </si>
  <si>
    <t>PR9/P1 - WV2</t>
  </si>
  <si>
    <t>MPSB/Sur/827
MPSB/Str/948</t>
  </si>
  <si>
    <t>Km 10+744 - PR4/P2</t>
  </si>
  <si>
    <t>PR4/P2 - WV2</t>
  </si>
  <si>
    <t>MPSB/Sur/850
MPSB/Str/984</t>
  </si>
  <si>
    <t>Km 10+780 - PR5/P1</t>
  </si>
  <si>
    <t>PR5/P1 - WV2</t>
  </si>
  <si>
    <t>MPSB/Sur/826
MPSB/Str/945</t>
  </si>
  <si>
    <t>Km 10+780 - PR5/P2</t>
  </si>
  <si>
    <t>PR5/P2 - WV2</t>
  </si>
  <si>
    <t>MPSB/Sur/830
MPSB/Str/951</t>
  </si>
  <si>
    <t>Km 10+780 - PR5/P3</t>
  </si>
  <si>
    <t>PR5/P3 - WV2</t>
  </si>
  <si>
    <t>MPSB/Sur/866
MPSB/Str/1004</t>
  </si>
  <si>
    <t>Km 10+780 - PR5/P4</t>
  </si>
  <si>
    <t>PR5/P4 - WV2</t>
  </si>
  <si>
    <t>MPSB/Sur/822
MPSB/Str/941</t>
  </si>
  <si>
    <t>Km 10+780 - PL5/P1</t>
  </si>
  <si>
    <t>PL5/P1 - WV2</t>
  </si>
  <si>
    <t>MPSB/Sur/824
MPSB/Str/943</t>
  </si>
  <si>
    <t>Km 10+780 - PL5/P4</t>
  </si>
  <si>
    <t>PL5/P4 - WV2</t>
  </si>
  <si>
    <t>MPSB/Sur/670
MPSB/Str/756</t>
  </si>
  <si>
    <t>Km 10+816 - PL6/P1</t>
  </si>
  <si>
    <t>PL6/P1 - WV2</t>
  </si>
  <si>
    <t>MPSB/Sur/751
MPSB/Str/880</t>
  </si>
  <si>
    <t>20-Mar-25
24-Mar-25</t>
  </si>
  <si>
    <t>Km 10+816 - PL6/P2</t>
  </si>
  <si>
    <t>PL6/P2 - WV2</t>
  </si>
  <si>
    <t>MPSB/Sur/782
MPSB/Str/891</t>
  </si>
  <si>
    <t>Km 10+816 - PL6/P3</t>
  </si>
  <si>
    <t>PL6/P3 - WV2</t>
  </si>
  <si>
    <t>MPSB/Sur/704
MPSB/Str/809</t>
  </si>
  <si>
    <t>12-Mar-25
17-Mar-25</t>
  </si>
  <si>
    <t>Km 10+816 - PL6/P4</t>
  </si>
  <si>
    <t>PL6/P4 - WV2</t>
  </si>
  <si>
    <t>MPSB/Sur/728
MPSB/Str/817</t>
  </si>
  <si>
    <t>Km 10+816 - PL6/P5</t>
  </si>
  <si>
    <t>PL6/P5 - WV2</t>
  </si>
  <si>
    <t>MPSB/Sur/811
MPSB/Str/934</t>
  </si>
  <si>
    <t>Km 10+816 - PR6/P1</t>
  </si>
  <si>
    <t>PR6/P1 - WV2</t>
  </si>
  <si>
    <t>MPSB/Sur/666
MPSB/Str/750</t>
  </si>
  <si>
    <t>Km 10+816 - PR6/P2</t>
  </si>
  <si>
    <t>PR6/P2 - WV2</t>
  </si>
  <si>
    <t>MPSB/Sur/678
MPSB/Str/801</t>
  </si>
  <si>
    <t>10-Mar-25
13-Mar-25</t>
  </si>
  <si>
    <t>Km 10+816 - PR6/P3</t>
  </si>
  <si>
    <t>PR6/P3 - WV2</t>
  </si>
  <si>
    <t>MPSB/Sur/815
MPSB/Str/938</t>
  </si>
  <si>
    <t>Km 10+816 - PR6/P4</t>
  </si>
  <si>
    <t>PR6/P4 - WV2</t>
  </si>
  <si>
    <t>MPSB/Sur/794
MPSB/Str/909</t>
  </si>
  <si>
    <t>Km 10+816 - PR6/P5</t>
  </si>
  <si>
    <t>PR6/P5 - WV2</t>
  </si>
  <si>
    <t>MPSB/Sur/665
MPSB/Str/749</t>
  </si>
  <si>
    <t>Km 10+852 - PL7/P1</t>
  </si>
  <si>
    <t>PL7/P1 - WV2</t>
  </si>
  <si>
    <t>MPSB/Sur/669
MPSB/Str/755</t>
  </si>
  <si>
    <t>Km 10+852 - PL7/P2</t>
  </si>
  <si>
    <t>PL7/P2 - WV2</t>
  </si>
  <si>
    <t>MPSB/Sur/677
MPSB/Str/765</t>
  </si>
  <si>
    <t>Km 10+852 - PL7/P3</t>
  </si>
  <si>
    <t>PL7/P3 - WV2</t>
  </si>
  <si>
    <t>MPSB/Sur/742
MPSB/Str/834</t>
  </si>
  <si>
    <t>Km 10+852 - PR7/P1</t>
  </si>
  <si>
    <t>PR7/P1 - WV2</t>
  </si>
  <si>
    <t>MPSB/Sur/659
MPSB/Str/740</t>
  </si>
  <si>
    <t>Km 10+852 - PR7/P3</t>
  </si>
  <si>
    <t>PR7/P3 - WV2</t>
  </si>
  <si>
    <t>MPSB/Sur/752
MPSB/Str/879</t>
  </si>
  <si>
    <t>21-Mar-25
24-Mar-25</t>
  </si>
  <si>
    <t>Km 10+852 - PR7/P4</t>
  </si>
  <si>
    <t>PR7/P4 - WV2</t>
  </si>
  <si>
    <t>MPSB/Sur/783
MPSB/Str/892</t>
  </si>
  <si>
    <t>Km 10+888 - PL8/P2</t>
  </si>
  <si>
    <t>PL8/P2 - WV2</t>
  </si>
  <si>
    <t>MPSB/Sur/676
MPSB/Str/764</t>
  </si>
  <si>
    <t>Km 10+888 - PL8/P3</t>
  </si>
  <si>
    <t>PL8/P3 - WV2</t>
  </si>
  <si>
    <t>MPSB/Sur/813
MPSB/Str/936</t>
  </si>
  <si>
    <t>Km 10+888 - PR8/P1</t>
  </si>
  <si>
    <t>PR8/P1 - WV2</t>
  </si>
  <si>
    <t>MPSB/Sur/795
MPSB/Str/910</t>
  </si>
  <si>
    <t>Km 10+888 - PR8/P4</t>
  </si>
  <si>
    <t>PR8/P4 - WV2</t>
  </si>
  <si>
    <t>MPSB/Sur/657
MPSB/Str/738</t>
  </si>
  <si>
    <t>Km 10+960 - PL10/P3</t>
  </si>
  <si>
    <t>PL10/P3 - WV2</t>
  </si>
  <si>
    <t>MPSB/Sur/739
MPSB/Str/829</t>
  </si>
  <si>
    <t>Km 11+248 - PL18/P1</t>
  </si>
  <si>
    <t>PL18/P1 - WV2</t>
  </si>
  <si>
    <t>MPSB/Sur/744
MPSB/Str/836</t>
  </si>
  <si>
    <t>Km 11+248 - PL18/P2</t>
  </si>
  <si>
    <t>PL18/P2 - WV2</t>
  </si>
  <si>
    <t>MPSB/Sur/764
MPSB/Str/815</t>
  </si>
  <si>
    <t>10-Mar-25
17-Mar-25</t>
  </si>
  <si>
    <t>Km 11+248 - PL18/P3</t>
  </si>
  <si>
    <t>PL18/P3 - WV2</t>
  </si>
  <si>
    <t>MPSB/Sur/792
MPSB/Str/907</t>
  </si>
  <si>
    <t>Km 11+248 - PL18/P4</t>
  </si>
  <si>
    <t>PL18/P4 - WV2</t>
  </si>
  <si>
    <t>MPSB/Sur/781
MPSB/Str/890</t>
  </si>
  <si>
    <t>Km 11+248 - PL18/P5</t>
  </si>
  <si>
    <t>PL18/P5 - WV2</t>
  </si>
  <si>
    <t>MPSB/Sur/753
MPSB/Str/847</t>
  </si>
  <si>
    <t>Km 11+248 - PR18/P1</t>
  </si>
  <si>
    <t>PR18/P1 - WV2</t>
  </si>
  <si>
    <t>MPSB/Sur/776
MPSB/Str/908</t>
  </si>
  <si>
    <t>24-Mar-25
26-Mar-25</t>
  </si>
  <si>
    <t>Km 11+248 - PR18/P2</t>
  </si>
  <si>
    <t>PR18/P2 - WV2</t>
  </si>
  <si>
    <t>MPSB/Sur/796
MPSB/Str/937</t>
  </si>
  <si>
    <t>Km 11+248 - PR18/P3</t>
  </si>
  <si>
    <t>PR18/P3 - WV2</t>
  </si>
  <si>
    <t>MPSB/Sur/812
MPSB/Str/935</t>
  </si>
  <si>
    <t>Km 11+248 - PR18/P4</t>
  </si>
  <si>
    <t>PR18/P4 - WV2</t>
  </si>
  <si>
    <t>MPSB/Sur/796
MPSB/Str/911</t>
  </si>
  <si>
    <t>Km 11+248 - PR18/P5</t>
  </si>
  <si>
    <t>PR18/P5 - WV2</t>
  </si>
  <si>
    <t>MPSB/Sur/658
MPSB/Str/739</t>
  </si>
  <si>
    <t>Km 11+356 - PL21/P5</t>
  </si>
  <si>
    <t>PL21/P5 - WV2</t>
  </si>
  <si>
    <t>MPSB/Sur/757
MPSB/Str/852</t>
  </si>
  <si>
    <t>Km 11+356 - PL21/P6</t>
  </si>
  <si>
    <t>PL21/P6 - WV2</t>
  </si>
  <si>
    <t>MPSB/Sur/748
MPSB/Str/843</t>
  </si>
  <si>
    <t>Km 11+356 - PR21/P4</t>
  </si>
  <si>
    <t>PR21/P4 - WV2</t>
  </si>
  <si>
    <t>MPSB/Sur/729
MPSB/Str/818</t>
  </si>
  <si>
    <t>Km 11+356 - PR21/P5</t>
  </si>
  <si>
    <t>PR21/P5 - WV2</t>
  </si>
  <si>
    <t>MPSB/Sur/689
MPSB/Str/777</t>
  </si>
  <si>
    <t>Km 11+356 - PR21/P6</t>
  </si>
  <si>
    <t>PR21/P6 - WV2</t>
  </si>
  <si>
    <t>MPSB/Sur/936
MPSB/Str/1065</t>
  </si>
  <si>
    <t>Km 10+600 - PL0/P1</t>
  </si>
  <si>
    <t>PL0/P1 - WV2</t>
  </si>
  <si>
    <t>MPSB/Sur/956
MPSB/Str/1093</t>
  </si>
  <si>
    <t>Km 10+600 - PL0/P5</t>
  </si>
  <si>
    <t>PL0/P5 - WV2</t>
  </si>
  <si>
    <t>MPSB/Sur/947
MPSB/Str/1081</t>
  </si>
  <si>
    <t>Km 10+600 - PL0/P6</t>
  </si>
  <si>
    <t>PL0/P6 - WV2</t>
  </si>
  <si>
    <t>MPSB/Sur/1061
MPSB/Str/1229</t>
  </si>
  <si>
    <t>Km 10+600 - PR0/P1</t>
  </si>
  <si>
    <t>PR0/P1 - WV2</t>
  </si>
  <si>
    <t>MPSB/Sur/953
MPSB/Str/1090</t>
  </si>
  <si>
    <t>Km 10+600 - PR0/P2</t>
  </si>
  <si>
    <t>PR0/P2 - WV2</t>
  </si>
  <si>
    <t>MPSB/Sur/935
MPSB/Str/1064</t>
  </si>
  <si>
    <t>Km 10+600 - PR0/P3</t>
  </si>
  <si>
    <t>PR0/P3 - WV2</t>
  </si>
  <si>
    <t>MPSB/Sur/937
MPSB/Str/1066</t>
  </si>
  <si>
    <t>Km 10+600 - PR0/P4</t>
  </si>
  <si>
    <t>PR0/P4 - WV2</t>
  </si>
  <si>
    <t>MPSB/Sur/946
MPSB/Str/1080</t>
  </si>
  <si>
    <t>Km 10+600 - PR0/P5</t>
  </si>
  <si>
    <t>PR0/P5 - WV2</t>
  </si>
  <si>
    <t>MPSB/Sur/1014
MPSB/Str/1239</t>
  </si>
  <si>
    <t>17-Apr-25
24-Apr-25</t>
  </si>
  <si>
    <t>Km 10+600 - PR0/P6</t>
  </si>
  <si>
    <t>PR0/P6 - WV2</t>
  </si>
  <si>
    <t>MPSB/Sur/955
MPSB/Str/1092</t>
  </si>
  <si>
    <t>Km 10+636 - PL1/P1</t>
  </si>
  <si>
    <t>PL1/P1 - WV2</t>
  </si>
  <si>
    <t>MPSB/Sur/1012
MPSB/Str/1169</t>
  </si>
  <si>
    <t>Km 10+636 - PL1/P2</t>
  </si>
  <si>
    <t>PL1/P2 - WV2</t>
  </si>
  <si>
    <t>MPSB/Sur/1055
MPSB/Str/1213</t>
  </si>
  <si>
    <t>Km 10+636 - PL1/P3</t>
  </si>
  <si>
    <t>PL1/P3 - WV2</t>
  </si>
  <si>
    <t>MPSB/Sur/1005
MPSB/Str/1157</t>
  </si>
  <si>
    <t>Km 10+636 - PL1/P4</t>
  </si>
  <si>
    <t>PL1/P4 - WV2</t>
  </si>
  <si>
    <t>MPSB/Sur/1062
MPSB/Str/1230</t>
  </si>
  <si>
    <t>Km 10+636 - PR1/P1</t>
  </si>
  <si>
    <t>PR1/P1 - WV2</t>
  </si>
  <si>
    <t>MPSB/Sur/954
MPSB/Str/1091</t>
  </si>
  <si>
    <t>Km 10+636 - PR1/P2</t>
  </si>
  <si>
    <t>PR1/P2 - WV2</t>
  </si>
  <si>
    <t>MPSB/Sur/959
MPSB/Str/1144</t>
  </si>
  <si>
    <t>11-Apr-25
15-Apr-25</t>
  </si>
  <si>
    <t>Km 10+636 - PR1/P3</t>
  </si>
  <si>
    <t>PR1/P3 - WV2</t>
  </si>
  <si>
    <t>MPSB/Sur/1109
MPSB/Str/1282</t>
  </si>
  <si>
    <t>Km 10+636 - PR1/P4</t>
  </si>
  <si>
    <t>PR1/P4 - WV2</t>
  </si>
  <si>
    <t>MPSB/Sur/1094
MPSB/Str/1264</t>
  </si>
  <si>
    <t>Km 10+672 - PR2/P2</t>
  </si>
  <si>
    <t>PR2/P2 - WV2</t>
  </si>
  <si>
    <t>MPSB/Sur/1154
MPSB/Str/1344</t>
  </si>
  <si>
    <t>Km 10+672 - PR2/P3</t>
  </si>
  <si>
    <t>PR2/P3 - WV2</t>
  </si>
  <si>
    <t>MPSB/Sur/1025
MPSB/Str/1179</t>
  </si>
  <si>
    <t>Km 10+708 - PL3/P1</t>
  </si>
  <si>
    <t>PL3/P1 - WV2</t>
  </si>
  <si>
    <t>MPSB/Sur/1063
MPSB/Str/1237</t>
  </si>
  <si>
    <t>22-Apr-25
24-Apr-25</t>
  </si>
  <si>
    <t>Km 10+708 - PL3/P2</t>
  </si>
  <si>
    <t>PL3/P2 - WV2</t>
  </si>
  <si>
    <t>MPSB/Sur/1106
MPSB/Str/1279</t>
  </si>
  <si>
    <t>Km 10+708 - PR3/P1</t>
  </si>
  <si>
    <t>PR3/P1 - WV2</t>
  </si>
  <si>
    <t>MPSB/Sur/1053
MPSB/Str/1211</t>
  </si>
  <si>
    <t>Km 10+708 - PR3/P2</t>
  </si>
  <si>
    <t>PR3/P2 - WV2</t>
  </si>
  <si>
    <t>MPSB/Sur/1070
MPSB/Str/1236</t>
  </si>
  <si>
    <t>Km 10+708 - PR3/P3</t>
  </si>
  <si>
    <t>PR3/P3 - WV2</t>
  </si>
  <si>
    <t>MPSB/Sur/960
MPSB/Str/1100</t>
  </si>
  <si>
    <t>Km 10+744 - PL4/P1</t>
  </si>
  <si>
    <t>PL4/P1 - WV2</t>
  </si>
  <si>
    <t>MPSB/Sur/1008
MPSB/Str/1163</t>
  </si>
  <si>
    <t>Km 10+744 - PL4/P2</t>
  </si>
  <si>
    <t>PL4/P2 - WV2</t>
  </si>
  <si>
    <t>MPSB/Sur/1013
MPSB/Str/1170</t>
  </si>
  <si>
    <t>Km 10+744 - PL4/P3</t>
  </si>
  <si>
    <t>PL4/P3 - WV2</t>
  </si>
  <si>
    <t>MPSB/Sur/988
MPSB/Str/1129</t>
  </si>
  <si>
    <t>Km 10+744 - PL4/P4</t>
  </si>
  <si>
    <t>PL4/P4 - WV2</t>
  </si>
  <si>
    <t>MPSB/Sur/1024
MPSB/Str/1178</t>
  </si>
  <si>
    <t>Km 10+744 - PR4/P1</t>
  </si>
  <si>
    <t>PR4/P1 - WV2</t>
  </si>
  <si>
    <t>MPSB/Sur/948
MPSB/Str/1082</t>
  </si>
  <si>
    <t>Km 10+744 - PR4/P3</t>
  </si>
  <si>
    <t>PR4/P3 - WV2</t>
  </si>
  <si>
    <t>MPSB/Sur/1011
MPSB/Str/1168</t>
  </si>
  <si>
    <t>Km 10+744 - PR4/P4</t>
  </si>
  <si>
    <t>PR4/P4 - WV2</t>
  </si>
  <si>
    <t>MPSB/Sur/944
MPSB/Str/1073</t>
  </si>
  <si>
    <t>Km 10+780 - PL5/P2</t>
  </si>
  <si>
    <t>PL5/P2 - WV2</t>
  </si>
  <si>
    <t>MPSB/Sur/945
MPSB/Str/1079</t>
  </si>
  <si>
    <t>Km 10+780 - PL5/P3</t>
  </si>
  <si>
    <t>PL5/P3 - WV2</t>
  </si>
  <si>
    <t>MPSB/Sur/1196
MPSB/Str/1408</t>
  </si>
  <si>
    <t>Km 10+302 - PL2/P1</t>
  </si>
  <si>
    <t>PL2/P1 - WV1</t>
  </si>
  <si>
    <t>MPSB/Sur/1197
MPSB/Str/1409</t>
  </si>
  <si>
    <t>Km 10+302 - PR2/P2</t>
  </si>
  <si>
    <t>PR2/P2 - WV1</t>
  </si>
  <si>
    <t>MPSB/Sur/1172
MPSB/Str/1375</t>
  </si>
  <si>
    <t>Km 10+338 - PL3/P5</t>
  </si>
  <si>
    <t>PL3/P5 - WV1</t>
  </si>
  <si>
    <t>MPSB/Sur/1169
MPSB/Str/1371</t>
  </si>
  <si>
    <t>Km 10+338 - PL3/P6</t>
  </si>
  <si>
    <t>PL3/P6 - WV1</t>
  </si>
  <si>
    <t>MPSB/Sur/1156
MPSB/Str/1348</t>
  </si>
  <si>
    <t>Km 10+338 - PR3/P3</t>
  </si>
  <si>
    <t>PR3/P3 - WV1</t>
  </si>
  <si>
    <t>MPSB/Sur/1151
MPSB/Str/1341</t>
  </si>
  <si>
    <t>Km 10+338 - PR3/P4</t>
  </si>
  <si>
    <t>PR3/P4 - WV1</t>
  </si>
  <si>
    <t>MPSB/Sur/1339
MPSB/Str/1572</t>
  </si>
  <si>
    <t>24-May-25
26-May-25</t>
  </si>
  <si>
    <t>Km 10+672 - PR2/P1</t>
  </si>
  <si>
    <t>PR2/P1 - WV2</t>
  </si>
  <si>
    <t>MPSB/Sur/1262
MPSB/Str/1511</t>
  </si>
  <si>
    <t>12-May-25
17-May-25</t>
  </si>
  <si>
    <t>Km 10+672 - PR2/P4</t>
  </si>
  <si>
    <t>PR2/P4 - WV2</t>
  </si>
  <si>
    <t>MPSB/Sur/1229
MPSB/Str/1433</t>
  </si>
  <si>
    <t>Km 10+708 - PR3/P5</t>
  </si>
  <si>
    <t>PR3/P5 - WV2</t>
  </si>
  <si>
    <t>MPSB/Sur/1133
MPSB/Str/1307</t>
  </si>
  <si>
    <t>Km 10+708 - PR3/P4</t>
  </si>
  <si>
    <t>PR3/P4 - WV2</t>
  </si>
  <si>
    <t>MPSB/Sur/1350
MPSB/Str/1574</t>
  </si>
  <si>
    <t>Km 10+230 - PL0/P4</t>
  </si>
  <si>
    <t>PL0/P4 - WV1</t>
  </si>
  <si>
    <t>MPSB/Sur/1370
MPSB/Str/1587</t>
  </si>
  <si>
    <t>Km 10+230 - PL0/P5</t>
  </si>
  <si>
    <t>PL0/P5 - WV1</t>
  </si>
  <si>
    <t>MPSB/Sur/1369
MPSB/Str/1586</t>
  </si>
  <si>
    <t>Km 10+230 - PR0/P6</t>
  </si>
  <si>
    <t>PR0/P6 - WV1</t>
  </si>
  <si>
    <t>MPSB/Sur/1363
MPSB/Str/1581</t>
  </si>
  <si>
    <t>Km 10+266 - PL1/P1</t>
  </si>
  <si>
    <t>PL1/P1 - WV1</t>
  </si>
  <si>
    <t>MPSB/Sur/1330
MPSB/Str/1545</t>
  </si>
  <si>
    <t>Km 10+266 - PL1/P2</t>
  </si>
  <si>
    <t>PL1/P2 - WV1</t>
  </si>
  <si>
    <t>MPSB/Sur/1320
MPSB/Str/1534</t>
  </si>
  <si>
    <t>Km 10+266 - PL1/P3</t>
  </si>
  <si>
    <t>PL1/P3 - WV1</t>
  </si>
  <si>
    <t>MPSB/Sur/1367
MPSB/Str/1584</t>
  </si>
  <si>
    <t>Km 10+266 - PL1/P4</t>
  </si>
  <si>
    <t>PL1/P4 - WV1</t>
  </si>
  <si>
    <t>MPSB/Sur/1110
MPSB/Str/1283</t>
  </si>
  <si>
    <t>Km 10+266 - PL2/P2</t>
  </si>
  <si>
    <t>PL2/P2 - WV1</t>
  </si>
  <si>
    <t>MPSB/Sur/1220
MPSB/Str/1421</t>
  </si>
  <si>
    <t>Km 10+302 - PL2/P3</t>
  </si>
  <si>
    <t>PL2/P3 - WV1</t>
  </si>
  <si>
    <t>MPSB/Sur/1242
MPSB/Str/1501</t>
  </si>
  <si>
    <t>9-May-25
16-May-25</t>
  </si>
  <si>
    <t>Km 10+302 - PL2/P4</t>
  </si>
  <si>
    <t>PL2/P4 - WV1</t>
  </si>
  <si>
    <t>MPSB/Sur/1219
MPSB/Str/1420</t>
  </si>
  <si>
    <t>Km 10+302 - PR2/P1</t>
  </si>
  <si>
    <t>PR2/P1 - WV1</t>
  </si>
  <si>
    <t>MPSB/Sur/1243
MPSB/Str/1452</t>
  </si>
  <si>
    <t>Km 10+302 - PR2/P3</t>
  </si>
  <si>
    <t>PR2/P3 - WV1</t>
  </si>
  <si>
    <t>MPSB/Sur/1309
MPSB/Str/1524</t>
  </si>
  <si>
    <t>Km 10+302 - PR2/P4</t>
  </si>
  <si>
    <t>PR2/P4 - WV1</t>
  </si>
  <si>
    <t>MPSB/Sur/1349
MPSB/Str/1573</t>
  </si>
  <si>
    <t>Km 10+338 - PL3/P1</t>
  </si>
  <si>
    <t>PL3/P1 - WV1</t>
  </si>
  <si>
    <t>MPSB/Sur/1337
MPSB/Str/1558</t>
  </si>
  <si>
    <t>Km 10+338 - PL3/P2</t>
  </si>
  <si>
    <t>PL3/P2 - WV1</t>
  </si>
  <si>
    <t>MPSB/Sur/1300
MPSB/Str/1527</t>
  </si>
  <si>
    <t>17-May-25
19-May-25</t>
  </si>
  <si>
    <t>Km 10+338 - PL3/P3</t>
  </si>
  <si>
    <t>PL3/P3 - WV1</t>
  </si>
  <si>
    <t>MPSB/Sur/1221
MPSB/Str/1422</t>
  </si>
  <si>
    <t>Km 10+338 - PL3/P4</t>
  </si>
  <si>
    <t>PL3/P4 - WV1</t>
  </si>
  <si>
    <t>MPSB/Sur/1308
MPSB/Str/1544</t>
  </si>
  <si>
    <t>19-May-25
22-May-25</t>
  </si>
  <si>
    <t>Km 10+338 - PR3/P1</t>
  </si>
  <si>
    <t>PR3/P1 - WV1</t>
  </si>
  <si>
    <t>MPSB/Sur/1222
MPSB/Str/1450</t>
  </si>
  <si>
    <t>Km 10+338 - PR3/P2</t>
  </si>
  <si>
    <t>PR3/P2 - WV1</t>
  </si>
  <si>
    <t>MPSB/Sur/1170
MPSB/Str/1423</t>
  </si>
  <si>
    <t>Km 10+338 - PR3/P5</t>
  </si>
  <si>
    <t>PR3/P5 - WV1</t>
  </si>
  <si>
    <t>MPSB/Sur/1241
MPSB/Str/1502</t>
  </si>
  <si>
    <t>Km 10+338 - PR3/P6</t>
  </si>
  <si>
    <t>PR3/P6 - WV1</t>
  </si>
  <si>
    <t>MPSB/Sur/1431
MPSB/Str/1672</t>
  </si>
  <si>
    <t>Km 10+230 - PL0/P1</t>
  </si>
  <si>
    <t>PL0/P1 - WV1</t>
  </si>
  <si>
    <t>MPSB/Sur/1415
MPSB/Str/1652</t>
  </si>
  <si>
    <t>Km 10+230 - PL0/P2</t>
  </si>
  <si>
    <t>PL0/P2 - WV1</t>
  </si>
  <si>
    <t>MPSB/Sur/1408
MPSB/Str/1643</t>
  </si>
  <si>
    <t>Km 10+230 - PL0/P3</t>
  </si>
  <si>
    <t>PL0/P3 - WV1</t>
  </si>
  <si>
    <t>MPSB/Sur/1405
MPSB/Str/1637</t>
  </si>
  <si>
    <t>Km 10+230 - PL0/P6</t>
  </si>
  <si>
    <t>PL0/P6 - WV1</t>
  </si>
  <si>
    <t>MPSB/Sur/1432
MPSB/Str/1673</t>
  </si>
  <si>
    <t>Km 10+230 - PR0/P1</t>
  </si>
  <si>
    <t>PR0/P1 - WV1</t>
  </si>
  <si>
    <t>MPSB/Sur/1422
MPSB/Str/1660</t>
  </si>
  <si>
    <t>Km 10+230 - PR0/P2</t>
  </si>
  <si>
    <t>PR0/P2 - WV1</t>
  </si>
  <si>
    <t>MPSB/Sur/1414
MPSB/Str/1651</t>
  </si>
  <si>
    <t>Km 10+230 - PR0/P3</t>
  </si>
  <si>
    <t>PR0/P3 - WV1</t>
  </si>
  <si>
    <t>MPSB/Sur/1389
MPSB/Str/1641</t>
  </si>
  <si>
    <t>30-May-25
9-Jun-25</t>
  </si>
  <si>
    <t>Km 10+230 - PR0/P4</t>
  </si>
  <si>
    <t>PR0/P4 - WV1</t>
  </si>
  <si>
    <t>MPSB/Sur/1412
MPSB/Str/1649</t>
  </si>
  <si>
    <t>Km 10+230 - PR0/P5</t>
  </si>
  <si>
    <t>PR0/P5 - WV1</t>
  </si>
  <si>
    <t>MPSB/Sur/1416
MPSB/Str/1655</t>
  </si>
  <si>
    <t>Km 10+266 - PR1/P1</t>
  </si>
  <si>
    <t>PR1/P1 - WV1</t>
  </si>
  <si>
    <t>MPSB/Sur/1368
MPSB/Str/1642</t>
  </si>
  <si>
    <t>28-May-25
9-Jun-25</t>
  </si>
  <si>
    <t>Km 10+266 - PR1/P2</t>
  </si>
  <si>
    <t>PR1/P2 - WV1</t>
  </si>
  <si>
    <t>MPSB/Sur/1413
MPSB/Str/1650</t>
  </si>
  <si>
    <t>Km 10+266 - PR1/P3</t>
  </si>
  <si>
    <t>PR1/P3 - WV1</t>
  </si>
  <si>
    <t>MPSB/Sur/1421
MPSB/Str/1659</t>
  </si>
  <si>
    <t>Km 10+266 - PR1/P4</t>
  </si>
  <si>
    <t>PR1/P4 - WV1</t>
  </si>
  <si>
    <t>MPSB/Sur/1437
MPSB/Str/1679</t>
  </si>
  <si>
    <t>Km 10+600 - PL0/P2</t>
  </si>
  <si>
    <t>PL0/P2 - WV2</t>
  </si>
  <si>
    <t>MPSB/Sur/1446
MPSB/Str/1688</t>
  </si>
  <si>
    <t>Km 10+600 - PL0/P3</t>
  </si>
  <si>
    <t>PL0/P3 - WV2</t>
  </si>
  <si>
    <t>MPSB/Sur/1445
MPSB/Str/1687</t>
  </si>
  <si>
    <t>Km 10+600 - PL0/P4</t>
  </si>
  <si>
    <t>PL0/P4 - WV2</t>
  </si>
  <si>
    <t>MPSB/Sur/1440
MPSB/Str/1683</t>
  </si>
  <si>
    <t>Km 10+672 - PL2/P1</t>
  </si>
  <si>
    <t>PL2/P1 - WV2</t>
  </si>
  <si>
    <t>MPSB/Sur/1459
MPSB/Str/1707</t>
  </si>
  <si>
    <t>Km 10+672 - PL2/P2</t>
  </si>
  <si>
    <t>PL2/P2 - WV2</t>
  </si>
  <si>
    <t>MPSB/Sur/1465
MPSB/Str/1719</t>
  </si>
  <si>
    <t>Km 10+672 - PL2/P3</t>
  </si>
  <si>
    <t>PL2/P3 - WV2</t>
  </si>
  <si>
    <t>MPSB/Sur/1454
MPSB/Str/1704</t>
  </si>
  <si>
    <t>23-Jun-25
26-Jun-25</t>
  </si>
  <si>
    <t>Km 10+672 - PL2/P4</t>
  </si>
  <si>
    <t>PL2/P4 - WV2</t>
  </si>
  <si>
    <t>MPSB/Sur/1439
MPSB/Str/1682</t>
  </si>
  <si>
    <t>Km 10+708 - PL3/P3</t>
  </si>
  <si>
    <t>PL3/P3 - WV2</t>
  </si>
  <si>
    <t>MPSB/Sur/1430
MPSB/Str/1671</t>
  </si>
  <si>
    <t>Km 10+708 - PL3/P4</t>
  </si>
  <si>
    <t>PL3/P4 - WV2</t>
  </si>
  <si>
    <t>MPSB/Sur/1436
MPSB/Str/1678</t>
  </si>
  <si>
    <t>Km 10+708 - PL3/P5</t>
  </si>
  <si>
    <t>PL3/P5 - WV2</t>
  </si>
  <si>
    <t>501.a.2</t>
  </si>
  <si>
    <t>For Wetland Viaduct - On completion of Pile Cap</t>
  </si>
  <si>
    <t>MPSB/Str/860
MPSB/Sur/847
MPSB/Str/980
MPSB/Str/981</t>
  </si>
  <si>
    <t>23-Mar-25
30-Mar-25
30-Mar-25
30-Mar-25</t>
  </si>
  <si>
    <t>Km 11+320 - PR20 - Pilecap</t>
  </si>
  <si>
    <t>PR20 - Pilecap - WV2</t>
  </si>
  <si>
    <t>Excavation
Survey checking
Reinforcement Check
Shuttering &amp; Concreting</t>
  </si>
  <si>
    <t>MPSB/Str/808
MPSB/Sur/786
MPSB/Str/898
MPSB/Str/899</t>
  </si>
  <si>
    <t>17-Mar-25
26-Mar-25
26-Mar-25
26-Mar-25</t>
  </si>
  <si>
    <t>Km 11+320 - PL20 - Pilecap</t>
  </si>
  <si>
    <t>PL20 - Pilecap - WV2</t>
  </si>
  <si>
    <t>MPSB/Str/861
MPSB/Sur/897
MPSB/Str/1014
MPSB/Str/1015</t>
  </si>
  <si>
    <t>23-Mar-25
26-Mar-25
31-Mar-25
31-Mar-25</t>
  </si>
  <si>
    <t>Km 11+284 - PR19 - Pilecap</t>
  </si>
  <si>
    <t>PR19 - Pilecap - WV2</t>
  </si>
  <si>
    <t>MPSB/Sur/928
MPSB/Sur/958
MPSB/Str/1095
MPSB/Str/1096</t>
  </si>
  <si>
    <t>7-Apr-25
10-Apr-25
10-Apr-25
10-Apr-25</t>
  </si>
  <si>
    <t>Km 11+212 - PR17 - Pilecap</t>
  </si>
  <si>
    <t>PR17 - Pilecap - WV2</t>
  </si>
  <si>
    <t>MPSB/Sur/929
MPSB/Sur/998
MPSB/Str/1138
MPSB/Str/1139</t>
  </si>
  <si>
    <t>7-Apr-25
15-Apr-25
15-Apr-25
15-Apr-25</t>
  </si>
  <si>
    <t>Km 11+212 - PL17 - Pilecap</t>
  </si>
  <si>
    <t>PL17 - Pilecap - WV2</t>
  </si>
  <si>
    <t>MPSB/Str/1033
MPSB/Sur/1052
MPSB/Str/1209
MPSB/Str/1210</t>
  </si>
  <si>
    <t>2-Apr-25
21-Apr-25
21-Apr-25
21-Apr-25</t>
  </si>
  <si>
    <t>Km 11+176 - PR16 - Pilecap</t>
  </si>
  <si>
    <t>PR16 - Pilecap - WV2</t>
  </si>
  <si>
    <t>MPSB/Str/1032
MPSB/Sur/931
MPSB/Str/1164
MPSB/Str/1165</t>
  </si>
  <si>
    <t>2-Apr-25
7-Apr-25
17-Apr-25
17-Apr-25</t>
  </si>
  <si>
    <t>Km 11+176 - PL16 - Pilecap</t>
  </si>
  <si>
    <t>PL16 - Pilecap - WV2</t>
  </si>
  <si>
    <t>MPSB/Sur/932
MPSB/Sur/980
MPSB/Str/1119
MPSB/Str/1120</t>
  </si>
  <si>
    <t>5-Apr-25
12-Apr-25
12-Apr-25
12-Apr-25</t>
  </si>
  <si>
    <t>Km 11+140 - PL15 - Pilecap</t>
  </si>
  <si>
    <t>PL15 - Pilecap - WV2</t>
  </si>
  <si>
    <t>MPSB/Sur/1193
MPSB/Sur/1117
MPSB/Str/1291
MPSB/Str/1292</t>
  </si>
  <si>
    <t>19-Apr-25
26-Apr-25
26-Apr-25
26-Apr-25</t>
  </si>
  <si>
    <t>Km 11+140 - PR15 - Pilecap</t>
  </si>
  <si>
    <t>PR15 - Pilecap - WV2</t>
  </si>
  <si>
    <t>MPSB/Str/1045
MPSB/Sur/1010
MPSB/Str/1166
MPSB/Str/1167</t>
  </si>
  <si>
    <t>5-Apr-25
17-Apr-25
17-Apr-25
17-Apr-25</t>
  </si>
  <si>
    <t>Km 11+104 - PR14 - Pilecap</t>
  </si>
  <si>
    <t>PR14 - Pilecap - WV2</t>
  </si>
  <si>
    <t>MPSB/Str/1046
MPSB/Sur/1060
MPSB/Str/1254
MPSB/Str/1255</t>
  </si>
  <si>
    <t>5-Apr-25
22-Apr-25
24-Apr-25
24-Apr-25</t>
  </si>
  <si>
    <t>Km 11+068 - PR13 - Pilecap</t>
  </si>
  <si>
    <t>PR13 - Pilecap - WV2</t>
  </si>
  <si>
    <t>MPSB/Str/1182
MPSB/Sur/1027
MPSB/Str/1287
MPSB/Str/1288</t>
  </si>
  <si>
    <t>18-Apr-25
18-Apr-25
26-Apr-25
26-Apr-25</t>
  </si>
  <si>
    <t>Km 10+996 - PR11 - Pilecap</t>
  </si>
  <si>
    <t>PR11 - Pilecap - WV2</t>
  </si>
  <si>
    <t>MPSB/Str/1183
MPSB/Sur/1028
MPSB/Str/1389
MPSB/Str/1390</t>
  </si>
  <si>
    <t>18-Apr-25
18-Apr-25
30-Apr-25
30-Apr-25</t>
  </si>
  <si>
    <t>Km 10+960 - PR10 - Pilecap</t>
  </si>
  <si>
    <t>PR10 - Pilecap - WV2</t>
  </si>
  <si>
    <t>MPSB/Str/1184
MPSB/Sur/1344
MPSB/Str/1565
MPSB/Str/1566</t>
  </si>
  <si>
    <t>18-Apr-25
24-May-25
24-May-25
24-May-25</t>
  </si>
  <si>
    <t>Km 11+248 - PR18 - Pilecap</t>
  </si>
  <si>
    <t>PR18 - Pilecap - WV2</t>
  </si>
  <si>
    <t>MPSB/Str/1250
MPSB/Sur/1406
MPSB/Str/1638
MPSB/Str/1639</t>
  </si>
  <si>
    <t>24-Apr-25
6-Jun-25
6-Jun-25
6-Jun-25</t>
  </si>
  <si>
    <t>Km 10+888 - PR8 -
 Pilecap</t>
  </si>
  <si>
    <t>PR8 - Pilecap - WV2</t>
  </si>
  <si>
    <t>MPSB/Str/1251
MPSB/Sur/1246
MPSB/Str/1456
MPSB/Str/1457</t>
  </si>
  <si>
    <t>24-Apr-25
9-May-25
9-May-25
9-May-25</t>
  </si>
  <si>
    <t>Km 10+924 - PR9 - 
Pilecap</t>
  </si>
  <si>
    <t>PR9 - Pilecap - WV2</t>
  </si>
  <si>
    <t>MPSB/Sur/1495
MPSB/Str/1768
MPSB/Str/1769</t>
  </si>
  <si>
    <t>7-Jul-25
7-Jul-25
7-Jul-25</t>
  </si>
  <si>
    <t>Km 10+852 - PR7 - 
Pilecap</t>
  </si>
  <si>
    <t>PR7 - Pilecap - WV2</t>
  </si>
  <si>
    <t>MPSB/Sur/1638
MPSB/Str/1962
MPSB/Str/1963</t>
  </si>
  <si>
    <t>2-Aug-25
2-Aug-25
2-Aug-25</t>
  </si>
  <si>
    <t>Km 11+248 - PL18 - Pilecap</t>
  </si>
  <si>
    <t>PL18 - Pilecap - WV2</t>
  </si>
  <si>
    <t>MPSB/Sur/1718
MPSB/Str/2068
MPSB/Str/2069</t>
  </si>
  <si>
    <t>Km 10+672 - PR2 - 
Pilecap</t>
  </si>
  <si>
    <t>PR2 - Pilecap - WV2</t>
  </si>
  <si>
    <t>MPSB/Sur/1747
MPSB/Str/2112
MPSB/Str/2113</t>
  </si>
  <si>
    <t>Km 10+636 - PR1 - 
Pilecap</t>
  </si>
  <si>
    <t>PR1 - Pilecap - WV2</t>
  </si>
  <si>
    <t>MPSB/Sur/1784
MPSB/Str/2169
MPSB/Str/2170</t>
  </si>
  <si>
    <t>Km 11+356 - PR21 - 
Pilecap</t>
  </si>
  <si>
    <t>PR21 - Pilecap - WV2</t>
  </si>
  <si>
    <t>MPSB/Sur/1808
MPSB/Str/2212
MPSB/Str/2213</t>
  </si>
  <si>
    <t>11-Sep-25
11-Sep-25
11-Sep-25</t>
  </si>
  <si>
    <t>Km 11+356 - PL21 - 
Pilecap</t>
  </si>
  <si>
    <t>PL21 - Pilecap - WV2</t>
  </si>
  <si>
    <t>MPSB/Sur/1889
MPSB/Str/2367
MPSB/Str/2368</t>
  </si>
  <si>
    <t>Km 10+600 - PL0 - 
Pilecap</t>
  </si>
  <si>
    <t>PL0 - Pilecap - WV2</t>
  </si>
  <si>
    <t>MPSB/Sur/1900
MPSB/Str/2369
MPSB/Str/2370</t>
  </si>
  <si>
    <t>Km 11+104 - PL14 - 
Pilecap</t>
  </si>
  <si>
    <t>PL14 - Pilecap - WV2</t>
  </si>
  <si>
    <t>MPSB/Sur/1942
MPSB/Str/2423
MPSB/Str/2424</t>
  </si>
  <si>
    <t>08-Oct-25
08-Oct-25
08-Oct-25</t>
  </si>
  <si>
    <t>Km 11+284 - PL19 - Pilecap</t>
  </si>
  <si>
    <t>PL19 - Pilecap - WV2</t>
  </si>
  <si>
    <t>MPSB/Sur/1983
MPSB/Str/2473
MPSB/Str/2474</t>
  </si>
  <si>
    <t>14-Oct-25
14-Oct-25
14-Oct-25</t>
  </si>
  <si>
    <t>Km 11+068 - PL13 - Pilecap</t>
  </si>
  <si>
    <t>PL13 - Pilecap - WV2</t>
  </si>
  <si>
    <t>MPSB/Sur/2007
MPSB/Str/2516
MPSB/Str/2517</t>
  </si>
  <si>
    <t>Km 11+032 - PL12 - Pilecap</t>
  </si>
  <si>
    <t>PL12 - Pilecap - WV2</t>
  </si>
  <si>
    <t>MPSB/Sur/2032
MPSB/Str/2554
MPSB/Str/2555</t>
  </si>
  <si>
    <t>Km 10+996 - PL11 - Pilecap</t>
  </si>
  <si>
    <t>PL11 - Pilecap - WV2</t>
  </si>
  <si>
    <t>MPSB/Sur/2058
MPSB/Str/2595
MPSB/Str/2596</t>
  </si>
  <si>
    <t>Km 10+960 - PL10 - Pilecap</t>
  </si>
  <si>
    <t>PL10 - Pilecap - WV2</t>
  </si>
  <si>
    <t>MPSB/Sur/2151
MPSB/Str/2740
MPSB/Str/2741</t>
  </si>
  <si>
    <t>08-Nov-25
08-Nov-25
08-Nov-25</t>
  </si>
  <si>
    <t>Km 10+600 - PR0 - 
Pilecap</t>
  </si>
  <si>
    <t>PR0 - Pilecap - WV2</t>
  </si>
  <si>
    <t>MPSB/Sur/2171
MPSB/Str/2768
MPSB/Str/2769</t>
  </si>
  <si>
    <t>11-Nov-25
11-Nov-25
11-Nov-25</t>
  </si>
  <si>
    <t>Km 10+924 - PL9 - 
Pilecap</t>
  </si>
  <si>
    <t>PL9 - Pilecap - WV2</t>
  </si>
  <si>
    <t>MPSB/Sur/2187
MPSB/Str/2798
MPSB/Str/2799</t>
  </si>
  <si>
    <t>14-Nov-25
14-Nov-25
14-Nov-25</t>
  </si>
  <si>
    <t>Km 11+032 - PR12 - Pilecap</t>
  </si>
  <si>
    <t>PR12 - Pilecap - WV2</t>
  </si>
  <si>
    <t>MPSB/Sur/2221
MPSB/Str/2849
MPSB/Str/2850</t>
  </si>
  <si>
    <t>19-Nov-25
19-Nov-25
19-Nov-25</t>
  </si>
  <si>
    <t>Km 10+888 - PL8 -
 Pilecap</t>
  </si>
  <si>
    <t>PL8 - Pilecap - WV2</t>
  </si>
  <si>
    <t>MPSB/Sur/2241
MPSB/Str/2879
MPSB/Str/2880</t>
  </si>
  <si>
    <t>21-Nov-25
21-Nov-25
21-Nov-25</t>
  </si>
  <si>
    <t>Km 10+636 - PL1 - 
Pilecap</t>
  </si>
  <si>
    <t>PL1 - Pilecap - WV2</t>
  </si>
  <si>
    <t>MPSB/Sur/2245
MPSB/Str/2888
MPSB/Str/2889</t>
  </si>
  <si>
    <t>22-Nov-25
22-Nov-25
22-Nov-25</t>
  </si>
  <si>
    <t>Km 10+852 - PL7 - 
Pilecap</t>
  </si>
  <si>
    <t>PL7 - Pilecap - WV2</t>
  </si>
  <si>
    <t>MPSB/Sur/2263
MPSB/Str/2919
MPSB/Str/2920</t>
  </si>
  <si>
    <t>Km 10+708 - PR3 - 
Pilecap</t>
  </si>
  <si>
    <t>PR3 - Pilecap - WV2</t>
  </si>
  <si>
    <t>MPSB/Sur/2283
MPSB/Str/2945
MPSB/Str/2946</t>
  </si>
  <si>
    <t>Km 10+780 - PR5 - 
Pilecap</t>
  </si>
  <si>
    <t>PR5 - Pilecap - WV2</t>
  </si>
  <si>
    <t>MPSB/Sur/2314
MPSB/Str/2999
MPSB/Str/3000</t>
  </si>
  <si>
    <t>Km 10+744 - PR4 - 
Pilecap</t>
  </si>
  <si>
    <t>PR4 - Pilecap - WV2</t>
  </si>
  <si>
    <t>MPSB/Sur/2513
MPSB/Str/3293
MPSB/Str/3294</t>
  </si>
  <si>
    <t>27-Dec-25
27-Dec-25
27-Dec-25</t>
  </si>
  <si>
    <t>Km 10+266 - PL1 - 
Pilecap</t>
  </si>
  <si>
    <t>PL1 - Pilecap - WV1</t>
  </si>
  <si>
    <t>MPSB/Sur/2407
MPSB/Str/3131
MPSB/Str/3132</t>
  </si>
  <si>
    <t>Km 10+338 - PR3 - 
Pilecap</t>
  </si>
  <si>
    <t>PR3 - Pilecap - WV1</t>
  </si>
  <si>
    <t>MPSB/Sur/2410
MPSB/Str/3138
MPSB/Str/3139</t>
  </si>
  <si>
    <t>15-Dec-25
15-Dec-25
15-Dec-25</t>
  </si>
  <si>
    <t>Km 10+338 - PL3 - 
Pilecap</t>
  </si>
  <si>
    <t>PL3 - Pilecap - WV1</t>
  </si>
  <si>
    <t>MPSB/Sur/2411
MPSB/Str/3140
MPSB/Str/3141</t>
  </si>
  <si>
    <t>Km 10+302 - PR2 - 
Pilecap</t>
  </si>
  <si>
    <t>PR2 - Pilecap - WV1</t>
  </si>
  <si>
    <t>MPSB/Sur/2412
MPSB/Str/3142
MPSB/Str/3143</t>
  </si>
  <si>
    <t>Km 10+816 - PR6 - 
Pilecap</t>
  </si>
  <si>
    <t>PR6 - Pilecap - WV2</t>
  </si>
  <si>
    <t>MPSB/Sur/2442
MPSB/Str/3184
MPSB/Str/3185</t>
  </si>
  <si>
    <t>18-Dec-25
18-Dec-25
18-Dec-25</t>
  </si>
  <si>
    <t>Km 10+672 - PL2 - 
Pilecap</t>
  </si>
  <si>
    <t>PL2 - Pilecap - WV2</t>
  </si>
  <si>
    <t>MPSB/Sur/2465
MPSB/Str/3225
MPSB/Str/3226</t>
  </si>
  <si>
    <t>22-Dec-25
22-Dec-25
22-Dec-25</t>
  </si>
  <si>
    <t>Km 10+780 - PL5 - 
Pilecap</t>
  </si>
  <si>
    <t>PL5 - Pilecap - WV2</t>
  </si>
  <si>
    <t>MPSB/Sur/2492
MPSB/Str/3267
MPSB/Str/3268</t>
  </si>
  <si>
    <t>Km 10+708 - PL3 - 
Pilecap</t>
  </si>
  <si>
    <t>PL3 - Pilecap - WV2</t>
  </si>
  <si>
    <t>MPSB/Sur/2550
MPSB/Str/3348
MPSB/Str/3349</t>
  </si>
  <si>
    <t>Km 10+744 - PL4 - 
Pilecap</t>
  </si>
  <si>
    <t>PL4 - Pilecap - WV2</t>
  </si>
  <si>
    <t>MPSB/Sur/2709
MPSB/Str/3565
MPSB/Str/3566</t>
  </si>
  <si>
    <t>19-Jan-26
19-Jan-26
19-Jan-26</t>
  </si>
  <si>
    <t>Km 10+266 - PR1 - 
Pilecap</t>
  </si>
  <si>
    <t>PR1 - Pilecap - WV1</t>
  </si>
  <si>
    <t>MPSB/Sur/2640
MPSB/Str/3473
MPSB/Str/3474</t>
  </si>
  <si>
    <t>9-Jan-26
9-Jan-26
9-Jan-26</t>
  </si>
  <si>
    <t>Km 10+230 - PL0 - 
Pilecap</t>
  </si>
  <si>
    <t>PL0 - Pilecap - WV1</t>
  </si>
  <si>
    <t>MPSB/Sur/2682
MPSB/Str/3527
MPSB/Str/3528</t>
  </si>
  <si>
    <t>15-Jan-26
15-Jan-26
15-Jan-26</t>
  </si>
  <si>
    <t>Km 10+230 - PR0 - 
Pilecap</t>
  </si>
  <si>
    <t>PR0 - Pilecap - WV1</t>
  </si>
  <si>
    <t>MPSB/Sur/2879
MPSB/Str/3777
MPSB/Str/3778</t>
  </si>
  <si>
    <t>6-Feb-26
6-Feb-26
6-Feb-26</t>
  </si>
  <si>
    <t>Km 10+302 - PL2 - 
Pilecap</t>
  </si>
  <si>
    <t>PL2 - Pilecap - WV1</t>
  </si>
  <si>
    <t>MPSB/Sur/2926
MPSB/Str/3851
MPSB/Str/3852</t>
  </si>
  <si>
    <t>14-Feb-26
14-Feb-26
14-Feb-26</t>
  </si>
  <si>
    <t>Km 10+816 - PL6 - 
Pilecap</t>
  </si>
  <si>
    <t>PL6 - Pilecap - WV2</t>
  </si>
  <si>
    <t>501.b.1</t>
  </si>
  <si>
    <t>For Approach Viaduct - On completion of Piles</t>
  </si>
  <si>
    <t>MPSB/Sur/31
MPSB/Str/24</t>
  </si>
  <si>
    <t>Km 5+426 - PR1/P4</t>
  </si>
  <si>
    <t>PR1/P4 - AV</t>
  </si>
  <si>
    <t>MPSB/Sur/40
MPSB/Str/33</t>
  </si>
  <si>
    <t>Km 5+462 - PL2/P3</t>
  </si>
  <si>
    <t>PL2/P3 - AV</t>
  </si>
  <si>
    <t>MPSB/Sur/43
MPSB/Str/36</t>
  </si>
  <si>
    <t>Km 5+462 - PR2/P4</t>
  </si>
  <si>
    <t>PR2/P4 - AV</t>
  </si>
  <si>
    <t>MPSB/Sur/42
MPSB/Str/39</t>
  </si>
  <si>
    <t>5-Oct-24
8-Oct-24</t>
  </si>
  <si>
    <t>Km 5+462 - PL2/P4</t>
  </si>
  <si>
    <t>PL2/P4 - AV</t>
  </si>
  <si>
    <t>MPSB/Sur/41
MPSB/Str/40</t>
  </si>
  <si>
    <t>4-Oct-24
14-Oct-24</t>
  </si>
  <si>
    <t>Km 5+426 - PL1/P4</t>
  </si>
  <si>
    <t>PL1/P4 - AV</t>
  </si>
  <si>
    <t>MPSB/Sur/44
MPSB/Str/41</t>
  </si>
  <si>
    <t>8-Oct-24
14-Oct-24</t>
  </si>
  <si>
    <t>Km 5+462 - PR2/P3</t>
  </si>
  <si>
    <t>PR2/P3 - AV</t>
  </si>
  <si>
    <t>MPSB/Sur/46
MPSB/Str/42</t>
  </si>
  <si>
    <t>11-Oct-24
17-Oct-24</t>
  </si>
  <si>
    <t>Km 5+426 - PR1/P3</t>
  </si>
  <si>
    <t>PR1/P3 - AV</t>
  </si>
  <si>
    <t>MPSB/Sur/47
MPSB/Str/43</t>
  </si>
  <si>
    <t>16-Oct-24
17-Oct-24</t>
  </si>
  <si>
    <t>Km 5+426 - PL1/P3</t>
  </si>
  <si>
    <t>PL1/P3 - AV</t>
  </si>
  <si>
    <t>MPSB/Sur/48
MPSB/Str/44</t>
  </si>
  <si>
    <t>17-Oct-24
18-Oct-24</t>
  </si>
  <si>
    <t>Km 5+462 - PR2/P2</t>
  </si>
  <si>
    <t>PR2/P2 - AV</t>
  </si>
  <si>
    <t>MPSB/Sur/50
MPSB/Str/45</t>
  </si>
  <si>
    <t>Km 5+426 - PR1/P2</t>
  </si>
  <si>
    <t>PR1/P2 - AV</t>
  </si>
  <si>
    <t>MPSB/Sur/51
MPSB/Str/46</t>
  </si>
  <si>
    <t>Km 5+462 - PR2/P1</t>
  </si>
  <si>
    <t>PR2/P1 - AV</t>
  </si>
  <si>
    <t>MPSB/Sur/51
MPSB/Str/51</t>
  </si>
  <si>
    <t>21-Oct-24
25-Oct-24</t>
  </si>
  <si>
    <t>Km 5+426 - PR1/P1</t>
  </si>
  <si>
    <t>PR1/P1 - AV</t>
  </si>
  <si>
    <t>MPSB/Sur/53
MPSB/Str/52</t>
  </si>
  <si>
    <t>23-Oct-24
25-Oct-24</t>
  </si>
  <si>
    <t>Km 5+462 - PL2/P2</t>
  </si>
  <si>
    <t>PL2/P2 - AV</t>
  </si>
  <si>
    <t>MPSB/Sur/55
MPSB/Str/54</t>
  </si>
  <si>
    <t>24-Oct-24
25-Oct-24</t>
  </si>
  <si>
    <t>Km 5+426 - PL1/P2</t>
  </si>
  <si>
    <t>PL1/P2 - AV</t>
  </si>
  <si>
    <t>MPSB/Sur/59
MPSB/Str/55</t>
  </si>
  <si>
    <t>Km 9+224 - PR31/P3</t>
  </si>
  <si>
    <t>PR31/P3 - AV</t>
  </si>
  <si>
    <t>MPSB/Sur/61
MPSB/Str/56</t>
  </si>
  <si>
    <t>28-Oct-24
29-Oct-24</t>
  </si>
  <si>
    <t>Km 5+462 - PL2/P1</t>
  </si>
  <si>
    <t>PL2/P1 - AV</t>
  </si>
  <si>
    <t>MPSB/Sur/65
MPSB/Str/59</t>
  </si>
  <si>
    <t>Km 9+244 - PR31/P2</t>
  </si>
  <si>
    <t>PR31/P2 - AV</t>
  </si>
  <si>
    <t>MPSB/Sur/63
MPSB/Str/61</t>
  </si>
  <si>
    <t>29-Oct-24
30-Oct-24</t>
  </si>
  <si>
    <t>Km 5+426 - PR1/P5</t>
  </si>
  <si>
    <t>PR1/P5 - AV</t>
  </si>
  <si>
    <t>MPSB/Sur/64
MPSB/Str/58</t>
  </si>
  <si>
    <t>Km 9+244 - PL31/P2</t>
  </si>
  <si>
    <t>PL31/P2 - AV</t>
  </si>
  <si>
    <t>MPSB/Sur/69
MPSB/Str/63</t>
  </si>
  <si>
    <t>Km 9+244 - PR31/P4</t>
  </si>
  <si>
    <t>PR31/P4 - AV</t>
  </si>
  <si>
    <t>MPSB/Sur/67
MPSB/Str/65</t>
  </si>
  <si>
    <t>30-Oct-24
31-Oct-24</t>
  </si>
  <si>
    <t>Km 5+462 - PR2/P5</t>
  </si>
  <si>
    <t>PR2/P5 - AV</t>
  </si>
  <si>
    <t>MPSB/Sur/72
MPSB/Str/76</t>
  </si>
  <si>
    <t>31-Oct-24
8-Nov-24</t>
  </si>
  <si>
    <t>Km 5+426 - PL1/P5</t>
  </si>
  <si>
    <t>PL1/P5 - AV</t>
  </si>
  <si>
    <t>MPSB/Sur/71
MPSB/Str/77</t>
  </si>
  <si>
    <t>Km 5+462 - PL2/P5</t>
  </si>
  <si>
    <t>PL2/P5 - AV</t>
  </si>
  <si>
    <t>MPSB/Sur/83
MPSB/Str/78</t>
  </si>
  <si>
    <t>Km 5+426 - PL1/P1</t>
  </si>
  <si>
    <t>PL1/P1 - AV</t>
  </si>
  <si>
    <t>MPSB/Sur/84
MPSB/Str/79</t>
  </si>
  <si>
    <t>Km 9+244 - PL31/P4</t>
  </si>
  <si>
    <t>PL31/P4 - AV</t>
  </si>
  <si>
    <t>MPSB/Sur/85
MPSB/Str/80</t>
  </si>
  <si>
    <t>Km 9+352 - PR34/P4</t>
  </si>
  <si>
    <t>PR34/P4 - AV</t>
  </si>
  <si>
    <t>MPSB/Sur/86
MPSB/Str/82</t>
  </si>
  <si>
    <t>9-Nov-24
11-Nov-24</t>
  </si>
  <si>
    <t>Km 9+352 - PR34/P2</t>
  </si>
  <si>
    <t>PR34/P2 - AV</t>
  </si>
  <si>
    <t>MPSB/Sur/88
MPSB/Str/83</t>
  </si>
  <si>
    <t>Km 9+244 - PR31/P5</t>
  </si>
  <si>
    <t>PR31/P5 - AV</t>
  </si>
  <si>
    <t>MPSB/Sur/89
MPSB/Str/84</t>
  </si>
  <si>
    <t>11-Nov-24
12-Nov-24</t>
  </si>
  <si>
    <t>Km 9+244 - PL31/P1</t>
  </si>
  <si>
    <t>PL31/P1 - AV</t>
  </si>
  <si>
    <t>MPSB/Sur/91
MPSB/Str/85</t>
  </si>
  <si>
    <t>12-Nov-24
13-Nov-24</t>
  </si>
  <si>
    <t>Km 9+352 - PL34/P4</t>
  </si>
  <si>
    <t>PL34/P4 - AV</t>
  </si>
  <si>
    <t>MPSB/Sur/93
MPSB/Str/88</t>
  </si>
  <si>
    <t>Km 9+244 - PL31/P3</t>
  </si>
  <si>
    <t>PL31/P3 - AV</t>
  </si>
  <si>
    <t>MPSB/Sur/95
MPSB/Str/90</t>
  </si>
  <si>
    <t>Km 9+244 - PR31/P1</t>
  </si>
  <si>
    <t>PR31/P1 - AV</t>
  </si>
  <si>
    <t>MPSB/Sur/94
MPSB/Str/89</t>
  </si>
  <si>
    <t>Km 9+352 - PR34/P3</t>
  </si>
  <si>
    <t>PR34/P3 - AV</t>
  </si>
  <si>
    <t>MPSB/Sur/99
MPSB/Str/94</t>
  </si>
  <si>
    <t>14-Nov-24
15-Nov-24</t>
  </si>
  <si>
    <t>Km 9+352 - PL34/P1</t>
  </si>
  <si>
    <t>PL34/P1 - AV</t>
  </si>
  <si>
    <t>MPSB/Sur/98
MPSB/Str/93</t>
  </si>
  <si>
    <t>14-Nov-24
16-Nov-24</t>
  </si>
  <si>
    <t>Km 9+244 - PL31/P5</t>
  </si>
  <si>
    <t>PL31/P5 - AV</t>
  </si>
  <si>
    <t>MPSB/Sur/100
MPSB/Str/98</t>
  </si>
  <si>
    <t>Km 9+352 - PR34/P1</t>
  </si>
  <si>
    <t>PR34/P1 - AV</t>
  </si>
  <si>
    <t>MPSB/Sur/104
MPSB/Str/102</t>
  </si>
  <si>
    <t>Km 9+352 - PL34/P5</t>
  </si>
  <si>
    <t>PL34/P5 - AV</t>
  </si>
  <si>
    <t>MPSB/Sur/105
MPSB/Str/103</t>
  </si>
  <si>
    <t>Km 9+352 - PR34/P5</t>
  </si>
  <si>
    <t>PR34/P5 - AV</t>
  </si>
  <si>
    <t>MPSB/Sur/106
MPSB/Str/111</t>
  </si>
  <si>
    <t>18-Nov-24
19-Nov-24</t>
  </si>
  <si>
    <t>Km 9+280 - PL32/P1</t>
  </si>
  <si>
    <t>PL32/P1 - AV</t>
  </si>
  <si>
    <t>MPSB/Sur/110
MPSB/Str/109</t>
  </si>
  <si>
    <t>Km 9+280 - PL32/P3</t>
  </si>
  <si>
    <t>PL32/P3 - AV</t>
  </si>
  <si>
    <t>MPSB/Sur/111
MPSB/Str/110</t>
  </si>
  <si>
    <t>Km 9+280 - PR32/P1</t>
  </si>
  <si>
    <t>PR32/P1 - AV</t>
  </si>
  <si>
    <t>MPSB/Sur/112
MPSB/Str/113</t>
  </si>
  <si>
    <t>Km 9+352 - PL34/P2</t>
  </si>
  <si>
    <t>PL34/P2 - AV</t>
  </si>
  <si>
    <t>MPSB/Sur/108
MPSB/Str/116</t>
  </si>
  <si>
    <t>19-Nov-24
21-Nov-24</t>
  </si>
  <si>
    <t>Km 5+390 - PR0/P3</t>
  </si>
  <si>
    <t>PR0/P3 - AV</t>
  </si>
  <si>
    <t>MPSB/Sur/101
MPSB/Str/119</t>
  </si>
  <si>
    <t>15-Nov-24
21-Nov-24</t>
  </si>
  <si>
    <t>Km 5+390 - PL0/P1</t>
  </si>
  <si>
    <t>PL0/P1 - AV</t>
  </si>
  <si>
    <t>MPSB/Sur/113
MPSB/Str/114</t>
  </si>
  <si>
    <t>20-Nov-24
21-Nov-24</t>
  </si>
  <si>
    <t>Km 9+352 - PL34/P3</t>
  </si>
  <si>
    <t>PL34/P3 - AV</t>
  </si>
  <si>
    <t>MPSB/Sur/109
MPSB/Str/120</t>
  </si>
  <si>
    <t>19-Nov-24
22-Nov-24</t>
  </si>
  <si>
    <t>Km 5+390 - PR0/P5</t>
  </si>
  <si>
    <t>PR0/P5 - AV</t>
  </si>
  <si>
    <t>MPSB/Sur/116
MPSB/Str/121</t>
  </si>
  <si>
    <t>Km 5+390 - PL0/P7</t>
  </si>
  <si>
    <t>PL0/P7 - AV</t>
  </si>
  <si>
    <t>MPSB/Sur/117
MPSB/Str/122</t>
  </si>
  <si>
    <t>Km 9+280 - PL32/P6</t>
  </si>
  <si>
    <t>PL32/P6 - AV</t>
  </si>
  <si>
    <t>MPSB/Sur/121
MPSB/Str/125</t>
  </si>
  <si>
    <t>Km 5+390 - PR0/P4</t>
  </si>
  <si>
    <t>PR0/P4 - AV</t>
  </si>
  <si>
    <t>MPSB/Sur/123
MPSB/Str/129</t>
  </si>
  <si>
    <t>Km 9+388 - PR35/P6</t>
  </si>
  <si>
    <t>PR35/P6 - AV</t>
  </si>
  <si>
    <t>MPSB/Sur/124
MPSB/Str/130</t>
  </si>
  <si>
    <t>Km 5+390 - PL0/P8</t>
  </si>
  <si>
    <t>PL0/P8 - AV</t>
  </si>
  <si>
    <t>MPSB/Sur/126
MPSB/Str/134</t>
  </si>
  <si>
    <t>Km 9+280 - PL32/P4</t>
  </si>
  <si>
    <t>PL32/P4 - AV</t>
  </si>
  <si>
    <t>MPSB/Sur/125
MPSB/Str/133</t>
  </si>
  <si>
    <t>Km 9+388 - PR35/P5</t>
  </si>
  <si>
    <t>PR35/P5 - AV</t>
  </si>
  <si>
    <t>MPSB/Sur/131
MPSB/Str/138</t>
  </si>
  <si>
    <t>Km 5+390 - PR0/P6</t>
  </si>
  <si>
    <t>PR0/P6 - AV</t>
  </si>
  <si>
    <t>MPSB/Sur/129
MPSB/Str/137</t>
  </si>
  <si>
    <t>Km 9+316 - PL33/P2</t>
  </si>
  <si>
    <t>PL33/P2 - AV</t>
  </si>
  <si>
    <t>MPSB/Sur/122
MPSB/Str/132</t>
  </si>
  <si>
    <t>23-Nov-24
25-Nov-24</t>
  </si>
  <si>
    <t>Km 9+280 - PL32/P2</t>
  </si>
  <si>
    <t>PL32/P2 - AV</t>
  </si>
  <si>
    <t>MPSB/Sur/128
MPSB/Str/136</t>
  </si>
  <si>
    <t>26-Nov-24
27-Nov-24</t>
  </si>
  <si>
    <t>Km 9+388 - PR35/P1</t>
  </si>
  <si>
    <t>PR35/P1 - AV</t>
  </si>
  <si>
    <t>MPSB/Sur/132
MPSB/Str/140</t>
  </si>
  <si>
    <t>Km 5+390 - PL0/P6</t>
  </si>
  <si>
    <t>PL0/P6 - AV</t>
  </si>
  <si>
    <t>MPSB/Sur/134
MPSB/Str/142</t>
  </si>
  <si>
    <t>Km 9+280 - PL32/P5</t>
  </si>
  <si>
    <t>PL32/P5 - AV</t>
  </si>
  <si>
    <t>MPSB/Sur/135
MPSB/Str/143</t>
  </si>
  <si>
    <t>Km 9+280 - PR32/P6</t>
  </si>
  <si>
    <t>PR32/P6 - AV</t>
  </si>
  <si>
    <t>MPSB/Sur/138
MPSB/Str/144</t>
  </si>
  <si>
    <t>Km 5+390 - PR0/P2</t>
  </si>
  <si>
    <t>PR0/P2 - AV</t>
  </si>
  <si>
    <t>MPSB/Sur/139
MPSB/Str/145</t>
  </si>
  <si>
    <t>Km 5+390 - PL0/P5</t>
  </si>
  <si>
    <t>PL0/P5 - AV</t>
  </si>
  <si>
    <t>MPSB/Sur/130
MPSB/Str/146</t>
  </si>
  <si>
    <t>26-Nov-24
28-Nov-24</t>
  </si>
  <si>
    <t>Km 9+388 - PL35/P4</t>
  </si>
  <si>
    <t>PL35/P4 - AV</t>
  </si>
  <si>
    <t>MPSB/Sur/136
MPSB/Str/147</t>
  </si>
  <si>
    <t>27-Nov-24
28-Nov-24</t>
  </si>
  <si>
    <t>Km 9+388 - PL35/P6</t>
  </si>
  <si>
    <t>PL35/P6 - AV</t>
  </si>
  <si>
    <t>MPSB/Sur/143
MPSB/Str/152</t>
  </si>
  <si>
    <t>29-Nov-24
29-Nov-24</t>
  </si>
  <si>
    <t>Km 5+390 - PR0/P9</t>
  </si>
  <si>
    <t>PR0/P9 - AV</t>
  </si>
  <si>
    <t>MPSB/Sur/159
MPSB/Str/154</t>
  </si>
  <si>
    <t>30-Nov-24
29-Nov-24</t>
  </si>
  <si>
    <t>Km 5+390 - PL0/P4</t>
  </si>
  <si>
    <t>PL0/P4 - AV</t>
  </si>
  <si>
    <t>MPSB/Sur/161
MPSB/Str/169</t>
  </si>
  <si>
    <t>Km 9+280 - PR32/P5</t>
  </si>
  <si>
    <t>PR32/P5 - AV</t>
  </si>
  <si>
    <t>MPSB/Sur/165
MPSB/Str/174</t>
  </si>
  <si>
    <t>Km 5+390 - PL0/P9</t>
  </si>
  <si>
    <t>PL0/P9 - AV</t>
  </si>
  <si>
    <t>MPSB/Sur/145
MPSB/Str/170</t>
  </si>
  <si>
    <t>29-Nov-24
2-Dec-24</t>
  </si>
  <si>
    <t>Km 9+388 - PR35/P4</t>
  </si>
  <si>
    <t>PR35/P4 - AV</t>
  </si>
  <si>
    <t>MPSB/Sur/171
MPSB/Str/178</t>
  </si>
  <si>
    <t>Km 5+390 - PL0/P2</t>
  </si>
  <si>
    <t>PL0/P2 - AV</t>
  </si>
  <si>
    <t>MPSB/Sur/160
MPSB/Str/180</t>
  </si>
  <si>
    <t>30-Nov-24
4-Dec-24</t>
  </si>
  <si>
    <t>Km 9+280 - PR32/P3</t>
  </si>
  <si>
    <t>PR32/P3 - AV</t>
  </si>
  <si>
    <t>MPSB/Sur/181
MPSB/Str/187</t>
  </si>
  <si>
    <t>Km 5+390 - PR0/P8</t>
  </si>
  <si>
    <t>PR0/P8 - AV</t>
  </si>
  <si>
    <t>MPSB/Sur/169
MPSB/Str/176</t>
  </si>
  <si>
    <t>Km 9+280 - PR32/P4</t>
  </si>
  <si>
    <t>PR32/P4 - AV</t>
  </si>
  <si>
    <t>MPSB/Sur/170
MPSB/Str/177</t>
  </si>
  <si>
    <t>Km 9+388 - PL35/P1</t>
  </si>
  <si>
    <t>PL35/P1 - AV</t>
  </si>
  <si>
    <t>MPSB/Sur/174
MPSB/Str/194</t>
  </si>
  <si>
    <t>4-Dec-24
10-Dec-24</t>
  </si>
  <si>
    <t>Km 9+388 - PR35/P2</t>
  </si>
  <si>
    <t>PR35/P2 - AV</t>
  </si>
  <si>
    <t>MPSB/Sur/178
MPSB/Str/191</t>
  </si>
  <si>
    <t>6-Dec-24
9-Dec-24</t>
  </si>
  <si>
    <t>Km 9+388 - PL35/P3</t>
  </si>
  <si>
    <t>PL35/P3 - AV</t>
  </si>
  <si>
    <t>MPSB/Sur/182
MPSB/Str/188</t>
  </si>
  <si>
    <t>Km 5+390 - PL0/P3</t>
  </si>
  <si>
    <t>PL0/P3 - AV</t>
  </si>
  <si>
    <t>MPSB/Sur/183
MPSB/Str/189</t>
  </si>
  <si>
    <t>Km 5+390 - PR0/P1</t>
  </si>
  <si>
    <t>PR0/P1 - AV</t>
  </si>
  <si>
    <t>MPSB/Sur/187
MPSB/Str/195</t>
  </si>
  <si>
    <t>10-Dec-24
11-Dec-24</t>
  </si>
  <si>
    <t>Km 9+388 - PL35/P2</t>
  </si>
  <si>
    <t>PL35/P2 - AV</t>
  </si>
  <si>
    <t>MPSB/Sur/164
MPSB/Str/173</t>
  </si>
  <si>
    <t>Km 9+280 - PR32/P2</t>
  </si>
  <si>
    <t>PR32/P2 - AV</t>
  </si>
  <si>
    <t>MPSB/Sur/162
MPSB/Str/171</t>
  </si>
  <si>
    <t>Km 9+388 - PL35/P5</t>
  </si>
  <si>
    <t>PL35/P5 - AV</t>
  </si>
  <si>
    <t>MPSB/Sur/166
MPSB/Str/180</t>
  </si>
  <si>
    <t>2-Dec-24
4-Dec-24</t>
  </si>
  <si>
    <t>Km 5+390 - PR0/P7</t>
  </si>
  <si>
    <t>PR0/P7 - AV</t>
  </si>
  <si>
    <t>MPSB/Sur/163
MPSB/Str/172</t>
  </si>
  <si>
    <t>Km 9+388 - PR35/P3</t>
  </si>
  <si>
    <t>PR35/P3 - AV</t>
  </si>
  <si>
    <t>MPSB/Sur/1499
MPSB/Str/1775</t>
  </si>
  <si>
    <t>Km 9+316 - PL33/P8</t>
  </si>
  <si>
    <t>PL33/P8 - AV</t>
  </si>
  <si>
    <t>MPSB/Sur/1500
MPSB/Str/1776</t>
  </si>
  <si>
    <t>Km 9+316 - PR33/P7</t>
  </si>
  <si>
    <t>PR33/P7 - AV</t>
  </si>
  <si>
    <t>MPSB/Sur/1501
MPSB/Str/1777</t>
  </si>
  <si>
    <t>Km 9+316 - PR33/P8</t>
  </si>
  <si>
    <t>PR33/P8 - AV</t>
  </si>
  <si>
    <t>MPSB/Sur/1504
MPSB/Str/1782</t>
  </si>
  <si>
    <t>Km 9+316 - PR33/P3</t>
  </si>
  <si>
    <t>PR33/P3 - AV</t>
  </si>
  <si>
    <t>MPSB/Sur/1507
MPSB/Str/1787</t>
  </si>
  <si>
    <t>Km 9+352 - PR34/P8</t>
  </si>
  <si>
    <t>PR34/P8 - AV</t>
  </si>
  <si>
    <t>MPSB/Sur/1510
MPSB/Str/1792</t>
  </si>
  <si>
    <t>Km 9+316 - PR33/P2</t>
  </si>
  <si>
    <t>PR33/P2 - AV</t>
  </si>
  <si>
    <t>MPSB/Sur/1511
MPSB/Str/1793</t>
  </si>
  <si>
    <t>Km 9+316 - PL33/P7</t>
  </si>
  <si>
    <t>PL33/P7 - AV</t>
  </si>
  <si>
    <t>MPSB/Sur/1514
MPSB/Str/1798</t>
  </si>
  <si>
    <t>Km 9+316 - PR33/P6</t>
  </si>
  <si>
    <t>PR33/P6 - AV</t>
  </si>
  <si>
    <t>MPSB/Sur/1520
MPSB/Str/1809</t>
  </si>
  <si>
    <t>Km 9+316 - PR33/P4</t>
  </si>
  <si>
    <t>PR33/P4 - AV</t>
  </si>
  <si>
    <t>MPSB/Sur/1521
MPSB/Str/1810</t>
  </si>
  <si>
    <t>Km 9+352 - PR34/P7</t>
  </si>
  <si>
    <t>PR34/P7 - AV</t>
  </si>
  <si>
    <t>MPSB/Sur/1528
MPSB/Str/1814</t>
  </si>
  <si>
    <t>Km 9+352 - PR34/P9</t>
  </si>
  <si>
    <t>PR34/P9 - AV</t>
  </si>
  <si>
    <t>MPSB/Sur/1531
MPSB/Str/1820</t>
  </si>
  <si>
    <t>Km 9+316 - PL33/P1</t>
  </si>
  <si>
    <t>PL33/P1 - AV</t>
  </si>
  <si>
    <t>MPSB/Sur/1533
MPSB/Str/1822</t>
  </si>
  <si>
    <t>Km 9+352 - PR34/P6</t>
  </si>
  <si>
    <t>PR34/P6 - AV</t>
  </si>
  <si>
    <t>MPSB/Sur/1534
MPSB/Str/1823</t>
  </si>
  <si>
    <t>Km 9+316 - PL33/P4</t>
  </si>
  <si>
    <t>PL33/P4 - AV</t>
  </si>
  <si>
    <t>MPSB/Sur/1535
MPSB/Str/1824</t>
  </si>
  <si>
    <t>Km 9+316 - PL33/P5</t>
  </si>
  <si>
    <t>PL33/P5 - AV</t>
  </si>
  <si>
    <t>MPSB/Sur/1536
MPSB/Str/1829</t>
  </si>
  <si>
    <t>Km 9+316 - PR33/P1</t>
  </si>
  <si>
    <t>PR33/P1 - AV</t>
  </si>
  <si>
    <t>MPSB/Sur/1539
MPSB/Str/1831</t>
  </si>
  <si>
    <t>Km 9+316 - PL33/P3</t>
  </si>
  <si>
    <t>PL33/P3 - AV</t>
  </si>
  <si>
    <t>MPSB/Sur/1544
MPSB/Str/1841</t>
  </si>
  <si>
    <t>Km 9+316 - PR33/P5</t>
  </si>
  <si>
    <t>PR33/P5 - AV</t>
  </si>
  <si>
    <t>MPSB/Sur/1545
MPSB/Str/1842</t>
  </si>
  <si>
    <t>Km 9+316 - PL33/P6</t>
  </si>
  <si>
    <t>PL33/P6 - AV</t>
  </si>
  <si>
    <t>MPSB/Sur/1547
MPSB/Str/1843</t>
  </si>
  <si>
    <t>Km 9+352 - PL34/P8</t>
  </si>
  <si>
    <t>PL34/P8 - AV</t>
  </si>
  <si>
    <t>MPSB/Sur/1563
MPSB/Str/1867</t>
  </si>
  <si>
    <t>Km 9+424 - PL36/P8</t>
  </si>
  <si>
    <t>PL36/P8 - AV</t>
  </si>
  <si>
    <t>MPSB/Sur/1564
MPSB/Str/1868</t>
  </si>
  <si>
    <t>Km 9+424 - PL36/P7</t>
  </si>
  <si>
    <t>PL36/P7 - AV</t>
  </si>
  <si>
    <t>MPSB/Sur/1572
MPSB/Str/1879</t>
  </si>
  <si>
    <t>Km 9+424 - PL36/P10</t>
  </si>
  <si>
    <t>PL36/P10 - AV</t>
  </si>
  <si>
    <t>MPSB/Sur/1578
MPSB/Str/1886</t>
  </si>
  <si>
    <t>Km 9+424 - PL36/P9</t>
  </si>
  <si>
    <t>PL36/P9 - AV</t>
  </si>
  <si>
    <t>MPSB/Sur/1579
MPSB/Str/1887</t>
  </si>
  <si>
    <t>Km 9+424 - PR36/P1</t>
  </si>
  <si>
    <t>PR36/P1 - AV</t>
  </si>
  <si>
    <t>MPSB/Sur/1580
MPSB/Str/1888</t>
  </si>
  <si>
    <t>Km 9+424 - PL36/P1</t>
  </si>
  <si>
    <t>PL36/P1 - AV</t>
  </si>
  <si>
    <t>MPSB/Sur/1585
MPSB/Str/1893</t>
  </si>
  <si>
    <t>Km 9+424 - PR36/P2</t>
  </si>
  <si>
    <t>PR36/P2 - AV</t>
  </si>
  <si>
    <t>MPSB/Sur/1587
MPSB/Str/1896</t>
  </si>
  <si>
    <t>Km 9+424 - PR36/P3</t>
  </si>
  <si>
    <t>PR36/P3 - AV</t>
  </si>
  <si>
    <t>MPSB/Sur/1588
MPSB/Str/1897</t>
  </si>
  <si>
    <t>Km 9+424 - PL36/P12</t>
  </si>
  <si>
    <t>PL36/P12 - AV</t>
  </si>
  <si>
    <t>MPSB/Sur/1593
MPSB/Str/1901</t>
  </si>
  <si>
    <t>Km 9+424 - PL36/P2</t>
  </si>
  <si>
    <t>PL36/P2 - AV</t>
  </si>
  <si>
    <t>MPSB/Sur/1596
MPSB/Str/1904</t>
  </si>
  <si>
    <t>Km 9+424 - PL36/P11</t>
  </si>
  <si>
    <t>PL36/P11 - AV</t>
  </si>
  <si>
    <t>MPSB/Sur/1598
MPSB/Str/1906</t>
  </si>
  <si>
    <t>Km 9+424 - PR36/P4</t>
  </si>
  <si>
    <t>PR36/P4 - AV</t>
  </si>
  <si>
    <t>MPSB/Sur/1602
MPSB/Str/1918</t>
  </si>
  <si>
    <t>Km 9+424 - PR36/P11</t>
  </si>
  <si>
    <t>PR36/P11 - AV</t>
  </si>
  <si>
    <t>MPSB/Sur/1606
MPSB/Str/1919</t>
  </si>
  <si>
    <t>Km 9+424 - PR36/P10</t>
  </si>
  <si>
    <t>PR36/P10 - AV</t>
  </si>
  <si>
    <t>MPSB/Sur/1619
MPSB/Str/1940</t>
  </si>
  <si>
    <t>Km 9+424 - PL36/P3</t>
  </si>
  <si>
    <t>PL36/P3 - AV</t>
  </si>
  <si>
    <t>MPSB/Sur/1630
MPSB/Str/1949</t>
  </si>
  <si>
    <t>Km 9+424 - PL36/P5</t>
  </si>
  <si>
    <t>PL36/P5 - AV</t>
  </si>
  <si>
    <t>MPSB/Sur/1618
MPSB/Str/1939</t>
  </si>
  <si>
    <t>Km 9+424 - PR36/P5</t>
  </si>
  <si>
    <t>PR36/P5 - AV</t>
  </si>
  <si>
    <t>MPSB/Sur/1607
MPSB/Str/1920</t>
  </si>
  <si>
    <t>Km 9+352 - PL34/P7</t>
  </si>
  <si>
    <t>PL34/P7 - AV</t>
  </si>
  <si>
    <r>
      <rPr>
        <sz val="12"/>
        <rFont val="Calibri"/>
        <family val="2"/>
        <scheme val="minor"/>
      </rPr>
      <t>MPSB/Sur/1631</t>
    </r>
    <r>
      <rPr>
        <sz val="12"/>
        <color theme="1"/>
        <rFont val="Calibri"/>
        <family val="2"/>
        <scheme val="minor"/>
      </rPr>
      <t xml:space="preserve">
MPSB/Str/1950</t>
    </r>
  </si>
  <si>
    <t>Km 5+428 - PR36/P12</t>
  </si>
  <si>
    <t>PR36/P12 - AV</t>
  </si>
  <si>
    <r>
      <rPr>
        <sz val="12"/>
        <rFont val="Calibri"/>
        <family val="2"/>
        <scheme val="minor"/>
      </rPr>
      <t>MPSB/Sur/1620</t>
    </r>
    <r>
      <rPr>
        <sz val="12"/>
        <color theme="1"/>
        <rFont val="Calibri"/>
        <family val="2"/>
        <scheme val="minor"/>
      </rPr>
      <t xml:space="preserve">
MPSB/Str/1941</t>
    </r>
  </si>
  <si>
    <t>Km 9+424 - PL36/P4</t>
  </si>
  <si>
    <t>PL36/P4 - AV</t>
  </si>
  <si>
    <t>MPSB/Sur/1634
MPSB/Str/1956</t>
  </si>
  <si>
    <t>Km 9+424 - PL36/P6</t>
  </si>
  <si>
    <t>PL36/P6 - AV</t>
  </si>
  <si>
    <t>MPSB/Sur/1637
MPSB/Str/1960</t>
  </si>
  <si>
    <t>Km 9+424 - PR36/P6</t>
  </si>
  <si>
    <t>PR36/P6 - AV</t>
  </si>
  <si>
    <t>MPSB/Sur/1646
MPSB/Str/1975</t>
  </si>
  <si>
    <t>Km 9+424 - PR36/P7</t>
  </si>
  <si>
    <t>PR36/P7 - AV</t>
  </si>
  <si>
    <t>MPSB/Sur/1649
MPSB/Str/1978</t>
  </si>
  <si>
    <t>Km 9+424 - PR36/P9</t>
  </si>
  <si>
    <t>PR36/P9 - AV</t>
  </si>
  <si>
    <t>MPSB/Sur/1650
MPSB/Str/1979</t>
  </si>
  <si>
    <t>Km 9+424 - PR36/P8</t>
  </si>
  <si>
    <t>PR36/P8 - AV</t>
  </si>
  <si>
    <t>MPSB/Sur/1659
MPSB/Str/1998</t>
  </si>
  <si>
    <t>Km 9+352 - PL34/P9</t>
  </si>
  <si>
    <t>PL34/P9 - AV</t>
  </si>
  <si>
    <t>MPSB/Sur/1733
MPSB/Str/2092</t>
  </si>
  <si>
    <t>Km 5+428 - PR1/P3</t>
  </si>
  <si>
    <t>MPSB/Sur/1734
MPSB/Str/2116</t>
  </si>
  <si>
    <t>26-Aug-25
30-Aug-25</t>
  </si>
  <si>
    <t>Km 5+428 - PL1/P3</t>
  </si>
  <si>
    <t>MPSB/Sur/1754
MPSB/Str/2121</t>
  </si>
  <si>
    <t>Km 5+428 - PR1/P4</t>
  </si>
  <si>
    <t>MPSB/Sur/1755
MPSB/Str/2122</t>
  </si>
  <si>
    <t>Km 5+428 - PL1/P6</t>
  </si>
  <si>
    <t>PL1/P6 - AV</t>
  </si>
  <si>
    <t>MPSB/Sur/1762
MPSB/Str/2140</t>
  </si>
  <si>
    <t>Km 5+428 - PR1/P7</t>
  </si>
  <si>
    <t>PR1/P7 - AV</t>
  </si>
  <si>
    <t>MPSB/Sur/1767
MPSB/Str/2149</t>
  </si>
  <si>
    <t>Km 5+428 - PR1/P2</t>
  </si>
  <si>
    <t>MPSB/Sur/1779
MPSB/Str/2161</t>
  </si>
  <si>
    <t>Km 5+428 - PL1/P7</t>
  </si>
  <si>
    <t>PL1/P7 - AV</t>
  </si>
  <si>
    <t>MPSB/Sur/1790
MPSB/Str/2184</t>
  </si>
  <si>
    <t>Km 5+428 - PR1R/P4</t>
  </si>
  <si>
    <t>PR1R/P4 - AV</t>
  </si>
  <si>
    <t>MPSB/Sur/1795
MPSB/Str/2189</t>
  </si>
  <si>
    <t>Km 5+428 - PL1R/P4</t>
  </si>
  <si>
    <t>PL1R/P4 - AV</t>
  </si>
  <si>
    <t>MPSB/Sur/1801
MPSB/Str/2195</t>
  </si>
  <si>
    <t>Km 5+428 - PL1R/P1</t>
  </si>
  <si>
    <t>PL1R/P1 - AV</t>
  </si>
  <si>
    <t>MPSB/Sur/1825
MPSB/Str/2240</t>
  </si>
  <si>
    <t>Km 5+428 - PL1R/P3</t>
  </si>
  <si>
    <t>PL1R/P3 - AV</t>
  </si>
  <si>
    <t>MPSB/Sur/1839
MPSB/Str/2269</t>
  </si>
  <si>
    <t>Km 5+428 - PL1R/P2</t>
  </si>
  <si>
    <t>PL1R/P2 - AV</t>
  </si>
  <si>
    <t>MPSB/Sur/1840
MPSB/Str/2270</t>
  </si>
  <si>
    <t>Km 5+464 - PL2R/P4</t>
  </si>
  <si>
    <t>PL2R/P4 - AV</t>
  </si>
  <si>
    <t>MPSB/Sur/1850
MPSB/Str/2282</t>
  </si>
  <si>
    <t>Km 5+464 - PR2R/P3</t>
  </si>
  <si>
    <t>PR2R/P3 - AV</t>
  </si>
  <si>
    <t>MPSB/Sur/1862
MPSB/Str/2303</t>
  </si>
  <si>
    <t>Km 5+464 - PL2R/P3</t>
  </si>
  <si>
    <t>PL2R/P3 - AV</t>
  </si>
  <si>
    <t>MPSB/Sur/1863
MPSB/Str/2304</t>
  </si>
  <si>
    <t>Km 5+464 - PR2R/P2</t>
  </si>
  <si>
    <t>PR2R/P2 - AV</t>
  </si>
  <si>
    <t>MPSB/Sur/1866
MPSB/Str/2305</t>
  </si>
  <si>
    <t>Km 5+464 - PL2R/P2</t>
  </si>
  <si>
    <t>PL2R/P2 - AV</t>
  </si>
  <si>
    <t>MPSB/Sur/1873
MPSB/Str/2324</t>
  </si>
  <si>
    <t>Km 5+464 - PR2R/P1</t>
  </si>
  <si>
    <t>PR2R/P1 - AV</t>
  </si>
  <si>
    <t>MPSB/Sur/1879
MPSB/Str/2333</t>
  </si>
  <si>
    <t>Km 5+464 - PL2R/P1</t>
  </si>
  <si>
    <t>PL2R/P1 - AV</t>
  </si>
  <si>
    <t>MPSB/Sur/1880
MPSB/Str/2334</t>
  </si>
  <si>
    <t>Km 5+428 - PR1R/P2</t>
  </si>
  <si>
    <t>PR1R/P2 - AV</t>
  </si>
  <si>
    <t>MPSB/Sur/1888
MPSB/Str/2352</t>
  </si>
  <si>
    <t>Km 5+428 - PR1R/P1</t>
  </si>
  <si>
    <t>PR1R/P1 - AV</t>
  </si>
  <si>
    <t>MPSB/Sur/1910
MPSB/Str/2381</t>
  </si>
  <si>
    <t>Km 5+500 - PL3/P3</t>
  </si>
  <si>
    <t>PL3/P3 - AV</t>
  </si>
  <si>
    <t>MPSB/Sur/1911
MPSB/Str/2382</t>
  </si>
  <si>
    <t>Km 5+500 - PR3/P3</t>
  </si>
  <si>
    <t>PR3/P3 - AV</t>
  </si>
  <si>
    <t>MPSB/Sur/1922
MPSB/Str/2396</t>
  </si>
  <si>
    <t>Km 5+500 - PR3/P4</t>
  </si>
  <si>
    <t>PR3/P4 - AV</t>
  </si>
  <si>
    <t>MPSB/Sur/1928
MPSB/Str/2404</t>
  </si>
  <si>
    <t>Km 5+500 - PL3/P4</t>
  </si>
  <si>
    <t>PL3/P4 - AV</t>
  </si>
  <si>
    <t>MPSB/Sur/1929
MPSB/Str/2405</t>
  </si>
  <si>
    <t>Km 5+500 - PR3/P5</t>
  </si>
  <si>
    <t>PR3/P5 - AV</t>
  </si>
  <si>
    <t>MPSB/Sur/1930
MPSB/Str/2406</t>
  </si>
  <si>
    <t>Km 5+500 - PL3/P5</t>
  </si>
  <si>
    <t>PL3/P5 - AV</t>
  </si>
  <si>
    <t>MPSB/Sur/1931
MPSB/Str/2407</t>
  </si>
  <si>
    <t>Km 5+500 - PR3/P2</t>
  </si>
  <si>
    <t>PR3/P2 - AV</t>
  </si>
  <si>
    <t>MPSB/Sur/1945
MPSB/Str/2425</t>
  </si>
  <si>
    <t>Km 5+500 - PL3/P1</t>
  </si>
  <si>
    <t>PL3/P1 - AV</t>
  </si>
  <si>
    <t>MPSB/Sur/1946
MPSB/Str/2426</t>
  </si>
  <si>
    <t>Km 5+500 - PR3/P6</t>
  </si>
  <si>
    <t>PR3/P6 - AV</t>
  </si>
  <si>
    <t>MPSB/Sur/1950
MPSB/Str/2431</t>
  </si>
  <si>
    <t>Km 5+428 - PR1R/P3</t>
  </si>
  <si>
    <t>PR1R/P3 - AV</t>
  </si>
  <si>
    <t>MPSB/Sur/1951
MPSB/Str/2432</t>
  </si>
  <si>
    <t>Km 5+500 - PL3/P6</t>
  </si>
  <si>
    <t>PL3/P6 - AV</t>
  </si>
  <si>
    <t>MPSB/Sur/1964
MPSB/Str/2444</t>
  </si>
  <si>
    <t>Km 5+500 - PR3/P1</t>
  </si>
  <si>
    <t>PR3/P1 - AV</t>
  </si>
  <si>
    <t>MPSB/Sur/2493
MPSB/Str/3269</t>
  </si>
  <si>
    <t>Km 9+388 - PL35/P7</t>
  </si>
  <si>
    <t>PL35/P7 - AV</t>
  </si>
  <si>
    <t>MPSB/Sur/2494
MPSB/Str/3270</t>
  </si>
  <si>
    <t>Km 9+388 - PL35/P12</t>
  </si>
  <si>
    <t>PL35/P12 - AV</t>
  </si>
  <si>
    <t>MPSB/Sur/2499
MPSB/Str/3278</t>
  </si>
  <si>
    <t>Km 9+316 - PL33R/P1</t>
  </si>
  <si>
    <t>PL33R/P1 - AV</t>
  </si>
  <si>
    <t>MPSB/Sur/2500
MPSB/Str/3279</t>
  </si>
  <si>
    <t>Km 9+388 - PL35/P8</t>
  </si>
  <si>
    <t>PL35/P8 - AV</t>
  </si>
  <si>
    <t>MPSB/Sur/2508
MPSB/Str/3290</t>
  </si>
  <si>
    <t>Km 9+388 - PL35/P11</t>
  </si>
  <si>
    <t>PL35/P11 - AV</t>
  </si>
  <si>
    <t>MPSB/Sur/2509
MPSB/Str/3291</t>
  </si>
  <si>
    <t>Km 9+280 - PL32R/P4</t>
  </si>
  <si>
    <t>PL32R/P4 - AV</t>
  </si>
  <si>
    <t>MPSB/Sur/2519
MPSB/Str/3305</t>
  </si>
  <si>
    <t>Km 9+388 - PL35/P9</t>
  </si>
  <si>
    <t>PL35/P9 - AV</t>
  </si>
  <si>
    <t>MPSB/Sur/2520
MPSB/Str/3306</t>
  </si>
  <si>
    <t>Km 9+316 - PL33R/P4</t>
  </si>
  <si>
    <t>PL33R/P4 - AV</t>
  </si>
  <si>
    <t>MPSB/Sur/2538
MPSB/Str/3329</t>
  </si>
  <si>
    <t>Km 9+388 - PL35/P10</t>
  </si>
  <si>
    <t>PL35/P10 - AV</t>
  </si>
  <si>
    <t>MPSB/Sur/2539
MPSB/Str/3330</t>
  </si>
  <si>
    <t>Km 9+388 - PL32R/P11</t>
  </si>
  <si>
    <t>PL32R/P1 - AV</t>
  </si>
  <si>
    <t>MPSB/Sur/2540
MPSB/Str/3331</t>
  </si>
  <si>
    <t>Km 9+316 - PL33R/P2</t>
  </si>
  <si>
    <t>PL33R/P2 - AV</t>
  </si>
  <si>
    <t>MPSB/Sur/2542
MPSB/Str/3334</t>
  </si>
  <si>
    <t>Km 9+280 - PL32R/P3</t>
  </si>
  <si>
    <t>PL32R/P3 - AV</t>
  </si>
  <si>
    <t>MPSB/Sur/2543
MPSB/Str/3335</t>
  </si>
  <si>
    <t>Km 9+316 - PL33R/P3</t>
  </si>
  <si>
    <t>PL33R/P3 - AV</t>
  </si>
  <si>
    <t>MPSB/Sur/2544
MPSB/Str/3336</t>
  </si>
  <si>
    <t>Km 9+388 - PR35/P7</t>
  </si>
  <si>
    <t>PR35/P7 - AV</t>
  </si>
  <si>
    <t>MPSB/Sur/2563
MPSB/Str/3365</t>
  </si>
  <si>
    <t>Km 9+280 - PL32R/P2</t>
  </si>
  <si>
    <t>PL32R/P2 - AV</t>
  </si>
  <si>
    <t>MPSB/Sur/2564
MPSB/Str/3366</t>
  </si>
  <si>
    <t>Km 9+388 - PR35/P12</t>
  </si>
  <si>
    <t>PR35/P12 - AV</t>
  </si>
  <si>
    <t>MPSB/Sur/2565
MPSB/Str/3367</t>
  </si>
  <si>
    <t>Km 9+280 - PR32R/P3</t>
  </si>
  <si>
    <t>PR32R/P3 - AV</t>
  </si>
  <si>
    <t>MPSB/Sur/2566
MPSB/Str/3368</t>
  </si>
  <si>
    <t>Km 9+388 - PR35/P8</t>
  </si>
  <si>
    <t>PR35/P8 - AV</t>
  </si>
  <si>
    <t>MPSB/Sur/2600
MPSB/Str/3420</t>
  </si>
  <si>
    <t>Km 9+280 - PR32R/P2</t>
  </si>
  <si>
    <t>PR32R/P2 - AV</t>
  </si>
  <si>
    <t>MPSB/Sur/2607
MPSB/Str/3428</t>
  </si>
  <si>
    <t>Km 9+388 - PR35/P11</t>
  </si>
  <si>
    <t>PR35/P11 - AV</t>
  </si>
  <si>
    <t>MPSB/Sur/2608
MPSB/Str/3429</t>
  </si>
  <si>
    <t>Km 9+280 - PR32R/P4</t>
  </si>
  <si>
    <t>PR32R/P4 - AV</t>
  </si>
  <si>
    <t>MPSB/Sur/2621
MPSB/Str/3446</t>
  </si>
  <si>
    <t>Km 9+280 - PR32R/P1</t>
  </si>
  <si>
    <t>PR32R/P1 - AV</t>
  </si>
  <si>
    <t>MPSB/Sur/2622
MPSB/Str/3447</t>
  </si>
  <si>
    <t>Km 9+388 - PR35/P9</t>
  </si>
  <si>
    <t>PR35/P9 - AV</t>
  </si>
  <si>
    <t>MPSB/Sur/2632
MPSB/Str/3466</t>
  </si>
  <si>
    <t>Km 9+280 - PL32/P12</t>
  </si>
  <si>
    <t>PL32/P12 - AV</t>
  </si>
  <si>
    <t>MPSB/Sur/2633
MPSB/Str/3467</t>
  </si>
  <si>
    <t>Km 9+388 - PR35/P10</t>
  </si>
  <si>
    <t>PR35/P10 - AV</t>
  </si>
  <si>
    <t>MPSB/Sur/2656
MPSB/Str/3490</t>
  </si>
  <si>
    <t>Km 9+280 - PL32/P7</t>
  </si>
  <si>
    <t>PL32/P7 - AV</t>
  </si>
  <si>
    <t>MPSB/Sur/2675
MPSB/Str/3518</t>
  </si>
  <si>
    <t>Km 9+280 - PL32/P8</t>
  </si>
  <si>
    <t>PL32/P8 - AV</t>
  </si>
  <si>
    <t>MPSB/Sur/2684
MPSB/Str/3531</t>
  </si>
  <si>
    <t>Km 9+280 - PL32/P10</t>
  </si>
  <si>
    <t>PL32/P10 - AV</t>
  </si>
  <si>
    <t>MPSB/Sur/2689
MPSB/Str/3538</t>
  </si>
  <si>
    <t>Km 9+352 - PL34/P6</t>
  </si>
  <si>
    <t>PL34/P6 - AV</t>
  </si>
  <si>
    <t>MPSB/Sur/2688
MPSB/Str/3537</t>
  </si>
  <si>
    <t>Km 9+280 - PL32/P9</t>
  </si>
  <si>
    <t>PL32/P9 - AV</t>
  </si>
  <si>
    <t>MPSB/Sur/2698
MPSB/Str/3568</t>
  </si>
  <si>
    <t>17-Jan-26
19-Jan-26</t>
  </si>
  <si>
    <t>Km 9+280 - PR32/P12</t>
  </si>
  <si>
    <t>PR32/P12 - AV</t>
  </si>
  <si>
    <t>MPSB/Sur/2714
MPSB/Str/3571</t>
  </si>
  <si>
    <t>Km 9+280 - PR32/P7</t>
  </si>
  <si>
    <t>PR32/P7 - AV</t>
  </si>
  <si>
    <r>
      <t xml:space="preserve">MPSB/Str/1845
</t>
    </r>
    <r>
      <rPr>
        <sz val="12"/>
        <rFont val="Calibri"/>
        <family val="2"/>
        <scheme val="minor"/>
      </rPr>
      <t>MPSB/Sur/1559</t>
    </r>
    <r>
      <rPr>
        <sz val="12"/>
        <color theme="1"/>
        <rFont val="Calibri"/>
        <family val="2"/>
        <scheme val="minor"/>
      </rPr>
      <t xml:space="preserve">
MPSB/Str/1862
MPSB/Sur/1613</t>
    </r>
  </si>
  <si>
    <t>19-Jul-24
22-Jul-25
22-Jun-25
30-Jul-25</t>
  </si>
  <si>
    <r>
      <t xml:space="preserve">MPSB/Str/1881
</t>
    </r>
    <r>
      <rPr>
        <sz val="12"/>
        <rFont val="Calibri"/>
        <family val="2"/>
        <scheme val="minor"/>
      </rPr>
      <t>MPSB/Sur/1576</t>
    </r>
    <r>
      <rPr>
        <sz val="12"/>
        <color theme="1"/>
        <rFont val="Calibri"/>
        <family val="2"/>
        <scheme val="minor"/>
      </rPr>
      <t xml:space="preserve">
MPSB/Str/1882</t>
    </r>
  </si>
  <si>
    <t>MPSB/Str/1999
MPSB/Sur/1660
MPSB/Str/2000
MPSB/Sur/1680</t>
  </si>
  <si>
    <t>MPSB/Str/1952
MPSB/Sur/1632
MPSB/Str/1953
MPSB/Sur/1662</t>
  </si>
  <si>
    <t>31-Jul-25
31-Jul-25
31-Jul-25
7-Aug-25</t>
  </si>
  <si>
    <t>MPSB/Str/2030
MPSB/Sur/1690
MPSB/Str/2031
MPSB/Sur/1702</t>
  </si>
  <si>
    <t>16-Aug-25
16-Aug-25
16-Aug-25
20-Aug-25</t>
  </si>
  <si>
    <t>MPSB/Str/2015
MPSB/Sur/1678
MPSB/Str/2016
MPSB/Sur/1692</t>
  </si>
  <si>
    <t>11-Aug-25
11-Aug-25
11-Aug-25
16-Aug-25</t>
  </si>
  <si>
    <r>
      <t xml:space="preserve">MPSB/Str/2071
</t>
    </r>
    <r>
      <rPr>
        <sz val="12"/>
        <rFont val="Calibri"/>
        <family val="2"/>
        <scheme val="minor"/>
      </rPr>
      <t>MPSB/Sur/1720</t>
    </r>
    <r>
      <rPr>
        <sz val="12"/>
        <color theme="1"/>
        <rFont val="Calibri"/>
        <family val="2"/>
        <scheme val="minor"/>
      </rPr>
      <t xml:space="preserve">
MPSB/Str/2072</t>
    </r>
  </si>
  <si>
    <t>MPSB/Str/2060
MPSB/Sur/1711
MPSB/Str/2061</t>
  </si>
  <si>
    <t>21-Aug-25
21-Aug-25
21-Aug-25</t>
  </si>
  <si>
    <r>
      <t xml:space="preserve">MPSB/Str/2015
</t>
    </r>
    <r>
      <rPr>
        <sz val="12"/>
        <rFont val="Calibri"/>
        <family val="2"/>
        <scheme val="minor"/>
      </rPr>
      <t>MPSB/Sur/1742</t>
    </r>
    <r>
      <rPr>
        <sz val="12"/>
        <color theme="1"/>
        <rFont val="Calibri"/>
        <family val="2"/>
        <scheme val="minor"/>
      </rPr>
      <t xml:space="preserve">
MPSB/Str/2016</t>
    </r>
  </si>
  <si>
    <t>MPSB/Str/2082
MPSB/Sur/1729
MPSB/Str/2083</t>
  </si>
  <si>
    <t>25-Aug-25
25-Aug-25
25-Aug-25</t>
  </si>
  <si>
    <t>MPSB/Str/2162
MPSB/Sur/1780
MPSB/Str/2163</t>
  </si>
  <si>
    <t>MPSB/Str/2151
MPSB/Sur/1768
MPSB/Str/2152
MPSB/Sur/1832</t>
  </si>
  <si>
    <t>4-Sep-25
4-Sep-25
4-Sep-25
16-Sep-25</t>
  </si>
  <si>
    <t>MPSB/Str/2208
MPSB/Sur/1805
MPSB/Str/2209</t>
  </si>
  <si>
    <t>MPSB/Str/2187
MPSB/Sur/1792
MPSB/Str/2188
MPSB/Sur/1832</t>
  </si>
  <si>
    <t>8-Sep-25
8-Sep-25
8-Sep-25
16-Sep-25</t>
  </si>
  <si>
    <t>MPSB/Str/2272
MPSB/Sur/1842
MPSB/Str/2273</t>
  </si>
  <si>
    <t>19-Sep-25
19-Sep-25
19-Sep-25</t>
  </si>
  <si>
    <t>MPSB/Str/2306
MPSB/Sur/1867
MPSB/Str/2307</t>
  </si>
  <si>
    <t>24-Sep-25
24-Sep-25
24-Sep-25</t>
  </si>
  <si>
    <t>MPSB/Str/2376
MPSB/Sur/1906
MPSB/Str/2377</t>
  </si>
  <si>
    <t>MPSB/Str/2445
MPSB/Sur/1965
MPSB/Str/2446</t>
  </si>
  <si>
    <t>10-Oct-25
10-Oct-25
10-Oct-25</t>
  </si>
  <si>
    <t>MPSB/Str/2495
MPSB/Sur/1995
MPSB/Str/2496</t>
  </si>
  <si>
    <t>16-Oct-25
16-Oct-25
16-Oct-25</t>
  </si>
  <si>
    <t>MPSB/Str/2447
MPSB/Sur/1966
MPSB/Str/2448</t>
  </si>
  <si>
    <t>11-Oct-25
11-Oct-25
11-Oct-25</t>
  </si>
  <si>
    <t>MPSB/Str/2588
MPSB/Sur/2052
MPSB/Str/2589</t>
  </si>
  <si>
    <t>26-Oct-25
26-Oct-25
26-Oct-25</t>
  </si>
  <si>
    <t>MPSB/Str/2649
MPSB/Sur/2080
MPSB/Str/2650</t>
  </si>
  <si>
    <t>MPSB/Str/2734
MPSB/Sur/2145
MPSB/Str/2735</t>
  </si>
  <si>
    <t>MPSB/Str/2865
MPSB/Sur/2231
MPSB/Str/2866</t>
  </si>
  <si>
    <t>MPSB/Str/2892
MPSB/Sur/2247
MPSB/Str/2893</t>
  </si>
  <si>
    <t>MPSB/Str/2968
MPSB/Sur/2294
MPSB/Str/2969</t>
  </si>
  <si>
    <t>MPSB/Str/3127
MPSB/Sur/2404
MPSB/Str/3128</t>
  </si>
  <si>
    <t>MPSB/Str/3187
MPSB/Sur/2444
MPSB/Str/3188</t>
  </si>
  <si>
    <t>MPSB/Str/3297
MPSB/Sur/2517
MPSB/Str/3298</t>
  </si>
  <si>
    <t>MPSB/Str/3666
MPSB/Sur/2791
MPSB/Str/3667</t>
  </si>
  <si>
    <t>MPSB/Str/3723
MPSB/Sur/2822
MPSB/Str/3724</t>
  </si>
  <si>
    <t>MPSB/Str/4157
MPSB/Sur/3146
MPSB/Str/4158</t>
  </si>
  <si>
    <t>19-Mar-26
19-Mar-26
19-Mar-26</t>
  </si>
  <si>
    <t>MPSB/Str/4486
MPSB/Sur/3350
MPSB/Str/4566</t>
  </si>
  <si>
    <t>25-Apr-26
25-Apr-26
30-Apr-26</t>
  </si>
  <si>
    <t>MPSB/Str/4462
MPSB/Sur/3336
MPSB/Str/4461</t>
  </si>
  <si>
    <t>MPSB/Str/4671
MPSB/Sur/3476
MPSB/Str/4672</t>
  </si>
  <si>
    <t>MPSB/Str/4624
MPSB/Sur/3447
MPSB/Str/4625</t>
  </si>
  <si>
    <t>9-May-26
9-May-26
9-May-26</t>
  </si>
  <si>
    <t>MPSB/Str/4930
MPSB/Sur/3658
MPSB/Str/4931</t>
  </si>
  <si>
    <t>17-Jun-26
17-Jun-26
17-Jun-26</t>
  </si>
  <si>
    <t>MPSB/Str/5133
MPSB/Sur/3760
MPSB/Str/5134</t>
  </si>
  <si>
    <t>13-Jul-26
13-Jul-26
13-Jul-26</t>
  </si>
  <si>
    <t>MPSB/Str/167
MPSB/Sur/1474
MPSB/Str/1730
MPSB/Str/1731</t>
  </si>
  <si>
    <t>30-Nov-24
29-Jun-25
29-Jun-25
29-Jun-25</t>
  </si>
  <si>
    <t>Km 5+464 - PL2 - Pilecap</t>
  </si>
  <si>
    <t>PL2 - Pilecap - SAV</t>
  </si>
  <si>
    <t>MPSB/Sur/1487
MPSB/Str/1755
MPSB/Str/1756</t>
  </si>
  <si>
    <t>03-Jul-25
03-Jul-25
03-Jul-26</t>
  </si>
  <si>
    <t>Km 5+464 - PR2 - Pilecap</t>
  </si>
  <si>
    <t>PR2 - Pilecap - SAV</t>
  </si>
  <si>
    <t>MPSB/Sur/1821
MPSB/Str/2227
MPSB/Str/2247</t>
  </si>
  <si>
    <t>13-Sep-25
13-Sep-25
16-Sep-25</t>
  </si>
  <si>
    <t>Km 5+392 - PL0 - Pilecap</t>
  </si>
  <si>
    <t>PL0 - Pilecap - SAV</t>
  </si>
  <si>
    <t>MPSB/Sur/1874
MPSB/Str/2325
MPSB/Str/2326</t>
  </si>
  <si>
    <t>26-Sep-25
26-Sep-25
26-Sep-25</t>
  </si>
  <si>
    <t>Km 5+392 - PR0 - Pilecap</t>
  </si>
  <si>
    <t>PR0 - Pilecap - SAV</t>
  </si>
  <si>
    <t>MPSB/Sur/2079
MPSB/Str/2646
MPSB/Str/2647</t>
  </si>
  <si>
    <t>Km 5+428 - PR1R - Pilecap</t>
  </si>
  <si>
    <t>PR1R - Pilecap - SAV</t>
  </si>
  <si>
    <t>MPSB/Sur/2097
MPSB/Str/2666
MPSB/Str/2667</t>
  </si>
  <si>
    <t>Km 5+428 - PL1 - Pilecap</t>
  </si>
  <si>
    <t>PL1 - Pilecap - SAV</t>
  </si>
  <si>
    <t>MPSB/Sur/2022
MPSB/Str/2546
MPSB/Str/2547</t>
  </si>
  <si>
    <t>22-Oct-25
22-Oct-25
22-Oct-25</t>
  </si>
  <si>
    <t>Km 9+244 - PL31 - Pilecap</t>
  </si>
  <si>
    <t>PL31 - Pilecap - NAV</t>
  </si>
  <si>
    <t>MPSB/Sur/2203
MPSB/Str/2825
MPSB/Str/2826</t>
  </si>
  <si>
    <t>17-Nov-25
17-Nov-25
17-Nov-25</t>
  </si>
  <si>
    <t>Km 9+244 - PR31 - Pilecap</t>
  </si>
  <si>
    <t>PR31 - Pilecap - NAV</t>
  </si>
  <si>
    <t>MPSB/Sur/2300
MPSB/Str/2977
MPSB/Str/2978</t>
  </si>
  <si>
    <t>Km 9+316 - PL33 - Pilecap</t>
  </si>
  <si>
    <t>PL33 - Pilecap - NAV</t>
  </si>
  <si>
    <t>MPSB/Sur/2163
MPSB/Str/2755
MPSB/Str/2756</t>
  </si>
  <si>
    <t>10-Nov-25
10-Nov-25
10-Nov-25</t>
  </si>
  <si>
    <t>Km 9+424 - PL36 - Pilecap</t>
  </si>
  <si>
    <t>PL36 - Pilecap - NAV</t>
  </si>
  <si>
    <t>MPSB/Sur/2178
MPSB/Str/2784
MPSB/Str/2785</t>
  </si>
  <si>
    <t>Km 5+464 - PR2R - Pilecap</t>
  </si>
  <si>
    <t>PR2R - Pilecap - SAV</t>
  </si>
  <si>
    <t>MPSB/Sur/2211
MPSB/Str/2835
MPSB/Str/2836</t>
  </si>
  <si>
    <t>18-Nov-25
18-Nov-25
18-Nov-25</t>
  </si>
  <si>
    <t>Km 5+500 - PR3 - Pilecap</t>
  </si>
  <si>
    <t>PR3 - Pilecap - SAV</t>
  </si>
  <si>
    <t>MPSB/Sur/2306
MPSB/Str/2988
MPSB/Str/2989</t>
  </si>
  <si>
    <t>Km 5+500 - PL3 - Pilecap</t>
  </si>
  <si>
    <t>PL3 - Pilecap - SAV</t>
  </si>
  <si>
    <t>MPSB/Sur/2307
MPSB/Str/2990
MPSB/Str/2991</t>
  </si>
  <si>
    <t>Km 5+464 - PL2R - Pilecap</t>
  </si>
  <si>
    <t>PL2R - Pilecap - SAV</t>
  </si>
  <si>
    <t>MPSB/Sur/2154
MPSB/Str/2747
MPSB/Str/2748</t>
  </si>
  <si>
    <t>Km 5+428 - PR1 - Pilecap</t>
  </si>
  <si>
    <t>PR1 - Pilecap - SAV</t>
  </si>
  <si>
    <t>MPSB/Sur/2060
MPSB/Str/2598
MPSB/Str/2599</t>
  </si>
  <si>
    <t>Km 5+428 - PL1R - Pilecap</t>
  </si>
  <si>
    <t>PL1R - Pilecap - SAV</t>
  </si>
  <si>
    <t>MPSB/Sur/2361
MPSB/Str/3076
MPSB/Str/3077</t>
  </si>
  <si>
    <t>8-Dec-25
8-Dec-25
8-Dec-25</t>
  </si>
  <si>
    <t>Km 9+352 - PR34 - Pilecap</t>
  </si>
  <si>
    <t>PR34 - Pilecap - NAV</t>
  </si>
  <si>
    <t>MPSB/Sur/2470
MPSB/Str/3230
MPSB/Str/3231</t>
  </si>
  <si>
    <t>Km 9+424 - PR36 - Pilecap</t>
  </si>
  <si>
    <t>PR36 - Pilecap - NAV</t>
  </si>
  <si>
    <t>MPSB/Sur/2794
MPSB/Str/3669
MPSB/Str/3670</t>
  </si>
  <si>
    <t>Km 9+316 - PL33R - Pilecap</t>
  </si>
  <si>
    <t>PL33R - Pilecap - NAV</t>
  </si>
  <si>
    <t>MPSB/Sur/2811
MPSB/Str/3703
MPSB/Str/3704</t>
  </si>
  <si>
    <t>Km 9+280 - PL32R - Pilecap</t>
  </si>
  <si>
    <t>PL32R - Pilecap - NAV</t>
  </si>
  <si>
    <t>MPSB/Sur/2883
MPSB/Str/3789
MPSB/Str/3790</t>
  </si>
  <si>
    <t>7-Feb-26
7-Feb-26
7-Feb-26</t>
  </si>
  <si>
    <t>Km 9+280 - PR32R - Pilecap</t>
  </si>
  <si>
    <t>PR32R - Pilecap - NAV</t>
  </si>
  <si>
    <t>MPSB/Sur/2912
MPSB/Str/3831
MPSB/Str/3832</t>
  </si>
  <si>
    <t>11-Feb-26
11-Feb-26
11-Feb-26</t>
  </si>
  <si>
    <t>Km 9+316 - PR33R - Pilecap</t>
  </si>
  <si>
    <t>PR33R - Pilecap - NAV</t>
  </si>
  <si>
    <t>MPSB/Sur/3087
MPSB/Str/4082
MPSB/Str/4083</t>
  </si>
  <si>
    <t>10-Mar-26
11-Mar-26
11-Mar-26</t>
  </si>
  <si>
    <t>Km 9+388 - PL35 - Pilecap</t>
  </si>
  <si>
    <t>PL35 - Pilecap - NAV</t>
  </si>
  <si>
    <t>MPSB/Sur/3437
MPSB/Str/4606
MPSB/Str/4607</t>
  </si>
  <si>
    <t>Km 9+280 - PL32 - Pilecap</t>
  </si>
  <si>
    <t>PL32 - Pilecap - NAV</t>
  </si>
  <si>
    <t>MPSB/Sur/3672
MPSB/Str/4964
MPSB/Str/4965</t>
  </si>
  <si>
    <t>20-Jun-26
20-Jun-26
20-Jun-26</t>
  </si>
  <si>
    <t>Km 9+316 - PR33 - Pilecap</t>
  </si>
  <si>
    <t>PR33 - Pilecap - NAV</t>
  </si>
  <si>
    <t>MPSB/Sur/3732
MPSB/Str/5097
MPSB/Str/5098</t>
  </si>
  <si>
    <t>8-Jul-26
8-Jul-26
8-Jul-26</t>
  </si>
  <si>
    <t>PL34 - Pilecap - NAV</t>
  </si>
  <si>
    <t>502 &amp; 503.a.1</t>
  </si>
  <si>
    <t>For Wetland Viaduct - On completion of abutment / Pier / lower pylon</t>
  </si>
  <si>
    <t>MPSB/Sur/1089
MPSB/Str/1258
MPSB/Str/1259</t>
  </si>
  <si>
    <t>Km 11+176 - PL16 - Pier</t>
  </si>
  <si>
    <t>PL16 - Pier - WV2</t>
  </si>
  <si>
    <t>Survey checking
Reinforcement Check
Shuttering &amp; Concreting</t>
  </si>
  <si>
    <t>MPSB/Sur/1164
MPSB/Str/1365
MPSB/Str/1366</t>
  </si>
  <si>
    <t>Km 11+176 - PR16 - Pier</t>
  </si>
  <si>
    <t>PR16 - Pier - WV2</t>
  </si>
  <si>
    <t>MPSB/Sur/1112
MPSB/Str/1285
MPSB/Str/1286</t>
  </si>
  <si>
    <t>Km 11+212 - PR17 - Pier</t>
  </si>
  <si>
    <t>PR17 - Pier - WV2</t>
  </si>
  <si>
    <t>MPSB/Sur/1130
MPSB/Str/1303
MPSB/Str/1304</t>
  </si>
  <si>
    <t>27-Apr-25
27-Apr-25
27-Apr-25</t>
  </si>
  <si>
    <t>Km 11+284 - PR19 - Pier</t>
  </si>
  <si>
    <t>PR19 - Pier - WV2</t>
  </si>
  <si>
    <t>MPSB/Sur/1059
MPSB/Str/1225
MPSB/Str/1226</t>
  </si>
  <si>
    <t>22-Apr-25
22-Apr-25
22-Apr-25</t>
  </si>
  <si>
    <t>Km 11+320 - PR20 - Pier</t>
  </si>
  <si>
    <t>PR20 - Pier - WV2</t>
  </si>
  <si>
    <t>MPSB/Sur/1002
MPSB/Str/1150
MPSB/Str/1151</t>
  </si>
  <si>
    <t>Km 11+320 - PL20 - Pier</t>
  </si>
  <si>
    <t>PL20 - Pier - WV2</t>
  </si>
  <si>
    <t>MPSB/Sur/1223
MPSB/Str/1424
MPSB/Str/1425</t>
  </si>
  <si>
    <t>6-May-25
6-May-25
6-May-25</t>
  </si>
  <si>
    <t>Km 11+140 - PL15 - Pier</t>
  </si>
  <si>
    <t>PL15 - Pier - WV2</t>
  </si>
  <si>
    <t>MPSB/Sur/1455
MPSB/Str/1697
MPSB/Str/1698</t>
  </si>
  <si>
    <t>23-Jun-25
23-Jun-25
23-Jun-25</t>
  </si>
  <si>
    <t>Km 10+888 - PR8 - Pier</t>
  </si>
  <si>
    <t>PR8 - Pier - WV2</t>
  </si>
  <si>
    <t>MPSB/Sur/1463
MPSB/Str/1710
MPSB/Str/1711</t>
  </si>
  <si>
    <t>Km 10+924 - PR9 - Pier</t>
  </si>
  <si>
    <t>PR9 - Pier - WV2</t>
  </si>
  <si>
    <t>MPSB/Sur/1464
MPSB/Str/1712
MPSB/Str/1713</t>
  </si>
  <si>
    <t>Km 10+960 - PR10 - Pier</t>
  </si>
  <si>
    <t>PR10 - Pier - WV2</t>
  </si>
  <si>
    <t>MPSB/Sur/1489
MPSB/Str/1758
MPSB/Str/1759</t>
  </si>
  <si>
    <t>04-Jul-25
04-Jul-25
04-Jul-25</t>
  </si>
  <si>
    <t>Km 10+996 - PR11 - Pier</t>
  </si>
  <si>
    <t>PR11-Pier - WV2</t>
  </si>
  <si>
    <t>MPSB/Sur/1513
MPSB/Str/1796
MPSB/Str/1797</t>
  </si>
  <si>
    <t>Km 10+852 - PR7 - Pier</t>
  </si>
  <si>
    <t>PR7- Pier - WV2</t>
  </si>
  <si>
    <t>MPSB/Sur/1599
MPSB/Str/1907
MPSB/Str/1908</t>
  </si>
  <si>
    <t>28-Jul-25
28-Jul-25
28-Jul-25</t>
  </si>
  <si>
    <t>Km 11+248 - PR18 - Pier</t>
  </si>
  <si>
    <t>PR18-Pier - WV2</t>
  </si>
  <si>
    <t>MPSB/Sur/1655
MPSB/Str/1989
MPSB/Str/1990</t>
  </si>
  <si>
    <t>6-Aug-25
6-Aug-25
6-Aug-25</t>
  </si>
  <si>
    <t>Km 11+068 - PR13 - Pier</t>
  </si>
  <si>
    <t>PR13-Pier - WV2</t>
  </si>
  <si>
    <t>MPSB/Sur/1665
MPSB/Str/2005
MPSB/Str/2006</t>
  </si>
  <si>
    <t>9-Aug-25
9-Aug-25
9-Aug-25</t>
  </si>
  <si>
    <t>Km 11+104 - PR14 - Pier</t>
  </si>
  <si>
    <t>PR14-Pier - WV2</t>
  </si>
  <si>
    <t>MPSB/Sur/1683
MPSB/Str/2020
MPSB/Str/2021</t>
  </si>
  <si>
    <t>Km 11+140 - PR15 - Pier</t>
  </si>
  <si>
    <t>PR15-Pier - WV2</t>
  </si>
  <si>
    <t>MPSB/Sur/1756
MPSB/Str/2124
MPSB/Str/2125</t>
  </si>
  <si>
    <t>Km 10+636 - PR1 - Pier</t>
  </si>
  <si>
    <t>PR1-Pier - WV2</t>
  </si>
  <si>
    <t>MPSB/Sur/1746
MPSB/Str/2110
MPSB/Str/2111</t>
  </si>
  <si>
    <t>Km 10+672 - PR2 - Pier</t>
  </si>
  <si>
    <t>PR2-Pier - WV2</t>
  </si>
  <si>
    <t>MPSB/Sur/1786
MPSB/Str/2179
MPSB/Str/2180</t>
  </si>
  <si>
    <t>Km 11+248 - PL18 - Pier</t>
  </si>
  <si>
    <t>PL18 - Pier - WV2</t>
  </si>
  <si>
    <t>MPSB/Sur/1804
MPSB/Str/2204
MPSB/Str/2205</t>
  </si>
  <si>
    <t>10-Sep-25
10-Sep-25
10-Sep-25</t>
  </si>
  <si>
    <t>Km 11+356 - PR21 - Pier</t>
  </si>
  <si>
    <t>PR21 - Pier - WV2</t>
  </si>
  <si>
    <t>MPSB/Sur/1817
MPSB/Str/2225
MPSB/Str/2226</t>
  </si>
  <si>
    <t>13-Sep-25
13-Sep-25
13-Sep-25</t>
  </si>
  <si>
    <t>Km 11+356 - PL21 - Pier</t>
  </si>
  <si>
    <t>PL21 - Pier - WV2</t>
  </si>
  <si>
    <t>MPSB/Sur/1835
MPSB/Str/2262
MPSB/Str/2263</t>
  </si>
  <si>
    <t>Km 11+212 - PL17 - Pier</t>
  </si>
  <si>
    <t>PL17 - Pier - WV2</t>
  </si>
  <si>
    <t>MPSB/Sur/1902
MPSB/Str/2372
MPSB/Str/2373</t>
  </si>
  <si>
    <t>Km 10+600 - PL0 - Pier</t>
  </si>
  <si>
    <t>PL0 - Pier - WV2</t>
  </si>
  <si>
    <t>MPSB/Sur/1941
MPSB/Str/2421
MPSB/Str/2422</t>
  </si>
  <si>
    <t>Km 11+104 - PL14 - Pier</t>
  </si>
  <si>
    <t>PL14 - Pier - WV2</t>
  </si>
  <si>
    <t>MPSB/Sur/1959
MPSB/Str/2439
MPSB/Str/2440</t>
  </si>
  <si>
    <t>Km 11+284 - PL19 - Pier</t>
  </si>
  <si>
    <t>PL19 - Pier - WV2</t>
  </si>
  <si>
    <t>MPSB/Sur/2035
MPSB/Str/2559
MPSB/Str/2560</t>
  </si>
  <si>
    <t>Km 11+068 - PL13 - Pier</t>
  </si>
  <si>
    <t>PL13 - Pier - WV2</t>
  </si>
  <si>
    <t>MPSB/Sur/2039
MPSB/Str/2572
MPSB/Str/2608</t>
  </si>
  <si>
    <t>24-Oct-25
24-Oct-25
27-Oct-25</t>
  </si>
  <si>
    <t>Km 11+032 - PL12 - Pier</t>
  </si>
  <si>
    <t>PL12 - Pier - WV2</t>
  </si>
  <si>
    <t>MPSB/Sur/2077
MPSB/Str/2643
MPSB/Str/2644</t>
  </si>
  <si>
    <t>Km 10+996 - PL11 - Pier</t>
  </si>
  <si>
    <t>PL11 - Pier - WV2</t>
  </si>
  <si>
    <t>MPSB/Sur/2089
MPSB/Str/2656
MPSB/Str/2657</t>
  </si>
  <si>
    <t>Km 10+960 - PL10 - Pier</t>
  </si>
  <si>
    <t>PL10 - Pier - WV2</t>
  </si>
  <si>
    <t>MPSB/Sur/2186
MPSB/Str/2796
MPSB/Str/2797</t>
  </si>
  <si>
    <t>13-Nov-25
13-Nov-25
13-Nov-25</t>
  </si>
  <si>
    <t>Km 10+600 - PR0 - 
Pier</t>
  </si>
  <si>
    <t>PR0 - Pier - WV2</t>
  </si>
  <si>
    <t>MPSB/Sur/2197
MPSB/Str/2819
MPSB/Str/2820</t>
  </si>
  <si>
    <t>15-Nov-25
15-Nov-25
15-Nov-25</t>
  </si>
  <si>
    <t>Km 10+924 - PL9 - 
Pier</t>
  </si>
  <si>
    <t>PL9 - Pier - WV2</t>
  </si>
  <si>
    <t>MPSB/Sur/2318
MPSB/Str/3008
MPSB/Str/3009</t>
  </si>
  <si>
    <t>Km 11+032 - PR12 - Pier</t>
  </si>
  <si>
    <t>PR12 - Pier - WV2</t>
  </si>
  <si>
    <t>MPSB/Sur/2319
MPSB/Str/3010
MPSB/Str/3011</t>
  </si>
  <si>
    <t>Km 10+888 - PL8 -
 Pier</t>
  </si>
  <si>
    <t>PL8 - Pier - WV2</t>
  </si>
  <si>
    <t>MPSB/Sur/2323
MPSB/Str/3022
MPSB/Str/3023</t>
  </si>
  <si>
    <t>Km 10+636 - PL1 - 
Pier</t>
  </si>
  <si>
    <t>PL1 - Pier - WV2</t>
  </si>
  <si>
    <t>MPSB/Sur/2334
MPSB/Str/3037
MPSB/Str/3038</t>
  </si>
  <si>
    <t>4-Dec-25
4-Dec-25
4-Dec-25</t>
  </si>
  <si>
    <t>Km 10+852 - PL7 - Pier</t>
  </si>
  <si>
    <t>PL7 - Pier - WV2</t>
  </si>
  <si>
    <t>MPSB/Sur/2338
MPSB/Str/3045
MPSB/Str/3046</t>
  </si>
  <si>
    <t>5-Dec-25
5-Dec-25
5-Dec-25</t>
  </si>
  <si>
    <t>Km 10+708 - PR3 - Pier</t>
  </si>
  <si>
    <t>PR3 - Pier - WV2</t>
  </si>
  <si>
    <t>MPSB/Sur/2350
MPSB/Str/3065
MPSB/Str/3066</t>
  </si>
  <si>
    <t>6-Dec-25
6-Dec-25
6-Dec-25</t>
  </si>
  <si>
    <t>Km 10+744 - PR4 - Pier</t>
  </si>
  <si>
    <t>PR4 - Pier - WV2</t>
  </si>
  <si>
    <t>MPSB/Sur/2351
MPSB/Str/3067
MPSB/Str/3068</t>
  </si>
  <si>
    <t>Km 10+780 - PR5 - Pier</t>
  </si>
  <si>
    <t>PR5 - Pier - WV2</t>
  </si>
  <si>
    <t>MPSB/Sur/2471
MPSB/Str/3232
MPSB/Str/3233</t>
  </si>
  <si>
    <t>Km 10+672 - PL2 - Pier</t>
  </si>
  <si>
    <t>PL2 - Pier - WV2</t>
  </si>
  <si>
    <t>MPSB/Sur/2514
MPSB/Str/3295
MPSB/Str/3296</t>
  </si>
  <si>
    <t>Km 10+338 - PR3 - Pier</t>
  </si>
  <si>
    <t>PR3 - Pier - WV1</t>
  </si>
  <si>
    <t>MPSB/Sur/2536
MPSB/Str/3326
MPSB/Str/3327</t>
  </si>
  <si>
    <t>Km 10+338 - PL3 - Pier</t>
  </si>
  <si>
    <t>PL3 - Pier - WV1</t>
  </si>
  <si>
    <t>MPSB/Sur/2546
MPSB/Str/3340
MPSB/Str/3341</t>
  </si>
  <si>
    <t>Km 10+302 - PR2 - Pier</t>
  </si>
  <si>
    <t>PR2 - Pier - WV1</t>
  </si>
  <si>
    <t>MPSB/Sur/2547
MPSB/Str/3342
MPSB/Str/3343</t>
  </si>
  <si>
    <t>Km 10+816 - PR6 - Pier</t>
  </si>
  <si>
    <t>PR6 - Pier - WV2</t>
  </si>
  <si>
    <t>MPSB/Sur/2548
MPSB/Str/3344
MPSB/Str/3345</t>
  </si>
  <si>
    <t>Km 10+780 - PL5 - Pier</t>
  </si>
  <si>
    <t>PL5 - Pier - WV2</t>
  </si>
  <si>
    <t>MPSB/Sur/2549
MPSB/Str/3346
MPSB/Str/3347</t>
  </si>
  <si>
    <t>Km 10+708 - PL3 - Pier</t>
  </si>
  <si>
    <t>PL3 - Pier - WV2</t>
  </si>
  <si>
    <t>MPSB/Sur/2567
MPSB/Str/3369
MPSB/Str/3370</t>
  </si>
  <si>
    <t>Km 10+266 - PL1 - Pier</t>
  </si>
  <si>
    <t>PL1 - Pier - WV1</t>
  </si>
  <si>
    <t>MPSB/Sur/2605
MPSB/Str/3424
MPSB/Str/3425</t>
  </si>
  <si>
    <t>5-Jan-26
5-Jan-26
5-Jan-26</t>
  </si>
  <si>
    <t>Km 10+744 - PL4 - Pier</t>
  </si>
  <si>
    <t>PL4 - Pier - WV2</t>
  </si>
  <si>
    <t>MPSB/Sur/2807
MPSB/Str/3697
MPSB/Str/3698</t>
  </si>
  <si>
    <t>Km 10+230 - PL0 - Pier</t>
  </si>
  <si>
    <t>PL0 - Pier - WV1</t>
  </si>
  <si>
    <t>MPSB/Sur/2808
MPSB/Str/3699
MPSB/Str/3700</t>
  </si>
  <si>
    <t>Km 10+230 - PR0 - Pier</t>
  </si>
  <si>
    <t>PR0 - Pier - WV1</t>
  </si>
  <si>
    <t>MPSB/Sur/2827
MPSB/Str/3734
MPSB/Str/3735</t>
  </si>
  <si>
    <t>Km 10+266 - PR1 - Pier</t>
  </si>
  <si>
    <t>PR1 - Pier - WV1</t>
  </si>
  <si>
    <t>MPSB/Sur/2901
MPSB/Str/3816
MPSB/Str/3817</t>
  </si>
  <si>
    <t>Km 10+302 - PL2 - Pier</t>
  </si>
  <si>
    <t>PL2 - Pier - WV1</t>
  </si>
  <si>
    <t>MPSB/Sur/2984
MPSB/Str/3940
MPSB/Str/3941</t>
  </si>
  <si>
    <t>Km 10+816 - PL6 - Pier</t>
  </si>
  <si>
    <t>PL6 - Pier - WV2</t>
  </si>
  <si>
    <t>MPSB/Sur/2419
MPSB/Str/3155
MPSB/Str/3156</t>
  </si>
  <si>
    <t>Km 11+356 - PR21 - Piercap</t>
  </si>
  <si>
    <t>PR21 - Piercap - WV2</t>
  </si>
  <si>
    <t>Reinforcement &amp; Profile
Shutter &amp; Concrete</t>
  </si>
  <si>
    <t>MPSB/Sur/2455
MPSB/Str/3211
MPSB/Str/3212</t>
  </si>
  <si>
    <t>Km 11+284 - PL19 - Piercap</t>
  </si>
  <si>
    <t>PL19 - Piercap - WV2</t>
  </si>
  <si>
    <t>MPSB/Sur/2528
MPSB/Str/3315
MPSB/Str/3316</t>
  </si>
  <si>
    <t>Km 11+320 - PL20 - Piercap</t>
  </si>
  <si>
    <t>PL20 - Piercap - WV2</t>
  </si>
  <si>
    <t>MPSB/Sur/2568
MPSB/Str/3371
MPSB/Str/3372</t>
  </si>
  <si>
    <t>Km 11+212 - PL17 - Piercap</t>
  </si>
  <si>
    <t>PL17 - Piercap - WV2</t>
  </si>
  <si>
    <t>MPSB/Sur/2683
MPSB/Str/3529
MPSB/Str/3530</t>
  </si>
  <si>
    <t>Km 11+356 - PL21 - Piercap</t>
  </si>
  <si>
    <t>PL21 - Piercap - WV2</t>
  </si>
  <si>
    <t>MPSB/Sur/2754
MPSB/Str/3635
MPSB/Str/3636</t>
  </si>
  <si>
    <t>24-Jan-26
24-Jan-26
24-Jan-26</t>
  </si>
  <si>
    <t>Km 11+320 - PR20 - Piercap</t>
  </si>
  <si>
    <t>PR20 - Piercap - WV2</t>
  </si>
  <si>
    <t>MPSB/Sur/2812
MPSB/Str/3707
MPSB/Str/3708</t>
  </si>
  <si>
    <t>Km 11+248 - PL18 - Piercap</t>
  </si>
  <si>
    <t>PL18 - Piercap - WV2</t>
  </si>
  <si>
    <t>MPSB/Sur/2824
MPSB/Str/3728
MPSB/Str/3729</t>
  </si>
  <si>
    <t>Km 11+284 - PR19 - Piercap</t>
  </si>
  <si>
    <t>PR19 - Piercap - WV2</t>
  </si>
  <si>
    <t>MPSB/Sur/2825
MPSB/Str/3730
MPSB/Str/3731</t>
  </si>
  <si>
    <t>Km 11+212 - PR17 - Piercap</t>
  </si>
  <si>
    <t>PR17 - Piercap - WV2</t>
  </si>
  <si>
    <t>MPSB/Sur/2880
MPSB/Str/3782
MPSB/Str/3783</t>
  </si>
  <si>
    <t>Km 11+140 - PL15 - Piercap</t>
  </si>
  <si>
    <t>PL15 - Piercap - WV2</t>
  </si>
  <si>
    <t>MPSB/Sur/2918
MPSB/Str/3838
MPSB/Str/3839</t>
  </si>
  <si>
    <t>12-Feb-26
12-Feb-26
12-Feb-26</t>
  </si>
  <si>
    <t>Km 11+176 - PR16 - Piercap</t>
  </si>
  <si>
    <t>PR16 - Piercap - WV2</t>
  </si>
  <si>
    <t>MPSB/Sur/2919
MPSB/Str/3840
MPSB/Str/3841</t>
  </si>
  <si>
    <t>Km 11+176 - PL16 - Piercap</t>
  </si>
  <si>
    <t>PL16 - Piercap - WV2</t>
  </si>
  <si>
    <t>MPSB/Sur/2970
MPSB/Str/3913
MPSB/Str/3914</t>
  </si>
  <si>
    <t>21-Feb-26
21-Feb-26
21-Feb-26</t>
  </si>
  <si>
    <t>Km 11+068 - PL13 - Piercap</t>
  </si>
  <si>
    <t>PL13 - Piercap - WV2</t>
  </si>
  <si>
    <t>MPSB/Sur/2972
MPSB/Str/3917
MPSB/Str/3918</t>
  </si>
  <si>
    <t>Km 11+104 - PL14 - Piercap</t>
  </si>
  <si>
    <t>PL14 - Piercap - WV2</t>
  </si>
  <si>
    <t>MPSB/Sur/3021
MPSB/Str/3989
MPSB/Str/3990</t>
  </si>
  <si>
    <t>Km 11+140 - PR15 - Piercap</t>
  </si>
  <si>
    <t>PR15 - Piercap - WV2</t>
  </si>
  <si>
    <t>MPSB/Sur/3022
MPSB/Str/3991
MPSB/Str/3992</t>
  </si>
  <si>
    <t>Km 10+996 - PL11 - Piercap</t>
  </si>
  <si>
    <t>PL11 - Piercap - WV2</t>
  </si>
  <si>
    <t>MPSB/Sur/3051
MPSB/Str/4020
MPSB/Str/4021</t>
  </si>
  <si>
    <t>Km 10+960 - PL10 - Piercap</t>
  </si>
  <si>
    <t>PL10 - Piercap - WV2</t>
  </si>
  <si>
    <t>MPSB/Sur/3076
MPSB/Str/4066
MPSB/Str/4067</t>
  </si>
  <si>
    <t>Km 11+248 - PR18 - Piercap</t>
  </si>
  <si>
    <t>PR18 - Piercap - WV2</t>
  </si>
  <si>
    <t>MPSB/Sur/3086
MPSB/Str/4080
MPSB/Str/4081</t>
  </si>
  <si>
    <t>Km 11+104 - PR14 - Piercap</t>
  </si>
  <si>
    <t>PR14 - Piercap - WV2</t>
  </si>
  <si>
    <t>MPSB/Sur/3143
MPSB/Str/4150
MPSB/Str/4151</t>
  </si>
  <si>
    <t>Km 11+032 - PL12 - Piercap</t>
  </si>
  <si>
    <t>PL12 - Piercap - WV2</t>
  </si>
  <si>
    <t>MPSB/Sur/3173
MPSB/Str/4206
MPSB/Str/4207</t>
  </si>
  <si>
    <t>25-Mar-26
25-Mar-26
25-Mar-26</t>
  </si>
  <si>
    <t>Km 10+852 - PL7 - Piercap</t>
  </si>
  <si>
    <t>PL7 - Piercap - WV2</t>
  </si>
  <si>
    <t>MPSB/Sur/3200
MPSB/Str/4253
MPSB/Str/4254</t>
  </si>
  <si>
    <t>Km 10+888 - PL8 - Piercap</t>
  </si>
  <si>
    <t>PL8 - Piercap - WV2</t>
  </si>
  <si>
    <t>MPSB/Sur/3201
MPSB/Str/4255
MPSB/Str/4256</t>
  </si>
  <si>
    <t>Km 10+924 - PL9 - Piercap</t>
  </si>
  <si>
    <t>PL9 - Piercap - WV2</t>
  </si>
  <si>
    <t>MPSB/Sur/3215
MPSB/Str/4280
MPSB/Str/4281</t>
  </si>
  <si>
    <t>Km 10+996 - PR11- Piercap</t>
  </si>
  <si>
    <t>PR11 - Piercap - WV2</t>
  </si>
  <si>
    <t>MPSB/Sur/3291
MPSB/Str/4383
MPSB/Str/4384</t>
  </si>
  <si>
    <t>Km 10+816 - PL6 - Piercap</t>
  </si>
  <si>
    <t>PL6 - Piercap - WV2</t>
  </si>
  <si>
    <t>MPSB/Sur/3301
MPSB/Str/4398
MPSB/Str/4399</t>
  </si>
  <si>
    <t>14-Apr-26
14-Apr-26
14-Apr-26</t>
  </si>
  <si>
    <t>Km 10+780 - PL5 - Piercap</t>
  </si>
  <si>
    <t>PL5 - Piercap - WV2</t>
  </si>
  <si>
    <t>MPSB/Sur/3363
MPSB/Str/4495
MPSB/Str/4496</t>
  </si>
  <si>
    <t>27-Apr-26
27-Apr-26
27-Apr-26</t>
  </si>
  <si>
    <t>Km 10+744 - PL4 - Piercap</t>
  </si>
  <si>
    <t>PL4 - Piercap - WV2</t>
  </si>
  <si>
    <t>MPSB/Sur/3388
MPSB/Str/4539
MPSB/Str/4540</t>
  </si>
  <si>
    <t>Km 11+032 - PR12 - Piercap</t>
  </si>
  <si>
    <t>PR12 - Piercap - WV2</t>
  </si>
  <si>
    <t>MPSB/Sur/3322
MPSB/Str/4431
MPSB/Str/4432</t>
  </si>
  <si>
    <t>Km 11+068 - PR13 - Piercap</t>
  </si>
  <si>
    <t>PR13 - Piercap - WV2</t>
  </si>
  <si>
    <t>MPSB/Sur/3334
MPSB/Str/4457
MPSB/Str/4458</t>
  </si>
  <si>
    <t>Km 10+924 - PR9 - Piercap</t>
  </si>
  <si>
    <t>PR9 - Piercap - WV2</t>
  </si>
  <si>
    <t>MPSB/Sur/3416
MPSB/Str/4578
MPSB/Str/4579</t>
  </si>
  <si>
    <t>5-May-26
5-May-26
5-May-26</t>
  </si>
  <si>
    <t>Km 10+672 - PL2 - Piercap</t>
  </si>
  <si>
    <t>PL2 - Piercap - WV2</t>
  </si>
  <si>
    <t>MPSB/Sur/3429
MPSB/Str/4597
MPSB/Str/4598</t>
  </si>
  <si>
    <t>7-May-26
7-May-26
7-May-26</t>
  </si>
  <si>
    <t>Km 10+600 - PL0 - Piercap</t>
  </si>
  <si>
    <t>PL0 - Piercap - WV2</t>
  </si>
  <si>
    <t>MPSB/Sur/3436
MPSB/Str/4604
MPSB/Str/4605</t>
  </si>
  <si>
    <t>Km 10+960 - PR10 - Piercap</t>
  </si>
  <si>
    <t>PR10 - Piercap - WV2</t>
  </si>
  <si>
    <t>MPSB/Sur/3448
MPSB/Str/4626
MPSB/Str/4627</t>
  </si>
  <si>
    <t>Km 10+636 - PL1 - Piercap</t>
  </si>
  <si>
    <t>PL1 - Piercap - WV2</t>
  </si>
  <si>
    <t>MPSB/Sur/3463
MPSB/Str/4645
MPSB/Str/4646</t>
  </si>
  <si>
    <t>Km 10+888 - PR8 - Piercap</t>
  </si>
  <si>
    <t>PR8 - Piercap - WV2</t>
  </si>
  <si>
    <t>MPSB/Sur/3485
MPSB/Str/4692
MPSB/Str/4693</t>
  </si>
  <si>
    <t>16-May-26
16-May-26
16-May-26</t>
  </si>
  <si>
    <t>Km 10+780 - PR5 - Piercap</t>
  </si>
  <si>
    <t>PR5 - Piercap - WV2</t>
  </si>
  <si>
    <t>MPSB/Sur/3486
MPSB/Str/4694
MPSB/Str/4695</t>
  </si>
  <si>
    <t>Km 10+852 - PR7 - Piercap</t>
  </si>
  <si>
    <t>PR7 - Piercap - WV2</t>
  </si>
  <si>
    <t>MPSB/Sur/3495
MPSB/Str/4704
MPSB/Str/4705</t>
  </si>
  <si>
    <t>17-May-26
17-May-26
17-May-26</t>
  </si>
  <si>
    <t>Km 10+708 - PL3 - Piercap</t>
  </si>
  <si>
    <t>PL3 - Piercap - WV2</t>
  </si>
  <si>
    <t>MPSB/Sur/3523
MPSB/Str/4736
MPSB/Str/4737</t>
  </si>
  <si>
    <t>Km 10+600 - PR0 - Piercap</t>
  </si>
  <si>
    <t>PR0 - Piercap - WV2</t>
  </si>
  <si>
    <t>MPSB/Sur/3524
MPSB/Str/4738
MPSB/Str/4739</t>
  </si>
  <si>
    <t>Km 10+672 - PR2 - Piercap</t>
  </si>
  <si>
    <t>PR2 - Piercap - WV2</t>
  </si>
  <si>
    <t>MPSB/Sur/3540
MPSB/Str/4769
MPSB/Str/4770</t>
  </si>
  <si>
    <t>Km 10+744 - PR4 - Piercap</t>
  </si>
  <si>
    <t>PR4 - Piercap - WV2</t>
  </si>
  <si>
    <t>MPSB/Sur/3541
MPSB/Str/4771
MPSB/Str/4772</t>
  </si>
  <si>
    <t>Km 10+266 - PL1 - Piercap</t>
  </si>
  <si>
    <t>MPSB/Sur/3646
MPSB/Str/4898
MPSB/Str/4899</t>
  </si>
  <si>
    <t>Km 10+816 - PR6 - Piercap</t>
  </si>
  <si>
    <t>PR6 - Piercap - WV2</t>
  </si>
  <si>
    <t>MPSB/Sur/3691
MPSB/Str/5005
MPSB/Str/5006</t>
  </si>
  <si>
    <t>Km 10+708 - PR3 - Piercap</t>
  </si>
  <si>
    <t>PR3 - Piercap - WV2</t>
  </si>
  <si>
    <t>MPSB/Sur/3681
MPSB/Str/4986
MPSB/Str/4987</t>
  </si>
  <si>
    <t>Km 10+302 - PL2 - Piercap</t>
  </si>
  <si>
    <t>MPSB/Sur/3682
MPSB/Str/4988
MPSB/Str/4989</t>
  </si>
  <si>
    <t>Km 10+338 - PR3 - Piercap</t>
  </si>
  <si>
    <t>MPSB/Sur/3699
MPSB/Str/5026
MPSB/Str/5027</t>
  </si>
  <si>
    <t>29-Jun-26
29-Jun-26
29-Jun-26</t>
  </si>
  <si>
    <t>Km 10+266 - PR1 - Piercap</t>
  </si>
  <si>
    <t>MPSB/Sur/3708
MPSB/Str/5044
MPSB/Str/5045</t>
  </si>
  <si>
    <t>Km 10+338 - PL3 - Piercap</t>
  </si>
  <si>
    <t>MPSB/Sur/3709
MPSB/Str/5046
MPSB/Str/5047</t>
  </si>
  <si>
    <t>Km 10+302 - PR2 - Piercap</t>
  </si>
  <si>
    <t>MPSB/Sur/3673
MPSB/Str/4966
MPSB/Str/4967</t>
  </si>
  <si>
    <t>PR1 - Piercap - WV2</t>
  </si>
  <si>
    <t>MPSB/Sur/3740
MPSB/Str/5111
MPSB/Str/5112</t>
  </si>
  <si>
    <t>MPSB/Sur/3746
MPSB/Str/5117
MPSB/Str/5118</t>
  </si>
  <si>
    <t>11-Jul-26
11-Jul-26
11-Jul-26</t>
  </si>
  <si>
    <t>MPSB/Sur/1601
MPSB/Str/1916
MPSB/Str/1917</t>
  </si>
  <si>
    <t>Km 5+464 - PL2 - Pier</t>
  </si>
  <si>
    <t>PL2 - Pier - SAV</t>
  </si>
  <si>
    <t>MPSB/Sur/1625
MPSB/Str/1947
MPSB/Str/1948</t>
  </si>
  <si>
    <t>Km 5+464 - PR2 - Pier</t>
  </si>
  <si>
    <t>PR2 - Pier - SAV</t>
  </si>
  <si>
    <t>MPSB/Sur/2012
MPSB/Str/2525
MPSB/Str/2526</t>
  </si>
  <si>
    <t>Km 5+392 - PL0 - Pier</t>
  </si>
  <si>
    <t>PL0 - Pier - SAV</t>
  </si>
  <si>
    <t>MPSB/Sur/1999
MPSB/Str/2507
MPSB/Str/2508</t>
  </si>
  <si>
    <t>17-Oct-25
17-Oct-25
17-Oct-25</t>
  </si>
  <si>
    <t>Km 5+392 - PR0 - Pier</t>
  </si>
  <si>
    <t>PR0 - Pier - SAV</t>
  </si>
  <si>
    <t>MPSB/Sur/2286
MPSB/Str/2948
MPSB/Str/2949</t>
  </si>
  <si>
    <t>Km 5+428 - PL1 - Pier</t>
  </si>
  <si>
    <t>PL1 - Pier - SAV</t>
  </si>
  <si>
    <t>MPSB/Sur/2309
MPSB/Str/2993
MPSB/Str/2994</t>
  </si>
  <si>
    <t>Km 5+428 - PR1 - Pier</t>
  </si>
  <si>
    <t>PR1 - Pier - SAV</t>
  </si>
  <si>
    <t>MPSB/Sur/2246
MPSB/Str/2890
MPSB/Str/2891</t>
  </si>
  <si>
    <t>Km 5+428 - PR1R - Pier</t>
  </si>
  <si>
    <t>PR1R - Pier - SAV</t>
  </si>
  <si>
    <t>MPSB/Sur/2270
MPSB/Str/2927
MPSB/Str/2928</t>
  </si>
  <si>
    <t>Km 5+428 - PL1R - Pier</t>
  </si>
  <si>
    <t>PL1R - Pier - SAV</t>
  </si>
  <si>
    <t>MPSB/Sur/2397
MPSB/Str/3121
MPSB/Str/3122</t>
  </si>
  <si>
    <t>Km 9+244 - PR31 - Pier</t>
  </si>
  <si>
    <t>PR31 - Pier - NAV</t>
  </si>
  <si>
    <t>MPSB/Sur/2434
MPSB/Str/3181
MPSB/Str/3182</t>
  </si>
  <si>
    <t>Km 5+464 - PL2R - Pier</t>
  </si>
  <si>
    <t>PL2R - Pier - SAV</t>
  </si>
  <si>
    <t>MPSB/Sur/2452
MPSB/Str/3206
MPSB/Str/3207</t>
  </si>
  <si>
    <t>Km 9+424 - PL36 - Pier</t>
  </si>
  <si>
    <t>PL36 - Pier - NAV</t>
  </si>
  <si>
    <t>MPSB/Sur/2457
MPSB/Str/3214
MPSB/Str/3215</t>
  </si>
  <si>
    <t>21-Dec-25
21-Dec-25
21-Dec-25</t>
  </si>
  <si>
    <t>Km 5+464 - PR2R - Pier</t>
  </si>
  <si>
    <t>PR2R - Pier - SAV</t>
  </si>
  <si>
    <t>MPSB/Sur/2480
MPSB/Str/3244
MPSB/Str/3245</t>
  </si>
  <si>
    <t>Km 5+500 - PL3 - Pier</t>
  </si>
  <si>
    <t>PL3 - Pier - SAV</t>
  </si>
  <si>
    <t>MPSB/Sur/2507
MPSB/Str/3288
MPSB/Str/3289</t>
  </si>
  <si>
    <t>Km 5+500 - PR3 - Pier</t>
  </si>
  <si>
    <t>PR3 - Pier - SAV</t>
  </si>
  <si>
    <t>MPSB/Sur/2623
MPSB/Str/3448
MPSB/Str/3449</t>
  </si>
  <si>
    <t>Km 9+424 - PR36 - Pier</t>
  </si>
  <si>
    <t>PR36 - Pier - NAV</t>
  </si>
  <si>
    <t>MPSB/Sur/2670
MPSB/Str/3512
MPSB/Str/3513</t>
  </si>
  <si>
    <t>Km 9+244 - PL31 - Pier</t>
  </si>
  <si>
    <t>PL31 - Pier - NAV</t>
  </si>
  <si>
    <t>MPSB/Sur/2707
MPSB/Str/3561
MPSB/Str/3562</t>
  </si>
  <si>
    <t>18-Jan-26
18-Jan-26
18-Jan-26</t>
  </si>
  <si>
    <t>Km 9+352 - PR34 - Pier</t>
  </si>
  <si>
    <t>PR34 - Pier - NAV</t>
  </si>
  <si>
    <t>MPSB/Sur/2779
MPSB/Str/3655
MPSB/Str/3656</t>
  </si>
  <si>
    <t>Km 9+316 - PL33 - Pier</t>
  </si>
  <si>
    <t>PL33 - Pier - NAV</t>
  </si>
  <si>
    <t>MPSB/Sur/2944
MPSB/Str/3876
MPSB/Str/3877</t>
  </si>
  <si>
    <t>Km 9+316 - PL33R - Pier</t>
  </si>
  <si>
    <t>PL33R - Pier - NAV</t>
  </si>
  <si>
    <t>MPSB/Sur/3016
MPSB/Str/3973
MPSB/Str/3974</t>
  </si>
  <si>
    <t>Km 9+316 - PR33R - Pier</t>
  </si>
  <si>
    <t>PR33R - Pier - NAV</t>
  </si>
  <si>
    <t>503 &amp; 503.b.1</t>
  </si>
  <si>
    <t>MPSB/Sur/3074
MPSB/Str/4062
MPSB/Str/4063</t>
  </si>
  <si>
    <t>Km 9+280 - PR32R - Pier</t>
  </si>
  <si>
    <t>PR32R - Pier - NAV</t>
  </si>
  <si>
    <t>MPSB/Sur/3114
MPSB/Str/4139
MPSB/Str/4140</t>
  </si>
  <si>
    <t>13-Mar-26
17-Mar-26
17-Mar-26</t>
  </si>
  <si>
    <t>Km 9+280 - PL32R - Pier</t>
  </si>
  <si>
    <t>PL32R - Pier - NAV</t>
  </si>
  <si>
    <t>MPSB/Sur/3397
MPSB/Str/4590
MPSB/Str/4591</t>
  </si>
  <si>
    <t>30-Apr-26
6-May-26
6-May-26</t>
  </si>
  <si>
    <t>Km 9+388 - PL35 - Pier</t>
  </si>
  <si>
    <t>PL35 - Pier - NAV</t>
  </si>
  <si>
    <t>MPSB/Sur/3586
MPSB/Str/4845
MPSB/Str/4846</t>
  </si>
  <si>
    <t>31-May-26
31-May-26
31-May-26</t>
  </si>
  <si>
    <t>Km 9+280 - PL32 - Pier</t>
  </si>
  <si>
    <t>PL32 - Pier - NAV</t>
  </si>
  <si>
    <t>MPSB/Sur/3774
MPSB/Str/5157
MPSB/Str/5158</t>
  </si>
  <si>
    <t>PL34 - Pier - NAV</t>
  </si>
  <si>
    <t>MPSB/Sur/3788
MPSB/Str/5183
MPSB/Str/5184</t>
  </si>
  <si>
    <t>23-Jul-26
23-Jul-26
23-Jul-26</t>
  </si>
  <si>
    <t>PR33 - Pier - NAV</t>
  </si>
  <si>
    <t>MPSB/Sur/2988
MPSB/Str/3946
MPSB/Str/3947</t>
  </si>
  <si>
    <t>Km 5+392 - PR0 - Piercap</t>
  </si>
  <si>
    <t>PR0 - Piercap - SAV</t>
  </si>
  <si>
    <t>MPSB/Sur/3055
MPSB/Str/4026
MPSB/Str/4027</t>
  </si>
  <si>
    <t>Km 5+392 - PL0 - Piercap</t>
  </si>
  <si>
    <t>PL0 - Piercap - SAV</t>
  </si>
  <si>
    <t>MPSB/Str/4232
MPSB/Str/4233</t>
  </si>
  <si>
    <t>28-Mar-26
28-Mar-26
28-Mar-26</t>
  </si>
  <si>
    <t>Km 5+428 - PR1- Piercap</t>
  </si>
  <si>
    <t>PR1 - Piercap - SAV</t>
  </si>
  <si>
    <t>MPSB/Sur/3220
MPSB/Str/4299
MPSB/Str/4300</t>
  </si>
  <si>
    <t>Km 5+428 - PL1 - Piercap</t>
  </si>
  <si>
    <t>PL1 - Piercap - SAV</t>
  </si>
  <si>
    <t>MPSB/Sur/3287
MPSB/Str/4378
MPSB/Str/4379</t>
  </si>
  <si>
    <t>12-Apr-26
12-Apr-26
12-Apr-26</t>
  </si>
  <si>
    <t>Km 5+464 - PL2 - Piercap</t>
  </si>
  <si>
    <t>PL2 - Piercap - SAV</t>
  </si>
  <si>
    <t>MPSB/Sur/3308
MPSB/Str/4409
MPSB/Str/4410</t>
  </si>
  <si>
    <t>Km 5+500 - PR3 - Piercap</t>
  </si>
  <si>
    <t>PR3 - Piercap - SAV</t>
  </si>
  <si>
    <t>MPSB/Str/4444
MPSB/Str/4445</t>
  </si>
  <si>
    <t>19-Apr-26
19-Apr-26</t>
  </si>
  <si>
    <t>Km 5+464 - PR2 - Piercap</t>
  </si>
  <si>
    <t>PR2 - Piercap - SAV</t>
  </si>
  <si>
    <t>MPSB/Sur/3529
MPSB/Str/4752
MPSB/Str/4753</t>
  </si>
  <si>
    <t>Km 5+500 - PL3 - Piercap</t>
  </si>
  <si>
    <t>PL3 - Piercap - SAV</t>
  </si>
  <si>
    <t>MPSB/Sur/3803
MPSB/Str/5227
MPSB/Str/5228</t>
  </si>
  <si>
    <t>29-Jul-26
29-Jul-26
29-Jul-26</t>
  </si>
  <si>
    <t>PL36 - Piercap - NAV</t>
  </si>
  <si>
    <t>MPSB/Str/1349
MPSB/Str/1350</t>
  </si>
  <si>
    <t>30-Apr-25
30-Apr-25</t>
  </si>
  <si>
    <t>WV2-P0-P1-G2</t>
  </si>
  <si>
    <t>MPSB/Str/1488
MPSB/Str/1508</t>
  </si>
  <si>
    <t>13-May-25
17-May-25</t>
  </si>
  <si>
    <t>WV2-P1-P2-G2</t>
  </si>
  <si>
    <t>MPSB/Str/1537
MPSB/Str/1578</t>
  </si>
  <si>
    <t>20-May-25
26-May-25</t>
  </si>
  <si>
    <t>WV2-P0-P1-G3</t>
  </si>
  <si>
    <t>MPSB/Str/1701
MPSB/Str/1715</t>
  </si>
  <si>
    <t>25-Jun-25
28-Jun-25</t>
  </si>
  <si>
    <t>WV2-P16-P17-G6</t>
  </si>
  <si>
    <t>MPSB/Str/1750
MPSB/Str/1771</t>
  </si>
  <si>
    <t>02-Jul-25
07-Jul-25</t>
  </si>
  <si>
    <t>WV2-P16-P17-G2</t>
  </si>
  <si>
    <t>MPSB/Str/1767
MPSB/Str/1786</t>
  </si>
  <si>
    <t>05-Jul-25
09-Jul-25</t>
  </si>
  <si>
    <t>WV2-P15-P16-G6</t>
  </si>
  <si>
    <t>MPSB/Str/1812
MPSB/Str/1813</t>
  </si>
  <si>
    <t>14-Jul-25
15-Jul-25</t>
  </si>
  <si>
    <t>WV2-P15-P16-G7</t>
  </si>
  <si>
    <t>MPSB/Str/1819
MPSB/Str/1833</t>
  </si>
  <si>
    <t>16-Jul-25
18-Jul-25</t>
  </si>
  <si>
    <t>WV2-P15-P16-G2</t>
  </si>
  <si>
    <t>MPSB/Str/1834
MPSB/Str/1850</t>
  </si>
  <si>
    <t>18-Jul-25
20-Jul-25</t>
  </si>
  <si>
    <t>WV2-P16-P17-G3</t>
  </si>
  <si>
    <t>MPSB/Str/1870
MPSB/Str/1898</t>
  </si>
  <si>
    <t>23-Jul-25
26-Jul-25</t>
  </si>
  <si>
    <t>WV2-P16-P17-G1</t>
  </si>
  <si>
    <t>MPSB/Str/1913
MPSB/Str/1922</t>
  </si>
  <si>
    <t>28-Jul-25
30-Jul-25</t>
  </si>
  <si>
    <t>WV2-P15-P16-G3</t>
  </si>
  <si>
    <t>MPSB/Str/1972
MPSB/Str/1993</t>
  </si>
  <si>
    <t>4-Aug-25
6-Aug-25</t>
  </si>
  <si>
    <t>WV2-P15-P16-G1</t>
  </si>
  <si>
    <t>MPSB/Str/2014
MPSB/Str/2018</t>
  </si>
  <si>
    <t>11-Aug-25
12-Aug-25</t>
  </si>
  <si>
    <t>WV2-P15-P16-G4</t>
  </si>
  <si>
    <t>MPSB/Str/2027
MPSB/Str/2042</t>
  </si>
  <si>
    <t>14-Aug-25
18-Aug-25</t>
  </si>
  <si>
    <t>WV2-P15-P16-G8</t>
  </si>
  <si>
    <t>MPSB/Str/2054
MPSB/Str/2063</t>
  </si>
  <si>
    <t>20-Aug-25
21-Aug-25</t>
  </si>
  <si>
    <t>WV2-P15-P16-G5</t>
  </si>
  <si>
    <t>MPSB/Str/2055
MPSB/Str/2064</t>
  </si>
  <si>
    <t>WV2-P16-P17-G7</t>
  </si>
  <si>
    <t>MPSB/Str/2067
MPSB/Str/2079</t>
  </si>
  <si>
    <t>22-Aug-25
23-Aug-25</t>
  </si>
  <si>
    <t>WV2-P16-P17-G4</t>
  </si>
  <si>
    <t>MPSB/Str/2100
MPSB/Str/2117</t>
  </si>
  <si>
    <t>27-Aug-25
30-Aug-25</t>
  </si>
  <si>
    <t>WV2-P18-P19-G2</t>
  </si>
  <si>
    <t>MPSB/Str/2096
MPSB/Str/2109</t>
  </si>
  <si>
    <t>27-Aug-25
29-Aug-25</t>
  </si>
  <si>
    <t>WV2-P18-P19-G3</t>
  </si>
  <si>
    <t>MPSB/Str/2119
MPSB/Str/2123</t>
  </si>
  <si>
    <t>30-Aug-25
31-Aug-25</t>
  </si>
  <si>
    <t>WV2-P18-P19-G1</t>
  </si>
  <si>
    <t>MPSB/Str/2138
MPSB/Str/2139</t>
  </si>
  <si>
    <t>3-Sep-25
3-Sep-25</t>
  </si>
  <si>
    <t>WV2-P16-P17-G5</t>
  </si>
  <si>
    <t>MPSB/Str/2153
MPSB/Str/2156</t>
  </si>
  <si>
    <t>4-Sep-25
5-Sep-25</t>
  </si>
  <si>
    <t>WV2-P20-P21-G6</t>
  </si>
  <si>
    <t>MPSB/Str/2157
MPSB/Str/2171</t>
  </si>
  <si>
    <t>5-Sep-25
6-Sep-25</t>
  </si>
  <si>
    <t>WV2-P20-P21-G7</t>
  </si>
  <si>
    <t>MPSB/Str/2199
MPSB/Str/2218</t>
  </si>
  <si>
    <t>10-Sep-25
11-Sep-25</t>
  </si>
  <si>
    <t>WV2-P18-P19-G4</t>
  </si>
  <si>
    <t>MPSB/Str/2217
MPSB/Str/2223</t>
  </si>
  <si>
    <t>11-Sep-25
12-Sep-25</t>
  </si>
  <si>
    <t>WV2-P20-P21-G2</t>
  </si>
  <si>
    <t>MPSB/Str/2233
MPSB/Str/2235</t>
  </si>
  <si>
    <t>14-Sep-25
15-Sep-25</t>
  </si>
  <si>
    <t>WV2-P20-P21-G3</t>
  </si>
  <si>
    <t>MPSB/Str/2261
MPSB/Str/2298</t>
  </si>
  <si>
    <t>16-Sep-25
22-Sep-25</t>
  </si>
  <si>
    <t>WV2-P20-P21-G4</t>
  </si>
  <si>
    <t>MPSB/Str/2249
MPSB/Str/2250</t>
  </si>
  <si>
    <t>18-Sep-25
18-Sep-25</t>
  </si>
  <si>
    <t>WV2-P19-P20-G1</t>
  </si>
  <si>
    <t>MPSB/Str/2300
MPSB/Str/2309</t>
  </si>
  <si>
    <t>23-Sep-25
24-Sep-25</t>
  </si>
  <si>
    <t>WV2-P16-P17-G8</t>
  </si>
  <si>
    <t>MPSB/Str/2308
MPSB/Str/2311</t>
  </si>
  <si>
    <t>24-Sep-25
24-Sep-25</t>
  </si>
  <si>
    <t>WV2-P19-P20-G3</t>
  </si>
  <si>
    <t>MPSB/Str/2310
MPSB/Str/2330</t>
  </si>
  <si>
    <t>24-Sep-25
26-Sep-25</t>
  </si>
  <si>
    <t>WV2-P20-P21-G5</t>
  </si>
  <si>
    <t>MPSB/Str/2329
MPSB/Str/2342</t>
  </si>
  <si>
    <t>26-Sep-25
29-Sep-25</t>
  </si>
  <si>
    <t>WV2-P20-P21-G8</t>
  </si>
  <si>
    <t>MPSB/Str/2335
MPSB/Str/2358</t>
  </si>
  <si>
    <t>27-Sep-25
30-Sep-25</t>
  </si>
  <si>
    <t>WV2-P20-P21-G1</t>
  </si>
  <si>
    <t>MPSB/Str/2341
MPSB/Str/2359</t>
  </si>
  <si>
    <t>29-Sep-25
30-Sep-25</t>
  </si>
  <si>
    <t>WV2-P17-P18-G1</t>
  </si>
  <si>
    <t>WV2-P19-P20-G2</t>
  </si>
  <si>
    <t>MPSB/Str/2397
MPSB/Str/2399</t>
  </si>
  <si>
    <t>05-Oct-25
06-Oct-25</t>
  </si>
  <si>
    <t>WV2-P17-P18-G2</t>
  </si>
  <si>
    <t>MPSB/Str/2398
MPSB/Str/2400</t>
  </si>
  <si>
    <t>WV2-P19-P20-G4</t>
  </si>
  <si>
    <t>MPSB/Str/2417
MPSB/Str/2429</t>
  </si>
  <si>
    <t>07-Oct-25
08-Oct-25</t>
  </si>
  <si>
    <t>WV2-P19-P20-G5</t>
  </si>
  <si>
    <t>MPSB/Str/2430
MPSB/Str/2433</t>
  </si>
  <si>
    <t>08-Oct-25
09-Oct-25</t>
  </si>
  <si>
    <t>WV2-P17-P18-G3</t>
  </si>
  <si>
    <t>MPSB/Str/2454
MPSB/Str/2455</t>
  </si>
  <si>
    <t>11-Oct-25
11-Oct-25</t>
  </si>
  <si>
    <t>WV2-P14-P15-G5</t>
  </si>
  <si>
    <t>MPSB/Str/2480
MPSB/Str/2493</t>
  </si>
  <si>
    <t>15-Oct-25
16-Oct-25</t>
  </si>
  <si>
    <t>WV2-P17-P18-G4</t>
  </si>
  <si>
    <t>MPSB/Str/2501
MPSB/Str/2502</t>
  </si>
  <si>
    <t>17-Oct-25
17-Oct-25</t>
  </si>
  <si>
    <t>WV2-P13-P14-G1</t>
  </si>
  <si>
    <t>MPSB/Str/2503
MPSB/Str/2539</t>
  </si>
  <si>
    <t>17-Oct-25
20-Oct-25</t>
  </si>
  <si>
    <t>WV2-P14-P15-G8</t>
  </si>
  <si>
    <t>MPSB/Str/2533
MPSB/Str/2550</t>
  </si>
  <si>
    <t>20-Oct-25
23-Oct-25</t>
  </si>
  <si>
    <t>WV2-P14-P15-G1</t>
  </si>
  <si>
    <t>MPSB/Str/2551
MPSB/Str/2575</t>
  </si>
  <si>
    <t>23-Oct-25
25-Oct-25</t>
  </si>
  <si>
    <t>WV2-P14-P15-G2</t>
  </si>
  <si>
    <t>MPSB/Str/2600
MPSB/Str/2601</t>
  </si>
  <si>
    <t>27-Oct-25
27-Oct-25</t>
  </si>
  <si>
    <t>WV2-P14-P15-G3</t>
  </si>
  <si>
    <t>MPSB/Str/2616
MPSB/Str/2617</t>
  </si>
  <si>
    <t>28-Oct-25
28-Oct-25</t>
  </si>
  <si>
    <t>WV2-P19-P20-G6</t>
  </si>
  <si>
    <t>MPSB/Str/2630
MPSB/Str/2631</t>
  </si>
  <si>
    <t>30-Oct-25
30-Oct-25</t>
  </si>
  <si>
    <t>WV2-P13-P14-G2</t>
  </si>
  <si>
    <t>MPSB/Str/2634
MPSB/Str/2635</t>
  </si>
  <si>
    <t>WV2-P14-P15-G7</t>
  </si>
  <si>
    <t>MPSB/Str/2685
MPSB/Str/2686</t>
  </si>
  <si>
    <t>02-Nov-25
02-Nov-25</t>
  </si>
  <si>
    <t>WV2-P13-P14-G3</t>
  </si>
  <si>
    <t>MPSB/Str/2687
MPSB/Str/2697</t>
  </si>
  <si>
    <t>02-Nov-25
04-Nov-25</t>
  </si>
  <si>
    <t>WV2-P14-P15-G4</t>
  </si>
  <si>
    <t>MPSB/Str/2708
MPSB/Str/2718</t>
  </si>
  <si>
    <t>05-Nov-25
06-Nov-25</t>
  </si>
  <si>
    <t>WV2-P14-P15-G6</t>
  </si>
  <si>
    <t>MPSB/Str/2717
MPSB/Str/2727</t>
  </si>
  <si>
    <t>06-Nov-25
07-Nov-25</t>
  </si>
  <si>
    <t>WV2-P12-P13-G1</t>
  </si>
  <si>
    <t>MPSB/Str/2731
MPSB/Str/2753</t>
  </si>
  <si>
    <t>07-Nov-25
09-Nov-25</t>
  </si>
  <si>
    <t>WV2-P12-P13-G2</t>
  </si>
  <si>
    <t>MPSB/Str/2764
MPSB/Str/2780</t>
  </si>
  <si>
    <t>10-Nov-25
12-Nov-25</t>
  </si>
  <si>
    <t>WV2-P12-P13-G3</t>
  </si>
  <si>
    <t>MPSB/Str/2765
MPSB/Str/2774</t>
  </si>
  <si>
    <t>10-Nov-25
11-Nov-25</t>
  </si>
  <si>
    <t>WV2-P13-P14-G4</t>
  </si>
  <si>
    <t>MPSB/Str/2809
MPSB/Str/2824</t>
  </si>
  <si>
    <t>14-Nov-25
16-Nov-25</t>
  </si>
  <si>
    <t>WV2-P19-P20-G7</t>
  </si>
  <si>
    <t>MPSB/Str/2781
MPSB/Str/2795</t>
  </si>
  <si>
    <t>12-Nov-25
13-Nov-25</t>
  </si>
  <si>
    <t>WV2-P12-P13-G5</t>
  </si>
  <si>
    <t>MPSB/Str/2815
MPSB/Str/2829</t>
  </si>
  <si>
    <t>15-Nov-25
17-Nov-25</t>
  </si>
  <si>
    <t>WV2-P12-P13-G4</t>
  </si>
  <si>
    <t>MPSB/Str/2828
MPSB/Str/2844</t>
  </si>
  <si>
    <t>17-Nov-25
18-Nov-25</t>
  </si>
  <si>
    <t>WV2-P10-P11-G1</t>
  </si>
  <si>
    <t>MPSB/Str/2878
MPSB/Str/2911</t>
  </si>
  <si>
    <t>20-Nov-25
24-Nov-25</t>
  </si>
  <si>
    <t>WV2-P12-P13-G6</t>
  </si>
  <si>
    <t>MPSB/Str/2845
MPSB/Str/2877</t>
  </si>
  <si>
    <t>18-Nov-25
20-Nov-25</t>
  </si>
  <si>
    <t>WV2-P11-P12-G2</t>
  </si>
  <si>
    <t>MPSB/Str/2898
MPSB/Str/2942</t>
  </si>
  <si>
    <t>23-Nov-25
26-Nov-25</t>
  </si>
  <si>
    <t>WV2-P10-P11-G2</t>
  </si>
  <si>
    <t>MPSB/Str/2943
MPSB/Str/2984</t>
  </si>
  <si>
    <t>26-Nov-25
29-Nov-25</t>
  </si>
  <si>
    <t>WV2-P12-P13-G7</t>
  </si>
  <si>
    <t>MPSB/Str/2954
MPSB/Str/2982</t>
  </si>
  <si>
    <t>27-Nov-25
29-Nov-25</t>
  </si>
  <si>
    <t>WV2-P19-P20-G8</t>
  </si>
  <si>
    <t>MPSB/Str/2981
MPSB/Str/3012</t>
  </si>
  <si>
    <t>29-Nov-25
30-Nov-25</t>
  </si>
  <si>
    <t>WV2-P10-P11-G3</t>
  </si>
  <si>
    <t>MPSB/Str/2983
MPSB/Str/3013</t>
  </si>
  <si>
    <t>WV2-P11-P12-G6</t>
  </si>
  <si>
    <t>MPSB/Str/3075
MPSB/Str/3080</t>
  </si>
  <si>
    <t>7-Dec-25
8-Dec-25</t>
  </si>
  <si>
    <t>WV2-P10-P11-G4</t>
  </si>
  <si>
    <t>MPSB/Str/3079
MPSB/Str/3089</t>
  </si>
  <si>
    <t>7-Dec-25
9-Dec-25</t>
  </si>
  <si>
    <t>WV2-P12-P13-G8</t>
  </si>
  <si>
    <t>MPSB/Str/3110
MPSB/Str/3111</t>
  </si>
  <si>
    <t>11-Dec-25
11-Dec-25</t>
  </si>
  <si>
    <t>WV2-P13-P14-G5</t>
  </si>
  <si>
    <t>MPSB/Str/3124
MPSB/Str/3125</t>
  </si>
  <si>
    <t>12-Dec-25
12-Dec-25</t>
  </si>
  <si>
    <t>WV2-P9-P10-G5</t>
  </si>
  <si>
    <t>MPSB/Str/3160
MPSB/Str/3161</t>
  </si>
  <si>
    <t>16-Dec-25
16-Dec-25</t>
  </si>
  <si>
    <t>WV2-P11-P12-G3</t>
  </si>
  <si>
    <t>MPSB/Str/3189
MPSB/Str/3190</t>
  </si>
  <si>
    <t>18-Dec-25
18-Dec-25</t>
  </si>
  <si>
    <t>WV2-P10-P11-G5</t>
  </si>
  <si>
    <t>MPSB/Str/3191
MPSB/Str/3200</t>
  </si>
  <si>
    <t>18-Dec-25
19-Dec-25</t>
  </si>
  <si>
    <t>WV2-P11-P12-G8</t>
  </si>
  <si>
    <t>MPSB/Str/3216
MPSB/Str/3220</t>
  </si>
  <si>
    <t>21-Dec-25
22-Dec-25</t>
  </si>
  <si>
    <t>WV2-P10-P11-G6</t>
  </si>
  <si>
    <t>MPSB/Str/3251
MPSB/Str/3280</t>
  </si>
  <si>
    <t>24-Dec-25
26-Dec-25</t>
  </si>
  <si>
    <t>WV2-P18-P19-G5</t>
  </si>
  <si>
    <t>MPSB/Str/3313
MPSB/Str/3333</t>
  </si>
  <si>
    <t>28-Dec-25
30-Dec-25</t>
  </si>
  <si>
    <t>WV2-P18-P19-G7</t>
  </si>
  <si>
    <t>MPSB/Str/3389
MPSB/Str/3391</t>
  </si>
  <si>
    <t>31-Dec-25
31-Dec-25</t>
  </si>
  <si>
    <t>WV2-P18-P19-G6</t>
  </si>
  <si>
    <t>MPSB/Str/3299
MPSB/Str/3319</t>
  </si>
  <si>
    <t>27-Dec-25
29-Dec-25</t>
  </si>
  <si>
    <t>WV2-P18-P19-G8</t>
  </si>
  <si>
    <t>MPSB/Str/3435
MPSB/Str/3454</t>
  </si>
  <si>
    <t>6-Jan-26
7-Jan-26</t>
  </si>
  <si>
    <t>WV2-P11-P12-G5</t>
  </si>
  <si>
    <t>MPSB/Str/3461
MPSB/Str/3462</t>
  </si>
  <si>
    <t>8-Jan-26
8-Jan-26</t>
  </si>
  <si>
    <t>WV2-P11-P12-G7</t>
  </si>
  <si>
    <t>MPSB/Str/3507
MPSB/Str/3525</t>
  </si>
  <si>
    <t>13-Jan-26
14-Jan-26</t>
  </si>
  <si>
    <t>WV2-P13-P14-G8</t>
  </si>
  <si>
    <t>MPSB/Str/3523
MPSB/Str/3560</t>
  </si>
  <si>
    <t>14-Jan-26
17-Jan-26</t>
  </si>
  <si>
    <t>WV2-P17-P18-G6</t>
  </si>
  <si>
    <t>MPSB/Str/3540
MPSB/Str/3574</t>
  </si>
  <si>
    <t>16-Jan-26
19-Jan-26</t>
  </si>
  <si>
    <t>WV2-P17-P18-G5</t>
  </si>
  <si>
    <t>MPSB/Str/3602
MPSB/Str/3611</t>
  </si>
  <si>
    <t>21-Jan-26
22-Jan-26</t>
  </si>
  <si>
    <t>WV2-P17-P18-G8</t>
  </si>
  <si>
    <t>MPSB/Str/3603
MPSB/Str/3681</t>
  </si>
  <si>
    <t>21-Jan-26
29-Jan-26</t>
  </si>
  <si>
    <t>WV2-P17-P18-G7</t>
  </si>
  <si>
    <t>MPSB/Str/3800
MPSB/Str/3854</t>
  </si>
  <si>
    <t>8-Feb-26
14-Feb-26</t>
  </si>
  <si>
    <t>WV2-P9-P10-G4</t>
  </si>
  <si>
    <t>MPSB/Str/3893
MPSB/Str/3912</t>
  </si>
  <si>
    <t>18-Feb-26
20-Feb-26</t>
  </si>
  <si>
    <t>WV2-P8-P9-G3</t>
  </si>
  <si>
    <t>MPSB/Str/3927
MPSB/Str/3943</t>
  </si>
  <si>
    <t>22-Feb-26
24-Feb-26</t>
  </si>
  <si>
    <t>WV2-P8-P9-G4</t>
  </si>
  <si>
    <t>MPSB/Str/3942
MPSB/Str/3964</t>
  </si>
  <si>
    <t>24-Feb-26
26-Feb-26</t>
  </si>
  <si>
    <t>WV2-P8-P9-G2</t>
  </si>
  <si>
    <t>MPSB/Str/3985
MPSB/Str/3986</t>
  </si>
  <si>
    <t>27-Feb-26
27-Feb-26</t>
  </si>
  <si>
    <t>WV2-P9-P10-G2</t>
  </si>
  <si>
    <t>MPSB/Str/3987
MPSB/Str/3988</t>
  </si>
  <si>
    <t>WV2-P13-P14-G6</t>
  </si>
  <si>
    <t>MPSB/Str/4045
MPSB/Str/4048</t>
  </si>
  <si>
    <t>6-Mar-26
6-Mar-26</t>
  </si>
  <si>
    <t>WV2-P6-P7-G4</t>
  </si>
  <si>
    <t>MPSB/Str/4046
MPSB/Str/4047</t>
  </si>
  <si>
    <t>WV2-P13-P14-G7</t>
  </si>
  <si>
    <t>MPSB/Str/4084
MPSB/Str/4085</t>
  </si>
  <si>
    <t>10-Mar-26
10-Mar-26</t>
  </si>
  <si>
    <t>WV2-P8-P9-G1</t>
  </si>
  <si>
    <t>MPSB/Str/4059
MPSB/Str/4095</t>
  </si>
  <si>
    <t>7-Mar-26
13-Mar-26</t>
  </si>
  <si>
    <t>WV2-P11-P12-G1</t>
  </si>
  <si>
    <t>MPSB/Str/4115
MPSB/Str/4116</t>
  </si>
  <si>
    <t>WV2-P9-P10-G3</t>
  </si>
  <si>
    <t>MPSB/Str/4123
MPSB/Str/4141</t>
  </si>
  <si>
    <t>15-Mar-26
17-Mar-26</t>
  </si>
  <si>
    <t>WV2-P11-P12-G4</t>
  </si>
  <si>
    <t>MPSB/Str/4165
MPSB/Str/4180</t>
  </si>
  <si>
    <t>20-Mar-26
20-Mar-26</t>
  </si>
  <si>
    <t>WV2-P9-P10-G1</t>
  </si>
  <si>
    <t>MPSB/Str/4203
MPSB/Str/4212</t>
  </si>
  <si>
    <t>25-Mar-26
26-Mar-26</t>
  </si>
  <si>
    <t>WV2-P6-P7-G3</t>
  </si>
  <si>
    <t>MPSB/Str/4226
MPSB/Str/4230</t>
  </si>
  <si>
    <t>28-Mar-26
28-Mar-26</t>
  </si>
  <si>
    <t>WV2-P6-P7-G2</t>
  </si>
  <si>
    <t>MPSB/Str/4248
MPSB/Str/4249</t>
  </si>
  <si>
    <t>WV2-P6-P7-G1</t>
  </si>
  <si>
    <t>MPSB/Str/4262
MPSB/Str/4263</t>
  </si>
  <si>
    <t>30-Mar-26
30-Mar-26</t>
  </si>
  <si>
    <t>WV2-P7-P8-G4</t>
  </si>
  <si>
    <t>MPSB/Str/4283
MPSB/Str/4284</t>
  </si>
  <si>
    <t>31-Mar-26
31-Mar-26</t>
  </si>
  <si>
    <t>WV2-P7-P8-G2</t>
  </si>
  <si>
    <t>MPSB/Str/4356
MPSB/Str/4361</t>
  </si>
  <si>
    <t>8-Apr-26
10-Apr-26</t>
  </si>
  <si>
    <t>WV2-P7-P8-G3</t>
  </si>
  <si>
    <t>MPSB/Str/4381
MPSB/Str/4386</t>
  </si>
  <si>
    <t>13-Apr-26
13-Apr-26</t>
  </si>
  <si>
    <t>WV2-P7-P8-G1</t>
  </si>
  <si>
    <t>MPSB/Str/4419
MPSB/Str/4430</t>
  </si>
  <si>
    <t>16-Apr-26
17-Apr-26</t>
  </si>
  <si>
    <t>WV2-P5-P6-G4</t>
  </si>
  <si>
    <t>MPSB/Str/4436
MPSB/Str/4454</t>
  </si>
  <si>
    <t>18-Apr-26
21-Apr-26</t>
  </si>
  <si>
    <t>WV2-P5-P6-G3</t>
  </si>
  <si>
    <t>MPSB/Str/4472
MPSB/Str/4483</t>
  </si>
  <si>
    <t>23-Apr-26
25-Apr-26</t>
  </si>
  <si>
    <t>WV2-P5-P6-G2</t>
  </si>
  <si>
    <t>MPSB/Str/4510
MPSB/Str/4511</t>
  </si>
  <si>
    <t>28-Apr-26
28-Apr-26</t>
  </si>
  <si>
    <t>WV2-P5-P6-G1</t>
  </si>
  <si>
    <t>MPSB/Str/4535
MPSB/Str/4536</t>
  </si>
  <si>
    <t>29-Apr-26
29-Apr-26</t>
  </si>
  <si>
    <t>WV2-P4-P5-G1</t>
  </si>
  <si>
    <t>MPSB/Str/4614
MPSB/Str/4615</t>
  </si>
  <si>
    <t>8-May-26
8-May-26</t>
  </si>
  <si>
    <t>WV2-P4-P5-G2</t>
  </si>
  <si>
    <t>MPSB/Str/4665
MPSB/Str/4721</t>
  </si>
  <si>
    <t>13-May-26
18-May-26</t>
  </si>
  <si>
    <t>WV2-P4-P5-G4</t>
  </si>
  <si>
    <t>MPSB/Str/4747
MPSB/Str/4748</t>
  </si>
  <si>
    <t>21-May-26
21-May-26</t>
  </si>
  <si>
    <t>WV2-P3-P4-G4</t>
  </si>
  <si>
    <t>MPSB/Str/4796
MPSB/Str/4820</t>
  </si>
  <si>
    <t>27-May-26
30-May-26</t>
  </si>
  <si>
    <t>MPSB/Str/4762
MPSB/Str/4784</t>
  </si>
  <si>
    <t>22-May-26
25-May-26</t>
  </si>
  <si>
    <t>MPSB/Str/4821
MPSB/Str/4822</t>
  </si>
  <si>
    <t>30-May-26
30-May-26</t>
  </si>
  <si>
    <t>MPSB/Str/4768
MPSB/Str/4792</t>
  </si>
  <si>
    <t>23-May-26
26-May-26</t>
  </si>
  <si>
    <t>WV2-P2-P3-G4</t>
  </si>
  <si>
    <t>MPSB/Str/4880
MPSB/Str/4881</t>
  </si>
  <si>
    <t>WV2-P2-P3-G3</t>
  </si>
  <si>
    <t>MPSB/Str/4890
MPSB/Str/4910</t>
  </si>
  <si>
    <t>11-Jun-26
15-Jun-26</t>
  </si>
  <si>
    <t>WV2-P0-P1-G4</t>
  </si>
  <si>
    <t>MPSB/Str/4911
MPSB/Str/4935</t>
  </si>
  <si>
    <t>15-Jun-26
17-Jun-26</t>
  </si>
  <si>
    <t>WV2-P2-P3-G2</t>
  </si>
  <si>
    <t>MPSB/Str/4983
MPSB/Str/5010</t>
  </si>
  <si>
    <t>22-Jun-26
25-Jun-26</t>
  </si>
  <si>
    <t>MPSB/Str/5022
MPSB/Str/5062</t>
  </si>
  <si>
    <t>27-Jun-26
30-Jun-26</t>
  </si>
  <si>
    <t>WV2-P1-P2-G3</t>
  </si>
  <si>
    <t>MPSB/Str/5030
MPSB/Str/5031</t>
  </si>
  <si>
    <t>WV2-P1-P2-G4</t>
  </si>
  <si>
    <t>MPSB/Str/5032
MPSB/Str/5033</t>
  </si>
  <si>
    <t>WV2-P0-P1-G1</t>
  </si>
  <si>
    <t>MPSB/Str/5221
MPSB/Str/5222</t>
  </si>
  <si>
    <t>MPSB/Str/5223
MPSB/Str/5224</t>
  </si>
  <si>
    <t>MPSB/Str/5099
MPSB/Str/5105</t>
  </si>
  <si>
    <t>8-Jul-26
9-Jul-26</t>
  </si>
  <si>
    <t>MPSB/Str/5137
MPSB/Str/5138</t>
  </si>
  <si>
    <t>14-Jul-26
14-Jul-26</t>
  </si>
  <si>
    <t>MPSB/Str/5163
MPSB/Str/5179</t>
  </si>
  <si>
    <t>18-Jul-26
21-Jul-26</t>
  </si>
  <si>
    <t>MPSB/Str/5195
MPSB/Str/5216</t>
  </si>
  <si>
    <t>25-Jul-26
28-Jul-26</t>
  </si>
  <si>
    <t>MPSB/Str/5104
MPSB/Str/5136</t>
  </si>
  <si>
    <t>9-Jul-26
14-Jul-26</t>
  </si>
  <si>
    <t>MPSB/Str/5139
MPSB/Str/5177</t>
  </si>
  <si>
    <t>14-Jul-26
21-Jul-26</t>
  </si>
  <si>
    <t>MPSB/Str/5185
MPSB/Str/5186</t>
  </si>
  <si>
    <t>23-Jul-26
23-Jul-26</t>
  </si>
  <si>
    <t>MPSB/Str/5093
MPSB/Str/5161</t>
  </si>
  <si>
    <t>7-Jul-26
18-Jul-26</t>
  </si>
  <si>
    <t>MPSB/Str/5187
MPSB/Str/5189</t>
  </si>
  <si>
    <t>23-Jul-26
24-Jul-26</t>
  </si>
  <si>
    <t>MPSB/Str/5242
MPSB/Str/5243</t>
  </si>
  <si>
    <t>31-Jul-26
31-Jul-26</t>
  </si>
  <si>
    <t>MPSB/Str/5246
MPSB/Str/5247</t>
  </si>
  <si>
    <t>MPSB/Str/5248
MPSB/Str/5249</t>
  </si>
  <si>
    <t>MPSB/Str/5250
MPSB/Str/5251</t>
  </si>
  <si>
    <t>MPSB/Str/3836</t>
  </si>
  <si>
    <t>WV2-P20-P21 (G1 to G8)</t>
  </si>
  <si>
    <t>BHS</t>
  </si>
  <si>
    <t>MPSB/Str/3868</t>
  </si>
  <si>
    <t>WV2-P19-P20 (G1 to G8)</t>
  </si>
  <si>
    <t>MPSB/Str/3903</t>
  </si>
  <si>
    <t>WV2-P18-P19 (G1 to G4)</t>
  </si>
  <si>
    <t>LHS</t>
  </si>
  <si>
    <t>MPSB/Str/3928</t>
  </si>
  <si>
    <t>WV2-P17-P18 (G1 to G4)</t>
  </si>
  <si>
    <t>MPSB/Str/3933</t>
  </si>
  <si>
    <t>WV2-P16-P17 (G1 to G4)</t>
  </si>
  <si>
    <t>MPSB/Str/3957</t>
  </si>
  <si>
    <t>WV2-P15-P16 (G1 to G4)</t>
  </si>
  <si>
    <t>MPSB/Str/4055</t>
  </si>
  <si>
    <t>WV2-P14-P15 (G1 to G4)</t>
  </si>
  <si>
    <t>MPSB/Str/4079</t>
  </si>
  <si>
    <t>WV2-P13-P14 (G1 to G4)</t>
  </si>
  <si>
    <t>MPSB/Str/4347</t>
  </si>
  <si>
    <t>WV2-P12-P13 (G1 to G4)</t>
  </si>
  <si>
    <t>MPSB/Str/4382</t>
  </si>
  <si>
    <t>WV2-P11-P12 (G1 to G4)</t>
  </si>
  <si>
    <t>MPSB/Str/4437</t>
  </si>
  <si>
    <t>WV2-P10-P11 (G1 to G4)</t>
  </si>
  <si>
    <t>MPSB/Str/4551</t>
  </si>
  <si>
    <t>WV2-P9-P10 (G1 to G4)</t>
  </si>
  <si>
    <t>MPSB/Str/4955</t>
  </si>
  <si>
    <t>WV2-P18-P19 (G5 to G8)</t>
  </si>
  <si>
    <t>RHS</t>
  </si>
  <si>
    <t>MPSB/Str/5039</t>
  </si>
  <si>
    <t>WV2-P17-P18 (G5 to G8)</t>
  </si>
  <si>
    <t>MPSB/Str/5074</t>
  </si>
  <si>
    <t>WV2-P16-P17 (G5 to G8)</t>
  </si>
  <si>
    <t>MPSB/Str/3097
MPSB/Str/3098</t>
  </si>
  <si>
    <t>10-Dec-25
10-Dec-25</t>
  </si>
  <si>
    <t>SAV-P0-P1-G4</t>
  </si>
  <si>
    <t>MPSB/Str/3311
MPSB/Str/3312</t>
  </si>
  <si>
    <t>28-Dec-25
28-Dec-25</t>
  </si>
  <si>
    <t>SAV-P0-P1-G3</t>
  </si>
  <si>
    <t>MPSB/Str/3377
MPSB/Str/3278</t>
  </si>
  <si>
    <t>SAV-P0-P1-G5</t>
  </si>
  <si>
    <t>MPSB/Str/3450
MPSB/Str/3451</t>
  </si>
  <si>
    <t>7-Jan-26
7-Jan-26</t>
  </si>
  <si>
    <t>SAV-P0-P1-G6</t>
  </si>
  <si>
    <t>MPSB/Str/3483
MPSB/Str/3484</t>
  </si>
  <si>
    <t>10-Jan-26
10-Jan-26</t>
  </si>
  <si>
    <t>SAV-P0-P1-G7</t>
  </si>
  <si>
    <t>MPSB/Str/3514
MPSB/Str/3515</t>
  </si>
  <si>
    <t>SAV-P0-P1-G2</t>
  </si>
  <si>
    <t>MPSB/Str/3558
MPSB/Str/3559</t>
  </si>
  <si>
    <t>17-Jan-26
17-Jan-26</t>
  </si>
  <si>
    <t>SAV-P0-P1-G8</t>
  </si>
  <si>
    <t>MPSB/Str/3721
MPSB/Str/3722</t>
  </si>
  <si>
    <t>31-Jan-26
31-Jan-26</t>
  </si>
  <si>
    <t>SAV-P1-P2-G4</t>
  </si>
  <si>
    <t>MPSB/Str/3622
MPSB/Str/3623</t>
  </si>
  <si>
    <t>23-Jan-26
23-Jan-26</t>
  </si>
  <si>
    <t>SAV-P0-P1-G1</t>
  </si>
  <si>
    <t>MPSB/Str/3663
MPSB/Str/3664</t>
  </si>
  <si>
    <t>28-Jan-26
28-Jan-26</t>
  </si>
  <si>
    <t>SAV-P1-P2-G6</t>
  </si>
  <si>
    <t>MPSB/Str/3711
MPSB/Str/3712</t>
  </si>
  <si>
    <t>SAV-P1-P2-G7</t>
  </si>
  <si>
    <t>MPSB/Str/3719
MPSB/Str/3720</t>
  </si>
  <si>
    <t>SAV-P1-P2-G3</t>
  </si>
  <si>
    <t>MPSB/Str/3581
MPSB/Str/3584</t>
  </si>
  <si>
    <t>20-Jan-26
20-Jan-26</t>
  </si>
  <si>
    <t>SAV-P1-P2-G5</t>
  </si>
  <si>
    <t>MPSB/Str/3818
MPSB/Str/3819</t>
  </si>
  <si>
    <t>10-Feb-26
10-Feb-26</t>
  </si>
  <si>
    <t>SAV-P1R-P2R-G4</t>
  </si>
  <si>
    <t>MPSB/Str/3857
MPSB/Str/3858</t>
  </si>
  <si>
    <t>14-Feb-26
14-Feb-26</t>
  </si>
  <si>
    <t>SAV-P1R-P2R-G5</t>
  </si>
  <si>
    <t>MPSB/Str/3882
MPSB/Str/3883</t>
  </si>
  <si>
    <t>17-Feb-26
17-Feb-26</t>
  </si>
  <si>
    <t>SAV-P1R-P2R-G6</t>
  </si>
  <si>
    <t>MPSB/Str/3906
MPSB/Str/3907</t>
  </si>
  <si>
    <t>20-Feb-26
20-Feb-26</t>
  </si>
  <si>
    <t>SAV-P1-P2-G2</t>
  </si>
  <si>
    <t>MPSB/Str/3924
MPSB/Str/3925</t>
  </si>
  <si>
    <t>21-Feb-26
21-Feb-26</t>
  </si>
  <si>
    <t>SAV-P1-P2-G1</t>
  </si>
  <si>
    <t>MPSB/Str/3949
MPSB/Str/3950</t>
  </si>
  <si>
    <t>25-Feb-26
25-Feb-26</t>
  </si>
  <si>
    <t>MPSB/Str/3971
MPSB/Str/3972</t>
  </si>
  <si>
    <t>26-Feb-26
26-Feb-26</t>
  </si>
  <si>
    <t>MPSB/Str/4031
MPSB/Str/4032</t>
  </si>
  <si>
    <t>SAV-P2-P3-G8</t>
  </si>
  <si>
    <t>MPSB/Str/4029
MPSB/Str/4030</t>
  </si>
  <si>
    <t>MPSB/Str/4060
MPSB/Str/4061</t>
  </si>
  <si>
    <t>7-Mar-26
7-Mar-26</t>
  </si>
  <si>
    <t>SAV-P2-P3-G7</t>
  </si>
  <si>
    <t>MPSB/Str/4075
MPSB/Str/4076</t>
  </si>
  <si>
    <t>SAV-P2-P3-G6</t>
  </si>
  <si>
    <t>MPSB/Str/4093
MPSB/Str/4094</t>
  </si>
  <si>
    <t>13-Mar-26
13-Mar-26</t>
  </si>
  <si>
    <t>SAV-P2-P3-G5</t>
  </si>
  <si>
    <t>MPSB/Str/4111
MPSB/Str/4112</t>
  </si>
  <si>
    <t>SAV-P2-P3-G4</t>
  </si>
  <si>
    <t>MPSB/Str/4155
MPSB/Str/4156</t>
  </si>
  <si>
    <t>19-Mar-26
19-Mar-26</t>
  </si>
  <si>
    <t>SAV-P2-P3-G3</t>
  </si>
  <si>
    <t>MPSB/MB/1320
MPSB/MB/1321</t>
  </si>
  <si>
    <t>MPSB/Str/4201
MPSB/Str/4202</t>
  </si>
  <si>
    <t>25-Mar-26
25-Mar-26</t>
  </si>
  <si>
    <t>MPSB/Str/4244
MPSB/Str/4245</t>
  </si>
  <si>
    <t>SAV-P3-P4-G1</t>
  </si>
  <si>
    <t>MPSB/Str/4295
MPSB/Str/4296</t>
  </si>
  <si>
    <t>SAV-P3-P4-G2</t>
  </si>
  <si>
    <t>MPSB/Str/4297
MPSB/Str/4298</t>
  </si>
  <si>
    <t>SAV-P3-P4-G3</t>
  </si>
  <si>
    <t>MPSB/Str/4673
MPSB/Str/4674</t>
  </si>
  <si>
    <t>14-May-26
14-May-26</t>
  </si>
  <si>
    <t>SAV-P3-P4-G4</t>
  </si>
  <si>
    <t>MPSB/Str/4732
MPSB/Str/4733</t>
  </si>
  <si>
    <t>19-May-26
19-May-26</t>
  </si>
  <si>
    <t>SAV-P3-P4-G5</t>
  </si>
  <si>
    <t>MPSB/Str/4756
MPSB/Str/4757</t>
  </si>
  <si>
    <t>22-May-26
22-May-26</t>
  </si>
  <si>
    <t>SAV-P3-P4-G6</t>
  </si>
  <si>
    <t>MPSB/Str/4790
MPSB/Str/4791</t>
  </si>
  <si>
    <t>25-May-26
25-May-26</t>
  </si>
  <si>
    <t>SAV-P3-P4-G7</t>
  </si>
  <si>
    <t>MPSB/Str/4808
MPSB/Str/4809</t>
  </si>
  <si>
    <t>29-May-26
29-May-26</t>
  </si>
  <si>
    <t>SAV-P3-P4-G8</t>
  </si>
  <si>
    <t>MPSB/Str/4830
MPSB/Str/4831</t>
  </si>
  <si>
    <t>SAV-P4-P5-G1</t>
  </si>
  <si>
    <t>MPSB/Str/4832
MPSB/Str/4833</t>
  </si>
  <si>
    <t>SAV-P4-P5-G2</t>
  </si>
  <si>
    <t>MPSB/Str/4888
MPSB/Str/4889</t>
  </si>
  <si>
    <t>11-Jun-26
11-Jun-26</t>
  </si>
  <si>
    <t>SAV-P4-P5-G3</t>
  </si>
  <si>
    <t>MPSB/Str/4907
MPSB/Str/4908</t>
  </si>
  <si>
    <t>15-Jun-26
15-Jun-26</t>
  </si>
  <si>
    <t>SAV-P4-P5-G4</t>
  </si>
  <si>
    <t>MPSB/Str/4928
MPSB/Str/4929</t>
  </si>
  <si>
    <t>17-Jun-26
17-Jun-26</t>
  </si>
  <si>
    <t>SAV-P4-P5-G5</t>
  </si>
  <si>
    <t>MPSB/Str/4969
MPSB/Str/4970</t>
  </si>
  <si>
    <t>20-Jun-26
20-Jun-26</t>
  </si>
  <si>
    <t>SAV-P4-P5-G6</t>
  </si>
  <si>
    <t>MPSB/Str/5024
MPSB/Str/5025</t>
  </si>
  <si>
    <t>27-Jun-26
27-Jun-26</t>
  </si>
  <si>
    <t>SAV-P4-P5-G7</t>
  </si>
  <si>
    <t>MPSB/Str/5066
MPSB/Str/5067</t>
  </si>
  <si>
    <t>30-Jun-26
30-Jun-26</t>
  </si>
  <si>
    <t>SAV-P4-P5-G8</t>
  </si>
  <si>
    <t>MPSB/Str/5129
MPSB/Str/5130</t>
  </si>
  <si>
    <t>13-Jul-26
13-Jul-26</t>
  </si>
  <si>
    <t>MPSB/Str/5159
MPSB/Str/5160</t>
  </si>
  <si>
    <t>18-Jul-26
18-Jul-26</t>
  </si>
  <si>
    <t>MPSB/Str/5181
MPSB/Str/5182</t>
  </si>
  <si>
    <t>22-Jul-26
22-Jul-26</t>
  </si>
  <si>
    <t>MPSB/Str/5193
MPSB/Str/5194</t>
  </si>
  <si>
    <t>25-Jul-26
25-Jul-26</t>
  </si>
  <si>
    <t>505.a.1</t>
  </si>
  <si>
    <t>For Wetland Viaduct - Supply of material at site for Girders</t>
  </si>
  <si>
    <t>MPSB/Str/1633</t>
  </si>
  <si>
    <t>MPSB/Str/2380</t>
  </si>
  <si>
    <t>MPSB/Str/3718</t>
  </si>
  <si>
    <t>42.33MT/64.722MT has been considered</t>
  </si>
  <si>
    <t>505.a.2</t>
  </si>
  <si>
    <t>For Wetland Viaduct - Testing of Material</t>
  </si>
  <si>
    <t>HBT-1624-SO-TPT-2025-0767
HBT-1624-SO-APR-2025-0786</t>
  </si>
  <si>
    <t>30-Jun-25
4-Jul-25</t>
  </si>
  <si>
    <t>MPSB/Str/1466
MPSB/Str/1692</t>
  </si>
  <si>
    <t>10-May-25
21-Jun-25</t>
  </si>
  <si>
    <t>MPSB/Str/1556
MPSB/Str/1703</t>
  </si>
  <si>
    <t>23-May-25
26-Jun-25</t>
  </si>
  <si>
    <t>MPSB/Str/1635
MPSB/Str/1702</t>
  </si>
  <si>
    <t>04-Jun-25
26-Jun-25</t>
  </si>
  <si>
    <t>MPSB/Str/1830
MPSB/Str/2491</t>
  </si>
  <si>
    <t>18-Jul-25
16-Oct-25</t>
  </si>
  <si>
    <t>MPSB/Str/1866
MPSB/Str/2492</t>
  </si>
  <si>
    <t>22-Jul-25
16-Oct-25</t>
  </si>
  <si>
    <t>MPSB/Str/1964
MPSB/Str/2215</t>
  </si>
  <si>
    <t>03-Aug-25
11-Sep-25</t>
  </si>
  <si>
    <t>MPSB/Str/1982
MPSB/Str/2214</t>
  </si>
  <si>
    <t>05-Aug-25
11-Sep-25</t>
  </si>
  <si>
    <t>MPSB/Str/2017
MPSB/Str/2222</t>
  </si>
  <si>
    <t>12-Aug-25
12-Sep-25</t>
  </si>
  <si>
    <t>MPSB/Str/2043
MPSB/Str/2636</t>
  </si>
  <si>
    <t>18-Aug-25
30-Oct-25</t>
  </si>
  <si>
    <t>MPSB/Str/2052
MPSB/Str/2198</t>
  </si>
  <si>
    <t>19-Aug-25
10-Sep-25</t>
  </si>
  <si>
    <t>MPSB/Str/2089
MPSB/Str/2638</t>
  </si>
  <si>
    <t>25-Aug-25
30-Oct-25</t>
  </si>
  <si>
    <t>MPSB/Str/2182
MPSB/Str/2730</t>
  </si>
  <si>
    <t>08-Sep-25
07-Nov-25</t>
  </si>
  <si>
    <t>MPSB/Str/2099
MPSB/Str/2509</t>
  </si>
  <si>
    <t>27-Aug-25
17-Oct-25</t>
  </si>
  <si>
    <t>MPSB/Str/2136
MPSB/Str/2700</t>
  </si>
  <si>
    <t>02-Sep-25
04-Nov-25</t>
  </si>
  <si>
    <t>MPSB/Str/2158
MPSB/Str/2744</t>
  </si>
  <si>
    <t>05-Sep-25
08-Nov-25</t>
  </si>
  <si>
    <t>MPSB/Str/2172
MPSB/Str/2729</t>
  </si>
  <si>
    <t>06-Sep-25
07-Nov-25</t>
  </si>
  <si>
    <t>MPSB/Str/2174
MPSB/Str/2783</t>
  </si>
  <si>
    <t>07-Sep-25
12-Nov-25</t>
  </si>
  <si>
    <t>MPSB/Str/2216
MPSB/Str/2674</t>
  </si>
  <si>
    <t>11-Sep-25
01-Nov-25</t>
  </si>
  <si>
    <t>MPSB/Str/2236
MPSB/Str/2817</t>
  </si>
  <si>
    <t>15-Sep-25
15-Nov-25</t>
  </si>
  <si>
    <t>MPSB/Str/2232
MPSB/Str/2621</t>
  </si>
  <si>
    <t>14-Sep-25
29-Oct-25</t>
  </si>
  <si>
    <t>MPSB/Str/2296
MPSB/Str/2876</t>
  </si>
  <si>
    <t>22-Sep-25
20-Nov-25</t>
  </si>
  <si>
    <t>MPSB/Str/2299
MPSB/Str/2637</t>
  </si>
  <si>
    <t>23-Sep-25
30-Oct-25</t>
  </si>
  <si>
    <t>MPSB/Str/2465
MPSB/Str/2897</t>
  </si>
  <si>
    <t>14-Oct-25
22-Nov-25</t>
  </si>
  <si>
    <t>MPSB/Str/2548
MPSB/Str/2886</t>
  </si>
  <si>
    <t>23-Oct-25
21-Nov-25</t>
  </si>
  <si>
    <t>MPSB/Str/2393
MPSB/Str/3027</t>
  </si>
  <si>
    <t>4-Oct-25
3-Dec-25</t>
  </si>
  <si>
    <t>MPSB/Str/2302
MPSB/Str/3028</t>
  </si>
  <si>
    <t>23-Sep-25
3-Dec-25</t>
  </si>
  <si>
    <t>MPSB/Str/2394
MPSB/Str/3081</t>
  </si>
  <si>
    <t>4-Oct-25
8-Dec-25</t>
  </si>
  <si>
    <t>MPSB/Str/2401
MPSB/Str/3113</t>
  </si>
  <si>
    <t>6-Oct-25
11-Dec-25</t>
  </si>
  <si>
    <t>MPSB/Str/2464
MPSB/Str/3082</t>
  </si>
  <si>
    <t>13-Oct-25
8-Dec-25</t>
  </si>
  <si>
    <t>MPSB/Str/2490
MPSB/Str/3083</t>
  </si>
  <si>
    <t>16-Oct-25
8-Dec-25</t>
  </si>
  <si>
    <t>MPSB/Str/2549
MPSB/Str/3260</t>
  </si>
  <si>
    <t>23-Oct-25
24-Dec-25</t>
  </si>
  <si>
    <t>MPSB/Str/2343
MPSB/Str/3258</t>
  </si>
  <si>
    <t>29-Sep-25
24-Dec-25</t>
  </si>
  <si>
    <t>MPSB/Str/2536
MPSB/Str/3115</t>
  </si>
  <si>
    <t>20-Oct-25
11-Dec-25</t>
  </si>
  <si>
    <t>MPSB/Str/2131
MPSB/Str/3150</t>
  </si>
  <si>
    <t>1-Sep-25
15-Dec-25</t>
  </si>
  <si>
    <t>MPSB/Str/2610
MPSB/Str/3221</t>
  </si>
  <si>
    <t>27-Oct-25
22-Dec-25</t>
  </si>
  <si>
    <t>MPSB/Str/2699
MPSB/Str/3235</t>
  </si>
  <si>
    <t>4-Nov-25
23-Dec-25</t>
  </si>
  <si>
    <t>MPSB/Str/2676
MPSB/Str/3223</t>
  </si>
  <si>
    <t>1-Nov-25
22-Dec-25</t>
  </si>
  <si>
    <t>MPSB/Str/2728
MPSB/Str/3234</t>
  </si>
  <si>
    <t>7-Nov-25
23-Dec-25</t>
  </si>
  <si>
    <t>MPSB/Str/2779
MPSB/Str/3236</t>
  </si>
  <si>
    <t>12-Nov-25
23-Dec-25</t>
  </si>
  <si>
    <t>MPSB/Str/2743
MPSB/Str/3237</t>
  </si>
  <si>
    <t>8-Nov-25
23-Dec-25</t>
  </si>
  <si>
    <t>MPSB/Str/2807
MPSB/Str/3321</t>
  </si>
  <si>
    <t>14-Nov-25
29-Dec-25</t>
  </si>
  <si>
    <t>MPSB/Str/2808
MPSB/Str/3322</t>
  </si>
  <si>
    <t>MPSB/Str/2490
MPSB/Str/2985</t>
  </si>
  <si>
    <t>16-Oct-25
29-Nov-25</t>
  </si>
  <si>
    <t>MPSB/Str/2387
MPSB/Str/3014</t>
  </si>
  <si>
    <t>3-Oct-25
30-Nov-25</t>
  </si>
  <si>
    <t>MPSB/Str/2913
MPSB/Str/3061</t>
  </si>
  <si>
    <t>24-Nov-25
5-Dec-25</t>
  </si>
  <si>
    <t>MPSB/Str/2675
MPSB/Str/3222</t>
  </si>
  <si>
    <t>MPSB/Str/2875
MPSB/Str/3412</t>
  </si>
  <si>
    <t>20-Nov-25
3-Jan-26</t>
  </si>
  <si>
    <t>MPSB/Str/2894
MPSB/Str/3443</t>
  </si>
  <si>
    <t>22-Nov-25
7-Jan-26</t>
  </si>
  <si>
    <t>MPSB/Str/3199
MPSB/Str/3442</t>
  </si>
  <si>
    <t>19-Dec-25
7-Jan-26</t>
  </si>
  <si>
    <t>MPSB/Str/3112
MPSB/Str/3455</t>
  </si>
  <si>
    <t>11-Dec-25
8-Jan-26</t>
  </si>
  <si>
    <t>MPSB/Str/3208
MPSB/Str/3413</t>
  </si>
  <si>
    <t>20-Dec-25
3-Jan-26</t>
  </si>
  <si>
    <t>WV2-P09-P10-G5</t>
  </si>
  <si>
    <t>MPSB/Str/3320
MPSB/Str/3456</t>
  </si>
  <si>
    <t>29-Dec-25
8-Jan-26</t>
  </si>
  <si>
    <t>MPSB/Str/2912
MPSB/Str/3470</t>
  </si>
  <si>
    <t>24-Nov-25
9-Jan-26</t>
  </si>
  <si>
    <t>MPSB/Str/2974
MPSB/Str/3469</t>
  </si>
  <si>
    <t>28-Nov-25
9-Jan-26</t>
  </si>
  <si>
    <t>MPSB/Str/3029
MPSB/Str/3479</t>
  </si>
  <si>
    <t>3-Dec-25
10-Jan-26</t>
  </si>
  <si>
    <t>MPSB/Str/3071
MPSB/Str/3480</t>
  </si>
  <si>
    <t>6-Dec-25
10-Jan-26</t>
  </si>
  <si>
    <t>MPSB/Str/3169
MPSB/Str/3488</t>
  </si>
  <si>
    <t>17-Dec-25
11-Jan-26</t>
  </si>
  <si>
    <t>MPSB/Str/3030
MPSB/Str/3489</t>
  </si>
  <si>
    <t>3-Dec-25
11-Jan-26</t>
  </si>
  <si>
    <t>MPSB/Str/3314
MPSB/Str/3532</t>
  </si>
  <si>
    <t>28-Dec-25
15-Jan-26</t>
  </si>
  <si>
    <t>MPSB/Str/2613
MPSB/Str/3575</t>
  </si>
  <si>
    <t>10-Nov-25
19-Jan-26</t>
  </si>
  <si>
    <t>MPSB/Str/2698
MPSB/Str/3576</t>
  </si>
  <si>
    <t>4-Nov-25
19-Jan-26</t>
  </si>
  <si>
    <t>MPSB/Str/2742
MPSB/Str/3577</t>
  </si>
  <si>
    <t>8-Nov-25
19-Jan-26</t>
  </si>
  <si>
    <t>MPSB/Str/2773
MPSB/Str/3585</t>
  </si>
  <si>
    <t>11-Nov-25
20-Jan-26</t>
  </si>
  <si>
    <t>MPSB/Str/2940
MPSB/Str/3586</t>
  </si>
  <si>
    <t>26-Nov-25
20-Jan-26</t>
  </si>
  <si>
    <t>MPSB/Str/3091
MPSB/Str/3609</t>
  </si>
  <si>
    <t>9-Dec-25
22-Jan-26</t>
  </si>
  <si>
    <t>MPSB/Str/3209
MPSB/Str/3610</t>
  </si>
  <si>
    <t>20-Dec-25
22-Jan-26</t>
  </si>
  <si>
    <t>MPSB/Str/3198
MPSB/Str/3652</t>
  </si>
  <si>
    <t>19-Dec-25
27-Jan-26</t>
  </si>
  <si>
    <t>MPSB/Str/1921
MPSB/Str/3763</t>
  </si>
  <si>
    <t>30-Jul-25
5-Feb-26</t>
  </si>
  <si>
    <t>MPSB/Str/1938
MPSB/Str/3744</t>
  </si>
  <si>
    <t>31-Jul-25
31-Jan-26</t>
  </si>
  <si>
    <t>MPSB/Str/2827
MPSB/Str/3966</t>
  </si>
  <si>
    <t>17-Nov-25
26-Feb-26</t>
  </si>
  <si>
    <t>MPSB/Str/2900
MPSB/Str/3752</t>
  </si>
  <si>
    <t>23-Nov-25
2-Feb-26</t>
  </si>
  <si>
    <t>MPSB/Str/3275
MPSB/Str/3786</t>
  </si>
  <si>
    <t>25-Dec-25
7-Feb-26</t>
  </si>
  <si>
    <t>MPSB/Str/3421
MPSB/Str/3787</t>
  </si>
  <si>
    <t>4-Jan-26
7-Feb-26</t>
  </si>
  <si>
    <t>MPSB/Str/3453
MPSB/Str/3779</t>
  </si>
  <si>
    <t>7-Jan-26
6-Feb-26</t>
  </si>
  <si>
    <t>MPSB/Str/3482
MPSB/Str/3814</t>
  </si>
  <si>
    <t>10-Jan-26
9-Feb-26</t>
  </si>
  <si>
    <t>MPSB/Str/3541
MPSB/Str/3899</t>
  </si>
  <si>
    <t>16-Jan-26
19-Feb-26</t>
  </si>
  <si>
    <t>MPSB/Str/3661
MPSB/Str/3965</t>
  </si>
  <si>
    <t>28-Jan-26
26-Feb-26</t>
  </si>
  <si>
    <t>MPSB/Str/3542
MPSB/Str/3815</t>
  </si>
  <si>
    <t>16-Jan-26
9-Feb-26</t>
  </si>
  <si>
    <t>MPSB/Str/3651
MPSB/Str/3944</t>
  </si>
  <si>
    <t>27-Jan-26
24-Feb-26</t>
  </si>
  <si>
    <t>MPSB/Str/3760
MPSB/Str/3945</t>
  </si>
  <si>
    <t>4-Feb-26
24-Feb-26</t>
  </si>
  <si>
    <t>MPSB/Str/1959
MPSB/Str/4039</t>
  </si>
  <si>
    <t>1-Aug-25
3-Mar-26</t>
  </si>
  <si>
    <t>MPSB/Str/3751
MPSB/Str/4040</t>
  </si>
  <si>
    <t>2-Feb-26
3-Mar-26</t>
  </si>
  <si>
    <t>MPSB/Str/3414
MPSB/Str/4069</t>
  </si>
  <si>
    <t>3-Jan-26
8-Mar-26</t>
  </si>
  <si>
    <t>MPSB/Str/4229
MPSB/Str/4289</t>
  </si>
  <si>
    <t>28-Mar-26
31-Mar-26</t>
  </si>
  <si>
    <t>MPSB/Str/4227
MPSB/Str/4290</t>
  </si>
  <si>
    <t>MPSB/Str/4228
MPSB/Str/4308</t>
  </si>
  <si>
    <t>28-Mar-26
1-Apr-26</t>
  </si>
  <si>
    <t>MPSB/Str/4267
MPSB/Str/4313</t>
  </si>
  <si>
    <t>30-Mar-26
2-Apr-26</t>
  </si>
  <si>
    <t>MPSB/Str/4426
MPSB/Str/4467</t>
  </si>
  <si>
    <t>17-Apr-26
22-Apr-26</t>
  </si>
  <si>
    <t>MPSB/Str/4424
MPSB/Str/4469</t>
  </si>
  <si>
    <t>MPSB/Str/4389
MPSB/Str/4453</t>
  </si>
  <si>
    <t>13-Apr-26
20-Apr-26</t>
  </si>
  <si>
    <t>MPSB/Str/4471
MPSB/Str/4477</t>
  </si>
  <si>
    <t>23-Apr-26
24-Apr-26</t>
  </si>
  <si>
    <t>MPSB/Str/4478
MPSB/Str/4489</t>
  </si>
  <si>
    <t>24-Apr-26
25-Apr-26</t>
  </si>
  <si>
    <t>MPSB/Str/4479
MPSB/Str/4490</t>
  </si>
  <si>
    <t>MPSB/Str/4480
MPSB/Str/4491</t>
  </si>
  <si>
    <t>24-Apr-26
26-Apr-26</t>
  </si>
  <si>
    <t>MPSB/Str/4481
MPSB/Str/4492</t>
  </si>
  <si>
    <t>MPSB/Str/4518
MPSB/Str/4529</t>
  </si>
  <si>
    <t>28-Apr-26
29-Apr-26</t>
  </si>
  <si>
    <t>MPSB/Str/4622
MPSB/Str/4623</t>
  </si>
  <si>
    <t>9-May-26
9-May-26</t>
  </si>
  <si>
    <t>MPSB/Str/4653</t>
  </si>
  <si>
    <t>MPSB/Str/4654</t>
  </si>
  <si>
    <t>MPSB/Str/4696
MPSB/Str/4697</t>
  </si>
  <si>
    <t>16-May-26
16-May-26</t>
  </si>
  <si>
    <t>MPSB/Str/4865
MPSB/Str/4866</t>
  </si>
  <si>
    <t>4-Jun-26
4-Jun-26</t>
  </si>
  <si>
    <t>MPSB/Str/4876
MPSB/Str/4877</t>
  </si>
  <si>
    <t>6-Jun-26
6-Jun-26</t>
  </si>
  <si>
    <t>MPSB/Str/4913
MPSB/Str/4914</t>
  </si>
  <si>
    <t>MPSB/Str/5015
MPSB/Str/5016</t>
  </si>
  <si>
    <t>25-Jun-26
25-Jun-26</t>
  </si>
  <si>
    <t>WV2-P4-P5-G3</t>
  </si>
  <si>
    <t>MPSB/Str/4961
MPSB/Str/4962</t>
  </si>
  <si>
    <t>MPSB/Str/5013
MPSB/Str/5014</t>
  </si>
  <si>
    <t>505.b.1</t>
  </si>
  <si>
    <t>For Approach Viaduct - Supply of material at site for Girders</t>
  </si>
  <si>
    <t>MPSB/Str/3718
MPSB/Str/3743</t>
  </si>
  <si>
    <t>22.392/64.722MT has been considered along with 129.662MT</t>
  </si>
  <si>
    <t>505.b.2</t>
  </si>
  <si>
    <t xml:space="preserve">For Approach Viaduct - Testing of material </t>
  </si>
  <si>
    <t>MPSB/Str/4373
MPSB/Str/4403</t>
  </si>
  <si>
    <t>11-Apr-26
14-Apr-26</t>
  </si>
  <si>
    <t>MPSB/Str/4374
MPSB/Str/4404</t>
  </si>
  <si>
    <t>MPSB/Str/4401
MPSB/Str/4411</t>
  </si>
  <si>
    <t>14-Apr-26
16-Apr-26</t>
  </si>
  <si>
    <t>MPSB/Str/4402
MPSB/Str/4412</t>
  </si>
  <si>
    <t>MPSB/Str/4630
MPSB/Str/4631</t>
  </si>
  <si>
    <t>10-May-26
10-May-26</t>
  </si>
  <si>
    <t>MPSB/Str/4680
MPSB/Str/4681</t>
  </si>
  <si>
    <t>MPSB/Str/4682
MPSB/Str/4683</t>
  </si>
  <si>
    <t>MPSB/Str/4727
MPSB/Str/4728</t>
  </si>
  <si>
    <t>MPSB/Str/4729
MPSB/Str/4730</t>
  </si>
  <si>
    <t>MPSB/Str/4797
MPSB/Str/4798</t>
  </si>
  <si>
    <t>28-May-26
28-May-26</t>
  </si>
  <si>
    <t>MPSB/Str/4799
MPSB/Str/4800</t>
  </si>
  <si>
    <t>MPSB/Str/4825
MPSB/Str/4826</t>
  </si>
  <si>
    <t>MPSB/Str/4827
MPSB/Str/4828</t>
  </si>
  <si>
    <t>SAV-P1-P2-G8</t>
  </si>
  <si>
    <t>MPSB/Str/4918
MPSB/Str/4919</t>
  </si>
  <si>
    <t>16-Jun-26
16-Jun-26</t>
  </si>
  <si>
    <t>MPSB/Str/4920
MPSB/Str/4921</t>
  </si>
  <si>
    <t>MPSB/Str/4933
MPSB/Str/4934</t>
  </si>
  <si>
    <t>MPSB/Str/4999
MPSB/Str/5000</t>
  </si>
  <si>
    <t>24-Jun-26
24-Jun-26</t>
  </si>
  <si>
    <t>MPSB/Str/3753</t>
  </si>
  <si>
    <t>PL19 to PL20</t>
  </si>
  <si>
    <t>MPSB/Str/3808</t>
  </si>
  <si>
    <t>PL20 to PL21</t>
  </si>
  <si>
    <t>MPSB/Str/3889</t>
  </si>
  <si>
    <t>PR20 to PR21</t>
  </si>
  <si>
    <t>MPSB/Str/4225</t>
  </si>
  <si>
    <t>PL18 to PL19</t>
  </si>
  <si>
    <t>MPSB/Str/4247</t>
  </si>
  <si>
    <t>PL17 to PL18</t>
  </si>
  <si>
    <t>MPSB/Str/4261</t>
  </si>
  <si>
    <t>PL16 to PL17</t>
  </si>
  <si>
    <t>MPSB/Str/4282</t>
  </si>
  <si>
    <t>PL15 to PL16</t>
  </si>
  <si>
    <t>MPSB/Str/4501</t>
  </si>
  <si>
    <t>PL14 to PL15</t>
  </si>
  <si>
    <t>MPSB/Str/4531</t>
  </si>
  <si>
    <t>PL13 to PL14</t>
  </si>
  <si>
    <t>MPSB/Str/4493</t>
  </si>
  <si>
    <t>PL12 to PL13</t>
  </si>
  <si>
    <t>MPSB/Str/4677</t>
  </si>
  <si>
    <t>PL11 to PL12</t>
  </si>
  <si>
    <t>MPSB/Str/4745</t>
  </si>
  <si>
    <t>PL9 to PL10</t>
  </si>
  <si>
    <t>MPSB/Str/4879</t>
  </si>
  <si>
    <t>PL8 to PL9</t>
  </si>
  <si>
    <t>MPSB/Str/4992</t>
  </si>
  <si>
    <t>PL7 to PL8</t>
  </si>
  <si>
    <t>MPSB/Str/4932</t>
  </si>
  <si>
    <t>PL6 to PL7</t>
  </si>
  <si>
    <t>MPSB/Str/4991</t>
  </si>
  <si>
    <t>PL5 to PL6</t>
  </si>
  <si>
    <t>MPSB/Str/5009</t>
  </si>
  <si>
    <t>PL4 to PL5</t>
  </si>
  <si>
    <t>MPSB/Str/5034</t>
  </si>
  <si>
    <t>PL3 to PL4</t>
  </si>
  <si>
    <t>MPSB/Str/5056</t>
  </si>
  <si>
    <t>PL2 to PL3</t>
  </si>
  <si>
    <t>MPSB/Str/4502</t>
  </si>
  <si>
    <t>PL18 to PL21</t>
  </si>
  <si>
    <t>MPSB/Str/4503</t>
  </si>
  <si>
    <t>PL15 to PL18</t>
  </si>
  <si>
    <t>MPSB/Str/5058</t>
  </si>
  <si>
    <t>PL12 to PL15</t>
  </si>
  <si>
    <t>MPSB/Str/4844</t>
  </si>
  <si>
    <t>MPSB/Str/5019</t>
  </si>
  <si>
    <t>MPSB/Str/5059</t>
  </si>
  <si>
    <t>506.b.1</t>
  </si>
  <si>
    <t>For Approach Viaduct - Casting of Deck Panel</t>
  </si>
  <si>
    <t>MPSB/Str/4208
MPSB/Str/4236</t>
  </si>
  <si>
    <t>26-Mar-26
28-Mar-26</t>
  </si>
  <si>
    <t>MPSB/Str/4246
MPSB/Str/4301</t>
  </si>
  <si>
    <t>29-Mar-26
31-Mar-26</t>
  </si>
  <si>
    <t>PR0 to PR1</t>
  </si>
  <si>
    <t>MPSB/Str/5001</t>
  </si>
  <si>
    <t>MPSB/Str/5068</t>
  </si>
  <si>
    <t>507.a.1</t>
  </si>
  <si>
    <t>For Wetland Viaduct - Bearings - Material Testing and Procurement</t>
  </si>
  <si>
    <t>MPSB/L&amp;T/TIIC/2026/1502</t>
  </si>
  <si>
    <t>As per attachments</t>
  </si>
  <si>
    <t>MPSB/Sur/3112</t>
  </si>
  <si>
    <t>PL21</t>
  </si>
  <si>
    <t>MPSB/Sur/3261</t>
  </si>
  <si>
    <t>PL20</t>
  </si>
  <si>
    <t>MPSB/Sur/3262</t>
  </si>
  <si>
    <t>PL18</t>
  </si>
  <si>
    <t>MPSB/Sur/3278</t>
  </si>
  <si>
    <t>PL19</t>
  </si>
  <si>
    <t>MPSB/Sur/3375</t>
  </si>
  <si>
    <t>PL16</t>
  </si>
  <si>
    <t>MPSB/Sur/3419</t>
  </si>
  <si>
    <t>PL15</t>
  </si>
  <si>
    <t>MPSB/Sur/3438</t>
  </si>
  <si>
    <t>PL13</t>
  </si>
  <si>
    <t>MPSB/Sur/3445</t>
  </si>
  <si>
    <t>PL11</t>
  </si>
  <si>
    <t>MPSB/Sur/3450</t>
  </si>
  <si>
    <t>PL8</t>
  </si>
  <si>
    <t>MPSB/Sur/3451</t>
  </si>
  <si>
    <t>PL9</t>
  </si>
  <si>
    <t>MPSB/Sur/3452</t>
  </si>
  <si>
    <t>PL12</t>
  </si>
  <si>
    <t>MPSB/Sur/3468</t>
  </si>
  <si>
    <t>PL5</t>
  </si>
  <si>
    <t>MPSB/Sur/3469</t>
  </si>
  <si>
    <t>PL6</t>
  </si>
  <si>
    <t>MPSB/Sur/3483</t>
  </si>
  <si>
    <t>PL10</t>
  </si>
  <si>
    <t>MPSB/Sur/3496</t>
  </si>
  <si>
    <t>PL17</t>
  </si>
  <si>
    <t>MPSB/Sur/3521</t>
  </si>
  <si>
    <t>PR17</t>
  </si>
  <si>
    <t>MPSB/Sur/3637</t>
  </si>
  <si>
    <t>PL14</t>
  </si>
  <si>
    <t>MPSB/Sur/3653</t>
  </si>
  <si>
    <t>PL7</t>
  </si>
  <si>
    <t>MPSB/Sur/3660</t>
  </si>
  <si>
    <t>PR19</t>
  </si>
  <si>
    <t>MPSB/Sur/3687</t>
  </si>
  <si>
    <t>PL4</t>
  </si>
  <si>
    <t>Girders - Scope Vs Casting</t>
  </si>
  <si>
    <t>Girder ID</t>
  </si>
  <si>
    <t>G1</t>
  </si>
  <si>
    <t>G2</t>
  </si>
  <si>
    <t>G3</t>
  </si>
  <si>
    <t>G4</t>
  </si>
  <si>
    <t>G5</t>
  </si>
  <si>
    <t>G6</t>
  </si>
  <si>
    <t>G7</t>
  </si>
  <si>
    <t>G8</t>
  </si>
  <si>
    <t>WV1-P0-P1</t>
  </si>
  <si>
    <t>WV1-P1-P2</t>
  </si>
  <si>
    <t>WV1-P2-P3</t>
  </si>
  <si>
    <t>WV2-P0-P1</t>
  </si>
  <si>
    <t>WV2-P1-P2</t>
  </si>
  <si>
    <t>WV2-P2-P3</t>
  </si>
  <si>
    <t>WV2-P3-P4</t>
  </si>
  <si>
    <t>WV2-P4-P5</t>
  </si>
  <si>
    <t>WV2-P5-P6</t>
  </si>
  <si>
    <t>WV2-P6-P7</t>
  </si>
  <si>
    <t>WV2-P7-P8</t>
  </si>
  <si>
    <t>WV2-P8-P9</t>
  </si>
  <si>
    <t>WV2-P9-P10</t>
  </si>
  <si>
    <t>WV2-P10-P11</t>
  </si>
  <si>
    <t>WV2-P11-P12</t>
  </si>
  <si>
    <t>WV2-P12-P13</t>
  </si>
  <si>
    <t>WV2-P13-P14</t>
  </si>
  <si>
    <t>WV2-P14-P15</t>
  </si>
  <si>
    <t>WV2-P15-P16</t>
  </si>
  <si>
    <t>WV2-P16-P17</t>
  </si>
  <si>
    <t>WV2-P17-P18</t>
  </si>
  <si>
    <t>WV2-P18-P19</t>
  </si>
  <si>
    <t>WV2-P19-P20</t>
  </si>
  <si>
    <t>WV2-P20-P21</t>
  </si>
  <si>
    <t>SAV-P0-P1</t>
  </si>
  <si>
    <t>SAV-P1-P2</t>
  </si>
  <si>
    <t>SAV-P1R-P2R</t>
  </si>
  <si>
    <t>SAV-P2-P3</t>
  </si>
  <si>
    <t>SAV-P3-P4</t>
  </si>
  <si>
    <t>SAV-P4-P5</t>
  </si>
  <si>
    <t>SAV-P5-P6</t>
  </si>
  <si>
    <t>NAV-P30-31</t>
  </si>
  <si>
    <t>NAV-P31-32</t>
  </si>
  <si>
    <t>NAV-P32-33</t>
  </si>
  <si>
    <t>NAV-P32R-P33R</t>
  </si>
  <si>
    <t>NAV-P33-34</t>
  </si>
  <si>
    <t>NAV-P34-35</t>
  </si>
  <si>
    <t>NAV-P35-36</t>
  </si>
  <si>
    <t>VUP- A1-P2</t>
  </si>
  <si>
    <t>VUP- P1-P2</t>
  </si>
  <si>
    <t>VUP- P2-A2</t>
  </si>
  <si>
    <t>No. of  Girders Casted</t>
  </si>
  <si>
    <t>Total Girders Casted</t>
  </si>
  <si>
    <t>Schedule 6 - Wetland and Approach Viaduct Works</t>
  </si>
  <si>
    <t>603.a</t>
  </si>
  <si>
    <t>For Vehicular Underpass - On completion of Piles</t>
  </si>
  <si>
    <t>MPSB/Sur/2004
MPSB/Str/2511</t>
  </si>
  <si>
    <t>4+480 - LA1/P1</t>
  </si>
  <si>
    <t>MPSB/Sur/2003
MPSB/Str/2510</t>
  </si>
  <si>
    <t>4+480 - RA1/P2</t>
  </si>
  <si>
    <t>MPSB/Sur/2020
MPSB/Str/2544</t>
  </si>
  <si>
    <t>4+480 - RA1/P3</t>
  </si>
  <si>
    <t>MPSB/Sur/2033
MPSB/Str/2557</t>
  </si>
  <si>
    <t>4+480 - RA1/P1</t>
  </si>
  <si>
    <t>MPSB/Sur/2040
MPSB/Str/2574</t>
  </si>
  <si>
    <t>4+480 - LA1/P4</t>
  </si>
  <si>
    <t>MPSB/Sur/2038
MPSB/Str/2571</t>
  </si>
  <si>
    <t>4+480 - RA1/P4</t>
  </si>
  <si>
    <t>MPSB/Sur/2047
MPSB/Str/2584</t>
  </si>
  <si>
    <t>4+480 - LA1/P3</t>
  </si>
  <si>
    <t>MPSB/Sur/2059
MPSB/Str/2597</t>
  </si>
  <si>
    <t>4+480 - LA1/P2</t>
  </si>
  <si>
    <t>MPSB/Sur/2067
MPSB/Str/2625</t>
  </si>
  <si>
    <t>4+480 - LP2/P1</t>
  </si>
  <si>
    <t>MPSB/Sur/2091
MPSB/Str/2659</t>
  </si>
  <si>
    <t>4+480 - LP2/P6</t>
  </si>
  <si>
    <t>MPSB/Sur/2092
MPSB/Str/2660</t>
  </si>
  <si>
    <t>4+480 - RP2/P1</t>
  </si>
  <si>
    <t>MPSB/Sur/2090
MPSB/Str/2658</t>
  </si>
  <si>
    <t>4+480 - RP2/P6</t>
  </si>
  <si>
    <t>MPSB/Sur/2095
MPSB/Str/2663</t>
  </si>
  <si>
    <t>4+480 - LP2/P5</t>
  </si>
  <si>
    <t>MPSB/Sur/2094
MPSB/Str/2662</t>
  </si>
  <si>
    <t>4+480 - RP2/P5</t>
  </si>
  <si>
    <t>MPSB/Sur/2093
MPSB/Str/2661</t>
  </si>
  <si>
    <t>4+480 - LP2/P2</t>
  </si>
  <si>
    <t>MPSB/Sur/2123
MPSB/Str/2701</t>
  </si>
  <si>
    <t>4+480 - RP2/P2</t>
  </si>
  <si>
    <t>603.b</t>
  </si>
  <si>
    <t>For Vehicular Underpass - Construction of Raft</t>
  </si>
  <si>
    <t>MPSB/Sur/2537
MPSB/Str/3328</t>
  </si>
  <si>
    <t>Km 3+061 - RHS</t>
  </si>
  <si>
    <t>MPSB/Sur/2580
MPSB/Str/3393</t>
  </si>
  <si>
    <t>Km 3+061 - LHS</t>
  </si>
  <si>
    <t>MPSB/Sur/2748
MPSB/Str/3621</t>
  </si>
  <si>
    <t>Km 0+814 - RHS</t>
  </si>
  <si>
    <t>MPSB/Str/3683</t>
  </si>
  <si>
    <t>Km 0+814 - LHS</t>
  </si>
  <si>
    <t>603.c</t>
  </si>
  <si>
    <t>For Vehicular Underpass - Construction of Pile Cap</t>
  </si>
  <si>
    <t>MPSB/Sur/2408
MPSB/Str/3133
MPSB/Str/3134</t>
  </si>
  <si>
    <t>Km 4+480 - LHS - A2</t>
  </si>
  <si>
    <t>MPSB/Sur/2447
MPSB/Str/3196
MPSB/Str/3197</t>
  </si>
  <si>
    <t>Km 4+480 - RHS - A2</t>
  </si>
  <si>
    <t>MPSB/Sur/2557
MPSB/Str/3358
MPSB/Str/3359</t>
  </si>
  <si>
    <t>Km 4+480 - LHS - A1</t>
  </si>
  <si>
    <t>MPSB/Sur/2558
MPSB/Str/3360
MPSB/Str/3361</t>
  </si>
  <si>
    <t>Km 4+480 - RHS - A1</t>
  </si>
  <si>
    <t>604.a</t>
  </si>
  <si>
    <t>For Vehicular Underpass - Construction of Abutment / Pier</t>
  </si>
  <si>
    <t>MPSB/Sur/2527
MPSB/Str/3309
MPSB/Str/3310</t>
  </si>
  <si>
    <t>MPSB/Sur/2559
MPSB/Str/3362
MPSB/Str/3363</t>
  </si>
  <si>
    <t>MPSB/Sur/2569
MPSB/Str/3373
MPSB/Str/3374</t>
  </si>
  <si>
    <t>MPSB/Sur/2570
MPSB/Str/3375
MPSB/Str/3376</t>
  </si>
  <si>
    <t>604.b</t>
  </si>
  <si>
    <t>For Vehicular Underpass - Construction of Wall</t>
  </si>
  <si>
    <t>MPSB/Str/3583</t>
  </si>
  <si>
    <t>Km 3+061 - RHS - A1 &amp; A2</t>
  </si>
  <si>
    <t>MPSB/Str/3659</t>
  </si>
  <si>
    <t>Km 3+061 - LHS - A1 &amp; A2</t>
  </si>
  <si>
    <t>MPSB/Str/3686</t>
  </si>
  <si>
    <t>Km 0+814 - BHS - A1 &amp; A2</t>
  </si>
  <si>
    <t>MPSB/Str/3921</t>
  </si>
  <si>
    <t>Km 0+814 - LHS - A1 &amp; A2 - 75% Completed</t>
  </si>
  <si>
    <t>MPSB/Str/3982</t>
  </si>
  <si>
    <t>Km 0+814 - RHS - A1 &amp; A2 - 75% Completed</t>
  </si>
  <si>
    <t>MPSB/Str/4099</t>
  </si>
  <si>
    <t>Km 0+814 - BHS  - A1 &amp; A2 - 25% Completed</t>
  </si>
  <si>
    <t>604.c</t>
  </si>
  <si>
    <t>For Vehicular Underpass - Construction of Abutment / Pier Cap</t>
  </si>
  <si>
    <t>MPSB/Sur/3402
MPSB/Str/4558
MPSB/Str/4559</t>
  </si>
  <si>
    <t>Km 4+480 - LHS - A2 - Piercap</t>
  </si>
  <si>
    <t>MPSB/Sur/3403
MPSB/Str/4560
MPSB/Str/4561</t>
  </si>
  <si>
    <t>Km 4+480 - RHS - A2 - Piercap</t>
  </si>
  <si>
    <t>MPSB/Sur/3475
MPSB/Str/4668
MPSB/Str/4669</t>
  </si>
  <si>
    <t>Km 4+480 - LHS - A1 - Piercap</t>
  </si>
  <si>
    <t>MPSB/Sur/3494
MPSB/Str/4702
MPSB/Str/4703</t>
  </si>
  <si>
    <t>Km 4+480 - RHS - A1 - Piercap</t>
  </si>
  <si>
    <t>606.d</t>
  </si>
  <si>
    <t>For Vehicular Underpass - Completion of  Box Slab</t>
  </si>
  <si>
    <t>MPSB/Str/3885</t>
  </si>
  <si>
    <t>MPSB/Str/4194</t>
  </si>
  <si>
    <t>MPSB/Str/4556</t>
  </si>
  <si>
    <t>MPSB/Str/4662</t>
  </si>
  <si>
    <t>Schedule 7 - Approach Road Works</t>
  </si>
  <si>
    <t>From</t>
  </si>
  <si>
    <t>To</t>
  </si>
  <si>
    <t>Side</t>
  </si>
  <si>
    <t xml:space="preserve">RFI No. </t>
  </si>
  <si>
    <t>Layer</t>
  </si>
  <si>
    <t>701.a</t>
  </si>
  <si>
    <t>MPSB/Road/05
MPSB/Road/06
MPSB/Road/43</t>
  </si>
  <si>
    <t>9-Jan-25
14-Jan-25
24-Feb-25</t>
  </si>
  <si>
    <t>Top</t>
  </si>
  <si>
    <t>701.a.11.1</t>
  </si>
  <si>
    <t>C&amp;G
FDD &amp; OGL Checking
Emb - Layer</t>
  </si>
  <si>
    <t>MPSB/Road/02
MPSB/Road/03
MPSB/Road/44</t>
  </si>
  <si>
    <t>28-Dec-24
3-Jan-25
24-Feb-25</t>
  </si>
  <si>
    <t>701.a.11.2</t>
  </si>
  <si>
    <t>MPSB/Road/09
MPSB/Road/10
MPSB/Road/46</t>
  </si>
  <si>
    <t>28-Jan-25
31-Jan-25
25-Feb-25</t>
  </si>
  <si>
    <t>701.a.11.3</t>
  </si>
  <si>
    <t>MPSB/Road/56
MPSB/Road/72
MPSB/Road/157</t>
  </si>
  <si>
    <t>07-Mar-25
08-Mar-25
29-Mar-25</t>
  </si>
  <si>
    <t>701.a.13.1</t>
  </si>
  <si>
    <t>MPSB/Road/49
MPSB/Road/50
MPSB/Road/159</t>
  </si>
  <si>
    <t>06-Mar-25
06-Mar-25
29-Mar-25</t>
  </si>
  <si>
    <t>701.a.13.2</t>
  </si>
  <si>
    <t>MPSB/Road/53
MPSB/Road/54
MPSB/Road/119</t>
  </si>
  <si>
    <t>06-Mar-25
06-Mar-25
13-Mar-25</t>
  </si>
  <si>
    <t>701.a.13.3</t>
  </si>
  <si>
    <t>MPSB/Road/51
MPSB/Road/52
MPSB/Road/156</t>
  </si>
  <si>
    <t>701.a.13.4</t>
  </si>
  <si>
    <t>MPSB/Road/55
MPSB/Road/68
MPSB/Road/158</t>
  </si>
  <si>
    <t>701.a.13.5</t>
  </si>
  <si>
    <t>MPSB/Road/31
MPSB/Road/37
MPSB/Road/139</t>
  </si>
  <si>
    <t>08-Feb-25
14-Feb-25
24-Mar-25</t>
  </si>
  <si>
    <t>701.a.13.6</t>
  </si>
  <si>
    <t>MPSB/Road/31
MPSB/Road/126
MPSB/Road/139</t>
  </si>
  <si>
    <t>08-Feb-25
15-Mar-25
24-Mar-25</t>
  </si>
  <si>
    <t>701.a.13.8</t>
  </si>
  <si>
    <t>08-Feb-25
14-Mar-25
24-Mar-25</t>
  </si>
  <si>
    <t>701.a.13.9</t>
  </si>
  <si>
    <t>MPSB/Road/35
MPSB/Road/38
MPSB/Road/121</t>
  </si>
  <si>
    <t>14-Feb-25
15-Feb-25
15-Mar-25</t>
  </si>
  <si>
    <t>701.a.13.7</t>
  </si>
  <si>
    <t>MPSB/Road/39
MPSB/Road/59
MPSB/Road/123</t>
  </si>
  <si>
    <t>18-Feb-25
07-Mar-25
15-Mar-25</t>
  </si>
  <si>
    <t>701.a.13.10</t>
  </si>
  <si>
    <t>MPSB/Road/40
MPSB/Road/41
MPSB/Road/124</t>
  </si>
  <si>
    <t>18-Feb-25
18-Feb-25
15-Mar-25</t>
  </si>
  <si>
    <t>701.a.13.11</t>
  </si>
  <si>
    <t>MPSB/Road/40
MPSB/Road/41
MPSB/Road/125</t>
  </si>
  <si>
    <t>701.a.13.12</t>
  </si>
  <si>
    <t>MPSB/Road/58
MPSB/Road/86
MPSB/Road/148</t>
  </si>
  <si>
    <t>07-Mar-25
10-Mar-25
29-Mar-25</t>
  </si>
  <si>
    <t>701.a.13.13</t>
  </si>
  <si>
    <t>MPSB/Road/58
MPSB/Road/86
MPSB/Road/149</t>
  </si>
  <si>
    <t>701.a.13.14</t>
  </si>
  <si>
    <t>Since inception</t>
  </si>
  <si>
    <t>MPSB/Road/58
MPSB/Road/86
MPSB/Road/162</t>
  </si>
  <si>
    <t>07-Mar-25
10-Mar-25
31-Mar-25</t>
  </si>
  <si>
    <t>701.a.13.15</t>
  </si>
  <si>
    <t>MPSB/Road/134
MPSB/Road/135
MPSB/Road/163</t>
  </si>
  <si>
    <t>24-Mar-25
24-Mar-25
31-Mar-25</t>
  </si>
  <si>
    <t>701.a.13.16</t>
  </si>
  <si>
    <t>MPSB/Road/92
MPSB/Road/93
MPSB/Road/187</t>
  </si>
  <si>
    <t>10-Mar-25
10-Mar-25
20-Apr-25</t>
  </si>
  <si>
    <t>701.a.14.1</t>
  </si>
  <si>
    <t>MPSB/Road/94
MPSB/Road/104
MPSB/Road/188</t>
  </si>
  <si>
    <t>11-Mar-25
12-Mar-25
20-Apr-25</t>
  </si>
  <si>
    <t>701.a.14.2</t>
  </si>
  <si>
    <t>MPSB/Road/183</t>
  </si>
  <si>
    <t>701.a.14.3</t>
  </si>
  <si>
    <t>701.a.14.4</t>
  </si>
  <si>
    <t>MPSB/Road/181 &amp; 182</t>
  </si>
  <si>
    <t>701.a.14.5</t>
  </si>
  <si>
    <t>701.a.14.6</t>
  </si>
  <si>
    <t>MPSB/Road/179</t>
  </si>
  <si>
    <t>701.a.14.7</t>
  </si>
  <si>
    <t>MPSB/Road/180</t>
  </si>
  <si>
    <t>701.a.14.8</t>
  </si>
  <si>
    <t>MPSB/Road/0584</t>
  </si>
  <si>
    <t>701.a.27.1</t>
  </si>
  <si>
    <t>MPSB/Road/0572</t>
  </si>
  <si>
    <t>701.a.27.2</t>
  </si>
  <si>
    <t>MPSB/Road/0583</t>
  </si>
  <si>
    <t>701.a.27.3</t>
  </si>
  <si>
    <t>701.a.27.4</t>
  </si>
  <si>
    <t>MPSB/Road/0549</t>
  </si>
  <si>
    <t>701.a.27.5</t>
  </si>
  <si>
    <t>MPSB/Road/0580</t>
  </si>
  <si>
    <t>701.a.27.6</t>
  </si>
  <si>
    <t>6/9 layers</t>
  </si>
  <si>
    <t>701.a.27.7</t>
  </si>
  <si>
    <t>MPSB/Road/0579</t>
  </si>
  <si>
    <t>701.a.27.8</t>
  </si>
  <si>
    <t>701.a.27.9</t>
  </si>
  <si>
    <t>MPSB/Road/0184</t>
  </si>
  <si>
    <t>701.a.27.10</t>
  </si>
  <si>
    <t>MPSB/Road/0499</t>
  </si>
  <si>
    <t>701.a.27.11</t>
  </si>
  <si>
    <t>MPSB/Road/0483</t>
  </si>
  <si>
    <t>701.a.27.12</t>
  </si>
  <si>
    <t>MPSB/Road/0543</t>
  </si>
  <si>
    <t>701.a.27.13</t>
  </si>
  <si>
    <t>MPSB/Road/0564</t>
  </si>
  <si>
    <t>701.a.27.14</t>
  </si>
  <si>
    <t>MPSB/Road/0346</t>
  </si>
  <si>
    <t>701.a.27.15</t>
  </si>
  <si>
    <t>MPSB/Road/0347</t>
  </si>
  <si>
    <t>701.a.27.16</t>
  </si>
  <si>
    <t>MPSB/Road/0525</t>
  </si>
  <si>
    <t>701.a.27.17</t>
  </si>
  <si>
    <t>701.a.27.18</t>
  </si>
  <si>
    <t>MPSB/Road/0563</t>
  </si>
  <si>
    <t>701.a.27.19</t>
  </si>
  <si>
    <t>MPSB/Road/0507</t>
  </si>
  <si>
    <t>701.a.27.20</t>
  </si>
  <si>
    <t>MPSB/Str/919
MPSB/Str/1041
MPSB/Str/1309</t>
  </si>
  <si>
    <t>27-Mar-25
3-Apr-25
28-Apr-25</t>
  </si>
  <si>
    <t>Km 11+580</t>
  </si>
  <si>
    <t>MPSB/Str/1263
MPSB/Str/1468
MPSB/Str/1568</t>
  </si>
  <si>
    <t>25-Apr-25
11-May-25
26-May-25</t>
  </si>
  <si>
    <t>11+775</t>
  </si>
  <si>
    <t>MPSB/Str/1417
MPSB/Str/1636
MPSB/Str/1714</t>
  </si>
  <si>
    <t>4-May-25
5-Jun-25
28-Jun-25</t>
  </si>
  <si>
    <t>Km 11+775</t>
  </si>
  <si>
    <t>MPSB/Str/1512
MPSB/Str/1648
MPSB/Str/1686</t>
  </si>
  <si>
    <t>18-May-25
10-Jun-25
20-Jun-25</t>
  </si>
  <si>
    <t>Sl.No.</t>
  </si>
  <si>
    <t>Description of Item</t>
  </si>
  <si>
    <t>Unit</t>
  </si>
  <si>
    <t>MCW</t>
  </si>
  <si>
    <t>SR</t>
  </si>
  <si>
    <t>Total Quantity</t>
  </si>
  <si>
    <t>3+760</t>
  </si>
  <si>
    <t>MPSB/Str/1494
MPSB/Str/1666
MPSB/Str/1791</t>
  </si>
  <si>
    <t>15-May-25
16-Jun-25
11-Jul-25</t>
  </si>
  <si>
    <t>Km 3+760</t>
  </si>
  <si>
    <t>Cum</t>
  </si>
  <si>
    <t>MPSB/Str/1569
MPSB/Str/1693
MPSB/Str/1974</t>
  </si>
  <si>
    <t>26-May-25
23-Jun-25
4-Aug-25</t>
  </si>
  <si>
    <t>Sub grade</t>
  </si>
  <si>
    <t>10+100</t>
  </si>
  <si>
    <t>MPSB/Str/1790
MPSB/Str/1872
MPSB/Str/1942</t>
  </si>
  <si>
    <t>11-Jul-25
23-Jul-25
31-Jul-25</t>
  </si>
  <si>
    <t>RE Wall Approaches</t>
  </si>
  <si>
    <t>MPSB/Str/1482
MPSB/Str/2004
MPSB/Str/2053</t>
  </si>
  <si>
    <t>18-May-25
9-Aug-25
19-Aug-25</t>
  </si>
  <si>
    <t>Silver Sand Fill</t>
  </si>
  <si>
    <t>12+040</t>
  </si>
  <si>
    <t>MPSB/Str/3485
MPSB/Str/3582
MPSB/Str/3684</t>
  </si>
  <si>
    <t>11-Jan-26
19-Jan-26
30-Jan-26</t>
  </si>
  <si>
    <t>Km 12+040</t>
  </si>
  <si>
    <t>MPSB/Str/3813
MPSB/Str/3869
MPSB/Str/3948</t>
  </si>
  <si>
    <t>9-Feb-26
16-Feb-26
25-Feb-26</t>
  </si>
  <si>
    <t>3+205</t>
  </si>
  <si>
    <t>MPSB/Str/3665
MPSB/Str/3780
MPSB/Str/3811
MPSB/Str/3898</t>
  </si>
  <si>
    <t>28-Jan-26
6-Feb-26
9-Feb-26
19-Feb-26</t>
  </si>
  <si>
    <t>Km 3+205</t>
  </si>
  <si>
    <t>4+154</t>
  </si>
  <si>
    <t>MPSB/Str/3616
MPSB/Str/3875
MPSB/Str/4022</t>
  </si>
  <si>
    <t>22-Jan-26
17-Feb-26
28-Feb-26</t>
  </si>
  <si>
    <t>1+751</t>
  </si>
  <si>
    <t>MPSB/Str/3755
MPSB/Str/3850
MPSB/Str/4005</t>
  </si>
  <si>
    <t>3-Feb-26
13-Feb-26
28-Feb-26</t>
  </si>
  <si>
    <t>Km 1+751</t>
  </si>
  <si>
    <t>MPSB/Str/3755
MPSB/Str/3896
MPSB/Str/4161</t>
  </si>
  <si>
    <t>3-Feb-26
19-Feb-26
19-Mar-26</t>
  </si>
  <si>
    <t>0+298</t>
  </si>
  <si>
    <t>MPSB/Str/3866
MPSB/Str/4041
MPSB/Str/4271</t>
  </si>
  <si>
    <t>16-Feb-26
5-Mar-26
31-Mar-26</t>
  </si>
  <si>
    <t>MPSB/Str/3837
MPSB/Str/3958
MPSB/Str/4214</t>
  </si>
  <si>
    <t>12-Feb-26
26-Feb-26
26-Mar-26</t>
  </si>
  <si>
    <t>4+914</t>
  </si>
  <si>
    <t>MPSB/Road/622
MPSB/Str/4199
MPSB/Str/4438</t>
  </si>
  <si>
    <t>12-Mar-26
24-Mar-26
18-Apr-26</t>
  </si>
  <si>
    <t>Km 4+914</t>
  </si>
  <si>
    <t>MPSB/Str/4852
MPSB/Str/4968
MPSB/Str/5143</t>
  </si>
  <si>
    <t>31-May-26
19-Jun-26
14-Jul-26</t>
  </si>
  <si>
    <t>Embankment RFI Details</t>
  </si>
  <si>
    <t>Code</t>
  </si>
  <si>
    <t>Activity</t>
  </si>
  <si>
    <t>Length (Mts</t>
  </si>
  <si>
    <t>Top Layer</t>
  </si>
  <si>
    <t>Layer Executed</t>
  </si>
  <si>
    <t>Effective Layer</t>
  </si>
  <si>
    <t>Effective Length (Mts)</t>
  </si>
  <si>
    <t>RFI No.</t>
  </si>
  <si>
    <t>Effective Length</t>
  </si>
  <si>
    <t>MPSB/Road/07</t>
  </si>
  <si>
    <t>IPC -11</t>
  </si>
  <si>
    <t>MPSB/Road/12</t>
  </si>
  <si>
    <t>MPSB/Road/15</t>
  </si>
  <si>
    <t>MPSB/Road/18</t>
  </si>
  <si>
    <t>MPSB/Road/21</t>
  </si>
  <si>
    <t>MPSB/Road/24</t>
  </si>
  <si>
    <t>MPSB/Road/27</t>
  </si>
  <si>
    <t>MPSB/Road/30</t>
  </si>
  <si>
    <t>MPSB/Road/34</t>
  </si>
  <si>
    <t>MPSB/Road/43</t>
  </si>
  <si>
    <t>MPSB/Road/04</t>
  </si>
  <si>
    <t>MPSB/Road/08</t>
  </si>
  <si>
    <t>MPSB/Road/14</t>
  </si>
  <si>
    <t>MPSB/Road/17</t>
  </si>
  <si>
    <t>MPSB/Road/20</t>
  </si>
  <si>
    <t>MPSB/Road/23</t>
  </si>
  <si>
    <t>MPSB/Road/26</t>
  </si>
  <si>
    <t>MPSB/Road/29</t>
  </si>
  <si>
    <t>MPSB/Road/33</t>
  </si>
  <si>
    <t>MPSB/Road/44</t>
  </si>
  <si>
    <t>MPSB/Road/11</t>
  </si>
  <si>
    <t>MPSB/Road/13</t>
  </si>
  <si>
    <t>MPSB/Road/16</t>
  </si>
  <si>
    <t>MPSB/Road/19</t>
  </si>
  <si>
    <t>MPSB/Road/22</t>
  </si>
  <si>
    <t>MPSB/Road/25</t>
  </si>
  <si>
    <t>MPSB/Road/28</t>
  </si>
  <si>
    <t>MPSB/Road/32</t>
  </si>
  <si>
    <t>MPSB/Road/42</t>
  </si>
  <si>
    <t>MPSB/Road/45</t>
  </si>
  <si>
    <t>MPSB/Road/46</t>
  </si>
  <si>
    <t>MPSB/Road/0073</t>
  </si>
  <si>
    <t>IPC -13</t>
  </si>
  <si>
    <t>MPSB/Road/0075</t>
  </si>
  <si>
    <t>MPSB/Road/0080</t>
  </si>
  <si>
    <t>MPSB/Road/0097</t>
  </si>
  <si>
    <t>MPSB/Road/0108</t>
  </si>
  <si>
    <t>MPSB/Road/0116</t>
  </si>
  <si>
    <t>MPSB/Road/0141</t>
  </si>
  <si>
    <t>MPSB/Road/0157</t>
  </si>
  <si>
    <t>MPSB/Road/0070</t>
  </si>
  <si>
    <t>MPSB/Road/0077</t>
  </si>
  <si>
    <t>MPSB/Road/0082</t>
  </si>
  <si>
    <t>MPSB/Road/0099</t>
  </si>
  <si>
    <t>MPSB/Road/0110</t>
  </si>
  <si>
    <t>MPSB/Road/0118</t>
  </si>
  <si>
    <t>MPSB/Road/0143</t>
  </si>
  <si>
    <t>MPSB/Road/0159</t>
  </si>
  <si>
    <t>MPSB/Road/0071</t>
  </si>
  <si>
    <t>MPSB/Road/0078</t>
  </si>
  <si>
    <t>MPSB/Road/0083</t>
  </si>
  <si>
    <t>MPSB/Road/0100</t>
  </si>
  <si>
    <t>MPSB/Road/0111</t>
  </si>
  <si>
    <t>MPSB/Road/0119</t>
  </si>
  <si>
    <t>MPSB/Road/0057</t>
  </si>
  <si>
    <t>MPSB/Road/0067</t>
  </si>
  <si>
    <t>MPSB/Road/0074</t>
  </si>
  <si>
    <t>MPSB/Road/0079</t>
  </si>
  <si>
    <t>MPSB/Road/0096</t>
  </si>
  <si>
    <t>MPSB/Road/0107</t>
  </si>
  <si>
    <t>MPSB/Road/0156</t>
  </si>
  <si>
    <t>MPSB/Road/0069</t>
  </si>
  <si>
    <t>MPSB/Road/0076</t>
  </si>
  <si>
    <t>MPSB/Road/0081</t>
  </si>
  <si>
    <t>MPSB/Road/0098</t>
  </si>
  <si>
    <t>MPSB/Road/0109</t>
  </si>
  <si>
    <t>MPSB/Road/0117</t>
  </si>
  <si>
    <t>MPSB/Road/0144</t>
  </si>
  <si>
    <t>MPSB/Road/0158</t>
  </si>
  <si>
    <t>MPSB/Road/0060</t>
  </si>
  <si>
    <t>MPSB/Road/0089</t>
  </si>
  <si>
    <t>MPSB/Road/0120</t>
  </si>
  <si>
    <t>MPSB/Road/0139</t>
  </si>
  <si>
    <t>MPSB/Road/0127</t>
  </si>
  <si>
    <t>15-03-2025</t>
  </si>
  <si>
    <t>MPSB/Road/0130</t>
  </si>
  <si>
    <t>22-03-2025</t>
  </si>
  <si>
    <t>MPSB/Road/0131</t>
  </si>
  <si>
    <t>MPSB/Road/0061</t>
  </si>
  <si>
    <t>MPSB/Road/0065</t>
  </si>
  <si>
    <t>MPSB/Road/0133</t>
  </si>
  <si>
    <t>MPSB/Road/0062</t>
  </si>
  <si>
    <t>MPSB/Road/0088</t>
  </si>
  <si>
    <t>MPSB/Road/121</t>
  </si>
  <si>
    <t>MPSB/Road/0087</t>
  </si>
  <si>
    <t>MPSB/Road/0123</t>
  </si>
  <si>
    <t>MPSB/Road/63</t>
  </si>
  <si>
    <t>MPSB/Road/124</t>
  </si>
  <si>
    <t>MPSB/Road/64</t>
  </si>
  <si>
    <t>MPSB/Road/125</t>
  </si>
  <si>
    <t>MPSB/Road/138</t>
  </si>
  <si>
    <t>MPSB/Road/145</t>
  </si>
  <si>
    <t>MPSB/Road/148</t>
  </si>
  <si>
    <t>MPSB/Road/136</t>
  </si>
  <si>
    <t>MPSB/Road/149</t>
  </si>
  <si>
    <t>MPSB/Road/137</t>
  </si>
  <si>
    <t>MPSB/Road/150</t>
  </si>
  <si>
    <t>MPSB/Road/162</t>
  </si>
  <si>
    <t>MPSB/Road/151</t>
  </si>
  <si>
    <t>MPSB/Road/163</t>
  </si>
  <si>
    <t>MPSB/Road/187</t>
  </si>
  <si>
    <t>IPC -14</t>
  </si>
  <si>
    <t>MPSB/Road/188</t>
  </si>
  <si>
    <t>MPSB/Road/174</t>
  </si>
  <si>
    <t>MPSB/Road/48</t>
  </si>
  <si>
    <t>MPSB/Road/88</t>
  </si>
  <si>
    <t>MPSB/Road/121 &amp; 122</t>
  </si>
  <si>
    <t>MPSB/Road/0553</t>
  </si>
  <si>
    <t>IPC -27</t>
  </si>
  <si>
    <t>MPSB/Road/0559</t>
  </si>
  <si>
    <t>MPSB/Road/0571</t>
  </si>
  <si>
    <t>MPSB/Road/0582</t>
  </si>
  <si>
    <t>MPSB/Road/0486</t>
  </si>
  <si>
    <t>MPSB/Road/0488</t>
  </si>
  <si>
    <t>MPSB/Road/0489</t>
  </si>
  <si>
    <t>MPSB/Road/0494</t>
  </si>
  <si>
    <t>MPSB/Road/0496</t>
  </si>
  <si>
    <t>MPSB/Road/0501</t>
  </si>
  <si>
    <t>MPSB/Road/0547</t>
  </si>
  <si>
    <t>MPSB/Road/0551</t>
  </si>
  <si>
    <t>MPSB/Road/0556</t>
  </si>
  <si>
    <t>MPSB/Road/0581</t>
  </si>
  <si>
    <t>MPSB/Road/0552</t>
  </si>
  <si>
    <t>MPSB/Road/0557</t>
  </si>
  <si>
    <t>MPSB/Road/0548</t>
  </si>
  <si>
    <t>MPSB/Road/0570</t>
  </si>
  <si>
    <t>MPSB/Road/0471</t>
  </si>
  <si>
    <t>MPSB/Road/0482</t>
  </si>
  <si>
    <t>MPSB/Road/0485</t>
  </si>
  <si>
    <t>MPSB/Road/0490</t>
  </si>
  <si>
    <t>MPSB/Road/0493</t>
  </si>
  <si>
    <t>MPSB/Road/0502</t>
  </si>
  <si>
    <t>MPSB/Road/0550</t>
  </si>
  <si>
    <t>MPSB/Road/0558</t>
  </si>
  <si>
    <t>MPSB/Road/0573</t>
  </si>
  <si>
    <t>MPSB/Road/0484</t>
  </si>
  <si>
    <t>MPSB/Road/0491</t>
  </si>
  <si>
    <t>MPSB/Road/0492</t>
  </si>
  <si>
    <t>MPSB/Road/0498</t>
  </si>
  <si>
    <t>MPSB/Road/0175</t>
  </si>
  <si>
    <t>MPSB/Road/0477</t>
  </si>
  <si>
    <t>MPSB/Road/0473</t>
  </si>
  <si>
    <t>MPSB/Road/0474</t>
  </si>
  <si>
    <t>MPSB/Road/0508</t>
  </si>
  <si>
    <t>MPSB/Road/0509</t>
  </si>
  <si>
    <t>MPSB/Road/0515</t>
  </si>
  <si>
    <t>MPSB/Road/0516</t>
  </si>
  <si>
    <t>MPSB/Road/0519</t>
  </si>
  <si>
    <t>MPSB/Road/0522</t>
  </si>
  <si>
    <t>MPSB/Road/0523</t>
  </si>
  <si>
    <t>MPSB/Road/0526</t>
  </si>
  <si>
    <t>MPSB/Road/0533</t>
  </si>
  <si>
    <t>MPSB/Road/0534</t>
  </si>
  <si>
    <t>MPSB/Road/0536</t>
  </si>
  <si>
    <t>MPSB/Road/0537</t>
  </si>
  <si>
    <t>MPSB/Road/0542</t>
  </si>
  <si>
    <t>MPSB/Road/0201</t>
  </si>
  <si>
    <t>MPSB/Road/0202</t>
  </si>
  <si>
    <t>MPSB/Road/0506</t>
  </si>
  <si>
    <t>MPSB/Road/0476</t>
  </si>
  <si>
    <t>Schedule 8 - Provisional Sum</t>
  </si>
  <si>
    <t>802.a</t>
  </si>
  <si>
    <t>As per attachment</t>
  </si>
  <si>
    <t>Dispute Board Expenses</t>
  </si>
  <si>
    <t>Q</t>
  </si>
  <si>
    <t>Shri. Dinesh Kumar - Chairperson</t>
  </si>
  <si>
    <t>Shri. S K Nirmal - PWD Member</t>
  </si>
  <si>
    <t>Brigadier Vinod Nakra - L&amp;T side</t>
  </si>
  <si>
    <t>Rate</t>
  </si>
  <si>
    <t>Jun'25 - Sep'25</t>
  </si>
  <si>
    <t>Retainer-ship Fee, Secreterial Assitance and Incident Charges (Telephone, Fax, Postage, etc.)</t>
  </si>
  <si>
    <t>Per Month</t>
  </si>
  <si>
    <t>8 Days in June + 3 Months</t>
  </si>
  <si>
    <t>2(i)</t>
  </si>
  <si>
    <t>For Project Site Visit or meeting at site office</t>
  </si>
  <si>
    <t>Per Day</t>
  </si>
  <si>
    <t>2 Days</t>
  </si>
  <si>
    <t>2(ii)</t>
  </si>
  <si>
    <t>Fee for meetings / hearings not at site</t>
  </si>
  <si>
    <t>1 Day</t>
  </si>
  <si>
    <t>Travelling Expenses</t>
  </si>
  <si>
    <t>Day 1</t>
  </si>
  <si>
    <t>@ Actuals</t>
  </si>
  <si>
    <t>Delhi - Guwahati</t>
  </si>
  <si>
    <t>Day 2</t>
  </si>
  <si>
    <t>Guwahati - Delhi</t>
  </si>
  <si>
    <t>Lodging &amp; Boarding</t>
  </si>
  <si>
    <t>Extra charges for days other than hearing / meeting days (travel days maximum of 2 days on each occasion)</t>
  </si>
  <si>
    <t>Local Conveyance</t>
  </si>
  <si>
    <t>Oct'25 - Dec'25</t>
  </si>
  <si>
    <t>3 Months</t>
  </si>
  <si>
    <t>6-Oct-25 &amp; 10-Oct-25</t>
  </si>
  <si>
    <t>Jan'26 - Mar-26</t>
  </si>
  <si>
    <t>Apr'26 - Jun-26</t>
  </si>
  <si>
    <t>Add GST</t>
  </si>
  <si>
    <t>Grand Total</t>
  </si>
  <si>
    <t>Employers Share to be paid</t>
  </si>
  <si>
    <t>Cum. Up to this IPC</t>
  </si>
  <si>
    <t>Up to Previous IPC</t>
  </si>
  <si>
    <t>This IPC</t>
  </si>
  <si>
    <t>General Conditions of Contract - Clause 14.4 - Schedule of Payments - Road Works / Structure Works</t>
  </si>
  <si>
    <t>Road / Structure Works</t>
  </si>
  <si>
    <t>Structure Works</t>
  </si>
  <si>
    <t>Road Works</t>
  </si>
  <si>
    <t>General Conditions of Contract - Clause 13.7 - Adjustments for Changes in Cost</t>
  </si>
  <si>
    <t>Base Month</t>
  </si>
  <si>
    <t>% Of Component (a)</t>
  </si>
  <si>
    <t>Work Done Month</t>
  </si>
  <si>
    <t>Month Index Applicable</t>
  </si>
  <si>
    <t>Work done Value
(W)</t>
  </si>
  <si>
    <t>Labour - CPI, Assam, Guwahati</t>
  </si>
  <si>
    <t>Steel - WPI, Mild Steel - Long Products</t>
  </si>
  <si>
    <t>Cement - WPI, Ordinary Portland Cement</t>
  </si>
  <si>
    <t>Bitumen - VG40 - Haldia Refinery, West Bengal</t>
  </si>
  <si>
    <t>Fuel and Lubricants - IOCL, Guwahati</t>
  </si>
  <si>
    <t>Other Materials - WPI, All Commodities</t>
  </si>
  <si>
    <t>Const. Machinery - WPI, Machinery for Mining, Quarrying and Const.</t>
  </si>
  <si>
    <t>Total Adjusted Factor
(Pn = a+B+C+D+E+F+G+H)</t>
  </si>
  <si>
    <t>Adjustments for Change in Cost
(Pn*W)</t>
  </si>
  <si>
    <t>Base 
Index (Lo)</t>
  </si>
  <si>
    <t>Base
Index (So)</t>
  </si>
  <si>
    <t>Base
Index (Co)</t>
  </si>
  <si>
    <t>Base
Index (Bo)</t>
  </si>
  <si>
    <t>Base Index (Fo)-Retail</t>
  </si>
  <si>
    <t>Base
Index (Oo)</t>
  </si>
  <si>
    <t>Base
Index (Mo)</t>
  </si>
  <si>
    <t>Bulk(B)</t>
  </si>
  <si>
    <t>% of Component</t>
  </si>
  <si>
    <t>Road Works (b)</t>
  </si>
  <si>
    <t>Road Works (c)</t>
  </si>
  <si>
    <t>Road Works (d)</t>
  </si>
  <si>
    <t>Road Works (e)</t>
  </si>
  <si>
    <t>Road
Works (f)</t>
  </si>
  <si>
    <t>Road Works (g)</t>
  </si>
  <si>
    <t>Road Works (h)</t>
  </si>
  <si>
    <t>Structure Works (b)</t>
  </si>
  <si>
    <t>Structure Works (c)</t>
  </si>
  <si>
    <t>Structure Works (d)</t>
  </si>
  <si>
    <t>Structure Works (e)</t>
  </si>
  <si>
    <t>Structure Works (f)</t>
  </si>
  <si>
    <t>Structure Works (g)</t>
  </si>
  <si>
    <t>Structure Works (h)</t>
  </si>
  <si>
    <t>Current Index (Ln)</t>
  </si>
  <si>
    <t>Adjusted Factor B=b*(Ln/Lo)</t>
  </si>
  <si>
    <t>Current Index (Sn)</t>
  </si>
  <si>
    <t>Adjusted Factor C=c*(Sn/So)</t>
  </si>
  <si>
    <t>Current Index (Cn)</t>
  </si>
  <si>
    <t>Adjusted Factor D=d*(Cn/Co)</t>
  </si>
  <si>
    <t>Current Index (Bn)</t>
  </si>
  <si>
    <t>Adjusted Factor E=e*(Bn/Bo)</t>
  </si>
  <si>
    <t>Current Index (Fn)</t>
  </si>
  <si>
    <t>Adjusted Factor F=f*(Fn/Fo)</t>
  </si>
  <si>
    <t>Current Index (On)</t>
  </si>
  <si>
    <t>Adjusted Factor G=g*(On/Oo)</t>
  </si>
  <si>
    <t>Current Index (Mn)</t>
  </si>
  <si>
    <t>Adjusted Factor H=g*(Mn/Mo)</t>
  </si>
  <si>
    <t>Start</t>
  </si>
  <si>
    <t>End</t>
  </si>
  <si>
    <t>No. of days</t>
  </si>
  <si>
    <t>Avg. Rate</t>
  </si>
  <si>
    <t>IPC - 30 (B)</t>
  </si>
  <si>
    <t>IPC - 31 (B)</t>
  </si>
  <si>
    <t>IPC - 33 (B)</t>
  </si>
  <si>
    <t>Total Road Works</t>
  </si>
  <si>
    <t>Structure Works (Extradosed Bridge and all structural works)</t>
  </si>
  <si>
    <t>Total Structure Works</t>
  </si>
  <si>
    <t>Cumulative Price Adjustment</t>
  </si>
  <si>
    <t>Price Adjustment up to previous Bill</t>
  </si>
  <si>
    <t>Price Adjustment this Bill</t>
  </si>
  <si>
    <t>Indices Calculation</t>
  </si>
  <si>
    <t>Mild Steel - Long Products / 
Bars and Rods of Mild steel</t>
  </si>
  <si>
    <t>Ordinary Portland Cement</t>
  </si>
  <si>
    <t>All Commodities</t>
  </si>
  <si>
    <t>Manufacture of machinery for mining, quarrying and construction</t>
  </si>
  <si>
    <t>Old Series
2011-12</t>
  </si>
  <si>
    <t>New Series
2022-23</t>
  </si>
  <si>
    <t>Linking Factor</t>
  </si>
  <si>
    <t>To be used for  Calculation</t>
  </si>
  <si>
    <t xml:space="preserve">Avg. </t>
  </si>
  <si>
    <t>Withheld / Release of Withhled Amount Details</t>
  </si>
  <si>
    <t>Schedule No.</t>
  </si>
  <si>
    <t>Amount Payable per Unit</t>
  </si>
  <si>
    <t>Quantity Certified</t>
  </si>
  <si>
    <t>Amount Certified</t>
  </si>
  <si>
    <t>Release of Withheld</t>
  </si>
  <si>
    <t>Criteria</t>
  </si>
  <si>
    <t>On completion of Piles - Approach Viaduct</t>
  </si>
  <si>
    <t>Due to non-approval of GFC Drawings</t>
  </si>
  <si>
    <t>As per Approvals</t>
  </si>
  <si>
    <t>On completion of Piles - Wetland Viaduct</t>
  </si>
  <si>
    <t>Moulds - Fabrication &amp; Commissioning</t>
  </si>
  <si>
    <t>For pending commissioning works</t>
  </si>
  <si>
    <t>Pending works has been completed</t>
  </si>
  <si>
    <t>For Pending Finishing Works</t>
  </si>
  <si>
    <t>On completion of Well - Approach Viaduct</t>
  </si>
  <si>
    <t>Casting of Girders in the precast yard - For Wetland Viaduct</t>
  </si>
  <si>
    <t>Due to non-submission of Test report</t>
  </si>
  <si>
    <t>Approach Road Works</t>
  </si>
  <si>
    <t>For Pending works - Km 3+760</t>
  </si>
  <si>
    <t>Due to non-approval of GFC Drawings - P14(N)</t>
  </si>
  <si>
    <t>For Pending works - Km 10+100</t>
  </si>
  <si>
    <t>Cumulative Amount up to this IPC</t>
  </si>
  <si>
    <t>Release of Withhled Details</t>
  </si>
  <si>
    <t>Withhled</t>
  </si>
  <si>
    <t>Release</t>
  </si>
  <si>
    <t>IPC</t>
  </si>
  <si>
    <t>ID</t>
  </si>
  <si>
    <t>Group</t>
  </si>
  <si>
    <t>Wetland Viaduct - 2</t>
  </si>
  <si>
    <t>Approach Viaduct - 1</t>
  </si>
  <si>
    <t>P31</t>
  </si>
  <si>
    <t>Approach Viaduct - 2</t>
  </si>
  <si>
    <t>Wetland Viaduct - 1</t>
  </si>
  <si>
    <t>P34</t>
  </si>
  <si>
    <t>P32</t>
  </si>
  <si>
    <t>P33</t>
  </si>
  <si>
    <t>P35</t>
  </si>
  <si>
    <t>P36</t>
  </si>
  <si>
    <t>P32R</t>
  </si>
  <si>
    <t>P33R</t>
  </si>
  <si>
    <t>P3 - WV1</t>
  </si>
  <si>
    <t>Invoice Type</t>
  </si>
  <si>
    <t>Withheld of Retention Amount - 6%</t>
  </si>
  <si>
    <t>Release of Retention Amount - 5%</t>
  </si>
  <si>
    <t>Main Works</t>
  </si>
  <si>
    <t>Change in Cost</t>
  </si>
  <si>
    <t>IPC - 12</t>
  </si>
  <si>
    <t>Retention Money Release up to IPC - 11</t>
  </si>
  <si>
    <t>IPC - 17</t>
  </si>
  <si>
    <t>Retention Money Release from IPC - 13 to 15</t>
  </si>
  <si>
    <t>IPC - 21</t>
  </si>
  <si>
    <t>Retention Money Release from IPC - 16, 18 to 20</t>
  </si>
  <si>
    <t>IPC - 24</t>
  </si>
  <si>
    <t>Retention Money Release from IPC - 22 &amp; 23</t>
  </si>
  <si>
    <t>IPC - 28</t>
  </si>
  <si>
    <t>Retention Money Release from IPC - 25 &amp; 26</t>
  </si>
  <si>
    <t>IPC - 32</t>
  </si>
  <si>
    <t>Retention Money Release from IPC - 27, 29 &amp; 30</t>
  </si>
  <si>
    <t>Reduction of Advance Bank Guarantee Amount</t>
  </si>
  <si>
    <t>Mobiloization Advance</t>
  </si>
  <si>
    <t>Recovery of Mobilization Advance - 15%</t>
  </si>
  <si>
    <t>Reduction of ABG Amount</t>
  </si>
  <si>
    <t>Revised ABG Amount submitted</t>
  </si>
  <si>
    <t>IPC - 01</t>
  </si>
  <si>
    <t>Mobilization Advance - 1st Installment</t>
  </si>
  <si>
    <t>IPC - 06</t>
  </si>
  <si>
    <t>Mobilization Advance - 2nd Installment</t>
  </si>
  <si>
    <t>Value of ABG given initially</t>
  </si>
  <si>
    <t>Adjusted Advance as on IPC 13</t>
  </si>
  <si>
    <t>ABG - 1st amendement</t>
  </si>
  <si>
    <t>To be adjusted advance from IPC 14 to IPC 15</t>
  </si>
  <si>
    <t>ABG - 2nd amendement to be done</t>
  </si>
  <si>
    <t>Reconciliation of Forest Royalty Payments / Adjustments</t>
  </si>
  <si>
    <t>Certified IPC Amount</t>
  </si>
  <si>
    <t>Forest Royalty to be deducted from IPC (A)</t>
  </si>
  <si>
    <t>Forest Royalty deducted from IPC (B)</t>
  </si>
  <si>
    <t>Adjusted in IPC's
(C) = (A)-(B)</t>
  </si>
  <si>
    <t>Actual Claimed in IPC (D)</t>
  </si>
  <si>
    <t>Balance to be adjusted
(E) = (D)-(C)</t>
  </si>
  <si>
    <t>Certified</t>
  </si>
  <si>
    <t>Income Tax</t>
  </si>
  <si>
    <t>MMDRRF, DMFT &amp; SMET</t>
  </si>
  <si>
    <t>To be decuted</t>
  </si>
  <si>
    <t>Deducted</t>
  </si>
  <si>
    <t>Adjutsment made</t>
  </si>
  <si>
    <t xml:space="preserve"> Forest Royalty</t>
  </si>
  <si>
    <t>Income Tax on FR</t>
  </si>
  <si>
    <t>MMDRF, DMFT, SMET</t>
  </si>
  <si>
    <t>Forest Royalty Payments by the Contractor</t>
  </si>
  <si>
    <t>Payment Date</t>
  </si>
  <si>
    <t>Paid By</t>
  </si>
  <si>
    <t>Permit No.</t>
  </si>
  <si>
    <t>Quantity Paid (Cum)</t>
  </si>
  <si>
    <t>Amount Paid</t>
  </si>
  <si>
    <t>Type of Material</t>
  </si>
  <si>
    <t>Released in IPC</t>
  </si>
  <si>
    <t>Forest Royalty</t>
  </si>
  <si>
    <t>MMDRRF &amp; DMFT</t>
  </si>
  <si>
    <t>SMET</t>
  </si>
  <si>
    <t>Processing Fee</t>
  </si>
  <si>
    <t>GST @ 5%</t>
  </si>
  <si>
    <t>TCSS @ 2.55%</t>
  </si>
  <si>
    <t>AMDCL Charge</t>
  </si>
  <si>
    <t>PWRD, Assam</t>
  </si>
  <si>
    <t>DFO-Rangia</t>
  </si>
  <si>
    <t>L&amp;T Ltd.</t>
  </si>
  <si>
    <t>Ordinary Earth</t>
  </si>
  <si>
    <t>DFO-Dhansiri</t>
  </si>
  <si>
    <t>Stone</t>
  </si>
  <si>
    <t>DFO-Goalpara</t>
  </si>
  <si>
    <t>River Sand</t>
  </si>
  <si>
    <t>AMDCL</t>
  </si>
  <si>
    <t>Clay</t>
  </si>
  <si>
    <t>DFO-Baksha</t>
  </si>
  <si>
    <t>DFO-Basishta</t>
  </si>
  <si>
    <t>Sand</t>
  </si>
  <si>
    <t>DFO-Udalgiri</t>
  </si>
  <si>
    <t>Paid up to Previous IPC</t>
  </si>
  <si>
    <t>To be claimed in the month</t>
  </si>
  <si>
    <t>No.-Quarterly</t>
  </si>
  <si>
    <t>Implementation of Environmental Monitoring Program</t>
  </si>
  <si>
    <t>Ecology and Biodiversity</t>
  </si>
  <si>
    <t>Maintenace of Equipment</t>
  </si>
  <si>
    <t>EMP provisions - During Construction Phase</t>
  </si>
  <si>
    <t>Provision for establishment of Sewage and Water Treatment Plant</t>
  </si>
  <si>
    <t>To be signed by RE</t>
  </si>
  <si>
    <t>MPSB/Str/4308</t>
  </si>
  <si>
    <t>Suman</t>
  </si>
  <si>
    <t>MPSB/Str/4311</t>
  </si>
  <si>
    <t>MPSB/Str/4313</t>
  </si>
  <si>
    <t>MPSB/Str/4323</t>
  </si>
  <si>
    <t>MPSB/MB/1449</t>
  </si>
  <si>
    <t>MPSB/Str/4319</t>
  </si>
  <si>
    <t>Ye to receive</t>
  </si>
  <si>
    <t>MPSB/MB/1446</t>
  </si>
  <si>
    <t>MPSB/MB/1450</t>
  </si>
  <si>
    <t>MPSB/Str/4333</t>
  </si>
  <si>
    <t>MPSB/MB/1445</t>
  </si>
  <si>
    <t>MPSB/MB/1453</t>
  </si>
  <si>
    <t>MPSB/MB/1467</t>
  </si>
  <si>
    <t>MPSB/MB/1472</t>
  </si>
  <si>
    <t>MPSB/Str/4328</t>
  </si>
  <si>
    <t>MPSB/Str/4346</t>
  </si>
  <si>
    <t>MPSB/Str/4361</t>
  </si>
  <si>
    <t>MPSB/MB/1486</t>
  </si>
  <si>
    <t>MPSB/MB/1487</t>
  </si>
  <si>
    <t>MPSB/MB/1490</t>
  </si>
  <si>
    <t>MPSB/MB/1493</t>
  </si>
  <si>
    <t>MPSB/Str/4360</t>
  </si>
  <si>
    <t>MPSB/Str/4377</t>
  </si>
  <si>
    <t>MPSB/MB/1510</t>
  </si>
  <si>
    <t>MPSB/MB/1500</t>
  </si>
  <si>
    <t>MPSB/Str/4379</t>
  </si>
  <si>
    <t>MPSB/MB/1517</t>
  </si>
  <si>
    <t>MPSB/Str/4403</t>
  </si>
  <si>
    <t>MPSB/Str/4404</t>
  </si>
  <si>
    <t>MPSB/Str/4368</t>
  </si>
  <si>
    <t>MPSB/MB/1511</t>
  </si>
  <si>
    <t>MPSB/Str/4384</t>
  </si>
  <si>
    <t>MPSB/Str/4394</t>
  </si>
  <si>
    <t>MPSB/MB/1513</t>
  </si>
  <si>
    <t>MPSB/Str/4386</t>
  </si>
  <si>
    <t>MPSB/MB/1524</t>
  </si>
  <si>
    <t>MPSB/Str/4408</t>
  </si>
  <si>
    <t>MPSB/Str/4410</t>
  </si>
  <si>
    <t>MPSB/Str/4411</t>
  </si>
  <si>
    <t>MPSB/Str/4412</t>
  </si>
  <si>
    <t>MPSB/Str/4399</t>
  </si>
  <si>
    <t>MPSB/MB/1534</t>
  </si>
  <si>
    <t>MPSB/MB/1544</t>
  </si>
  <si>
    <t>MPSB/MB/1556</t>
  </si>
  <si>
    <t>MPSB/MB/1557</t>
  </si>
  <si>
    <t>MPSB/MB/1561</t>
  </si>
  <si>
    <t>MPSB/MB/1566</t>
  </si>
  <si>
    <t>MPSB/Str/4430</t>
  </si>
  <si>
    <t>MPSB/Str/4417</t>
  </si>
  <si>
    <t>MPSB/Str/4432</t>
  </si>
  <si>
    <t>MPSB/MB/1573</t>
  </si>
  <si>
    <t>MPSB/Str/4438</t>
  </si>
  <si>
    <t>Km 4+914 - LHS</t>
  </si>
  <si>
    <t>MPSB/Str/4453</t>
  </si>
  <si>
    <t>MPSB/MB/1570</t>
  </si>
  <si>
    <t>MPSB/Str/4445</t>
  </si>
  <si>
    <t>MPSB/MB/1585</t>
  </si>
  <si>
    <t>MPSB/Str/4454</t>
  </si>
  <si>
    <t>MPSB/Str/4467</t>
  </si>
  <si>
    <t>MPSB/Str/4469</t>
  </si>
  <si>
    <t>MPSB/MB/1594</t>
  </si>
  <si>
    <t>MPSB/Str/4443</t>
  </si>
  <si>
    <t>MPSB/MB/1606</t>
  </si>
  <si>
    <t>MPSB/Str/4456</t>
  </si>
  <si>
    <t>MPSB/Str/4458</t>
  </si>
  <si>
    <t>MPSB/Str/4477</t>
  </si>
  <si>
    <t>MPSB/MB/1618</t>
  </si>
  <si>
    <t>MPSB/Str/4429</t>
  </si>
  <si>
    <t>MPSB/Str/4470</t>
  </si>
  <si>
    <t>MPSB/MB/1621</t>
  </si>
  <si>
    <t>MPSB/MB/1630</t>
  </si>
  <si>
    <t>MPSB/Str/4476</t>
  </si>
  <si>
    <t>MPSB/Str/4489</t>
  </si>
  <si>
    <t>MPSB/Str/4490</t>
  </si>
  <si>
    <t>MPSB/Str/4491</t>
  </si>
  <si>
    <t>MPSB/Str/4492</t>
  </si>
  <si>
    <t>MPSB/Str/4474</t>
  </si>
  <si>
    <t>MPSB/Str/4483</t>
  </si>
  <si>
    <t>MPSB/MB/1639</t>
  </si>
  <si>
    <t>MPSB/Str/4515</t>
  </si>
  <si>
    <t>MPSB/MB/1645</t>
  </si>
  <si>
    <t>MPSB/MB/1652</t>
  </si>
  <si>
    <t>MPSB/MB/1653</t>
  </si>
  <si>
    <t>MPSB/MB/1646</t>
  </si>
  <si>
    <t>MPSB/Str/4496</t>
  </si>
  <si>
    <t>MPSB/Str/4511</t>
  </si>
  <si>
    <t>MPSB/Str/4524</t>
  </si>
  <si>
    <t>MPSB/MB/1663</t>
  </si>
  <si>
    <t>MPSB/MB/1665</t>
  </si>
  <si>
    <t>MPSB/MB/1667</t>
  </si>
  <si>
    <t>MPSB/Str/4528</t>
  </si>
  <si>
    <t>MPSB/Str/4529</t>
  </si>
  <si>
    <t>MPSB/Str/4536</t>
  </si>
  <si>
    <t>MPSB/MB/1671</t>
  </si>
  <si>
    <t>MPSB/MB/1674</t>
  </si>
  <si>
    <t>MPSB/MB/1675</t>
  </si>
  <si>
    <t>MPSB/MB/1676</t>
  </si>
  <si>
    <t>MPSB/MB/1680</t>
  </si>
  <si>
    <t>MPSB/Str/4540</t>
  </si>
  <si>
    <t>MPSB/Str/4544</t>
  </si>
  <si>
    <t>MPSB/Str/4559</t>
  </si>
  <si>
    <t>MPSB/Str/4561</t>
  </si>
  <si>
    <t>MPSB/Str/4566</t>
  </si>
  <si>
    <t>MPSB/Str/4568</t>
  </si>
  <si>
    <t>X</t>
  </si>
  <si>
    <t>Y</t>
  </si>
  <si>
    <t>Statement on dedcution against P12 &amp; P14 Toppled Well Foundations</t>
  </si>
  <si>
    <t>Unit Rate</t>
  </si>
  <si>
    <t>Work Done &amp; Measured Qty</t>
  </si>
  <si>
    <t>Deducted against toppled P12 &amp; P14 Well foundations</t>
  </si>
  <si>
    <t>Cumulative Qty. certified in IPC-26</t>
  </si>
  <si>
    <t>Up to Dec'25</t>
  </si>
  <si>
    <t>Jan'26</t>
  </si>
  <si>
    <t>Cumulative</t>
  </si>
  <si>
    <t>Amoumt</t>
  </si>
  <si>
    <t>Qty</t>
  </si>
  <si>
    <t>D = B+C</t>
  </si>
  <si>
    <t>E = A*D</t>
  </si>
  <si>
    <t>F</t>
  </si>
  <si>
    <t>G = A*F</t>
  </si>
  <si>
    <t>H</t>
  </si>
  <si>
    <t>I = A*H</t>
  </si>
  <si>
    <t>Documents required for Interim Payment Certificate</t>
  </si>
  <si>
    <t>Sub-Item No.</t>
  </si>
  <si>
    <t>Mandate Documents</t>
  </si>
  <si>
    <t>a,b,c,d,e</t>
  </si>
  <si>
    <t>Layout Submission</t>
  </si>
  <si>
    <t>Layout Approval</t>
  </si>
  <si>
    <t>Approved RFI's for each activity</t>
  </si>
  <si>
    <t>Land Agreement Copies</t>
  </si>
  <si>
    <t>f.i</t>
  </si>
  <si>
    <t>Completion of Finishing Works - Office Furniture</t>
  </si>
  <si>
    <t>Invoice of Furniture</t>
  </si>
  <si>
    <t>f.ii</t>
  </si>
  <si>
    <t>Completion of Finishing Works - Office Equipment</t>
  </si>
  <si>
    <t>Invoice of Equipment</t>
  </si>
  <si>
    <t>f.iii</t>
  </si>
  <si>
    <t>Completion of Finishing Works - Vehicles</t>
  </si>
  <si>
    <t>Invoice of Vehicles</t>
  </si>
  <si>
    <t>a,b,c,d,e,f</t>
  </si>
  <si>
    <t>Completion of Finishing Works - Office</t>
  </si>
  <si>
    <t>Furniture Receipt</t>
  </si>
  <si>
    <t>Completion of Finishing Works - Laboratory</t>
  </si>
  <si>
    <t>Lab equipment receipt</t>
  </si>
  <si>
    <t>Availability of Vehicles</t>
  </si>
  <si>
    <t>Availability of Equipment with Calibration</t>
  </si>
  <si>
    <t>Environmental Management Plan Implementation - Preconstruction / Construction / Operation Phase of the project</t>
  </si>
  <si>
    <t>EMP Submission</t>
  </si>
  <si>
    <t>EMP Approval</t>
  </si>
  <si>
    <t>EMP Adherence</t>
  </si>
  <si>
    <t>Submission of Air, Water, Noise, Soil, Ecology and Biodiversity reports as per the frequency</t>
  </si>
  <si>
    <t>Status of Implementation</t>
  </si>
  <si>
    <t>Inspection of Pinger at stores</t>
  </si>
  <si>
    <t>Installation of Pinger at site</t>
  </si>
  <si>
    <t>Wetland Restoration - Clearance of Eutrophication, Water area, etc</t>
  </si>
  <si>
    <t>Restoration Plan submission</t>
  </si>
  <si>
    <t>Restoration Plan Approval</t>
  </si>
  <si>
    <t>Inspection of accessories received</t>
  </si>
  <si>
    <t>PPE's adherence / Health Checkup details / Fire management / Sign boards</t>
  </si>
  <si>
    <t>Induction Register / Followed by training register</t>
  </si>
  <si>
    <t>Traffic Plan submission and management at site</t>
  </si>
  <si>
    <t>Emergency Plan submission and preparedness at site</t>
  </si>
  <si>
    <t>Inspection of Plant receipt at site / Installation of the same</t>
  </si>
  <si>
    <t>RFIs for construction of Sedimentation tank</t>
  </si>
  <si>
    <t>RFIs for construction of Toilets</t>
  </si>
  <si>
    <t>Upon dismantling and demobilization</t>
  </si>
  <si>
    <t>RFIs for the activity, for the entire stretch</t>
  </si>
  <si>
    <t>RFI's for the activity, for the entire stretch / Submission / Approval</t>
  </si>
  <si>
    <t>RFI's for the activity, for the entire stretch / Submission</t>
  </si>
  <si>
    <t>Drawings Submission / Approval</t>
  </si>
  <si>
    <t>Major Bridge (GAD)</t>
  </si>
  <si>
    <t>Drawings Submission / Approval / GFC Issuance</t>
  </si>
  <si>
    <t>Foundation of Major Bridge</t>
  </si>
  <si>
    <t>Substructure of Major Bridge</t>
  </si>
  <si>
    <t>Superstructure of Major Bridge</t>
  </si>
  <si>
    <t>Drawings Submission</t>
  </si>
  <si>
    <t>Drawings Approval</t>
  </si>
  <si>
    <t>Inspection of material receipt at site</t>
  </si>
  <si>
    <t>Method Statement for execution of TAB</t>
  </si>
  <si>
    <t>RFIs for installation of TAB</t>
  </si>
  <si>
    <t>Inspection of Batching Plant receipt at site / RFIs for completion of foundation / Installation &amp; commissioning of Batching Plant</t>
  </si>
  <si>
    <t>Inspection of Crusher Plant receipt at site / RFIs for completion of foundation / Installation &amp; commissioning of Crusher Plant</t>
  </si>
  <si>
    <t>Commissioning of Rebar &amp; Formwork Yard</t>
  </si>
  <si>
    <t>RFIs for Area Development / Foundation of Gantry track / Casting bed foundation / Stacking bed foundation / Finishing and commissioning</t>
  </si>
  <si>
    <t>Moulds</t>
  </si>
  <si>
    <t>Inspection of material receipt at site / RFIs for fabrication and commissioning</t>
  </si>
  <si>
    <t>Inspection of equipment receipt at site / Installation and commissioning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</si>
</sst>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 * #,##0.00_ ;_ * \-#,##0.00_ ;_ * &quot;-&quot;??_ ;_ @_ "/>
    <numFmt numFmtId="164" formatCode="_(* #,##0_);_(* \(#,##0\);_(* &quot;-&quot;_);_(@_)"/>
    <numFmt numFmtId="165" formatCode="_ * #,##0_ ;_ * \-#,##0_ ;_ * &quot;-&quot;??_ ;_ @_ "/>
    <numFmt numFmtId="166" formatCode="0.0%"/>
    <numFmt numFmtId="167" formatCode="_ * #,##0.000_ ;_ * \-#,##0.000_ ;_ * &quot;-&quot;??_ ;_ @_ "/>
    <numFmt numFmtId="168" formatCode="0.000"/>
    <numFmt numFmtId="169" formatCode="[$-409]mmm/yy;@"/>
    <numFmt numFmtId="170" formatCode="_(* #,##0_);_(* \(#,##0\);_(* &quot;-&quot;??_);_(@_)"/>
    <numFmt numFmtId="171" formatCode="_(* #,##0.000_);_(* \(#,##0.000\);_(* &quot;-&quot;??_);_(@_)"/>
    <numFmt numFmtId="172" formatCode="_ * #,##0.000_ ;_ * \-#,##0.000_ ;_ * &quot;-&quot;???_ ;_ @_ "/>
    <numFmt numFmtId="173" formatCode="[$-409]dd/mmm/yy;@"/>
    <numFmt numFmtId="174" formatCode="0\+000"/>
    <numFmt numFmtId="175" formatCode="[$-409]d/mmm/yy;@"/>
    <numFmt numFmtId="176" formatCode="m/d;@"/>
    <numFmt numFmtId="177" formatCode="_ * #,##0.0000_ ;_ * \-#,##0.0000_ ;_ * &quot;-&quot;??_ ;_ @_ "/>
    <numFmt numFmtId="178" formatCode="\3\5\%\ &quot;of Amount Certified&quot;"/>
    <numFmt numFmtId="179" formatCode="_ * #,##0.00000_ ;_ * \-#,##0.00000_ ;_ * &quot;-&quot;??_ ;_ @_ "/>
    <numFmt numFmtId="180" formatCode="_ &quot;₹&quot;\ * #,##0_ ;_ &quot;₹&quot;\ * \-#,##0_ ;_ &quot;₹&quot;\ * &quot;-&quot;??_ ;_ @_ "/>
    <numFmt numFmtId="181" formatCode="0.0000"/>
    <numFmt numFmtId="182" formatCode="_ * #,##0_ ;_ * \-#,##0_ ;_ * &quot;-&quot;???_ ;_ @_ 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u/>
      <sz val="16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.5"/>
      <color theme="1"/>
      <name val="Calibri"/>
      <family val="2"/>
      <scheme val="minor"/>
    </font>
    <font>
      <sz val="11.6"/>
      <color theme="1"/>
      <name val="Calibri"/>
      <family val="2"/>
      <scheme val="minor"/>
    </font>
    <font>
      <sz val="11.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sz val="14"/>
      <color theme="1"/>
      <name val="Calibri"/>
      <family val="2"/>
      <scheme val="minor"/>
    </font>
    <font>
      <b/>
      <u/>
      <sz val="9.5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9.5"/>
      <name val="Calibri"/>
      <family val="2"/>
      <scheme val="minor"/>
    </font>
    <font>
      <b/>
      <sz val="11.5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2" fillId="0" borderId="0"/>
    <xf numFmtId="0" fontId="13" fillId="0" borderId="0"/>
    <xf numFmtId="0" fontId="13" fillId="0" borderId="0"/>
    <xf numFmtId="0" fontId="1" fillId="0" borderId="0"/>
    <xf numFmtId="0" fontId="12" fillId="0" borderId="0"/>
  </cellStyleXfs>
  <cellXfs count="1995">
    <xf numFmtId="0" fontId="0" fillId="0" borderId="0" xfId="0"/>
    <xf numFmtId="0" fontId="2" fillId="0" borderId="0" xfId="0" applyFont="1" applyAlignment="1">
      <alignment vertical="center"/>
    </xf>
    <xf numFmtId="0" fontId="6" fillId="0" borderId="9" xfId="0" applyFont="1" applyBorder="1" applyAlignment="1">
      <alignment horizontal="center" vertical="top" textRotation="90"/>
    </xf>
    <xf numFmtId="165" fontId="6" fillId="0" borderId="10" xfId="1" applyNumberFormat="1" applyFont="1" applyFill="1" applyBorder="1" applyAlignment="1">
      <alignment horizontal="center" vertical="top" textRotation="90" wrapText="1"/>
    </xf>
    <xf numFmtId="0" fontId="6" fillId="0" borderId="10" xfId="0" applyFont="1" applyBorder="1" applyAlignment="1">
      <alignment vertical="center" wrapText="1"/>
    </xf>
    <xf numFmtId="0" fontId="4" fillId="0" borderId="30" xfId="0" applyFont="1" applyBorder="1" applyAlignment="1">
      <alignment horizontal="right" vertical="center"/>
    </xf>
    <xf numFmtId="0" fontId="6" fillId="2" borderId="21" xfId="0" applyFont="1" applyFill="1" applyBorder="1" applyAlignment="1">
      <alignment vertical="center" wrapText="1"/>
    </xf>
    <xf numFmtId="0" fontId="4" fillId="0" borderId="23" xfId="0" applyFont="1" applyBorder="1" applyAlignment="1">
      <alignment horizontal="left" vertical="center" wrapText="1"/>
    </xf>
    <xf numFmtId="0" fontId="6" fillId="2" borderId="23" xfId="0" applyFont="1" applyFill="1" applyBorder="1" applyAlignment="1">
      <alignment vertical="center" wrapText="1"/>
    </xf>
    <xf numFmtId="0" fontId="4" fillId="0" borderId="23" xfId="0" applyFont="1" applyBorder="1" applyAlignment="1">
      <alignment horizontal="left" vertical="center" wrapText="1" indent="2"/>
    </xf>
    <xf numFmtId="0" fontId="4" fillId="0" borderId="23" xfId="0" applyFont="1" applyBorder="1" applyAlignment="1">
      <alignment vertical="center" wrapText="1"/>
    </xf>
    <xf numFmtId="165" fontId="4" fillId="0" borderId="30" xfId="1" applyNumberFormat="1" applyFont="1" applyFill="1" applyBorder="1" applyAlignment="1">
      <alignment horizontal="center" vertical="center"/>
    </xf>
    <xf numFmtId="168" fontId="4" fillId="0" borderId="30" xfId="1" applyNumberFormat="1" applyFont="1" applyBorder="1" applyAlignment="1">
      <alignment horizontal="center" vertical="center"/>
    </xf>
    <xf numFmtId="10" fontId="4" fillId="0" borderId="23" xfId="2" applyNumberFormat="1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165" fontId="6" fillId="2" borderId="30" xfId="1" applyNumberFormat="1" applyFont="1" applyFill="1" applyBorder="1" applyAlignment="1">
      <alignment horizontal="center" vertical="center"/>
    </xf>
    <xf numFmtId="10" fontId="6" fillId="2" borderId="23" xfId="2" applyNumberFormat="1" applyFont="1" applyFill="1" applyBorder="1" applyAlignment="1">
      <alignment horizontal="center" vertical="center"/>
    </xf>
    <xf numFmtId="168" fontId="6" fillId="2" borderId="30" xfId="1" applyNumberFormat="1" applyFont="1" applyFill="1" applyBorder="1" applyAlignment="1">
      <alignment horizontal="center" vertical="center"/>
    </xf>
    <xf numFmtId="165" fontId="6" fillId="2" borderId="23" xfId="1" applyNumberFormat="1" applyFont="1" applyFill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168" fontId="4" fillId="0" borderId="30" xfId="1" applyNumberFormat="1" applyFont="1" applyFill="1" applyBorder="1" applyAlignment="1">
      <alignment horizontal="center" vertical="center"/>
    </xf>
    <xf numFmtId="165" fontId="4" fillId="0" borderId="23" xfId="1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0" fontId="4" fillId="0" borderId="23" xfId="2" applyNumberFormat="1" applyFont="1" applyBorder="1" applyAlignment="1">
      <alignment horizontal="center" vertical="center"/>
    </xf>
    <xf numFmtId="165" fontId="4" fillId="0" borderId="30" xfId="1" applyNumberFormat="1" applyFont="1" applyBorder="1" applyAlignment="1">
      <alignment horizontal="center" vertical="center"/>
    </xf>
    <xf numFmtId="165" fontId="4" fillId="0" borderId="23" xfId="1" applyNumberFormat="1" applyFont="1" applyBorder="1" applyAlignment="1">
      <alignment vertical="center"/>
    </xf>
    <xf numFmtId="0" fontId="6" fillId="2" borderId="28" xfId="0" applyFont="1" applyFill="1" applyBorder="1" applyAlignment="1">
      <alignment horizontal="center" vertical="center"/>
    </xf>
    <xf numFmtId="165" fontId="6" fillId="2" borderId="28" xfId="1" applyNumberFormat="1" applyFont="1" applyFill="1" applyBorder="1" applyAlignment="1">
      <alignment horizontal="center" vertical="center"/>
    </xf>
    <xf numFmtId="10" fontId="6" fillId="2" borderId="21" xfId="2" applyNumberFormat="1" applyFont="1" applyFill="1" applyBorder="1" applyAlignment="1">
      <alignment horizontal="center" vertical="center"/>
    </xf>
    <xf numFmtId="168" fontId="6" fillId="2" borderId="28" xfId="1" applyNumberFormat="1" applyFont="1" applyFill="1" applyBorder="1" applyAlignment="1">
      <alignment horizontal="center" vertical="center"/>
    </xf>
    <xf numFmtId="165" fontId="6" fillId="2" borderId="21" xfId="1" applyNumberFormat="1" applyFont="1" applyFill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4" fillId="0" borderId="22" xfId="0" applyFont="1" applyBorder="1" applyAlignment="1">
      <alignment vertical="center" wrapText="1"/>
    </xf>
    <xf numFmtId="165" fontId="4" fillId="0" borderId="29" xfId="1" applyNumberFormat="1" applyFont="1" applyFill="1" applyBorder="1" applyAlignment="1">
      <alignment horizontal="center" vertical="center"/>
    </xf>
    <xf numFmtId="10" fontId="4" fillId="0" borderId="22" xfId="2" applyNumberFormat="1" applyFont="1" applyFill="1" applyBorder="1" applyAlignment="1">
      <alignment horizontal="center" vertical="center"/>
    </xf>
    <xf numFmtId="168" fontId="4" fillId="0" borderId="29" xfId="1" applyNumberFormat="1" applyFont="1" applyFill="1" applyBorder="1" applyAlignment="1">
      <alignment horizontal="center" vertical="center"/>
    </xf>
    <xf numFmtId="165" fontId="4" fillId="0" borderId="22" xfId="1" applyNumberFormat="1" applyFont="1" applyFill="1" applyBorder="1" applyAlignment="1">
      <alignment vertical="center"/>
    </xf>
    <xf numFmtId="10" fontId="6" fillId="0" borderId="23" xfId="2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left" vertical="center" wrapText="1"/>
    </xf>
    <xf numFmtId="0" fontId="6" fillId="2" borderId="33" xfId="0" applyFont="1" applyFill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0" borderId="41" xfId="0" applyFont="1" applyBorder="1" applyAlignment="1">
      <alignment horizontal="left" vertical="center" wrapText="1"/>
    </xf>
    <xf numFmtId="165" fontId="4" fillId="0" borderId="40" xfId="1" applyNumberFormat="1" applyFont="1" applyFill="1" applyBorder="1" applyAlignment="1">
      <alignment horizontal="center" vertical="center"/>
    </xf>
    <xf numFmtId="10" fontId="4" fillId="0" borderId="39" xfId="2" applyNumberFormat="1" applyFont="1" applyFill="1" applyBorder="1" applyAlignment="1">
      <alignment horizontal="center" vertical="center"/>
    </xf>
    <xf numFmtId="168" fontId="4" fillId="0" borderId="40" xfId="1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center" vertical="center"/>
    </xf>
    <xf numFmtId="165" fontId="4" fillId="0" borderId="36" xfId="1" applyNumberFormat="1" applyFont="1" applyFill="1" applyBorder="1" applyAlignment="1">
      <alignment horizontal="center" vertical="center"/>
    </xf>
    <xf numFmtId="168" fontId="4" fillId="0" borderId="36" xfId="1" applyNumberFormat="1" applyFont="1" applyFill="1" applyBorder="1" applyAlignment="1">
      <alignment horizontal="center" vertical="center"/>
    </xf>
    <xf numFmtId="0" fontId="4" fillId="0" borderId="37" xfId="0" applyFont="1" applyBorder="1" applyAlignment="1">
      <alignment vertical="center" wrapText="1"/>
    </xf>
    <xf numFmtId="0" fontId="4" fillId="0" borderId="37" xfId="0" applyFont="1" applyBorder="1" applyAlignment="1">
      <alignment horizontal="left" vertical="center" wrapText="1" indent="2"/>
    </xf>
    <xf numFmtId="10" fontId="4" fillId="0" borderId="37" xfId="2" applyNumberFormat="1" applyFont="1" applyFill="1" applyBorder="1" applyAlignment="1">
      <alignment horizontal="center" vertical="center"/>
    </xf>
    <xf numFmtId="165" fontId="4" fillId="0" borderId="37" xfId="1" applyNumberFormat="1" applyFont="1" applyBorder="1" applyAlignment="1">
      <alignment vertical="center"/>
    </xf>
    <xf numFmtId="0" fontId="4" fillId="0" borderId="37" xfId="0" applyFont="1" applyBorder="1" applyAlignment="1">
      <alignment horizontal="left" vertical="center" wrapText="1" indent="4"/>
    </xf>
    <xf numFmtId="0" fontId="4" fillId="0" borderId="23" xfId="0" applyFont="1" applyBorder="1" applyAlignment="1">
      <alignment horizontal="left" vertical="center" wrapText="1" indent="4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9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0" fillId="0" borderId="28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horizontal="right" vertical="center" wrapText="1"/>
    </xf>
    <xf numFmtId="0" fontId="0" fillId="0" borderId="22" xfId="0" applyBorder="1" applyAlignment="1">
      <alignment horizontal="right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4" xfId="0" applyBorder="1" applyAlignment="1">
      <alignment vertical="center" wrapText="1"/>
    </xf>
    <xf numFmtId="167" fontId="4" fillId="0" borderId="30" xfId="1" applyNumberFormat="1" applyFont="1" applyBorder="1" applyAlignment="1">
      <alignment horizontal="center" vertical="center"/>
    </xf>
    <xf numFmtId="167" fontId="4" fillId="0" borderId="30" xfId="1" applyNumberFormat="1" applyFont="1" applyFill="1" applyBorder="1" applyAlignment="1">
      <alignment horizontal="center" vertical="center"/>
    </xf>
    <xf numFmtId="167" fontId="4" fillId="0" borderId="36" xfId="1" applyNumberFormat="1" applyFont="1" applyFill="1" applyBorder="1" applyAlignment="1">
      <alignment horizontal="center" vertical="center"/>
    </xf>
    <xf numFmtId="167" fontId="6" fillId="2" borderId="28" xfId="1" applyNumberFormat="1" applyFont="1" applyFill="1" applyBorder="1" applyAlignment="1">
      <alignment horizontal="center" vertical="center"/>
    </xf>
    <xf numFmtId="167" fontId="6" fillId="2" borderId="30" xfId="1" applyNumberFormat="1" applyFont="1" applyFill="1" applyBorder="1" applyAlignment="1">
      <alignment horizontal="center" vertical="center"/>
    </xf>
    <xf numFmtId="167" fontId="4" fillId="0" borderId="4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7" fontId="4" fillId="0" borderId="36" xfId="1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Continuous" vertical="center" wrapText="1"/>
    </xf>
    <xf numFmtId="0" fontId="8" fillId="0" borderId="13" xfId="0" applyFont="1" applyBorder="1" applyAlignment="1">
      <alignment horizontal="centerContinuous" vertical="center" wrapText="1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4" borderId="10" xfId="0" applyFont="1" applyFill="1" applyBorder="1" applyAlignment="1">
      <alignment horizontal="left" vertical="center" wrapText="1" indent="2"/>
    </xf>
    <xf numFmtId="0" fontId="4" fillId="0" borderId="0" xfId="0" applyFont="1" applyAlignment="1">
      <alignment horizontal="center" vertical="center"/>
    </xf>
    <xf numFmtId="43" fontId="4" fillId="0" borderId="0" xfId="1" applyFont="1" applyFill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14" fillId="0" borderId="0" xfId="6" applyFont="1" applyAlignment="1">
      <alignment vertical="center"/>
    </xf>
    <xf numFmtId="164" fontId="14" fillId="0" borderId="0" xfId="6" applyNumberFormat="1" applyFont="1" applyAlignment="1">
      <alignment vertical="center"/>
    </xf>
    <xf numFmtId="0" fontId="15" fillId="0" borderId="0" xfId="5" applyFont="1" applyAlignment="1">
      <alignment horizontal="center" vertical="center" wrapText="1"/>
    </xf>
    <xf numFmtId="0" fontId="16" fillId="0" borderId="0" xfId="5" applyFont="1" applyAlignment="1">
      <alignment horizontal="center" vertical="center" wrapText="1"/>
    </xf>
    <xf numFmtId="164" fontId="16" fillId="0" borderId="0" xfId="6" applyNumberFormat="1" applyFont="1" applyAlignment="1">
      <alignment horizontal="right" vertical="center"/>
    </xf>
    <xf numFmtId="14" fontId="16" fillId="0" borderId="0" xfId="6" applyNumberFormat="1" applyFont="1" applyAlignment="1">
      <alignment horizontal="right" vertical="center"/>
    </xf>
    <xf numFmtId="164" fontId="16" fillId="0" borderId="0" xfId="6" applyNumberFormat="1" applyFont="1" applyAlignment="1">
      <alignment vertical="center"/>
    </xf>
    <xf numFmtId="0" fontId="16" fillId="0" borderId="0" xfId="6" applyFont="1" applyAlignment="1">
      <alignment horizontal="left" vertical="center" wrapText="1"/>
    </xf>
    <xf numFmtId="0" fontId="16" fillId="0" borderId="0" xfId="5" applyFont="1" applyAlignment="1">
      <alignment horizontal="left" vertical="center" wrapText="1"/>
    </xf>
    <xf numFmtId="3" fontId="14" fillId="0" borderId="0" xfId="6" applyNumberFormat="1" applyFont="1" applyAlignment="1">
      <alignment vertical="center"/>
    </xf>
    <xf numFmtId="165" fontId="16" fillId="0" borderId="0" xfId="1" applyNumberFormat="1" applyFont="1" applyAlignment="1">
      <alignment horizontal="left" vertical="center" wrapText="1"/>
    </xf>
    <xf numFmtId="165" fontId="16" fillId="0" borderId="0" xfId="1" applyNumberFormat="1" applyFont="1" applyAlignment="1">
      <alignment vertical="center"/>
    </xf>
    <xf numFmtId="4" fontId="14" fillId="0" borderId="0" xfId="6" applyNumberFormat="1" applyFont="1" applyAlignment="1">
      <alignment vertical="center"/>
    </xf>
    <xf numFmtId="172" fontId="14" fillId="0" borderId="0" xfId="6" applyNumberFormat="1" applyFont="1" applyAlignment="1">
      <alignment vertical="center"/>
    </xf>
    <xf numFmtId="2" fontId="14" fillId="0" borderId="0" xfId="6" applyNumberFormat="1" applyFont="1" applyAlignment="1">
      <alignment vertical="center"/>
    </xf>
    <xf numFmtId="43" fontId="14" fillId="0" borderId="0" xfId="6" applyNumberFormat="1" applyFont="1" applyAlignment="1">
      <alignment vertical="center"/>
    </xf>
    <xf numFmtId="3" fontId="14" fillId="0" borderId="25" xfId="7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8" xfId="9" applyFont="1" applyBorder="1" applyAlignment="1">
      <alignment horizontal="center" vertical="center"/>
    </xf>
    <xf numFmtId="0" fontId="3" fillId="0" borderId="30" xfId="9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9" applyFont="1" applyBorder="1" applyAlignment="1">
      <alignment horizontal="center" vertical="center"/>
    </xf>
    <xf numFmtId="174" fontId="3" fillId="0" borderId="1" xfId="9" applyNumberFormat="1" applyFont="1" applyBorder="1" applyAlignment="1">
      <alignment horizontal="left" vertical="center"/>
    </xf>
    <xf numFmtId="174" fontId="3" fillId="0" borderId="4" xfId="9" applyNumberFormat="1" applyFont="1" applyBorder="1" applyAlignment="1">
      <alignment horizontal="left" vertical="center"/>
    </xf>
    <xf numFmtId="0" fontId="3" fillId="0" borderId="21" xfId="9" quotePrefix="1" applyFont="1" applyBorder="1" applyAlignment="1">
      <alignment horizontal="center" vertical="center"/>
    </xf>
    <xf numFmtId="0" fontId="0" fillId="0" borderId="0" xfId="0" applyAlignment="1">
      <alignment vertical="center"/>
    </xf>
    <xf numFmtId="14" fontId="5" fillId="0" borderId="13" xfId="0" applyNumberFormat="1" applyFont="1" applyBorder="1" applyAlignment="1">
      <alignment horizontal="center" vertical="center"/>
    </xf>
    <xf numFmtId="0" fontId="6" fillId="3" borderId="14" xfId="8" applyFont="1" applyFill="1" applyBorder="1" applyAlignment="1">
      <alignment horizontal="center" vertical="center" wrapText="1"/>
    </xf>
    <xf numFmtId="0" fontId="6" fillId="3" borderId="20" xfId="8" applyFont="1" applyFill="1" applyBorder="1" applyAlignment="1">
      <alignment horizontal="center" vertical="center" wrapText="1"/>
    </xf>
    <xf numFmtId="0" fontId="6" fillId="3" borderId="21" xfId="8" applyFont="1" applyFill="1" applyBorder="1" applyAlignment="1">
      <alignment horizontal="center" vertical="center" wrapText="1"/>
    </xf>
    <xf numFmtId="0" fontId="6" fillId="3" borderId="28" xfId="8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0" xfId="9" applyFont="1" applyFill="1" applyBorder="1" applyAlignment="1">
      <alignment horizontal="center" vertical="center"/>
    </xf>
    <xf numFmtId="174" fontId="5" fillId="2" borderId="14" xfId="9" applyNumberFormat="1" applyFont="1" applyFill="1" applyBorder="1" applyAlignment="1">
      <alignment horizontal="left" vertical="center"/>
    </xf>
    <xf numFmtId="0" fontId="3" fillId="0" borderId="31" xfId="9" quotePrefix="1" applyFont="1" applyBorder="1" applyAlignment="1">
      <alignment horizontal="center" vertical="center"/>
    </xf>
    <xf numFmtId="174" fontId="3" fillId="0" borderId="10" xfId="9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0" xfId="9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9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74" fontId="5" fillId="2" borderId="9" xfId="9" applyNumberFormat="1" applyFont="1" applyFill="1" applyBorder="1" applyAlignment="1">
      <alignment horizontal="left" vertical="center"/>
    </xf>
    <xf numFmtId="174" fontId="3" fillId="0" borderId="53" xfId="9" applyNumberFormat="1" applyFont="1" applyBorder="1" applyAlignment="1">
      <alignment horizontal="left" vertical="center"/>
    </xf>
    <xf numFmtId="0" fontId="3" fillId="0" borderId="23" xfId="9" quotePrefix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top" textRotation="90" wrapText="1"/>
    </xf>
    <xf numFmtId="4" fontId="16" fillId="2" borderId="19" xfId="7" applyNumberFormat="1" applyFont="1" applyFill="1" applyBorder="1" applyAlignment="1">
      <alignment horizontal="center" vertical="center"/>
    </xf>
    <xf numFmtId="4" fontId="14" fillId="4" borderId="13" xfId="6" applyNumberFormat="1" applyFont="1" applyFill="1" applyBorder="1" applyAlignment="1">
      <alignment vertical="center"/>
    </xf>
    <xf numFmtId="165" fontId="16" fillId="4" borderId="13" xfId="1" applyNumberFormat="1" applyFont="1" applyFill="1" applyBorder="1" applyAlignment="1">
      <alignment vertical="center"/>
    </xf>
    <xf numFmtId="4" fontId="14" fillId="4" borderId="13" xfId="7" applyNumberFormat="1" applyFont="1" applyFill="1" applyBorder="1" applyAlignment="1">
      <alignment horizontal="center" vertical="center"/>
    </xf>
    <xf numFmtId="3" fontId="14" fillId="4" borderId="13" xfId="6" applyNumberFormat="1" applyFont="1" applyFill="1" applyBorder="1" applyAlignment="1">
      <alignment vertical="center"/>
    </xf>
    <xf numFmtId="165" fontId="6" fillId="4" borderId="13" xfId="1" applyNumberFormat="1" applyFont="1" applyFill="1" applyBorder="1" applyAlignment="1">
      <alignment vertical="center"/>
    </xf>
    <xf numFmtId="0" fontId="6" fillId="4" borderId="42" xfId="0" applyFont="1" applyFill="1" applyBorder="1" applyAlignment="1">
      <alignment horizontal="left" vertical="center" wrapText="1" indent="2"/>
    </xf>
    <xf numFmtId="0" fontId="6" fillId="4" borderId="30" xfId="0" applyFont="1" applyFill="1" applyBorder="1" applyAlignment="1">
      <alignment horizontal="left" vertical="center" wrapText="1" indent="2"/>
    </xf>
    <xf numFmtId="167" fontId="6" fillId="4" borderId="28" xfId="1" applyNumberFormat="1" applyFont="1" applyFill="1" applyBorder="1" applyAlignment="1">
      <alignment horizontal="center" vertical="center"/>
    </xf>
    <xf numFmtId="165" fontId="6" fillId="4" borderId="21" xfId="1" applyNumberFormat="1" applyFont="1" applyFill="1" applyBorder="1" applyAlignment="1">
      <alignment vertical="center"/>
    </xf>
    <xf numFmtId="165" fontId="6" fillId="4" borderId="39" xfId="1" applyNumberFormat="1" applyFont="1" applyFill="1" applyBorder="1" applyAlignment="1">
      <alignment vertical="center"/>
    </xf>
    <xf numFmtId="4" fontId="16" fillId="2" borderId="11" xfId="6" applyNumberFormat="1" applyFont="1" applyFill="1" applyBorder="1" applyAlignment="1">
      <alignment horizontal="center" vertical="center" wrapText="1"/>
    </xf>
    <xf numFmtId="4" fontId="16" fillId="2" borderId="10" xfId="6" applyNumberFormat="1" applyFont="1" applyFill="1" applyBorder="1" applyAlignment="1">
      <alignment horizontal="center" vertical="center" wrapText="1"/>
    </xf>
    <xf numFmtId="4" fontId="16" fillId="2" borderId="10" xfId="7" applyNumberFormat="1" applyFont="1" applyFill="1" applyBorder="1" applyAlignment="1">
      <alignment vertical="center"/>
    </xf>
    <xf numFmtId="4" fontId="14" fillId="0" borderId="25" xfId="7" applyNumberFormat="1" applyFont="1" applyBorder="1" applyAlignment="1">
      <alignment horizontal="center" vertical="center"/>
    </xf>
    <xf numFmtId="4" fontId="16" fillId="4" borderId="11" xfId="6" applyNumberFormat="1" applyFont="1" applyFill="1" applyBorder="1" applyAlignment="1">
      <alignment horizontal="center" vertical="center"/>
    </xf>
    <xf numFmtId="3" fontId="14" fillId="0" borderId="23" xfId="7" applyNumberFormat="1" applyFont="1" applyBorder="1" applyAlignment="1">
      <alignment horizontal="center" vertical="center"/>
    </xf>
    <xf numFmtId="4" fontId="14" fillId="0" borderId="23" xfId="7" applyNumberFormat="1" applyFont="1" applyBorder="1" applyAlignment="1">
      <alignment horizontal="center" vertical="center"/>
    </xf>
    <xf numFmtId="165" fontId="14" fillId="0" borderId="23" xfId="1" applyNumberFormat="1" applyFont="1" applyBorder="1" applyAlignment="1">
      <alignment vertical="center"/>
    </xf>
    <xf numFmtId="3" fontId="14" fillId="0" borderId="24" xfId="7" applyNumberFormat="1" applyFont="1" applyBorder="1" applyAlignment="1">
      <alignment horizontal="center" vertical="center"/>
    </xf>
    <xf numFmtId="4" fontId="14" fillId="0" borderId="24" xfId="7" applyNumberFormat="1" applyFont="1" applyBorder="1" applyAlignment="1">
      <alignment horizontal="center" vertical="center"/>
    </xf>
    <xf numFmtId="165" fontId="14" fillId="0" borderId="20" xfId="1" applyNumberFormat="1" applyFont="1" applyBorder="1" applyAlignment="1">
      <alignment vertical="center"/>
    </xf>
    <xf numFmtId="3" fontId="14" fillId="0" borderId="20" xfId="7" applyNumberFormat="1" applyFont="1" applyBorder="1" applyAlignment="1">
      <alignment horizontal="center" vertical="center"/>
    </xf>
    <xf numFmtId="4" fontId="14" fillId="0" borderId="47" xfId="6" applyNumberFormat="1" applyFont="1" applyBorder="1" applyAlignment="1">
      <alignment horizontal="center" vertical="center"/>
    </xf>
    <xf numFmtId="4" fontId="14" fillId="0" borderId="35" xfId="6" applyNumberFormat="1" applyFont="1" applyBorder="1" applyAlignment="1">
      <alignment horizontal="center" vertical="center"/>
    </xf>
    <xf numFmtId="4" fontId="14" fillId="0" borderId="33" xfId="6" applyNumberFormat="1" applyFont="1" applyBorder="1" applyAlignment="1">
      <alignment horizontal="center" vertical="center"/>
    </xf>
    <xf numFmtId="4" fontId="14" fillId="0" borderId="20" xfId="7" applyNumberFormat="1" applyFont="1" applyBorder="1" applyAlignment="1">
      <alignment horizontal="center" vertical="center"/>
    </xf>
    <xf numFmtId="165" fontId="14" fillId="0" borderId="20" xfId="1" applyNumberFormat="1" applyFont="1" applyFill="1" applyBorder="1" applyAlignment="1">
      <alignment vertical="center"/>
    </xf>
    <xf numFmtId="3" fontId="14" fillId="0" borderId="17" xfId="6" applyNumberFormat="1" applyFont="1" applyBorder="1" applyAlignment="1">
      <alignment horizontal="center" vertical="center"/>
    </xf>
    <xf numFmtId="3" fontId="14" fillId="0" borderId="23" xfId="6" applyNumberFormat="1" applyFont="1" applyBorder="1" applyAlignment="1">
      <alignment horizontal="center" vertical="center"/>
    </xf>
    <xf numFmtId="4" fontId="14" fillId="0" borderId="33" xfId="7" applyNumberFormat="1" applyFont="1" applyBorder="1" applyAlignment="1">
      <alignment horizontal="center" vertical="center"/>
    </xf>
    <xf numFmtId="165" fontId="14" fillId="0" borderId="23" xfId="1" applyNumberFormat="1" applyFont="1" applyFill="1" applyBorder="1" applyAlignment="1">
      <alignment vertical="center"/>
    </xf>
    <xf numFmtId="0" fontId="19" fillId="0" borderId="0" xfId="0" applyFont="1" applyAlignment="1">
      <alignment vertical="center"/>
    </xf>
    <xf numFmtId="165" fontId="19" fillId="0" borderId="0" xfId="1" applyNumberFormat="1" applyFont="1" applyAlignment="1">
      <alignment horizontal="center" vertical="center"/>
    </xf>
    <xf numFmtId="0" fontId="19" fillId="0" borderId="0" xfId="1" applyNumberFormat="1" applyFont="1" applyAlignment="1">
      <alignment horizontal="center" vertical="center"/>
    </xf>
    <xf numFmtId="167" fontId="19" fillId="0" borderId="0" xfId="1" applyNumberFormat="1" applyFont="1" applyAlignment="1">
      <alignment vertical="center"/>
    </xf>
    <xf numFmtId="165" fontId="20" fillId="0" borderId="13" xfId="1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Continuous" vertical="center" wrapText="1"/>
    </xf>
    <xf numFmtId="0" fontId="21" fillId="0" borderId="10" xfId="0" applyFont="1" applyBorder="1" applyAlignment="1">
      <alignment horizontal="centerContinuous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top" textRotation="90"/>
    </xf>
    <xf numFmtId="0" fontId="6" fillId="0" borderId="10" xfId="0" applyFont="1" applyBorder="1" applyAlignment="1">
      <alignment horizontal="center" vertical="center"/>
    </xf>
    <xf numFmtId="165" fontId="6" fillId="0" borderId="10" xfId="1" applyNumberFormat="1" applyFont="1" applyFill="1" applyBorder="1" applyAlignment="1">
      <alignment horizontal="center" vertical="center"/>
    </xf>
    <xf numFmtId="10" fontId="6" fillId="0" borderId="10" xfId="2" applyNumberFormat="1" applyFont="1" applyFill="1" applyBorder="1" applyAlignment="1">
      <alignment horizontal="center" vertical="center"/>
    </xf>
    <xf numFmtId="168" fontId="6" fillId="0" borderId="10" xfId="1" applyNumberFormat="1" applyFont="1" applyFill="1" applyBorder="1" applyAlignment="1">
      <alignment horizontal="center" vertical="center"/>
    </xf>
    <xf numFmtId="165" fontId="6" fillId="0" borderId="10" xfId="1" applyNumberFormat="1" applyFont="1" applyFill="1" applyBorder="1" applyAlignment="1">
      <alignment vertical="center"/>
    </xf>
    <xf numFmtId="167" fontId="6" fillId="0" borderId="10" xfId="1" applyNumberFormat="1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vertical="center" wrapText="1"/>
    </xf>
    <xf numFmtId="165" fontId="6" fillId="2" borderId="36" xfId="1" applyNumberFormat="1" applyFont="1" applyFill="1" applyBorder="1" applyAlignment="1">
      <alignment horizontal="center" vertical="center"/>
    </xf>
    <xf numFmtId="10" fontId="6" fillId="2" borderId="37" xfId="2" applyNumberFormat="1" applyFont="1" applyFill="1" applyBorder="1" applyAlignment="1">
      <alignment horizontal="center" vertical="center"/>
    </xf>
    <xf numFmtId="168" fontId="6" fillId="2" borderId="36" xfId="1" applyNumberFormat="1" applyFont="1" applyFill="1" applyBorder="1" applyAlignment="1">
      <alignment horizontal="center" vertical="center"/>
    </xf>
    <xf numFmtId="165" fontId="6" fillId="2" borderId="37" xfId="1" applyNumberFormat="1" applyFont="1" applyFill="1" applyBorder="1" applyAlignment="1">
      <alignment vertical="center"/>
    </xf>
    <xf numFmtId="167" fontId="6" fillId="2" borderId="36" xfId="1" applyNumberFormat="1" applyFont="1" applyFill="1" applyBorder="1" applyAlignment="1">
      <alignment horizontal="center" vertical="center"/>
    </xf>
    <xf numFmtId="165" fontId="4" fillId="0" borderId="0" xfId="1" applyNumberFormat="1" applyFont="1" applyFill="1" applyBorder="1" applyAlignment="1">
      <alignment horizontal="center" vertical="center"/>
    </xf>
    <xf numFmtId="10" fontId="4" fillId="0" borderId="24" xfId="2" applyNumberFormat="1" applyFont="1" applyFill="1" applyBorder="1" applyAlignment="1">
      <alignment horizontal="center" vertical="center"/>
    </xf>
    <xf numFmtId="168" fontId="4" fillId="0" borderId="0" xfId="1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10" xfId="0" applyFont="1" applyFill="1" applyBorder="1" applyAlignment="1">
      <alignment horizontal="right" vertical="center"/>
    </xf>
    <xf numFmtId="165" fontId="6" fillId="4" borderId="10" xfId="1" applyNumberFormat="1" applyFont="1" applyFill="1" applyBorder="1" applyAlignment="1">
      <alignment horizontal="center" vertical="center"/>
    </xf>
    <xf numFmtId="10" fontId="6" fillId="4" borderId="10" xfId="2" applyNumberFormat="1" applyFont="1" applyFill="1" applyBorder="1" applyAlignment="1">
      <alignment horizontal="center" vertical="center"/>
    </xf>
    <xf numFmtId="168" fontId="6" fillId="4" borderId="10" xfId="1" applyNumberFormat="1" applyFont="1" applyFill="1" applyBorder="1" applyAlignment="1">
      <alignment horizontal="center" vertical="center"/>
    </xf>
    <xf numFmtId="165" fontId="6" fillId="4" borderId="10" xfId="1" applyNumberFormat="1" applyFont="1" applyFill="1" applyBorder="1" applyAlignment="1">
      <alignment vertical="center"/>
    </xf>
    <xf numFmtId="167" fontId="6" fillId="4" borderId="10" xfId="1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165" fontId="6" fillId="2" borderId="14" xfId="1" applyNumberFormat="1" applyFont="1" applyFill="1" applyBorder="1" applyAlignment="1">
      <alignment horizontal="center" vertical="center"/>
    </xf>
    <xf numFmtId="165" fontId="4" fillId="0" borderId="16" xfId="1" applyNumberFormat="1" applyFont="1" applyFill="1" applyBorder="1" applyAlignment="1">
      <alignment horizontal="center" vertical="center"/>
    </xf>
    <xf numFmtId="165" fontId="6" fillId="2" borderId="16" xfId="1" applyNumberFormat="1" applyFont="1" applyFill="1" applyBorder="1" applyAlignment="1">
      <alignment horizontal="center" vertical="center"/>
    </xf>
    <xf numFmtId="168" fontId="6" fillId="2" borderId="23" xfId="1" applyNumberFormat="1" applyFont="1" applyFill="1" applyBorder="1" applyAlignment="1">
      <alignment horizontal="center" vertical="center"/>
    </xf>
    <xf numFmtId="165" fontId="4" fillId="0" borderId="22" xfId="1" applyNumberFormat="1" applyFont="1" applyBorder="1" applyAlignment="1">
      <alignment vertical="center"/>
    </xf>
    <xf numFmtId="0" fontId="6" fillId="4" borderId="17" xfId="0" applyFont="1" applyFill="1" applyBorder="1" applyAlignment="1">
      <alignment vertical="center"/>
    </xf>
    <xf numFmtId="0" fontId="6" fillId="4" borderId="42" xfId="0" applyFont="1" applyFill="1" applyBorder="1" applyAlignment="1">
      <alignment vertical="center"/>
    </xf>
    <xf numFmtId="0" fontId="6" fillId="4" borderId="42" xfId="0" applyFont="1" applyFill="1" applyBorder="1" applyAlignment="1">
      <alignment horizontal="right" vertical="center"/>
    </xf>
    <xf numFmtId="165" fontId="6" fillId="4" borderId="42" xfId="1" applyNumberFormat="1" applyFont="1" applyFill="1" applyBorder="1" applyAlignment="1">
      <alignment horizontal="center" vertical="center"/>
    </xf>
    <xf numFmtId="10" fontId="6" fillId="4" borderId="42" xfId="2" applyNumberFormat="1" applyFont="1" applyFill="1" applyBorder="1" applyAlignment="1">
      <alignment horizontal="center" vertical="center"/>
    </xf>
    <xf numFmtId="168" fontId="6" fillId="4" borderId="42" xfId="1" applyNumberFormat="1" applyFont="1" applyFill="1" applyBorder="1" applyAlignment="1">
      <alignment horizontal="center" vertical="center"/>
    </xf>
    <xf numFmtId="165" fontId="6" fillId="4" borderId="42" xfId="1" applyNumberFormat="1" applyFont="1" applyFill="1" applyBorder="1" applyAlignment="1">
      <alignment vertical="center"/>
    </xf>
    <xf numFmtId="0" fontId="6" fillId="4" borderId="16" xfId="0" applyFont="1" applyFill="1" applyBorder="1" applyAlignment="1">
      <alignment vertical="center"/>
    </xf>
    <xf numFmtId="0" fontId="6" fillId="4" borderId="30" xfId="0" applyFont="1" applyFill="1" applyBorder="1" applyAlignment="1">
      <alignment vertical="center"/>
    </xf>
    <xf numFmtId="0" fontId="6" fillId="4" borderId="30" xfId="0" applyFont="1" applyFill="1" applyBorder="1" applyAlignment="1">
      <alignment horizontal="right" vertical="center"/>
    </xf>
    <xf numFmtId="165" fontId="6" fillId="4" borderId="30" xfId="1" applyNumberFormat="1" applyFont="1" applyFill="1" applyBorder="1" applyAlignment="1">
      <alignment horizontal="center" vertical="center"/>
    </xf>
    <xf numFmtId="10" fontId="6" fillId="4" borderId="30" xfId="2" applyNumberFormat="1" applyFont="1" applyFill="1" applyBorder="1" applyAlignment="1">
      <alignment horizontal="center" vertical="center"/>
    </xf>
    <xf numFmtId="168" fontId="6" fillId="4" borderId="30" xfId="1" applyNumberFormat="1" applyFont="1" applyFill="1" applyBorder="1" applyAlignment="1">
      <alignment horizontal="center" vertical="center"/>
    </xf>
    <xf numFmtId="165" fontId="6" fillId="4" borderId="30" xfId="1" applyNumberFormat="1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167" fontId="19" fillId="0" borderId="0" xfId="1" applyNumberFormat="1" applyFont="1" applyAlignment="1">
      <alignment horizontal="center" vertical="center"/>
    </xf>
    <xf numFmtId="0" fontId="16" fillId="6" borderId="0" xfId="6" quotePrefix="1" applyFont="1" applyFill="1" applyAlignment="1">
      <alignment horizontal="left" vertical="center"/>
    </xf>
    <xf numFmtId="164" fontId="14" fillId="6" borderId="0" xfId="6" applyNumberFormat="1" applyFont="1" applyFill="1" applyAlignment="1">
      <alignment vertical="center"/>
    </xf>
    <xf numFmtId="0" fontId="5" fillId="0" borderId="17" xfId="0" applyFont="1" applyBorder="1" applyAlignment="1">
      <alignment horizontal="centerContinuous" vertical="center"/>
    </xf>
    <xf numFmtId="0" fontId="5" fillId="0" borderId="42" xfId="0" applyFont="1" applyBorder="1" applyAlignment="1">
      <alignment horizontal="centerContinuous" vertical="center"/>
    </xf>
    <xf numFmtId="14" fontId="5" fillId="0" borderId="20" xfId="0" applyNumberFormat="1" applyFont="1" applyBorder="1" applyAlignment="1">
      <alignment horizontal="centerContinuous" vertical="center"/>
    </xf>
    <xf numFmtId="0" fontId="3" fillId="0" borderId="30" xfId="9" applyFont="1" applyBorder="1" applyAlignment="1">
      <alignment horizontal="center" vertical="center" wrapText="1"/>
    </xf>
    <xf numFmtId="167" fontId="19" fillId="0" borderId="10" xfId="1" applyNumberFormat="1" applyFont="1" applyBorder="1" applyAlignment="1">
      <alignment horizontal="centerContinuous" vertical="center"/>
    </xf>
    <xf numFmtId="0" fontId="19" fillId="0" borderId="10" xfId="0" applyFont="1" applyBorder="1" applyAlignment="1">
      <alignment horizontal="centerContinuous" vertical="center"/>
    </xf>
    <xf numFmtId="165" fontId="14" fillId="0" borderId="0" xfId="6" applyNumberFormat="1" applyFont="1" applyAlignment="1">
      <alignment vertical="center"/>
    </xf>
    <xf numFmtId="0" fontId="21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7" fontId="6" fillId="3" borderId="15" xfId="1" applyNumberFormat="1" applyFont="1" applyFill="1" applyBorder="1" applyAlignment="1">
      <alignment horizontal="center" vertical="center" wrapText="1"/>
    </xf>
    <xf numFmtId="167" fontId="6" fillId="2" borderId="14" xfId="1" applyNumberFormat="1" applyFont="1" applyFill="1" applyBorder="1" applyAlignment="1">
      <alignment vertical="center"/>
    </xf>
    <xf numFmtId="167" fontId="4" fillId="0" borderId="16" xfId="1" applyNumberFormat="1" applyFont="1" applyFill="1" applyBorder="1" applyAlignment="1">
      <alignment vertical="center"/>
    </xf>
    <xf numFmtId="167" fontId="6" fillId="2" borderId="16" xfId="1" applyNumberFormat="1" applyFont="1" applyFill="1" applyBorder="1" applyAlignment="1">
      <alignment horizontal="center" vertical="center"/>
    </xf>
    <xf numFmtId="0" fontId="6" fillId="3" borderId="56" xfId="1" applyNumberFormat="1" applyFont="1" applyFill="1" applyBorder="1" applyAlignment="1">
      <alignment horizontal="center" vertical="center" wrapText="1"/>
    </xf>
    <xf numFmtId="165" fontId="6" fillId="0" borderId="52" xfId="1" applyNumberFormat="1" applyFont="1" applyFill="1" applyBorder="1" applyAlignment="1">
      <alignment vertical="center"/>
    </xf>
    <xf numFmtId="165" fontId="6" fillId="2" borderId="2" xfId="1" applyNumberFormat="1" applyFont="1" applyFill="1" applyBorder="1" applyAlignment="1">
      <alignment vertical="center"/>
    </xf>
    <xf numFmtId="165" fontId="6" fillId="2" borderId="5" xfId="1" applyNumberFormat="1" applyFont="1" applyFill="1" applyBorder="1" applyAlignment="1">
      <alignment vertical="center"/>
    </xf>
    <xf numFmtId="165" fontId="6" fillId="2" borderId="57" xfId="1" applyNumberFormat="1" applyFont="1" applyFill="1" applyBorder="1" applyAlignment="1">
      <alignment vertical="center"/>
    </xf>
    <xf numFmtId="165" fontId="6" fillId="4" borderId="52" xfId="1" applyNumberFormat="1" applyFont="1" applyFill="1" applyBorder="1" applyAlignment="1">
      <alignment vertical="center"/>
    </xf>
    <xf numFmtId="165" fontId="6" fillId="0" borderId="54" xfId="1" applyNumberFormat="1" applyFont="1" applyFill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21" fillId="0" borderId="11" xfId="0" applyFont="1" applyBorder="1" applyAlignment="1">
      <alignment horizontal="centerContinuous" vertical="center" wrapText="1"/>
    </xf>
    <xf numFmtId="0" fontId="19" fillId="0" borderId="9" xfId="0" applyFont="1" applyBorder="1" applyAlignment="1">
      <alignment vertical="center"/>
    </xf>
    <xf numFmtId="165" fontId="6" fillId="4" borderId="2" xfId="1" applyNumberFormat="1" applyFont="1" applyFill="1" applyBorder="1" applyAlignment="1">
      <alignment vertical="center"/>
    </xf>
    <xf numFmtId="0" fontId="6" fillId="4" borderId="19" xfId="0" applyFont="1" applyFill="1" applyBorder="1" applyAlignment="1">
      <alignment vertical="center"/>
    </xf>
    <xf numFmtId="0" fontId="6" fillId="4" borderId="34" xfId="0" applyFont="1" applyFill="1" applyBorder="1" applyAlignment="1">
      <alignment vertical="center"/>
    </xf>
    <xf numFmtId="0" fontId="6" fillId="4" borderId="34" xfId="0" applyFont="1" applyFill="1" applyBorder="1" applyAlignment="1">
      <alignment horizontal="right" vertical="center"/>
    </xf>
    <xf numFmtId="0" fontId="6" fillId="4" borderId="34" xfId="0" applyFont="1" applyFill="1" applyBorder="1" applyAlignment="1">
      <alignment horizontal="left" vertical="center" wrapText="1" indent="2"/>
    </xf>
    <xf numFmtId="165" fontId="6" fillId="4" borderId="34" xfId="1" applyNumberFormat="1" applyFont="1" applyFill="1" applyBorder="1" applyAlignment="1">
      <alignment horizontal="center" vertical="center"/>
    </xf>
    <xf numFmtId="10" fontId="6" fillId="4" borderId="34" xfId="2" applyNumberFormat="1" applyFont="1" applyFill="1" applyBorder="1" applyAlignment="1">
      <alignment horizontal="center" vertical="center"/>
    </xf>
    <xf numFmtId="165" fontId="6" fillId="4" borderId="34" xfId="1" applyNumberFormat="1" applyFont="1" applyFill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0" xfId="0" applyFont="1" applyBorder="1" applyAlignment="1">
      <alignment horizontal="left" vertical="center"/>
    </xf>
    <xf numFmtId="0" fontId="22" fillId="0" borderId="9" xfId="0" applyFont="1" applyBorder="1" applyAlignment="1">
      <alignment horizontal="centerContinuous" vertical="center" wrapText="1"/>
    </xf>
    <xf numFmtId="0" fontId="22" fillId="0" borderId="10" xfId="0" applyFont="1" applyBorder="1" applyAlignment="1">
      <alignment horizontal="centerContinuous" vertical="center" wrapText="1"/>
    </xf>
    <xf numFmtId="0" fontId="22" fillId="0" borderId="11" xfId="0" applyFont="1" applyBorder="1" applyAlignment="1">
      <alignment horizontal="centerContinuous" vertical="center" wrapText="1"/>
    </xf>
    <xf numFmtId="0" fontId="6" fillId="0" borderId="9" xfId="0" applyFont="1" applyBorder="1" applyAlignment="1">
      <alignment horizontal="centerContinuous" vertical="center" wrapText="1"/>
    </xf>
    <xf numFmtId="0" fontId="19" fillId="0" borderId="1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Continuous" vertical="center" wrapText="1"/>
    </xf>
    <xf numFmtId="0" fontId="2" fillId="0" borderId="24" xfId="0" applyFont="1" applyBorder="1" applyAlignment="1">
      <alignment horizontal="centerContinuous" vertical="center"/>
    </xf>
    <xf numFmtId="0" fontId="2" fillId="0" borderId="20" xfId="0" applyFont="1" applyBorder="1" applyAlignment="1">
      <alignment horizontal="centerContinuous" vertical="center"/>
    </xf>
    <xf numFmtId="0" fontId="0" fillId="0" borderId="9" xfId="0" applyBorder="1" applyAlignment="1">
      <alignment vertical="center"/>
    </xf>
    <xf numFmtId="0" fontId="0" fillId="6" borderId="19" xfId="0" applyFill="1" applyBorder="1" applyAlignment="1">
      <alignment vertical="center"/>
    </xf>
    <xf numFmtId="0" fontId="0" fillId="6" borderId="11" xfId="0" applyFill="1" applyBorder="1" applyAlignment="1">
      <alignment horizontal="centerContinuous" vertical="center"/>
    </xf>
    <xf numFmtId="0" fontId="3" fillId="0" borderId="42" xfId="9" applyFont="1" applyBorder="1" applyAlignment="1">
      <alignment horizontal="center" vertical="center"/>
    </xf>
    <xf numFmtId="0" fontId="3" fillId="2" borderId="42" xfId="9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Continuous" vertical="center"/>
    </xf>
    <xf numFmtId="0" fontId="5" fillId="0" borderId="51" xfId="0" applyFont="1" applyBorder="1" applyAlignment="1">
      <alignment horizontal="centerContinuous" vertical="center"/>
    </xf>
    <xf numFmtId="0" fontId="5" fillId="0" borderId="48" xfId="0" applyFont="1" applyBorder="1" applyAlignment="1">
      <alignment horizontal="centerContinuous" vertical="center"/>
    </xf>
    <xf numFmtId="0" fontId="5" fillId="0" borderId="54" xfId="0" applyFont="1" applyBorder="1" applyAlignment="1">
      <alignment horizontal="centerContinuous" vertical="center"/>
    </xf>
    <xf numFmtId="0" fontId="3" fillId="0" borderId="28" xfId="9" applyFont="1" applyBorder="1" applyAlignment="1">
      <alignment horizontal="center" vertical="center" wrapText="1"/>
    </xf>
    <xf numFmtId="173" fontId="3" fillId="0" borderId="14" xfId="9" applyNumberFormat="1" applyFont="1" applyBorder="1" applyAlignment="1">
      <alignment horizontal="center" vertical="center" wrapText="1"/>
    </xf>
    <xf numFmtId="173" fontId="3" fillId="0" borderId="16" xfId="9" applyNumberFormat="1" applyFont="1" applyBorder="1" applyAlignment="1">
      <alignment horizontal="center" vertical="center"/>
    </xf>
    <xf numFmtId="173" fontId="3" fillId="0" borderId="43" xfId="9" applyNumberFormat="1" applyFont="1" applyBorder="1" applyAlignment="1">
      <alignment horizontal="center" vertical="center"/>
    </xf>
    <xf numFmtId="173" fontId="3" fillId="0" borderId="16" xfId="9" applyNumberFormat="1" applyFont="1" applyBorder="1" applyAlignment="1">
      <alignment horizontal="center" vertical="center" wrapText="1"/>
    </xf>
    <xf numFmtId="173" fontId="3" fillId="2" borderId="10" xfId="9" applyNumberFormat="1" applyFont="1" applyFill="1" applyBorder="1" applyAlignment="1">
      <alignment horizontal="center" vertical="center"/>
    </xf>
    <xf numFmtId="0" fontId="3" fillId="0" borderId="40" xfId="9" applyFont="1" applyBorder="1" applyAlignment="1">
      <alignment horizontal="center" vertical="center" wrapText="1"/>
    </xf>
    <xf numFmtId="175" fontId="3" fillId="0" borderId="14" xfId="9" applyNumberFormat="1" applyFont="1" applyBorder="1" applyAlignment="1">
      <alignment horizontal="center" vertical="center"/>
    </xf>
    <xf numFmtId="175" fontId="3" fillId="0" borderId="16" xfId="9" applyNumberFormat="1" applyFont="1" applyBorder="1" applyAlignment="1">
      <alignment horizontal="center" vertical="center"/>
    </xf>
    <xf numFmtId="0" fontId="3" fillId="0" borderId="21" xfId="9" quotePrefix="1" applyFont="1" applyBorder="1" applyAlignment="1">
      <alignment horizontal="center" vertical="center" wrapText="1"/>
    </xf>
    <xf numFmtId="0" fontId="3" fillId="0" borderId="39" xfId="9" quotePrefix="1" applyFont="1" applyBorder="1" applyAlignment="1">
      <alignment horizontal="center" vertical="center" wrapText="1"/>
    </xf>
    <xf numFmtId="3" fontId="16" fillId="4" borderId="13" xfId="6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Continuous" vertical="center"/>
    </xf>
    <xf numFmtId="0" fontId="5" fillId="0" borderId="9" xfId="0" applyFont="1" applyBorder="1" applyAlignment="1">
      <alignment horizontal="centerContinuous" vertical="center" wrapText="1"/>
    </xf>
    <xf numFmtId="0" fontId="3" fillId="0" borderId="10" xfId="0" applyFont="1" applyBorder="1" applyAlignment="1">
      <alignment horizontal="centerContinuous" vertical="center"/>
    </xf>
    <xf numFmtId="0" fontId="3" fillId="0" borderId="11" xfId="0" applyFont="1" applyBorder="1" applyAlignment="1">
      <alignment horizontal="centerContinuous" vertical="center"/>
    </xf>
    <xf numFmtId="0" fontId="3" fillId="6" borderId="34" xfId="0" applyFont="1" applyFill="1" applyBorder="1" applyAlignment="1">
      <alignment vertical="center"/>
    </xf>
    <xf numFmtId="0" fontId="6" fillId="0" borderId="13" xfId="0" applyFont="1" applyBorder="1" applyAlignment="1">
      <alignment horizontal="centerContinuous" vertical="center" wrapText="1"/>
    </xf>
    <xf numFmtId="173" fontId="3" fillId="0" borderId="43" xfId="9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6" borderId="19" xfId="0" applyFont="1" applyFill="1" applyBorder="1" applyAlignment="1">
      <alignment vertical="center"/>
    </xf>
    <xf numFmtId="0" fontId="3" fillId="6" borderId="11" xfId="0" applyFont="1" applyFill="1" applyBorder="1" applyAlignment="1">
      <alignment horizontal="centerContinuous" vertical="center"/>
    </xf>
    <xf numFmtId="0" fontId="3" fillId="0" borderId="39" xfId="9" quotePrefix="1" applyFont="1" applyBorder="1" applyAlignment="1">
      <alignment horizontal="center" vertical="center"/>
    </xf>
    <xf numFmtId="173" fontId="3" fillId="0" borderId="21" xfId="9" applyNumberFormat="1" applyFont="1" applyBorder="1" applyAlignment="1">
      <alignment horizontal="center" vertical="center"/>
    </xf>
    <xf numFmtId="0" fontId="16" fillId="0" borderId="0" xfId="6" applyFont="1" applyAlignment="1">
      <alignment vertical="center"/>
    </xf>
    <xf numFmtId="0" fontId="16" fillId="0" borderId="0" xfId="6" applyFont="1" applyAlignment="1">
      <alignment horizontal="center" vertical="center"/>
    </xf>
    <xf numFmtId="0" fontId="6" fillId="0" borderId="10" xfId="0" applyFont="1" applyBorder="1" applyAlignment="1">
      <alignment horizontal="right" vertical="center"/>
    </xf>
    <xf numFmtId="0" fontId="6" fillId="0" borderId="10" xfId="0" applyFont="1" applyBorder="1" applyAlignment="1">
      <alignment horizontal="left" vertical="center" wrapText="1" indent="2"/>
    </xf>
    <xf numFmtId="165" fontId="6" fillId="0" borderId="11" xfId="1" applyNumberFormat="1" applyFont="1" applyFill="1" applyBorder="1" applyAlignment="1">
      <alignment vertical="center"/>
    </xf>
    <xf numFmtId="0" fontId="16" fillId="6" borderId="28" xfId="6" quotePrefix="1" applyFont="1" applyFill="1" applyBorder="1" applyAlignment="1">
      <alignment horizontal="left" vertical="center"/>
    </xf>
    <xf numFmtId="0" fontId="16" fillId="6" borderId="16" xfId="6" applyFont="1" applyFill="1" applyBorder="1" applyAlignment="1">
      <alignment horizontal="left" vertical="center"/>
    </xf>
    <xf numFmtId="0" fontId="16" fillId="6" borderId="30" xfId="6" applyFont="1" applyFill="1" applyBorder="1" applyAlignment="1">
      <alignment horizontal="left" vertical="center"/>
    </xf>
    <xf numFmtId="0" fontId="16" fillId="6" borderId="30" xfId="6" applyFont="1" applyFill="1" applyBorder="1" applyAlignment="1">
      <alignment vertical="center"/>
    </xf>
    <xf numFmtId="0" fontId="16" fillId="6" borderId="30" xfId="7" applyFont="1" applyFill="1" applyBorder="1" applyAlignment="1">
      <alignment horizontal="left" vertical="center"/>
    </xf>
    <xf numFmtId="165" fontId="16" fillId="6" borderId="33" xfId="1" quotePrefix="1" applyNumberFormat="1" applyFont="1" applyFill="1" applyBorder="1" applyAlignment="1">
      <alignment vertical="center"/>
    </xf>
    <xf numFmtId="0" fontId="16" fillId="6" borderId="43" xfId="6" applyFont="1" applyFill="1" applyBorder="1" applyAlignment="1">
      <alignment horizontal="left" vertical="center"/>
    </xf>
    <xf numFmtId="0" fontId="16" fillId="6" borderId="40" xfId="6" applyFont="1" applyFill="1" applyBorder="1" applyAlignment="1">
      <alignment horizontal="left" vertical="center"/>
    </xf>
    <xf numFmtId="0" fontId="16" fillId="6" borderId="40" xfId="6" quotePrefix="1" applyFont="1" applyFill="1" applyBorder="1" applyAlignment="1">
      <alignment horizontal="left" vertical="center"/>
    </xf>
    <xf numFmtId="168" fontId="6" fillId="4" borderId="34" xfId="1" applyNumberFormat="1" applyFont="1" applyFill="1" applyBorder="1" applyAlignment="1">
      <alignment horizontal="center" vertical="center"/>
    </xf>
    <xf numFmtId="165" fontId="6" fillId="4" borderId="25" xfId="1" applyNumberFormat="1" applyFont="1" applyFill="1" applyBorder="1" applyAlignment="1">
      <alignment vertical="center"/>
    </xf>
    <xf numFmtId="0" fontId="3" fillId="0" borderId="39" xfId="9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7" fontId="0" fillId="0" borderId="0" xfId="1" applyNumberFormat="1" applyFont="1" applyAlignment="1">
      <alignment vertical="center"/>
    </xf>
    <xf numFmtId="167" fontId="3" fillId="0" borderId="10" xfId="1" applyNumberFormat="1" applyFont="1" applyBorder="1" applyAlignment="1">
      <alignment horizontal="centerContinuous" vertical="center"/>
    </xf>
    <xf numFmtId="167" fontId="3" fillId="6" borderId="34" xfId="1" applyNumberFormat="1" applyFont="1" applyFill="1" applyBorder="1" applyAlignment="1">
      <alignment vertical="center"/>
    </xf>
    <xf numFmtId="167" fontId="5" fillId="0" borderId="48" xfId="1" applyNumberFormat="1" applyFont="1" applyBorder="1" applyAlignment="1">
      <alignment horizontal="centerContinuous" vertical="center"/>
    </xf>
    <xf numFmtId="167" fontId="5" fillId="0" borderId="42" xfId="1" applyNumberFormat="1" applyFont="1" applyBorder="1" applyAlignment="1">
      <alignment horizontal="centerContinuous" vertical="center"/>
    </xf>
    <xf numFmtId="167" fontId="6" fillId="3" borderId="21" xfId="1" applyNumberFormat="1" applyFont="1" applyFill="1" applyBorder="1" applyAlignment="1">
      <alignment horizontal="center" vertical="center" wrapText="1"/>
    </xf>
    <xf numFmtId="167" fontId="3" fillId="0" borderId="10" xfId="1" applyNumberFormat="1" applyFont="1" applyBorder="1" applyAlignment="1">
      <alignment horizontal="center" vertical="center"/>
    </xf>
    <xf numFmtId="167" fontId="3" fillId="2" borderId="10" xfId="1" applyNumberFormat="1" applyFont="1" applyFill="1" applyBorder="1" applyAlignment="1">
      <alignment horizontal="center" vertical="center"/>
    </xf>
    <xf numFmtId="167" fontId="3" fillId="0" borderId="21" xfId="1" applyNumberFormat="1" applyFont="1" applyBorder="1" applyAlignment="1">
      <alignment horizontal="center" vertical="center"/>
    </xf>
    <xf numFmtId="167" fontId="3" fillId="0" borderId="23" xfId="1" applyNumberFormat="1" applyFont="1" applyBorder="1" applyAlignment="1">
      <alignment horizontal="center" vertical="center"/>
    </xf>
    <xf numFmtId="167" fontId="3" fillId="0" borderId="39" xfId="1" applyNumberFormat="1" applyFont="1" applyBorder="1" applyAlignment="1">
      <alignment horizontal="center" vertical="center"/>
    </xf>
    <xf numFmtId="167" fontId="4" fillId="0" borderId="21" xfId="1" applyNumberFormat="1" applyFont="1" applyBorder="1" applyAlignment="1">
      <alignment horizontal="center" vertical="center"/>
    </xf>
    <xf numFmtId="167" fontId="4" fillId="0" borderId="23" xfId="1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74" fontId="5" fillId="0" borderId="4" xfId="9" applyNumberFormat="1" applyFont="1" applyBorder="1" applyAlignment="1">
      <alignment horizontal="right" vertical="center"/>
    </xf>
    <xf numFmtId="0" fontId="5" fillId="0" borderId="23" xfId="0" applyFont="1" applyBorder="1" applyAlignment="1">
      <alignment horizontal="center" vertical="center"/>
    </xf>
    <xf numFmtId="0" fontId="5" fillId="0" borderId="30" xfId="9" applyFont="1" applyBorder="1" applyAlignment="1">
      <alignment horizontal="center" vertical="center"/>
    </xf>
    <xf numFmtId="167" fontId="5" fillId="0" borderId="23" xfId="1" applyNumberFormat="1" applyFont="1" applyBorder="1" applyAlignment="1">
      <alignment horizontal="center" vertical="center"/>
    </xf>
    <xf numFmtId="0" fontId="5" fillId="0" borderId="30" xfId="9" applyFont="1" applyBorder="1" applyAlignment="1">
      <alignment horizontal="center" vertical="center" wrapText="1"/>
    </xf>
    <xf numFmtId="173" fontId="5" fillId="0" borderId="16" xfId="9" applyNumberFormat="1" applyFont="1" applyBorder="1" applyAlignment="1">
      <alignment horizontal="center" vertical="center" wrapText="1"/>
    </xf>
    <xf numFmtId="0" fontId="5" fillId="0" borderId="39" xfId="9" quotePrefix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174" fontId="5" fillId="0" borderId="3" xfId="9" applyNumberFormat="1" applyFont="1" applyBorder="1" applyAlignment="1">
      <alignment horizontal="right" vertical="center"/>
    </xf>
    <xf numFmtId="0" fontId="5" fillId="0" borderId="22" xfId="0" applyFont="1" applyBorder="1" applyAlignment="1">
      <alignment horizontal="center" vertical="center"/>
    </xf>
    <xf numFmtId="0" fontId="5" fillId="0" borderId="29" xfId="9" applyFont="1" applyBorder="1" applyAlignment="1">
      <alignment horizontal="center" vertical="center"/>
    </xf>
    <xf numFmtId="167" fontId="5" fillId="0" borderId="22" xfId="1" applyNumberFormat="1" applyFont="1" applyBorder="1" applyAlignment="1">
      <alignment horizontal="center" vertical="center"/>
    </xf>
    <xf numFmtId="0" fontId="5" fillId="0" borderId="29" xfId="9" applyFont="1" applyBorder="1" applyAlignment="1">
      <alignment horizontal="center" vertical="center" wrapText="1"/>
    </xf>
    <xf numFmtId="173" fontId="5" fillId="0" borderId="15" xfId="9" applyNumberFormat="1" applyFont="1" applyBorder="1" applyAlignment="1">
      <alignment horizontal="center" vertical="center" wrapText="1"/>
    </xf>
    <xf numFmtId="0" fontId="5" fillId="0" borderId="25" xfId="9" quotePrefix="1" applyFont="1" applyBorder="1" applyAlignment="1">
      <alignment horizontal="center" vertical="center" wrapText="1"/>
    </xf>
    <xf numFmtId="165" fontId="19" fillId="0" borderId="0" xfId="0" applyNumberFormat="1" applyFont="1" applyAlignment="1">
      <alignment vertical="center"/>
    </xf>
    <xf numFmtId="167" fontId="24" fillId="0" borderId="0" xfId="1" applyNumberFormat="1" applyFont="1" applyAlignment="1">
      <alignment horizontal="center" vertical="center"/>
    </xf>
    <xf numFmtId="165" fontId="24" fillId="0" borderId="0" xfId="1" applyNumberFormat="1" applyFont="1" applyAlignment="1">
      <alignment horizontal="center" vertical="center"/>
    </xf>
    <xf numFmtId="165" fontId="4" fillId="0" borderId="13" xfId="1" applyNumberFormat="1" applyFont="1" applyBorder="1" applyAlignment="1">
      <alignment vertical="center"/>
    </xf>
    <xf numFmtId="165" fontId="4" fillId="0" borderId="13" xfId="1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74" fontId="3" fillId="0" borderId="1" xfId="9" applyNumberFormat="1" applyFont="1" applyBorder="1" applyAlignment="1">
      <alignment horizontal="left" vertical="center" wrapText="1"/>
    </xf>
    <xf numFmtId="0" fontId="3" fillId="0" borderId="21" xfId="9" applyFont="1" applyBorder="1" applyAlignment="1">
      <alignment horizontal="center" vertical="center"/>
    </xf>
    <xf numFmtId="43" fontId="4" fillId="0" borderId="58" xfId="1" applyFont="1" applyBorder="1" applyAlignment="1">
      <alignment horizontal="center" vertical="center"/>
    </xf>
    <xf numFmtId="165" fontId="4" fillId="0" borderId="58" xfId="1" applyNumberFormat="1" applyFont="1" applyBorder="1" applyAlignment="1">
      <alignment horizontal="center" vertical="center"/>
    </xf>
    <xf numFmtId="4" fontId="16" fillId="5" borderId="9" xfId="6" applyNumberFormat="1" applyFont="1" applyFill="1" applyBorder="1" applyAlignment="1">
      <alignment vertical="center"/>
    </xf>
    <xf numFmtId="4" fontId="14" fillId="5" borderId="9" xfId="6" applyNumberFormat="1" applyFont="1" applyFill="1" applyBorder="1" applyAlignment="1">
      <alignment vertical="center"/>
    </xf>
    <xf numFmtId="4" fontId="16" fillId="5" borderId="11" xfId="6" applyNumberFormat="1" applyFont="1" applyFill="1" applyBorder="1" applyAlignment="1">
      <alignment horizontal="right" vertical="center"/>
    </xf>
    <xf numFmtId="4" fontId="16" fillId="5" borderId="11" xfId="6" applyNumberFormat="1" applyFont="1" applyFill="1" applyBorder="1" applyAlignment="1">
      <alignment horizontal="center" vertical="center"/>
    </xf>
    <xf numFmtId="165" fontId="16" fillId="5" borderId="13" xfId="1" applyNumberFormat="1" applyFont="1" applyFill="1" applyBorder="1" applyAlignment="1">
      <alignment vertical="center"/>
    </xf>
    <xf numFmtId="0" fontId="4" fillId="0" borderId="23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35" xfId="0" applyFont="1" applyBorder="1" applyAlignment="1">
      <alignment vertical="center" wrapText="1"/>
    </xf>
    <xf numFmtId="165" fontId="4" fillId="0" borderId="19" xfId="1" applyNumberFormat="1" applyFont="1" applyBorder="1" applyAlignment="1">
      <alignment horizontal="center" vertical="center"/>
    </xf>
    <xf numFmtId="10" fontId="4" fillId="0" borderId="25" xfId="2" applyNumberFormat="1" applyFont="1" applyBorder="1" applyAlignment="1">
      <alignment horizontal="center" vertical="center"/>
    </xf>
    <xf numFmtId="168" fontId="4" fillId="0" borderId="34" xfId="1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4" fillId="0" borderId="23" xfId="0" applyFont="1" applyBorder="1" applyAlignment="1">
      <alignment horizontal="left" vertical="center" wrapText="1" indent="3"/>
    </xf>
    <xf numFmtId="0" fontId="4" fillId="0" borderId="23" xfId="0" applyFont="1" applyBorder="1" applyAlignment="1">
      <alignment horizontal="left" vertical="center" wrapText="1" indent="5"/>
    </xf>
    <xf numFmtId="0" fontId="4" fillId="0" borderId="25" xfId="0" applyFont="1" applyBorder="1" applyAlignment="1">
      <alignment vertical="center" wrapText="1"/>
    </xf>
    <xf numFmtId="165" fontId="14" fillId="6" borderId="28" xfId="6" applyNumberFormat="1" applyFont="1" applyFill="1" applyBorder="1" applyAlignment="1">
      <alignment vertical="center"/>
    </xf>
    <xf numFmtId="165" fontId="16" fillId="6" borderId="44" xfId="6" applyNumberFormat="1" applyFont="1" applyFill="1" applyBorder="1" applyAlignment="1">
      <alignment horizontal="right" vertical="center"/>
    </xf>
    <xf numFmtId="165" fontId="14" fillId="6" borderId="40" xfId="6" applyNumberFormat="1" applyFont="1" applyFill="1" applyBorder="1" applyAlignment="1">
      <alignment vertical="center"/>
    </xf>
    <xf numFmtId="165" fontId="16" fillId="6" borderId="30" xfId="6" applyNumberFormat="1" applyFont="1" applyFill="1" applyBorder="1" applyAlignment="1">
      <alignment vertical="center"/>
    </xf>
    <xf numFmtId="165" fontId="16" fillId="6" borderId="33" xfId="6" applyNumberFormat="1" applyFont="1" applyFill="1" applyBorder="1" applyAlignment="1">
      <alignment vertical="center"/>
    </xf>
    <xf numFmtId="165" fontId="14" fillId="6" borderId="33" xfId="6" applyNumberFormat="1" applyFont="1" applyFill="1" applyBorder="1" applyAlignment="1">
      <alignment vertical="center"/>
    </xf>
    <xf numFmtId="165" fontId="16" fillId="6" borderId="30" xfId="7" applyNumberFormat="1" applyFont="1" applyFill="1" applyBorder="1" applyAlignment="1">
      <alignment horizontal="left" vertical="center"/>
    </xf>
    <xf numFmtId="165" fontId="16" fillId="6" borderId="59" xfId="6" applyNumberFormat="1" applyFont="1" applyFill="1" applyBorder="1" applyAlignment="1">
      <alignment horizontal="right" vertical="center"/>
    </xf>
    <xf numFmtId="165" fontId="14" fillId="6" borderId="30" xfId="6" applyNumberFormat="1" applyFont="1" applyFill="1" applyBorder="1" applyAlignment="1">
      <alignment vertical="center"/>
    </xf>
    <xf numFmtId="165" fontId="16" fillId="3" borderId="13" xfId="6" applyNumberFormat="1" applyFont="1" applyFill="1" applyBorder="1" applyAlignment="1">
      <alignment horizontal="center" vertical="center" wrapText="1"/>
    </xf>
    <xf numFmtId="165" fontId="16" fillId="2" borderId="10" xfId="6" applyNumberFormat="1" applyFont="1" applyFill="1" applyBorder="1" applyAlignment="1">
      <alignment horizontal="center" vertical="center" wrapText="1"/>
    </xf>
    <xf numFmtId="165" fontId="16" fillId="2" borderId="11" xfId="6" applyNumberFormat="1" applyFont="1" applyFill="1" applyBorder="1" applyAlignment="1">
      <alignment horizontal="center" vertical="center" wrapText="1"/>
    </xf>
    <xf numFmtId="165" fontId="16" fillId="0" borderId="0" xfId="6" applyNumberFormat="1" applyFont="1" applyAlignment="1">
      <alignment vertical="center"/>
    </xf>
    <xf numFmtId="165" fontId="16" fillId="0" borderId="0" xfId="6" applyNumberFormat="1" applyFont="1" applyAlignment="1">
      <alignment horizontal="right" vertical="center"/>
    </xf>
    <xf numFmtId="10" fontId="16" fillId="6" borderId="33" xfId="2" applyNumberFormat="1" applyFont="1" applyFill="1" applyBorder="1" applyAlignment="1">
      <alignment horizontal="right" vertical="center"/>
    </xf>
    <xf numFmtId="0" fontId="6" fillId="3" borderId="31" xfId="1" applyNumberFormat="1" applyFont="1" applyFill="1" applyBorder="1" applyAlignment="1">
      <alignment horizontal="center" vertical="center" wrapText="1"/>
    </xf>
    <xf numFmtId="43" fontId="4" fillId="0" borderId="0" xfId="0" applyNumberFormat="1" applyFont="1" applyAlignment="1">
      <alignment vertical="center"/>
    </xf>
    <xf numFmtId="0" fontId="16" fillId="6" borderId="30" xfId="6" quotePrefix="1" applyFont="1" applyFill="1" applyBorder="1" applyAlignment="1">
      <alignment horizontal="left" vertical="center"/>
    </xf>
    <xf numFmtId="164" fontId="14" fillId="6" borderId="30" xfId="6" applyNumberFormat="1" applyFont="1" applyFill="1" applyBorder="1" applyAlignment="1">
      <alignment vertical="center"/>
    </xf>
    <xf numFmtId="173" fontId="16" fillId="6" borderId="33" xfId="6" applyNumberFormat="1" applyFont="1" applyFill="1" applyBorder="1" applyAlignment="1">
      <alignment horizontal="right" vertical="center"/>
    </xf>
    <xf numFmtId="164" fontId="16" fillId="6" borderId="30" xfId="6" applyNumberFormat="1" applyFont="1" applyFill="1" applyBorder="1" applyAlignment="1">
      <alignment vertical="center"/>
    </xf>
    <xf numFmtId="164" fontId="16" fillId="6" borderId="33" xfId="6" applyNumberFormat="1" applyFont="1" applyFill="1" applyBorder="1" applyAlignment="1">
      <alignment vertical="center"/>
    </xf>
    <xf numFmtId="164" fontId="14" fillId="6" borderId="33" xfId="6" applyNumberFormat="1" applyFont="1" applyFill="1" applyBorder="1" applyAlignment="1">
      <alignment vertical="center"/>
    </xf>
    <xf numFmtId="10" fontId="16" fillId="6" borderId="33" xfId="6" applyNumberFormat="1" applyFont="1" applyFill="1" applyBorder="1" applyAlignment="1">
      <alignment horizontal="right" vertical="center"/>
    </xf>
    <xf numFmtId="164" fontId="16" fillId="6" borderId="60" xfId="6" applyNumberFormat="1" applyFont="1" applyFill="1" applyBorder="1" applyAlignment="1">
      <alignment horizontal="right" vertical="center"/>
    </xf>
    <xf numFmtId="164" fontId="16" fillId="6" borderId="59" xfId="6" applyNumberFormat="1" applyFont="1" applyFill="1" applyBorder="1" applyAlignment="1">
      <alignment horizontal="right" vertical="center"/>
    </xf>
    <xf numFmtId="0" fontId="4" fillId="0" borderId="1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2" fillId="0" borderId="13" xfId="0" applyFont="1" applyBorder="1" applyAlignment="1">
      <alignment horizontal="centerContinuous" vertical="center" wrapText="1"/>
    </xf>
    <xf numFmtId="167" fontId="6" fillId="4" borderId="0" xfId="1" applyNumberFormat="1" applyFont="1" applyFill="1" applyBorder="1" applyAlignment="1">
      <alignment horizontal="center" vertical="center"/>
    </xf>
    <xf numFmtId="165" fontId="6" fillId="4" borderId="0" xfId="1" applyNumberFormat="1" applyFont="1" applyFill="1" applyBorder="1" applyAlignment="1">
      <alignment vertical="center"/>
    </xf>
    <xf numFmtId="167" fontId="6" fillId="0" borderId="58" xfId="1" applyNumberFormat="1" applyFont="1" applyFill="1" applyBorder="1" applyAlignment="1">
      <alignment horizontal="center" vertical="center"/>
    </xf>
    <xf numFmtId="165" fontId="6" fillId="0" borderId="58" xfId="1" applyNumberFormat="1" applyFont="1" applyFill="1" applyBorder="1" applyAlignment="1">
      <alignment vertical="center"/>
    </xf>
    <xf numFmtId="167" fontId="6" fillId="2" borderId="58" xfId="1" applyNumberFormat="1" applyFont="1" applyFill="1" applyBorder="1" applyAlignment="1">
      <alignment horizontal="center" vertical="center"/>
    </xf>
    <xf numFmtId="165" fontId="6" fillId="2" borderId="58" xfId="1" applyNumberFormat="1" applyFont="1" applyFill="1" applyBorder="1" applyAlignment="1">
      <alignment horizontal="center" vertical="center"/>
    </xf>
    <xf numFmtId="0" fontId="4" fillId="0" borderId="58" xfId="1" applyNumberFormat="1" applyFont="1" applyBorder="1" applyAlignment="1">
      <alignment horizontal="center" vertical="center"/>
    </xf>
    <xf numFmtId="0" fontId="4" fillId="0" borderId="58" xfId="1" applyNumberFormat="1" applyFont="1" applyBorder="1" applyAlignment="1">
      <alignment vertical="center"/>
    </xf>
    <xf numFmtId="0" fontId="6" fillId="2" borderId="58" xfId="1" applyNumberFormat="1" applyFont="1" applyFill="1" applyBorder="1" applyAlignment="1">
      <alignment horizontal="center" vertical="center"/>
    </xf>
    <xf numFmtId="0" fontId="6" fillId="2" borderId="58" xfId="1" applyNumberFormat="1" applyFont="1" applyFill="1" applyBorder="1" applyAlignment="1">
      <alignment vertical="center"/>
    </xf>
    <xf numFmtId="0" fontId="4" fillId="0" borderId="58" xfId="1" applyNumberFormat="1" applyFont="1" applyFill="1" applyBorder="1" applyAlignment="1">
      <alignment horizontal="center" vertical="center"/>
    </xf>
    <xf numFmtId="0" fontId="6" fillId="4" borderId="58" xfId="1" applyNumberFormat="1" applyFont="1" applyFill="1" applyBorder="1" applyAlignment="1">
      <alignment horizontal="center" vertical="center"/>
    </xf>
    <xf numFmtId="0" fontId="6" fillId="4" borderId="58" xfId="1" applyNumberFormat="1" applyFont="1" applyFill="1" applyBorder="1" applyAlignment="1">
      <alignment vertical="center"/>
    </xf>
    <xf numFmtId="0" fontId="6" fillId="0" borderId="58" xfId="1" applyNumberFormat="1" applyFont="1" applyFill="1" applyBorder="1" applyAlignment="1">
      <alignment horizontal="center" vertical="center"/>
    </xf>
    <xf numFmtId="0" fontId="6" fillId="0" borderId="58" xfId="1" applyNumberFormat="1" applyFont="1" applyFill="1" applyBorder="1" applyAlignment="1">
      <alignment vertical="center"/>
    </xf>
    <xf numFmtId="0" fontId="4" fillId="0" borderId="58" xfId="1" applyNumberFormat="1" applyFont="1" applyFill="1" applyBorder="1" applyAlignment="1">
      <alignment vertical="center"/>
    </xf>
    <xf numFmtId="0" fontId="4" fillId="0" borderId="58" xfId="1" quotePrefix="1" applyNumberFormat="1" applyFont="1" applyBorder="1" applyAlignment="1">
      <alignment horizontal="center" vertical="center"/>
    </xf>
    <xf numFmtId="165" fontId="16" fillId="6" borderId="30" xfId="6" applyNumberFormat="1" applyFont="1" applyFill="1" applyBorder="1" applyAlignment="1">
      <alignment horizontal="right" vertical="center"/>
    </xf>
    <xf numFmtId="0" fontId="6" fillId="3" borderId="13" xfId="1" applyNumberFormat="1" applyFont="1" applyFill="1" applyBorder="1" applyAlignment="1">
      <alignment horizontal="centerContinuous" vertical="center" wrapText="1"/>
    </xf>
    <xf numFmtId="0" fontId="0" fillId="3" borderId="10" xfId="0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169" fontId="6" fillId="3" borderId="25" xfId="1" applyNumberFormat="1" applyFont="1" applyFill="1" applyBorder="1" applyAlignment="1">
      <alignment horizontal="center" vertical="center" textRotation="90" wrapText="1"/>
    </xf>
    <xf numFmtId="0" fontId="6" fillId="2" borderId="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vertical="center"/>
    </xf>
    <xf numFmtId="165" fontId="6" fillId="2" borderId="10" xfId="1" applyNumberFormat="1" applyFont="1" applyFill="1" applyBorder="1" applyAlignment="1">
      <alignment horizontal="center" vertical="center"/>
    </xf>
    <xf numFmtId="10" fontId="6" fillId="2" borderId="13" xfId="2" applyNumberFormat="1" applyFont="1" applyFill="1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4" fillId="0" borderId="40" xfId="0" applyFont="1" applyBorder="1" applyAlignment="1">
      <alignment horizontal="left" vertical="center"/>
    </xf>
    <xf numFmtId="0" fontId="4" fillId="0" borderId="39" xfId="0" applyFont="1" applyBorder="1" applyAlignment="1">
      <alignment vertical="center" wrapText="1"/>
    </xf>
    <xf numFmtId="165" fontId="4" fillId="0" borderId="39" xfId="1" applyNumberFormat="1" applyFont="1" applyFill="1" applyBorder="1" applyAlignment="1">
      <alignment horizontal="center" vertical="center"/>
    </xf>
    <xf numFmtId="165" fontId="4" fillId="0" borderId="23" xfId="1" applyNumberFormat="1" applyFont="1" applyFill="1" applyBorder="1" applyAlignment="1">
      <alignment horizontal="center" vertical="center"/>
    </xf>
    <xf numFmtId="0" fontId="4" fillId="0" borderId="36" xfId="0" applyFont="1" applyBorder="1" applyAlignment="1">
      <alignment horizontal="left" vertical="center"/>
    </xf>
    <xf numFmtId="165" fontId="4" fillId="0" borderId="37" xfId="1" applyNumberFormat="1" applyFont="1" applyFill="1" applyBorder="1" applyAlignment="1">
      <alignment horizontal="center" vertical="center"/>
    </xf>
    <xf numFmtId="165" fontId="4" fillId="0" borderId="24" xfId="1" applyNumberFormat="1" applyFont="1" applyFill="1" applyBorder="1" applyAlignment="1">
      <alignment horizontal="center" vertical="center"/>
    </xf>
    <xf numFmtId="168" fontId="6" fillId="2" borderId="10" xfId="1" applyNumberFormat="1" applyFont="1" applyFill="1" applyBorder="1" applyAlignment="1">
      <alignment horizontal="center" vertical="center"/>
    </xf>
    <xf numFmtId="0" fontId="4" fillId="0" borderId="39" xfId="0" applyFont="1" applyBorder="1" applyAlignment="1">
      <alignment vertical="center"/>
    </xf>
    <xf numFmtId="165" fontId="4" fillId="0" borderId="14" xfId="1" applyNumberFormat="1" applyFont="1" applyFill="1" applyBorder="1" applyAlignment="1">
      <alignment horizontal="center" vertical="center"/>
    </xf>
    <xf numFmtId="0" fontId="4" fillId="0" borderId="37" xfId="0" applyFont="1" applyBorder="1" applyAlignment="1">
      <alignment vertical="center"/>
    </xf>
    <xf numFmtId="165" fontId="4" fillId="0" borderId="50" xfId="1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37" xfId="0" applyFont="1" applyBorder="1" applyAlignment="1">
      <alignment horizontal="left" vertical="center"/>
    </xf>
    <xf numFmtId="0" fontId="4" fillId="0" borderId="36" xfId="0" applyFont="1" applyBorder="1" applyAlignment="1">
      <alignment horizontal="right" vertical="center"/>
    </xf>
    <xf numFmtId="0" fontId="4" fillId="0" borderId="29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165" fontId="4" fillId="0" borderId="15" xfId="1" applyNumberFormat="1" applyFont="1" applyFill="1" applyBorder="1" applyAlignment="1">
      <alignment horizontal="center" vertical="center"/>
    </xf>
    <xf numFmtId="165" fontId="4" fillId="0" borderId="22" xfId="1" applyNumberFormat="1" applyFont="1" applyFill="1" applyBorder="1" applyAlignment="1">
      <alignment horizontal="center" vertical="center"/>
    </xf>
    <xf numFmtId="164" fontId="16" fillId="6" borderId="30" xfId="6" applyNumberFormat="1" applyFont="1" applyFill="1" applyBorder="1" applyAlignment="1">
      <alignment horizontal="right" vertical="center"/>
    </xf>
    <xf numFmtId="174" fontId="3" fillId="0" borderId="53" xfId="9" applyNumberFormat="1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/>
    </xf>
    <xf numFmtId="174" fontId="3" fillId="0" borderId="6" xfId="9" applyNumberFormat="1" applyFont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/>
    </xf>
    <xf numFmtId="174" fontId="3" fillId="0" borderId="4" xfId="9" applyNumberFormat="1" applyFont="1" applyBorder="1" applyAlignment="1">
      <alignment horizontal="left" vertical="center" wrapText="1"/>
    </xf>
    <xf numFmtId="167" fontId="3" fillId="0" borderId="21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67" fontId="3" fillId="0" borderId="23" xfId="1" applyNumberFormat="1" applyFont="1" applyFill="1" applyBorder="1" applyAlignment="1">
      <alignment horizontal="center" vertical="center"/>
    </xf>
    <xf numFmtId="167" fontId="3" fillId="0" borderId="39" xfId="1" applyNumberFormat="1" applyFont="1" applyFill="1" applyBorder="1" applyAlignment="1">
      <alignment horizontal="center" vertical="center"/>
    </xf>
    <xf numFmtId="167" fontId="3" fillId="0" borderId="20" xfId="1" applyNumberFormat="1" applyFont="1" applyFill="1" applyBorder="1" applyAlignment="1">
      <alignment horizontal="center" vertical="center"/>
    </xf>
    <xf numFmtId="173" fontId="3" fillId="0" borderId="17" xfId="9" applyNumberFormat="1" applyFont="1" applyBorder="1" applyAlignment="1">
      <alignment horizontal="center" vertical="center" wrapText="1"/>
    </xf>
    <xf numFmtId="0" fontId="3" fillId="0" borderId="20" xfId="9" quotePrefix="1" applyFont="1" applyBorder="1" applyAlignment="1">
      <alignment horizontal="center" vertical="center" wrapText="1"/>
    </xf>
    <xf numFmtId="0" fontId="3" fillId="0" borderId="23" xfId="9" quotePrefix="1" applyFont="1" applyBorder="1" applyAlignment="1">
      <alignment horizontal="center" vertical="center" wrapText="1"/>
    </xf>
    <xf numFmtId="0" fontId="4" fillId="0" borderId="28" xfId="9" applyFont="1" applyBorder="1" applyAlignment="1">
      <alignment horizontal="center" vertical="center" wrapText="1"/>
    </xf>
    <xf numFmtId="0" fontId="4" fillId="0" borderId="40" xfId="9" applyFont="1" applyBorder="1" applyAlignment="1">
      <alignment horizontal="center" vertical="center"/>
    </xf>
    <xf numFmtId="167" fontId="4" fillId="0" borderId="21" xfId="1" applyNumberFormat="1" applyFont="1" applyFill="1" applyBorder="1" applyAlignment="1">
      <alignment horizontal="center" vertical="center"/>
    </xf>
    <xf numFmtId="167" fontId="4" fillId="0" borderId="39" xfId="1" applyNumberFormat="1" applyFont="1" applyFill="1" applyBorder="1" applyAlignment="1">
      <alignment horizontal="center" vertical="center"/>
    </xf>
    <xf numFmtId="175" fontId="3" fillId="0" borderId="43" xfId="9" applyNumberFormat="1" applyFont="1" applyBorder="1" applyAlignment="1">
      <alignment horizontal="center" vertical="center"/>
    </xf>
    <xf numFmtId="174" fontId="3" fillId="0" borderId="6" xfId="9" applyNumberFormat="1" applyFont="1" applyBorder="1" applyAlignment="1">
      <alignment horizontal="left" vertical="center"/>
    </xf>
    <xf numFmtId="0" fontId="3" fillId="0" borderId="33" xfId="9" applyFont="1" applyBorder="1" applyAlignment="1">
      <alignment horizontal="center" vertical="center"/>
    </xf>
    <xf numFmtId="165" fontId="4" fillId="5" borderId="23" xfId="1" applyNumberFormat="1" applyFont="1" applyFill="1" applyBorder="1" applyAlignment="1">
      <alignment horizontal="center" vertical="center"/>
    </xf>
    <xf numFmtId="165" fontId="4" fillId="5" borderId="39" xfId="1" applyNumberFormat="1" applyFont="1" applyFill="1" applyBorder="1" applyAlignment="1">
      <alignment horizontal="center" vertical="center"/>
    </xf>
    <xf numFmtId="165" fontId="4" fillId="5" borderId="24" xfId="1" applyNumberFormat="1" applyFont="1" applyFill="1" applyBorder="1" applyAlignment="1">
      <alignment horizontal="center" vertical="center"/>
    </xf>
    <xf numFmtId="167" fontId="19" fillId="0" borderId="0" xfId="1" applyNumberFormat="1" applyFont="1" applyAlignment="1">
      <alignment horizontal="right" vertical="center"/>
    </xf>
    <xf numFmtId="167" fontId="10" fillId="0" borderId="0" xfId="1" applyNumberFormat="1" applyFont="1" applyAlignment="1">
      <alignment vertical="center"/>
    </xf>
    <xf numFmtId="0" fontId="3" fillId="2" borderId="11" xfId="9" applyFont="1" applyFill="1" applyBorder="1" applyAlignment="1">
      <alignment horizontal="center" vertical="center"/>
    </xf>
    <xf numFmtId="167" fontId="4" fillId="0" borderId="0" xfId="1" applyNumberFormat="1" applyFont="1" applyAlignment="1">
      <alignment vertical="center"/>
    </xf>
    <xf numFmtId="167" fontId="6" fillId="0" borderId="0" xfId="1" applyNumberFormat="1" applyFont="1" applyAlignment="1">
      <alignment vertical="center"/>
    </xf>
    <xf numFmtId="0" fontId="3" fillId="0" borderId="41" xfId="9" applyFont="1" applyBorder="1" applyAlignment="1">
      <alignment horizontal="center" vertical="center" wrapText="1"/>
    </xf>
    <xf numFmtId="167" fontId="4" fillId="0" borderId="23" xfId="1" applyNumberFormat="1" applyFont="1" applyFill="1" applyBorder="1" applyAlignment="1">
      <alignment horizontal="center" vertical="center"/>
    </xf>
    <xf numFmtId="0" fontId="3" fillId="2" borderId="28" xfId="9" quotePrefix="1" applyFont="1" applyFill="1" applyBorder="1" applyAlignment="1">
      <alignment horizontal="center" vertical="center"/>
    </xf>
    <xf numFmtId="0" fontId="3" fillId="2" borderId="11" xfId="9" quotePrefix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Continuous" vertical="center" wrapText="1"/>
    </xf>
    <xf numFmtId="0" fontId="3" fillId="0" borderId="13" xfId="0" applyFont="1" applyBorder="1" applyAlignment="1">
      <alignment horizontal="centerContinuous" vertical="center"/>
    </xf>
    <xf numFmtId="167" fontId="3" fillId="0" borderId="13" xfId="1" applyNumberFormat="1" applyFont="1" applyBorder="1" applyAlignment="1">
      <alignment horizontal="centerContinuous" vertical="center"/>
    </xf>
    <xf numFmtId="0" fontId="0" fillId="0" borderId="13" xfId="0" applyBorder="1" applyAlignment="1">
      <alignment horizontal="centerContinuous" vertical="center"/>
    </xf>
    <xf numFmtId="0" fontId="5" fillId="6" borderId="13" xfId="0" applyFont="1" applyFill="1" applyBorder="1" applyAlignment="1">
      <alignment horizontal="centerContinuous" vertical="center"/>
    </xf>
    <xf numFmtId="0" fontId="3" fillId="6" borderId="13" xfId="0" applyFont="1" applyFill="1" applyBorder="1" applyAlignment="1">
      <alignment horizontal="centerContinuous" vertical="center"/>
    </xf>
    <xf numFmtId="0" fontId="3" fillId="0" borderId="28" xfId="9" quotePrefix="1" applyFont="1" applyBorder="1" applyAlignment="1">
      <alignment horizontal="center" vertical="center"/>
    </xf>
    <xf numFmtId="0" fontId="3" fillId="0" borderId="11" xfId="9" quotePrefix="1" applyFont="1" applyBorder="1" applyAlignment="1">
      <alignment horizontal="center" vertical="center"/>
    </xf>
    <xf numFmtId="0" fontId="3" fillId="0" borderId="10" xfId="9" quotePrefix="1" applyFont="1" applyBorder="1" applyAlignment="1">
      <alignment horizontal="center" vertical="center"/>
    </xf>
    <xf numFmtId="0" fontId="3" fillId="2" borderId="10" xfId="9" quotePrefix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Continuous" vertical="center"/>
    </xf>
    <xf numFmtId="167" fontId="5" fillId="0" borderId="10" xfId="1" applyNumberFormat="1" applyFont="1" applyBorder="1" applyAlignment="1">
      <alignment horizontal="centerContinuous" vertical="center"/>
    </xf>
    <xf numFmtId="14" fontId="5" fillId="0" borderId="13" xfId="0" applyNumberFormat="1" applyFont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0" fillId="0" borderId="46" xfId="0" applyBorder="1" applyAlignment="1">
      <alignment horizontal="centerContinuous" vertical="center"/>
    </xf>
    <xf numFmtId="0" fontId="6" fillId="3" borderId="31" xfId="8" applyFont="1" applyFill="1" applyBorder="1" applyAlignment="1">
      <alignment horizontal="center" vertical="center" wrapText="1"/>
    </xf>
    <xf numFmtId="0" fontId="3" fillId="0" borderId="11" xfId="9" applyFont="1" applyBorder="1" applyAlignment="1">
      <alignment horizontal="center" vertical="center"/>
    </xf>
    <xf numFmtId="0" fontId="3" fillId="0" borderId="31" xfId="9" applyFont="1" applyBorder="1" applyAlignment="1">
      <alignment horizontal="center" vertical="center"/>
    </xf>
    <xf numFmtId="0" fontId="5" fillId="0" borderId="33" xfId="9" applyFont="1" applyBorder="1" applyAlignment="1">
      <alignment horizontal="center" vertical="center"/>
    </xf>
    <xf numFmtId="0" fontId="5" fillId="0" borderId="32" xfId="9" applyFont="1" applyBorder="1" applyAlignment="1">
      <alignment horizontal="center" vertical="center"/>
    </xf>
    <xf numFmtId="0" fontId="3" fillId="0" borderId="41" xfId="9" applyFont="1" applyBorder="1" applyAlignment="1">
      <alignment horizontal="center" vertical="center"/>
    </xf>
    <xf numFmtId="0" fontId="3" fillId="0" borderId="47" xfId="9" applyFont="1" applyBorder="1" applyAlignment="1">
      <alignment horizontal="center" vertical="center"/>
    </xf>
    <xf numFmtId="0" fontId="3" fillId="0" borderId="31" xfId="9" applyFont="1" applyBorder="1" applyAlignment="1">
      <alignment horizontal="center" vertical="center" wrapText="1"/>
    </xf>
    <xf numFmtId="0" fontId="0" fillId="0" borderId="42" xfId="0" applyBorder="1" applyAlignment="1">
      <alignment horizontal="centerContinuous" vertical="center"/>
    </xf>
    <xf numFmtId="0" fontId="3" fillId="0" borderId="13" xfId="0" applyFont="1" applyBorder="1" applyAlignment="1">
      <alignment vertical="center"/>
    </xf>
    <xf numFmtId="0" fontId="6" fillId="3" borderId="39" xfId="8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Continuous" vertical="center"/>
    </xf>
    <xf numFmtId="0" fontId="5" fillId="0" borderId="33" xfId="9" applyFont="1" applyBorder="1" applyAlignment="1">
      <alignment horizontal="center" vertical="center" wrapText="1"/>
    </xf>
    <xf numFmtId="0" fontId="5" fillId="0" borderId="32" xfId="9" applyFont="1" applyBorder="1" applyAlignment="1">
      <alignment horizontal="center" vertical="center" wrapText="1"/>
    </xf>
    <xf numFmtId="0" fontId="3" fillId="0" borderId="33" xfId="9" applyFont="1" applyBorder="1" applyAlignment="1">
      <alignment horizontal="center" vertical="center" wrapText="1"/>
    </xf>
    <xf numFmtId="4" fontId="14" fillId="0" borderId="38" xfId="6" applyNumberFormat="1" applyFont="1" applyBorder="1" applyAlignment="1">
      <alignment horizontal="center" vertical="center"/>
    </xf>
    <xf numFmtId="3" fontId="14" fillId="0" borderId="22" xfId="7" applyNumberFormat="1" applyFont="1" applyBorder="1" applyAlignment="1">
      <alignment horizontal="center" vertical="center"/>
    </xf>
    <xf numFmtId="170" fontId="14" fillId="0" borderId="23" xfId="1" applyNumberFormat="1" applyFont="1" applyFill="1" applyBorder="1" applyAlignment="1">
      <alignment horizontal="right" vertical="center" wrapText="1"/>
    </xf>
    <xf numFmtId="165" fontId="6" fillId="0" borderId="0" xfId="0" applyNumberFormat="1" applyFont="1" applyAlignment="1">
      <alignment vertical="center"/>
    </xf>
    <xf numFmtId="175" fontId="3" fillId="0" borderId="16" xfId="9" applyNumberFormat="1" applyFont="1" applyBorder="1" applyAlignment="1">
      <alignment horizontal="center" vertical="center" wrapText="1"/>
    </xf>
    <xf numFmtId="167" fontId="5" fillId="0" borderId="23" xfId="1" applyNumberFormat="1" applyFont="1" applyFill="1" applyBorder="1" applyAlignment="1">
      <alignment horizontal="center" vertical="center"/>
    </xf>
    <xf numFmtId="167" fontId="5" fillId="0" borderId="22" xfId="1" applyNumberFormat="1" applyFont="1" applyFill="1" applyBorder="1" applyAlignment="1">
      <alignment horizontal="center" vertical="center"/>
    </xf>
    <xf numFmtId="167" fontId="3" fillId="0" borderId="10" xfId="1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top"/>
    </xf>
    <xf numFmtId="10" fontId="6" fillId="0" borderId="10" xfId="0" applyNumberFormat="1" applyFont="1" applyBorder="1" applyAlignment="1">
      <alignment horizontal="center" vertical="top"/>
    </xf>
    <xf numFmtId="165" fontId="6" fillId="0" borderId="10" xfId="1" applyNumberFormat="1" applyFont="1" applyFill="1" applyBorder="1" applyAlignment="1">
      <alignment horizontal="center" vertical="top" wrapText="1"/>
    </xf>
    <xf numFmtId="0" fontId="22" fillId="0" borderId="13" xfId="0" applyFont="1" applyBorder="1" applyAlignment="1">
      <alignment horizontal="centerContinuous" vertical="center"/>
    </xf>
    <xf numFmtId="0" fontId="6" fillId="0" borderId="10" xfId="0" applyFont="1" applyBorder="1" applyAlignment="1">
      <alignment horizontal="center" vertical="top"/>
    </xf>
    <xf numFmtId="0" fontId="4" fillId="2" borderId="20" xfId="0" applyFont="1" applyFill="1" applyBorder="1" applyAlignment="1">
      <alignment horizontal="center" vertical="top"/>
    </xf>
    <xf numFmtId="0" fontId="4" fillId="2" borderId="20" xfId="0" applyFont="1" applyFill="1" applyBorder="1" applyAlignment="1">
      <alignment horizontal="left" vertical="top"/>
    </xf>
    <xf numFmtId="165" fontId="4" fillId="2" borderId="26" xfId="1" applyNumberFormat="1" applyFont="1" applyFill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/>
    </xf>
    <xf numFmtId="0" fontId="4" fillId="0" borderId="10" xfId="0" applyFont="1" applyBorder="1" applyAlignment="1">
      <alignment horizontal="left" vertical="top"/>
    </xf>
    <xf numFmtId="10" fontId="4" fillId="0" borderId="10" xfId="0" applyNumberFormat="1" applyFont="1" applyBorder="1" applyAlignment="1">
      <alignment horizontal="center" vertical="top"/>
    </xf>
    <xf numFmtId="165" fontId="4" fillId="0" borderId="10" xfId="1" applyNumberFormat="1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/>
    </xf>
    <xf numFmtId="0" fontId="4" fillId="2" borderId="13" xfId="0" applyFont="1" applyFill="1" applyBorder="1" applyAlignment="1">
      <alignment horizontal="left" vertical="top"/>
    </xf>
    <xf numFmtId="165" fontId="4" fillId="2" borderId="26" xfId="1" applyNumberFormat="1" applyFont="1" applyFill="1" applyBorder="1" applyAlignment="1">
      <alignment horizontal="center" vertical="top"/>
    </xf>
    <xf numFmtId="10" fontId="4" fillId="0" borderId="0" xfId="2" applyNumberFormat="1" applyFont="1" applyAlignment="1">
      <alignment vertical="center"/>
    </xf>
    <xf numFmtId="165" fontId="4" fillId="2" borderId="60" xfId="1" applyNumberFormat="1" applyFont="1" applyFill="1" applyBorder="1" applyAlignment="1">
      <alignment horizontal="center" vertical="top"/>
    </xf>
    <xf numFmtId="10" fontId="19" fillId="0" borderId="0" xfId="2" applyNumberFormat="1" applyFont="1" applyAlignment="1">
      <alignment vertical="center"/>
    </xf>
    <xf numFmtId="10" fontId="4" fillId="2" borderId="17" xfId="0" applyNumberFormat="1" applyFont="1" applyFill="1" applyBorder="1" applyAlignment="1">
      <alignment horizontal="center" vertical="top"/>
    </xf>
    <xf numFmtId="10" fontId="4" fillId="2" borderId="42" xfId="0" applyNumberFormat="1" applyFont="1" applyFill="1" applyBorder="1" applyAlignment="1">
      <alignment horizontal="center" vertical="top"/>
    </xf>
    <xf numFmtId="10" fontId="4" fillId="2" borderId="6" xfId="0" applyNumberFormat="1" applyFont="1" applyFill="1" applyBorder="1" applyAlignment="1">
      <alignment horizontal="center" vertical="top"/>
    </xf>
    <xf numFmtId="0" fontId="6" fillId="3" borderId="56" xfId="0" applyFont="1" applyFill="1" applyBorder="1" applyAlignment="1">
      <alignment horizontal="center" vertical="center" wrapText="1"/>
    </xf>
    <xf numFmtId="165" fontId="6" fillId="0" borderId="11" xfId="1" applyNumberFormat="1" applyFont="1" applyFill="1" applyBorder="1" applyAlignment="1">
      <alignment horizontal="center" vertical="top" wrapText="1"/>
    </xf>
    <xf numFmtId="165" fontId="4" fillId="0" borderId="11" xfId="1" applyNumberFormat="1" applyFont="1" applyFill="1" applyBorder="1" applyAlignment="1">
      <alignment horizontal="center" vertical="top" wrapText="1"/>
    </xf>
    <xf numFmtId="0" fontId="6" fillId="4" borderId="15" xfId="0" applyFont="1" applyFill="1" applyBorder="1" applyAlignment="1">
      <alignment vertical="center"/>
    </xf>
    <xf numFmtId="0" fontId="6" fillId="4" borderId="29" xfId="0" applyFont="1" applyFill="1" applyBorder="1" applyAlignment="1">
      <alignment horizontal="right" vertical="center"/>
    </xf>
    <xf numFmtId="10" fontId="6" fillId="4" borderId="15" xfId="0" applyNumberFormat="1" applyFont="1" applyFill="1" applyBorder="1" applyAlignment="1">
      <alignment horizontal="center" vertical="center"/>
    </xf>
    <xf numFmtId="165" fontId="6" fillId="4" borderId="56" xfId="1" applyNumberFormat="1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174" fontId="5" fillId="2" borderId="17" xfId="9" applyNumberFormat="1" applyFont="1" applyFill="1" applyBorder="1" applyAlignment="1">
      <alignment horizontal="left" vertical="center"/>
    </xf>
    <xf numFmtId="0" fontId="3" fillId="2" borderId="42" xfId="9" quotePrefix="1" applyFont="1" applyFill="1" applyBorder="1" applyAlignment="1">
      <alignment horizontal="center" vertical="center"/>
    </xf>
    <xf numFmtId="174" fontId="3" fillId="0" borderId="43" xfId="9" applyNumberFormat="1" applyFont="1" applyBorder="1" applyAlignment="1">
      <alignment horizontal="left" vertical="center"/>
    </xf>
    <xf numFmtId="43" fontId="19" fillId="0" borderId="0" xfId="0" applyNumberFormat="1" applyFont="1" applyAlignment="1">
      <alignment vertical="center"/>
    </xf>
    <xf numFmtId="0" fontId="3" fillId="2" borderId="42" xfId="0" applyFont="1" applyFill="1" applyBorder="1" applyAlignment="1">
      <alignment horizontal="center" vertical="center"/>
    </xf>
    <xf numFmtId="167" fontId="3" fillId="2" borderId="42" xfId="1" applyNumberFormat="1" applyFont="1" applyFill="1" applyBorder="1" applyAlignment="1">
      <alignment horizontal="center" vertical="center"/>
    </xf>
    <xf numFmtId="174" fontId="3" fillId="0" borderId="14" xfId="9" applyNumberFormat="1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/>
    </xf>
    <xf numFmtId="167" fontId="26" fillId="0" borderId="30" xfId="1" applyNumberFormat="1" applyFont="1" applyBorder="1" applyAlignment="1">
      <alignment horizontal="center" vertical="center"/>
    </xf>
    <xf numFmtId="0" fontId="4" fillId="0" borderId="33" xfId="9" applyFont="1" applyBorder="1" applyAlignment="1">
      <alignment horizontal="center" vertical="center"/>
    </xf>
    <xf numFmtId="175" fontId="4" fillId="0" borderId="16" xfId="9" applyNumberFormat="1" applyFont="1" applyBorder="1" applyAlignment="1">
      <alignment horizontal="center" vertical="center" wrapText="1"/>
    </xf>
    <xf numFmtId="0" fontId="4" fillId="0" borderId="30" xfId="9" applyFont="1" applyBorder="1" applyAlignment="1">
      <alignment horizontal="center" vertical="center"/>
    </xf>
    <xf numFmtId="0" fontId="4" fillId="0" borderId="30" xfId="9" applyFont="1" applyBorder="1" applyAlignment="1">
      <alignment horizontal="center" vertical="center" wrapText="1"/>
    </xf>
    <xf numFmtId="0" fontId="4" fillId="0" borderId="23" xfId="9" quotePrefix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74" fontId="4" fillId="0" borderId="4" xfId="9" applyNumberFormat="1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4" fillId="0" borderId="40" xfId="9" applyFont="1" applyBorder="1" applyAlignment="1">
      <alignment horizontal="center" vertical="center" wrapText="1"/>
    </xf>
    <xf numFmtId="175" fontId="4" fillId="0" borderId="16" xfId="9" applyNumberFormat="1" applyFont="1" applyBorder="1" applyAlignment="1">
      <alignment horizontal="center" vertical="center"/>
    </xf>
    <xf numFmtId="175" fontId="3" fillId="0" borderId="14" xfId="9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165" fontId="4" fillId="0" borderId="0" xfId="1" applyNumberFormat="1" applyFont="1" applyAlignment="1">
      <alignment vertical="center"/>
    </xf>
    <xf numFmtId="0" fontId="30" fillId="0" borderId="0" xfId="0" applyFont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vertical="center"/>
    </xf>
    <xf numFmtId="165" fontId="3" fillId="0" borderId="39" xfId="1" applyNumberFormat="1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165" fontId="3" fillId="0" borderId="23" xfId="1" applyNumberFormat="1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165" fontId="3" fillId="0" borderId="37" xfId="1" applyNumberFormat="1" applyFont="1" applyBorder="1" applyAlignment="1">
      <alignment vertical="center"/>
    </xf>
    <xf numFmtId="43" fontId="3" fillId="0" borderId="37" xfId="1" applyFont="1" applyBorder="1" applyAlignment="1">
      <alignment vertical="center"/>
    </xf>
    <xf numFmtId="0" fontId="5" fillId="4" borderId="13" xfId="0" applyFont="1" applyFill="1" applyBorder="1" applyAlignment="1">
      <alignment vertical="center"/>
    </xf>
    <xf numFmtId="0" fontId="5" fillId="4" borderId="13" xfId="0" applyFont="1" applyFill="1" applyBorder="1" applyAlignment="1">
      <alignment horizontal="right" vertical="center"/>
    </xf>
    <xf numFmtId="165" fontId="5" fillId="4" borderId="13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65" fontId="3" fillId="0" borderId="0" xfId="1" applyNumberFormat="1" applyFont="1" applyAlignment="1">
      <alignment vertical="center"/>
    </xf>
    <xf numFmtId="43" fontId="3" fillId="0" borderId="0" xfId="1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73" fontId="3" fillId="0" borderId="39" xfId="0" applyNumberFormat="1" applyFont="1" applyBorder="1" applyAlignment="1">
      <alignment horizontal="center" vertical="center"/>
    </xf>
    <xf numFmtId="173" fontId="3" fillId="0" borderId="23" xfId="0" applyNumberFormat="1" applyFont="1" applyBorder="1" applyAlignment="1">
      <alignment horizontal="center" vertical="center"/>
    </xf>
    <xf numFmtId="165" fontId="3" fillId="0" borderId="23" xfId="1" applyNumberFormat="1" applyFont="1" applyFill="1" applyBorder="1" applyAlignment="1">
      <alignment vertical="center"/>
    </xf>
    <xf numFmtId="0" fontId="3" fillId="0" borderId="23" xfId="0" applyFont="1" applyBorder="1" applyAlignment="1">
      <alignment vertical="center" wrapText="1"/>
    </xf>
    <xf numFmtId="0" fontId="3" fillId="0" borderId="37" xfId="0" applyFont="1" applyBorder="1" applyAlignment="1">
      <alignment horizontal="center" vertical="center"/>
    </xf>
    <xf numFmtId="165" fontId="5" fillId="4" borderId="13" xfId="0" applyNumberFormat="1" applyFont="1" applyFill="1" applyBorder="1" applyAlignment="1">
      <alignment vertical="center"/>
    </xf>
    <xf numFmtId="173" fontId="3" fillId="0" borderId="37" xfId="0" applyNumberFormat="1" applyFont="1" applyBorder="1" applyAlignment="1">
      <alignment horizontal="center" vertical="center"/>
    </xf>
    <xf numFmtId="165" fontId="3" fillId="0" borderId="37" xfId="1" applyNumberFormat="1" applyFont="1" applyFill="1" applyBorder="1" applyAlignment="1">
      <alignment vertical="center"/>
    </xf>
    <xf numFmtId="178" fontId="3" fillId="0" borderId="0" xfId="0" applyNumberFormat="1" applyFont="1" applyAlignment="1">
      <alignment vertical="center"/>
    </xf>
    <xf numFmtId="170" fontId="6" fillId="4" borderId="23" xfId="1" applyNumberFormat="1" applyFont="1" applyFill="1" applyBorder="1" applyAlignment="1">
      <alignment horizontal="right" vertical="center" wrapText="1"/>
    </xf>
    <xf numFmtId="3" fontId="14" fillId="0" borderId="13" xfId="6" applyNumberFormat="1" applyFont="1" applyBorder="1" applyAlignment="1">
      <alignment vertical="center"/>
    </xf>
    <xf numFmtId="4" fontId="16" fillId="0" borderId="9" xfId="6" applyNumberFormat="1" applyFont="1" applyBorder="1" applyAlignment="1">
      <alignment horizontal="right" vertical="center"/>
    </xf>
    <xf numFmtId="4" fontId="16" fillId="0" borderId="11" xfId="6" applyNumberFormat="1" applyFont="1" applyBorder="1" applyAlignment="1">
      <alignment horizontal="right" vertical="center"/>
    </xf>
    <xf numFmtId="4" fontId="16" fillId="0" borderId="11" xfId="6" applyNumberFormat="1" applyFont="1" applyBorder="1" applyAlignment="1">
      <alignment horizontal="center" vertical="center"/>
    </xf>
    <xf numFmtId="165" fontId="16" fillId="0" borderId="0" xfId="1" applyNumberFormat="1" applyFont="1" applyFill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176" fontId="0" fillId="0" borderId="13" xfId="0" applyNumberFormat="1" applyBorder="1" applyAlignment="1">
      <alignment vertical="center"/>
    </xf>
    <xf numFmtId="167" fontId="1" fillId="0" borderId="13" xfId="1" applyNumberFormat="1" applyFont="1" applyFill="1" applyBorder="1" applyAlignment="1">
      <alignment vertical="center"/>
    </xf>
    <xf numFmtId="167" fontId="1" fillId="0" borderId="13" xfId="1" applyNumberFormat="1" applyFont="1" applyBorder="1" applyAlignment="1">
      <alignment vertical="center"/>
    </xf>
    <xf numFmtId="176" fontId="0" fillId="0" borderId="0" xfId="0" applyNumberFormat="1" applyAlignment="1">
      <alignment vertical="center"/>
    </xf>
    <xf numFmtId="167" fontId="1" fillId="0" borderId="0" xfId="1" applyNumberFormat="1" applyFont="1" applyAlignment="1">
      <alignment vertical="center"/>
    </xf>
    <xf numFmtId="0" fontId="31" fillId="0" borderId="0" xfId="0" applyFont="1" applyAlignment="1">
      <alignment vertical="center"/>
    </xf>
    <xf numFmtId="165" fontId="14" fillId="0" borderId="0" xfId="1" applyNumberFormat="1" applyFont="1" applyAlignment="1">
      <alignment vertical="center"/>
    </xf>
    <xf numFmtId="173" fontId="4" fillId="0" borderId="16" xfId="9" applyNumberFormat="1" applyFont="1" applyBorder="1" applyAlignment="1">
      <alignment horizontal="center" vertical="center"/>
    </xf>
    <xf numFmtId="173" fontId="4" fillId="0" borderId="16" xfId="9" applyNumberFormat="1" applyFont="1" applyBorder="1" applyAlignment="1">
      <alignment horizontal="center" vertical="center" wrapText="1"/>
    </xf>
    <xf numFmtId="0" fontId="32" fillId="0" borderId="40" xfId="9" applyFont="1" applyBorder="1" applyAlignment="1">
      <alignment horizontal="center" vertical="center" wrapText="1"/>
    </xf>
    <xf numFmtId="0" fontId="33" fillId="0" borderId="40" xfId="9" applyFont="1" applyBorder="1" applyAlignment="1">
      <alignment horizontal="center" vertical="center" wrapText="1"/>
    </xf>
    <xf numFmtId="173" fontId="32" fillId="0" borderId="16" xfId="9" applyNumberFormat="1" applyFont="1" applyBorder="1" applyAlignment="1">
      <alignment horizontal="center" vertical="center" wrapText="1"/>
    </xf>
    <xf numFmtId="173" fontId="34" fillId="0" borderId="16" xfId="9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165" fontId="6" fillId="0" borderId="13" xfId="1" applyNumberFormat="1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168" fontId="4" fillId="0" borderId="0" xfId="0" applyNumberFormat="1" applyFont="1" applyAlignment="1">
      <alignment vertical="center"/>
    </xf>
    <xf numFmtId="168" fontId="4" fillId="0" borderId="0" xfId="2" applyNumberFormat="1" applyFont="1" applyAlignment="1">
      <alignment vertical="center"/>
    </xf>
    <xf numFmtId="2" fontId="0" fillId="0" borderId="0" xfId="0" applyNumberFormat="1" applyAlignment="1">
      <alignment horizontal="center" vertical="center"/>
    </xf>
    <xf numFmtId="0" fontId="3" fillId="0" borderId="33" xfId="2" applyNumberFormat="1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65" fontId="0" fillId="0" borderId="0" xfId="1" applyNumberFormat="1" applyFont="1" applyAlignment="1">
      <alignment vertical="center"/>
    </xf>
    <xf numFmtId="0" fontId="32" fillId="0" borderId="4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 wrapText="1"/>
    </xf>
    <xf numFmtId="175" fontId="3" fillId="0" borderId="21" xfId="9" applyNumberFormat="1" applyFont="1" applyBorder="1" applyAlignment="1">
      <alignment horizontal="center" vertical="center" wrapText="1"/>
    </xf>
    <xf numFmtId="175" fontId="3" fillId="0" borderId="43" xfId="9" applyNumberFormat="1" applyFont="1" applyBorder="1" applyAlignment="1">
      <alignment horizontal="center" vertical="center" wrapText="1"/>
    </xf>
    <xf numFmtId="170" fontId="4" fillId="2" borderId="23" xfId="1" applyNumberFormat="1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3" fillId="2" borderId="23" xfId="0" applyFont="1" applyFill="1" applyBorder="1" applyAlignment="1">
      <alignment horizontal="left" vertical="center" wrapText="1"/>
    </xf>
    <xf numFmtId="170" fontId="6" fillId="4" borderId="13" xfId="1" applyNumberFormat="1" applyFont="1" applyFill="1" applyBorder="1" applyAlignment="1">
      <alignment horizontal="right" vertical="center" wrapText="1"/>
    </xf>
    <xf numFmtId="170" fontId="6" fillId="0" borderId="0" xfId="1" applyNumberFormat="1" applyFont="1" applyFill="1" applyBorder="1" applyAlignment="1">
      <alignment horizontal="right" vertical="center" wrapText="1"/>
    </xf>
    <xf numFmtId="170" fontId="6" fillId="4" borderId="20" xfId="1" applyNumberFormat="1" applyFont="1" applyFill="1" applyBorder="1" applyAlignment="1">
      <alignment horizontal="right" vertical="center" wrapText="1"/>
    </xf>
    <xf numFmtId="170" fontId="6" fillId="4" borderId="25" xfId="1" applyNumberFormat="1" applyFont="1" applyFill="1" applyBorder="1" applyAlignment="1">
      <alignment horizontal="right" vertical="center" wrapText="1"/>
    </xf>
    <xf numFmtId="0" fontId="3" fillId="0" borderId="18" xfId="0" applyFont="1" applyBorder="1" applyAlignment="1">
      <alignment horizontal="center" vertical="center"/>
    </xf>
    <xf numFmtId="174" fontId="3" fillId="0" borderId="7" xfId="9" applyNumberFormat="1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46" xfId="9" applyFont="1" applyBorder="1" applyAlignment="1">
      <alignment horizontal="center" vertical="center"/>
    </xf>
    <xf numFmtId="0" fontId="4" fillId="0" borderId="41" xfId="9" applyFont="1" applyBorder="1" applyAlignment="1">
      <alignment horizontal="center" vertical="center" wrapText="1"/>
    </xf>
    <xf numFmtId="0" fontId="3" fillId="0" borderId="0" xfId="9" applyFont="1" applyAlignment="1">
      <alignment horizontal="center" vertical="center" wrapText="1"/>
    </xf>
    <xf numFmtId="165" fontId="3" fillId="0" borderId="0" xfId="0" applyNumberFormat="1" applyFont="1" applyAlignment="1">
      <alignment vertical="center"/>
    </xf>
    <xf numFmtId="169" fontId="3" fillId="0" borderId="23" xfId="0" applyNumberFormat="1" applyFont="1" applyBorder="1" applyAlignment="1">
      <alignment horizontal="center" vertical="center"/>
    </xf>
    <xf numFmtId="165" fontId="3" fillId="0" borderId="23" xfId="1" applyNumberFormat="1" applyFont="1" applyBorder="1" applyAlignment="1">
      <alignment horizontal="center" vertical="center"/>
    </xf>
    <xf numFmtId="165" fontId="3" fillId="0" borderId="39" xfId="1" applyNumberFormat="1" applyFont="1" applyBorder="1" applyAlignment="1">
      <alignment horizontal="center" vertical="center"/>
    </xf>
    <xf numFmtId="170" fontId="4" fillId="0" borderId="23" xfId="1" applyNumberFormat="1" applyFont="1" applyFill="1" applyBorder="1" applyAlignment="1">
      <alignment horizontal="right" vertical="center" wrapText="1"/>
    </xf>
    <xf numFmtId="170" fontId="4" fillId="4" borderId="23" xfId="1" applyNumberFormat="1" applyFont="1" applyFill="1" applyBorder="1" applyAlignment="1">
      <alignment horizontal="right" vertical="center" wrapText="1"/>
    </xf>
    <xf numFmtId="170" fontId="4" fillId="4" borderId="37" xfId="1" applyNumberFormat="1" applyFont="1" applyFill="1" applyBorder="1" applyAlignment="1">
      <alignment horizontal="right" vertical="center" wrapText="1"/>
    </xf>
    <xf numFmtId="170" fontId="4" fillId="0" borderId="37" xfId="1" applyNumberFormat="1" applyFont="1" applyFill="1" applyBorder="1" applyAlignment="1">
      <alignment horizontal="right" vertical="center" wrapText="1"/>
    </xf>
    <xf numFmtId="43" fontId="14" fillId="0" borderId="0" xfId="1" applyFont="1" applyAlignment="1">
      <alignment vertical="center"/>
    </xf>
    <xf numFmtId="43" fontId="15" fillId="0" borderId="0" xfId="1" applyFont="1" applyAlignment="1">
      <alignment horizontal="center" vertical="center" wrapText="1"/>
    </xf>
    <xf numFmtId="43" fontId="16" fillId="0" borderId="0" xfId="1" applyFont="1" applyAlignment="1">
      <alignment horizontal="center" vertical="center" wrapText="1"/>
    </xf>
    <xf numFmtId="43" fontId="16" fillId="0" borderId="0" xfId="1" applyFont="1" applyAlignment="1">
      <alignment horizontal="right" vertical="center"/>
    </xf>
    <xf numFmtId="43" fontId="16" fillId="0" borderId="0" xfId="1" applyFont="1" applyAlignment="1">
      <alignment vertical="center"/>
    </xf>
    <xf numFmtId="43" fontId="16" fillId="0" borderId="0" xfId="1" applyFont="1" applyAlignment="1">
      <alignment horizontal="left" vertical="center" wrapText="1"/>
    </xf>
    <xf numFmtId="43" fontId="16" fillId="0" borderId="0" xfId="1" applyFont="1" applyFill="1" applyAlignment="1">
      <alignment horizontal="left" vertical="center" wrapText="1"/>
    </xf>
    <xf numFmtId="165" fontId="19" fillId="0" borderId="0" xfId="1" applyNumberFormat="1" applyFont="1" applyAlignment="1">
      <alignment vertical="center"/>
    </xf>
    <xf numFmtId="174" fontId="4" fillId="0" borderId="21" xfId="1" applyNumberFormat="1" applyFont="1" applyFill="1" applyBorder="1" applyAlignment="1">
      <alignment horizontal="center" vertical="center"/>
    </xf>
    <xf numFmtId="174" fontId="3" fillId="0" borderId="28" xfId="9" applyNumberFormat="1" applyFont="1" applyBorder="1" applyAlignment="1">
      <alignment horizontal="center" vertical="center"/>
    </xf>
    <xf numFmtId="174" fontId="4" fillId="0" borderId="39" xfId="1" applyNumberFormat="1" applyFont="1" applyFill="1" applyBorder="1" applyAlignment="1">
      <alignment horizontal="center" vertical="center"/>
    </xf>
    <xf numFmtId="174" fontId="3" fillId="0" borderId="40" xfId="9" applyNumberFormat="1" applyFont="1" applyBorder="1" applyAlignment="1">
      <alignment horizontal="center" vertical="center"/>
    </xf>
    <xf numFmtId="0" fontId="28" fillId="0" borderId="0" xfId="0" applyFont="1" applyAlignment="1">
      <alignment horizontal="centerContinuous" vertical="center"/>
    </xf>
    <xf numFmtId="0" fontId="5" fillId="3" borderId="58" xfId="0" applyFont="1" applyFill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/>
    </xf>
    <xf numFmtId="174" fontId="3" fillId="0" borderId="58" xfId="0" applyNumberFormat="1" applyFont="1" applyBorder="1" applyAlignment="1">
      <alignment horizontal="center" vertical="center"/>
    </xf>
    <xf numFmtId="168" fontId="3" fillId="0" borderId="58" xfId="0" applyNumberFormat="1" applyFont="1" applyBorder="1" applyAlignment="1">
      <alignment horizontal="center" vertical="center"/>
    </xf>
    <xf numFmtId="167" fontId="3" fillId="0" borderId="58" xfId="1" applyNumberFormat="1" applyFont="1" applyBorder="1" applyAlignment="1">
      <alignment vertical="center"/>
    </xf>
    <xf numFmtId="173" fontId="3" fillId="0" borderId="58" xfId="0" applyNumberFormat="1" applyFont="1" applyBorder="1" applyAlignment="1">
      <alignment horizontal="center" vertical="center"/>
    </xf>
    <xf numFmtId="167" fontId="3" fillId="0" borderId="68" xfId="1" applyNumberFormat="1" applyFont="1" applyBorder="1" applyAlignment="1">
      <alignment vertical="center"/>
    </xf>
    <xf numFmtId="0" fontId="3" fillId="0" borderId="0" xfId="0" applyFont="1"/>
    <xf numFmtId="167" fontId="5" fillId="5" borderId="58" xfId="1" applyNumberFormat="1" applyFont="1" applyFill="1" applyBorder="1" applyAlignment="1">
      <alignment vertical="center"/>
    </xf>
    <xf numFmtId="0" fontId="3" fillId="2" borderId="58" xfId="0" applyFont="1" applyFill="1" applyBorder="1" applyAlignment="1">
      <alignment horizontal="center" vertical="center"/>
    </xf>
    <xf numFmtId="174" fontId="3" fillId="2" borderId="58" xfId="0" applyNumberFormat="1" applyFont="1" applyFill="1" applyBorder="1" applyAlignment="1">
      <alignment horizontal="center" vertical="center"/>
    </xf>
    <xf numFmtId="168" fontId="3" fillId="2" borderId="58" xfId="0" applyNumberFormat="1" applyFont="1" applyFill="1" applyBorder="1" applyAlignment="1">
      <alignment horizontal="center" vertical="center"/>
    </xf>
    <xf numFmtId="167" fontId="3" fillId="2" borderId="58" xfId="1" applyNumberFormat="1" applyFont="1" applyFill="1" applyBorder="1" applyAlignment="1">
      <alignment vertical="center"/>
    </xf>
    <xf numFmtId="173" fontId="3" fillId="2" borderId="5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3" fillId="0" borderId="0" xfId="1" applyNumberFormat="1" applyFont="1" applyAlignment="1">
      <alignment vertical="center"/>
    </xf>
    <xf numFmtId="174" fontId="3" fillId="0" borderId="21" xfId="9" applyNumberFormat="1" applyFont="1" applyBorder="1" applyAlignment="1">
      <alignment horizontal="left" vertical="center"/>
    </xf>
    <xf numFmtId="0" fontId="4" fillId="0" borderId="58" xfId="1" applyNumberFormat="1" applyFont="1" applyBorder="1" applyAlignment="1">
      <alignment horizontal="left" vertical="center"/>
    </xf>
    <xf numFmtId="173" fontId="25" fillId="6" borderId="31" xfId="6" applyNumberFormat="1" applyFont="1" applyFill="1" applyBorder="1" applyAlignment="1">
      <alignment horizontal="right" vertical="center"/>
    </xf>
    <xf numFmtId="170" fontId="3" fillId="0" borderId="0" xfId="0" applyNumberFormat="1" applyFont="1" applyAlignment="1">
      <alignment vertical="center"/>
    </xf>
    <xf numFmtId="0" fontId="5" fillId="0" borderId="58" xfId="0" applyFont="1" applyBorder="1" applyAlignment="1">
      <alignment vertical="center"/>
    </xf>
    <xf numFmtId="167" fontId="5" fillId="0" borderId="58" xfId="1" applyNumberFormat="1" applyFont="1" applyBorder="1" applyAlignment="1">
      <alignment vertical="center"/>
    </xf>
    <xf numFmtId="167" fontId="0" fillId="0" borderId="23" xfId="1" applyNumberFormat="1" applyFont="1" applyFill="1" applyBorder="1" applyAlignment="1">
      <alignment vertical="center"/>
    </xf>
    <xf numFmtId="167" fontId="0" fillId="0" borderId="37" xfId="1" applyNumberFormat="1" applyFont="1" applyFill="1" applyBorder="1" applyAlignment="1">
      <alignment vertical="center"/>
    </xf>
    <xf numFmtId="167" fontId="0" fillId="0" borderId="21" xfId="1" applyNumberFormat="1" applyFont="1" applyFill="1" applyBorder="1" applyAlignment="1">
      <alignment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165" fontId="26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165" fontId="24" fillId="0" borderId="0" xfId="0" applyNumberFormat="1" applyFont="1" applyAlignment="1">
      <alignment vertical="center"/>
    </xf>
    <xf numFmtId="14" fontId="5" fillId="0" borderId="46" xfId="0" applyNumberFormat="1" applyFont="1" applyBorder="1" applyAlignment="1">
      <alignment horizontal="centerContinuous" vertical="center"/>
    </xf>
    <xf numFmtId="0" fontId="3" fillId="0" borderId="41" xfId="9" quotePrefix="1" applyFont="1" applyBorder="1" applyAlignment="1">
      <alignment horizontal="center" vertical="center"/>
    </xf>
    <xf numFmtId="0" fontId="5" fillId="0" borderId="41" xfId="9" quotePrefix="1" applyFont="1" applyBorder="1" applyAlignment="1">
      <alignment horizontal="center" vertical="center" wrapText="1"/>
    </xf>
    <xf numFmtId="0" fontId="5" fillId="0" borderId="35" xfId="9" quotePrefix="1" applyFont="1" applyBorder="1" applyAlignment="1">
      <alignment horizontal="center" vertical="center" wrapText="1"/>
    </xf>
    <xf numFmtId="0" fontId="16" fillId="3" borderId="13" xfId="8" applyFont="1" applyFill="1" applyBorder="1" applyAlignment="1">
      <alignment horizontal="center" vertical="center"/>
    </xf>
    <xf numFmtId="167" fontId="16" fillId="3" borderId="13" xfId="1" applyNumberFormat="1" applyFont="1" applyFill="1" applyBorder="1" applyAlignment="1">
      <alignment horizontal="center" vertical="center"/>
    </xf>
    <xf numFmtId="0" fontId="16" fillId="3" borderId="13" xfId="8" applyFont="1" applyFill="1" applyBorder="1" applyAlignment="1">
      <alignment horizontal="center" vertical="center" wrapText="1"/>
    </xf>
    <xf numFmtId="175" fontId="16" fillId="3" borderId="13" xfId="8" applyNumberFormat="1" applyFont="1" applyFill="1" applyBorder="1" applyAlignment="1">
      <alignment horizontal="center" vertical="center" wrapText="1"/>
    </xf>
    <xf numFmtId="0" fontId="0" fillId="3" borderId="13" xfId="0" applyFill="1" applyBorder="1" applyAlignment="1">
      <alignment vertical="center" wrapText="1"/>
    </xf>
    <xf numFmtId="175" fontId="0" fillId="3" borderId="13" xfId="0" applyNumberForma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75" fontId="0" fillId="3" borderId="0" xfId="0" applyNumberFormat="1" applyFill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0" borderId="21" xfId="1" applyFont="1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53" xfId="0" applyBorder="1" applyAlignment="1">
      <alignment vertical="center" wrapText="1"/>
    </xf>
    <xf numFmtId="0" fontId="0" fillId="0" borderId="64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43" fontId="0" fillId="0" borderId="23" xfId="1" applyFont="1" applyFill="1" applyBorder="1" applyAlignment="1">
      <alignment vertical="center"/>
    </xf>
    <xf numFmtId="0" fontId="10" fillId="0" borderId="23" xfId="0" applyFont="1" applyBorder="1" applyAlignment="1">
      <alignment vertical="center"/>
    </xf>
    <xf numFmtId="43" fontId="0" fillId="0" borderId="4" xfId="1" applyFont="1" applyFill="1" applyBorder="1" applyAlignment="1">
      <alignment vertical="center" wrapText="1"/>
    </xf>
    <xf numFmtId="43" fontId="0" fillId="0" borderId="61" xfId="1" applyFont="1" applyFill="1" applyBorder="1" applyAlignment="1">
      <alignment vertical="center" wrapText="1"/>
    </xf>
    <xf numFmtId="43" fontId="0" fillId="0" borderId="58" xfId="1" applyFont="1" applyFill="1" applyBorder="1" applyAlignment="1">
      <alignment vertical="center" wrapText="1"/>
    </xf>
    <xf numFmtId="43" fontId="10" fillId="0" borderId="59" xfId="1" applyFont="1" applyFill="1" applyBorder="1" applyAlignment="1">
      <alignment vertical="center" wrapText="1"/>
    </xf>
    <xf numFmtId="165" fontId="0" fillId="0" borderId="23" xfId="1" applyNumberFormat="1" applyFont="1" applyFill="1" applyBorder="1" applyAlignment="1">
      <alignment vertical="center" wrapText="1"/>
    </xf>
    <xf numFmtId="43" fontId="0" fillId="0" borderId="23" xfId="1" applyFont="1" applyFill="1" applyBorder="1" applyAlignment="1">
      <alignment vertical="center" wrapText="1"/>
    </xf>
    <xf numFmtId="0" fontId="0" fillId="0" borderId="23" xfId="0" applyBorder="1" applyAlignment="1">
      <alignment vertical="center"/>
    </xf>
    <xf numFmtId="0" fontId="10" fillId="0" borderId="22" xfId="0" applyFont="1" applyBorder="1" applyAlignment="1">
      <alignment vertical="center"/>
    </xf>
    <xf numFmtId="43" fontId="0" fillId="0" borderId="3" xfId="1" applyFont="1" applyFill="1" applyBorder="1" applyAlignment="1">
      <alignment vertical="center" wrapText="1"/>
    </xf>
    <xf numFmtId="43" fontId="0" fillId="0" borderId="65" xfId="1" applyFont="1" applyFill="1" applyBorder="1" applyAlignment="1">
      <alignment vertical="center" wrapText="1"/>
    </xf>
    <xf numFmtId="43" fontId="0" fillId="0" borderId="66" xfId="1" applyFont="1" applyFill="1" applyBorder="1" applyAlignment="1">
      <alignment vertical="center" wrapText="1"/>
    </xf>
    <xf numFmtId="43" fontId="10" fillId="0" borderId="45" xfId="1" applyFont="1" applyFill="1" applyBorder="1" applyAlignment="1">
      <alignment vertical="center" wrapText="1"/>
    </xf>
    <xf numFmtId="43" fontId="0" fillId="0" borderId="37" xfId="1" applyFont="1" applyFill="1" applyBorder="1" applyAlignment="1">
      <alignment vertical="center"/>
    </xf>
    <xf numFmtId="43" fontId="0" fillId="0" borderId="22" xfId="1" applyFont="1" applyFill="1" applyBorder="1" applyAlignment="1">
      <alignment vertical="center"/>
    </xf>
    <xf numFmtId="167" fontId="0" fillId="0" borderId="22" xfId="1" applyNumberFormat="1" applyFont="1" applyFill="1" applyBorder="1" applyAlignment="1">
      <alignment vertical="center"/>
    </xf>
    <xf numFmtId="167" fontId="0" fillId="0" borderId="0" xfId="1" applyNumberFormat="1" applyFont="1" applyFill="1" applyAlignment="1">
      <alignment vertical="center"/>
    </xf>
    <xf numFmtId="0" fontId="10" fillId="0" borderId="13" xfId="0" applyFont="1" applyBorder="1" applyAlignment="1">
      <alignment vertical="center"/>
    </xf>
    <xf numFmtId="43" fontId="10" fillId="0" borderId="13" xfId="1" applyFont="1" applyFill="1" applyBorder="1" applyAlignment="1">
      <alignment vertical="center"/>
    </xf>
    <xf numFmtId="167" fontId="10" fillId="0" borderId="13" xfId="1" applyNumberFormat="1" applyFont="1" applyFill="1" applyBorder="1" applyAlignment="1">
      <alignment vertical="center"/>
    </xf>
    <xf numFmtId="165" fontId="0" fillId="0" borderId="0" xfId="1" applyNumberFormat="1" applyFont="1" applyBorder="1" applyAlignment="1">
      <alignment vertical="center"/>
    </xf>
    <xf numFmtId="173" fontId="4" fillId="0" borderId="43" xfId="9" applyNumberFormat="1" applyFont="1" applyBorder="1" applyAlignment="1">
      <alignment horizontal="center" vertical="center" wrapText="1"/>
    </xf>
    <xf numFmtId="0" fontId="4" fillId="0" borderId="39" xfId="9" quotePrefix="1" applyFont="1" applyBorder="1" applyAlignment="1">
      <alignment horizontal="center" vertical="center"/>
    </xf>
    <xf numFmtId="0" fontId="3" fillId="0" borderId="47" xfId="0" applyFont="1" applyBorder="1" applyAlignment="1">
      <alignment horizontal="centerContinuous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174" fontId="3" fillId="0" borderId="14" xfId="9" applyNumberFormat="1" applyFont="1" applyBorder="1" applyAlignment="1">
      <alignment horizontal="left" vertical="center" wrapText="1"/>
    </xf>
    <xf numFmtId="174" fontId="3" fillId="0" borderId="43" xfId="9" applyNumberFormat="1" applyFont="1" applyBorder="1" applyAlignment="1">
      <alignment horizontal="left" vertical="center" wrapText="1"/>
    </xf>
    <xf numFmtId="0" fontId="4" fillId="0" borderId="33" xfId="9" applyFont="1" applyBorder="1" applyAlignment="1">
      <alignment horizontal="center" vertical="center" wrapText="1"/>
    </xf>
    <xf numFmtId="174" fontId="5" fillId="0" borderId="16" xfId="9" applyNumberFormat="1" applyFont="1" applyBorder="1" applyAlignment="1">
      <alignment horizontal="right" vertical="center"/>
    </xf>
    <xf numFmtId="0" fontId="5" fillId="0" borderId="30" xfId="0" applyFont="1" applyBorder="1" applyAlignment="1">
      <alignment horizontal="center" vertical="center"/>
    </xf>
    <xf numFmtId="167" fontId="5" fillId="0" borderId="30" xfId="1" applyNumberFormat="1" applyFont="1" applyBorder="1" applyAlignment="1">
      <alignment horizontal="center" vertical="center"/>
    </xf>
    <xf numFmtId="174" fontId="5" fillId="0" borderId="33" xfId="9" applyNumberFormat="1" applyFont="1" applyBorder="1" applyAlignment="1">
      <alignment horizontal="right" vertical="center"/>
    </xf>
    <xf numFmtId="0" fontId="3" fillId="0" borderId="21" xfId="0" applyFont="1" applyBorder="1" applyAlignment="1">
      <alignment horizontal="left" vertical="center"/>
    </xf>
    <xf numFmtId="170" fontId="4" fillId="0" borderId="21" xfId="1" applyNumberFormat="1" applyFont="1" applyFill="1" applyBorder="1" applyAlignment="1">
      <alignment horizontal="right" vertical="center" wrapText="1"/>
    </xf>
    <xf numFmtId="0" fontId="3" fillId="0" borderId="39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wrapText="1"/>
    </xf>
    <xf numFmtId="174" fontId="3" fillId="0" borderId="20" xfId="9" applyNumberFormat="1" applyFont="1" applyBorder="1" applyAlignment="1">
      <alignment horizontal="left" vertical="center" wrapText="1"/>
    </xf>
    <xf numFmtId="174" fontId="3" fillId="0" borderId="23" xfId="9" applyNumberFormat="1" applyFont="1" applyBorder="1" applyAlignment="1">
      <alignment horizontal="left" vertical="center" wrapText="1"/>
    </xf>
    <xf numFmtId="174" fontId="6" fillId="0" borderId="39" xfId="1" applyNumberFormat="1" applyFont="1" applyFill="1" applyBorder="1" applyAlignment="1">
      <alignment horizontal="center" vertical="center"/>
    </xf>
    <xf numFmtId="167" fontId="6" fillId="0" borderId="39" xfId="1" applyNumberFormat="1" applyFont="1" applyFill="1" applyBorder="1" applyAlignment="1">
      <alignment horizontal="center" vertical="center"/>
    </xf>
    <xf numFmtId="174" fontId="6" fillId="0" borderId="22" xfId="1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74" fontId="5" fillId="0" borderId="15" xfId="9" applyNumberFormat="1" applyFont="1" applyBorder="1" applyAlignment="1">
      <alignment horizontal="right" vertical="center"/>
    </xf>
    <xf numFmtId="0" fontId="5" fillId="0" borderId="29" xfId="0" applyFont="1" applyBorder="1" applyAlignment="1">
      <alignment horizontal="center" vertical="center"/>
    </xf>
    <xf numFmtId="167" fontId="5" fillId="0" borderId="29" xfId="1" applyNumberFormat="1" applyFont="1" applyBorder="1" applyAlignment="1">
      <alignment horizontal="center" vertical="center"/>
    </xf>
    <xf numFmtId="174" fontId="5" fillId="0" borderId="32" xfId="9" applyNumberFormat="1" applyFont="1" applyBorder="1" applyAlignment="1">
      <alignment horizontal="right" vertical="center"/>
    </xf>
    <xf numFmtId="167" fontId="6" fillId="0" borderId="22" xfId="1" applyNumberFormat="1" applyFont="1" applyFill="1" applyBorder="1" applyAlignment="1">
      <alignment horizontal="center" vertical="center"/>
    </xf>
    <xf numFmtId="0" fontId="3" fillId="0" borderId="29" xfId="9" applyFont="1" applyBorder="1" applyAlignment="1">
      <alignment horizontal="center" vertical="center" wrapText="1"/>
    </xf>
    <xf numFmtId="175" fontId="3" fillId="0" borderId="15" xfId="9" applyNumberFormat="1" applyFont="1" applyBorder="1" applyAlignment="1">
      <alignment horizontal="center" vertical="center" wrapText="1"/>
    </xf>
    <xf numFmtId="0" fontId="3" fillId="0" borderId="22" xfId="9" quotePrefix="1" applyFont="1" applyBorder="1" applyAlignment="1">
      <alignment horizontal="center" vertical="center"/>
    </xf>
    <xf numFmtId="0" fontId="3" fillId="0" borderId="32" xfId="9" quotePrefix="1" applyFont="1" applyBorder="1" applyAlignment="1">
      <alignment horizontal="center" vertical="center"/>
    </xf>
    <xf numFmtId="0" fontId="3" fillId="0" borderId="32" xfId="9" applyFont="1" applyBorder="1" applyAlignment="1">
      <alignment horizontal="center" vertical="center" wrapText="1"/>
    </xf>
    <xf numFmtId="173" fontId="16" fillId="6" borderId="46" xfId="6" applyNumberFormat="1" applyFont="1" applyFill="1" applyBorder="1" applyAlignment="1">
      <alignment horizontal="right" vertical="center"/>
    </xf>
    <xf numFmtId="174" fontId="16" fillId="3" borderId="13" xfId="8" applyNumberFormat="1" applyFont="1" applyFill="1" applyBorder="1" applyAlignment="1">
      <alignment horizontal="center" vertical="center"/>
    </xf>
    <xf numFmtId="174" fontId="0" fillId="0" borderId="13" xfId="0" applyNumberFormat="1" applyBorder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0" fontId="4" fillId="0" borderId="39" xfId="1" applyNumberFormat="1" applyFont="1" applyFill="1" applyBorder="1" applyAlignment="1">
      <alignment horizontal="right" vertical="center" wrapText="1"/>
    </xf>
    <xf numFmtId="170" fontId="0" fillId="0" borderId="0" xfId="0" applyNumberFormat="1"/>
    <xf numFmtId="165" fontId="3" fillId="0" borderId="39" xfId="1" applyNumberFormat="1" applyFont="1" applyBorder="1" applyAlignment="1">
      <alignment horizontal="center" vertical="center" wrapText="1"/>
    </xf>
    <xf numFmtId="165" fontId="0" fillId="0" borderId="0" xfId="0" applyNumberFormat="1"/>
    <xf numFmtId="167" fontId="5" fillId="0" borderId="58" xfId="0" applyNumberFormat="1" applyFont="1" applyBorder="1" applyAlignment="1">
      <alignment vertical="center"/>
    </xf>
    <xf numFmtId="179" fontId="5" fillId="0" borderId="58" xfId="0" applyNumberFormat="1" applyFont="1" applyBorder="1" applyAlignment="1">
      <alignment vertical="center"/>
    </xf>
    <xf numFmtId="180" fontId="4" fillId="0" borderId="0" xfId="0" applyNumberFormat="1" applyFont="1" applyAlignment="1">
      <alignment vertical="center"/>
    </xf>
    <xf numFmtId="43" fontId="0" fillId="0" borderId="0" xfId="0" applyNumberFormat="1" applyAlignment="1">
      <alignment vertical="center"/>
    </xf>
    <xf numFmtId="0" fontId="4" fillId="0" borderId="43" xfId="0" applyFont="1" applyBorder="1" applyAlignment="1">
      <alignment horizontal="center" vertical="center"/>
    </xf>
    <xf numFmtId="174" fontId="4" fillId="0" borderId="43" xfId="9" applyNumberFormat="1" applyFont="1" applyBorder="1" applyAlignment="1">
      <alignment horizontal="left" vertical="center"/>
    </xf>
    <xf numFmtId="0" fontId="37" fillId="0" borderId="0" xfId="0" applyFont="1" applyAlignment="1">
      <alignment vertical="center"/>
    </xf>
    <xf numFmtId="0" fontId="4" fillId="0" borderId="58" xfId="0" applyFont="1" applyBorder="1" applyAlignment="1">
      <alignment horizontal="center" vertical="center"/>
    </xf>
    <xf numFmtId="174" fontId="4" fillId="0" borderId="58" xfId="0" applyNumberFormat="1" applyFont="1" applyBorder="1" applyAlignment="1">
      <alignment horizontal="center" vertical="center"/>
    </xf>
    <xf numFmtId="168" fontId="4" fillId="0" borderId="58" xfId="0" applyNumberFormat="1" applyFont="1" applyBorder="1" applyAlignment="1">
      <alignment horizontal="center" vertical="center"/>
    </xf>
    <xf numFmtId="167" fontId="4" fillId="0" borderId="58" xfId="1" applyNumberFormat="1" applyFont="1" applyBorder="1" applyAlignment="1">
      <alignment vertical="center"/>
    </xf>
    <xf numFmtId="173" fontId="4" fillId="0" borderId="58" xfId="0" applyNumberFormat="1" applyFont="1" applyBorder="1" applyAlignment="1">
      <alignment horizontal="center" vertical="center"/>
    </xf>
    <xf numFmtId="174" fontId="4" fillId="0" borderId="24" xfId="1" applyNumberFormat="1" applyFont="1" applyFill="1" applyBorder="1" applyAlignment="1">
      <alignment horizontal="center" vertical="center"/>
    </xf>
    <xf numFmtId="167" fontId="4" fillId="0" borderId="24" xfId="1" applyNumberFormat="1" applyFont="1" applyFill="1" applyBorder="1" applyAlignment="1">
      <alignment horizontal="center" vertical="center"/>
    </xf>
    <xf numFmtId="175" fontId="3" fillId="0" borderId="18" xfId="9" applyNumberFormat="1" applyFont="1" applyBorder="1" applyAlignment="1">
      <alignment horizontal="center" vertical="center" wrapText="1"/>
    </xf>
    <xf numFmtId="0" fontId="3" fillId="0" borderId="20" xfId="9" quotePrefix="1" applyFont="1" applyBorder="1" applyAlignment="1">
      <alignment horizontal="center" vertical="center"/>
    </xf>
    <xf numFmtId="0" fontId="3" fillId="0" borderId="47" xfId="9" quotePrefix="1" applyFont="1" applyBorder="1" applyAlignment="1">
      <alignment horizontal="center" vertical="center"/>
    </xf>
    <xf numFmtId="0" fontId="3" fillId="0" borderId="46" xfId="9" applyFont="1" applyBorder="1" applyAlignment="1">
      <alignment horizontal="center" vertical="center" wrapText="1"/>
    </xf>
    <xf numFmtId="174" fontId="4" fillId="0" borderId="23" xfId="1" applyNumberFormat="1" applyFont="1" applyFill="1" applyBorder="1" applyAlignment="1">
      <alignment horizontal="center" vertical="center"/>
    </xf>
    <xf numFmtId="0" fontId="3" fillId="0" borderId="33" xfId="9" quotePrefix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0" fillId="0" borderId="58" xfId="0" applyBorder="1" applyAlignment="1">
      <alignment vertical="center"/>
    </xf>
    <xf numFmtId="0" fontId="0" fillId="0" borderId="58" xfId="0" applyBorder="1" applyAlignment="1">
      <alignment horizontal="center" vertical="center"/>
    </xf>
    <xf numFmtId="165" fontId="0" fillId="0" borderId="58" xfId="1" applyNumberFormat="1" applyFont="1" applyBorder="1" applyAlignment="1">
      <alignment vertical="center"/>
    </xf>
    <xf numFmtId="0" fontId="3" fillId="0" borderId="37" xfId="0" applyFont="1" applyBorder="1" applyAlignment="1">
      <alignment vertical="center" wrapText="1"/>
    </xf>
    <xf numFmtId="165" fontId="0" fillId="0" borderId="62" xfId="1" applyNumberFormat="1" applyFont="1" applyBorder="1" applyAlignment="1">
      <alignment vertical="center"/>
    </xf>
    <xf numFmtId="165" fontId="0" fillId="0" borderId="69" xfId="1" applyNumberFormat="1" applyFont="1" applyBorder="1" applyAlignment="1">
      <alignment vertical="center"/>
    </xf>
    <xf numFmtId="165" fontId="0" fillId="0" borderId="5" xfId="1" applyNumberFormat="1" applyFont="1" applyBorder="1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vertical="center"/>
    </xf>
    <xf numFmtId="165" fontId="0" fillId="0" borderId="39" xfId="1" applyNumberFormat="1" applyFont="1" applyBorder="1" applyAlignment="1">
      <alignment horizontal="center" vertical="center"/>
    </xf>
    <xf numFmtId="165" fontId="0" fillId="0" borderId="23" xfId="1" applyNumberFormat="1" applyFont="1" applyBorder="1" applyAlignment="1">
      <alignment horizontal="center" vertical="center"/>
    </xf>
    <xf numFmtId="165" fontId="0" fillId="0" borderId="23" xfId="1" applyNumberFormat="1" applyFont="1" applyBorder="1" applyAlignment="1">
      <alignment vertical="center"/>
    </xf>
    <xf numFmtId="165" fontId="0" fillId="0" borderId="53" xfId="1" applyNumberFormat="1" applyFont="1" applyBorder="1" applyAlignment="1">
      <alignment vertical="center"/>
    </xf>
    <xf numFmtId="165" fontId="0" fillId="0" borderId="4" xfId="1" applyNumberFormat="1" applyFont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36" xfId="0" applyBorder="1" applyAlignment="1">
      <alignment vertical="center"/>
    </xf>
    <xf numFmtId="165" fontId="0" fillId="0" borderId="37" xfId="1" applyNumberFormat="1" applyFont="1" applyBorder="1" applyAlignment="1">
      <alignment vertical="center"/>
    </xf>
    <xf numFmtId="165" fontId="0" fillId="0" borderId="70" xfId="1" applyNumberFormat="1" applyFont="1" applyBorder="1" applyAlignment="1">
      <alignment vertical="center"/>
    </xf>
    <xf numFmtId="165" fontId="0" fillId="0" borderId="68" xfId="1" applyNumberFormat="1" applyFont="1" applyBorder="1" applyAlignment="1">
      <alignment vertical="center"/>
    </xf>
    <xf numFmtId="165" fontId="0" fillId="0" borderId="57" xfId="1" applyNumberFormat="1" applyFont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66" xfId="0" applyFont="1" applyFill="1" applyBorder="1" applyAlignment="1">
      <alignment horizontal="center" vertical="center"/>
    </xf>
    <xf numFmtId="0" fontId="10" fillId="3" borderId="56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0" fillId="5" borderId="13" xfId="0" applyFont="1" applyFill="1" applyBorder="1" applyAlignment="1">
      <alignment horizontal="right" vertical="center"/>
    </xf>
    <xf numFmtId="0" fontId="10" fillId="5" borderId="10" xfId="0" applyFont="1" applyFill="1" applyBorder="1" applyAlignment="1">
      <alignment vertical="center"/>
    </xf>
    <xf numFmtId="165" fontId="10" fillId="5" borderId="13" xfId="1" applyNumberFormat="1" applyFont="1" applyFill="1" applyBorder="1" applyAlignment="1">
      <alignment horizontal="center" vertical="center"/>
    </xf>
    <xf numFmtId="165" fontId="10" fillId="5" borderId="51" xfId="1" applyNumberFormat="1" applyFont="1" applyFill="1" applyBorder="1" applyAlignment="1">
      <alignment horizontal="center" vertical="center"/>
    </xf>
    <xf numFmtId="165" fontId="10" fillId="5" borderId="48" xfId="1" applyNumberFormat="1" applyFont="1" applyFill="1" applyBorder="1" applyAlignment="1">
      <alignment horizontal="center" vertical="center"/>
    </xf>
    <xf numFmtId="165" fontId="10" fillId="5" borderId="52" xfId="1" applyNumberFormat="1" applyFont="1" applyFill="1" applyBorder="1" applyAlignment="1">
      <alignment horizontal="center" vertical="center"/>
    </xf>
    <xf numFmtId="165" fontId="10" fillId="0" borderId="24" xfId="1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Continuous" vertical="center"/>
    </xf>
    <xf numFmtId="170" fontId="0" fillId="0" borderId="0" xfId="0" applyNumberFormat="1" applyAlignment="1">
      <alignment vertical="center"/>
    </xf>
    <xf numFmtId="0" fontId="0" fillId="0" borderId="11" xfId="0" applyBorder="1" applyAlignment="1">
      <alignment vertical="center"/>
    </xf>
    <xf numFmtId="165" fontId="10" fillId="5" borderId="9" xfId="1" applyNumberFormat="1" applyFont="1" applyFill="1" applyBorder="1" applyAlignment="1">
      <alignment horizontal="center" vertical="center"/>
    </xf>
    <xf numFmtId="0" fontId="39" fillId="6" borderId="0" xfId="10" applyFont="1" applyFill="1"/>
    <xf numFmtId="0" fontId="40" fillId="6" borderId="0" xfId="10" applyFont="1" applyFill="1"/>
    <xf numFmtId="0" fontId="14" fillId="0" borderId="13" xfId="0" applyFont="1" applyBorder="1" applyAlignment="1">
      <alignment vertical="center"/>
    </xf>
    <xf numFmtId="176" fontId="14" fillId="0" borderId="13" xfId="0" applyNumberFormat="1" applyFont="1" applyBorder="1" applyAlignment="1">
      <alignment vertical="center"/>
    </xf>
    <xf numFmtId="167" fontId="14" fillId="0" borderId="13" xfId="1" applyNumberFormat="1" applyFont="1" applyBorder="1" applyAlignment="1">
      <alignment vertical="center"/>
    </xf>
    <xf numFmtId="165" fontId="0" fillId="0" borderId="64" xfId="1" applyNumberFormat="1" applyFont="1" applyBorder="1" applyAlignment="1">
      <alignment vertical="center"/>
    </xf>
    <xf numFmtId="165" fontId="0" fillId="0" borderId="61" xfId="1" applyNumberFormat="1" applyFont="1" applyBorder="1" applyAlignment="1">
      <alignment vertical="center"/>
    </xf>
    <xf numFmtId="165" fontId="0" fillId="0" borderId="71" xfId="1" applyNumberFormat="1" applyFont="1" applyBorder="1" applyAlignment="1">
      <alignment vertical="center"/>
    </xf>
    <xf numFmtId="0" fontId="2" fillId="0" borderId="46" xfId="0" applyFont="1" applyBorder="1" applyAlignment="1">
      <alignment horizontal="centerContinuous" vertical="center"/>
    </xf>
    <xf numFmtId="43" fontId="0" fillId="0" borderId="0" xfId="0" applyNumberFormat="1"/>
    <xf numFmtId="165" fontId="3" fillId="0" borderId="21" xfId="1" applyNumberFormat="1" applyFont="1" applyBorder="1" applyAlignment="1">
      <alignment horizontal="left" vertical="center"/>
    </xf>
    <xf numFmtId="165" fontId="3" fillId="0" borderId="23" xfId="1" applyNumberFormat="1" applyFont="1" applyBorder="1" applyAlignment="1">
      <alignment horizontal="left" vertical="center"/>
    </xf>
    <xf numFmtId="165" fontId="5" fillId="4" borderId="11" xfId="1" applyNumberFormat="1" applyFont="1" applyFill="1" applyBorder="1" applyAlignment="1">
      <alignment horizontal="center" vertical="center" wrapText="1"/>
    </xf>
    <xf numFmtId="165" fontId="3" fillId="0" borderId="39" xfId="1" applyNumberFormat="1" applyFont="1" applyBorder="1" applyAlignment="1">
      <alignment horizontal="left" vertical="center"/>
    </xf>
    <xf numFmtId="165" fontId="3" fillId="0" borderId="39" xfId="1" applyNumberFormat="1" applyFont="1" applyBorder="1" applyAlignment="1">
      <alignment horizontal="left" vertical="center" wrapText="1"/>
    </xf>
    <xf numFmtId="165" fontId="3" fillId="2" borderId="39" xfId="1" applyNumberFormat="1" applyFont="1" applyFill="1" applyBorder="1" applyAlignment="1">
      <alignment horizontal="left" vertical="center" wrapText="1"/>
    </xf>
    <xf numFmtId="170" fontId="4" fillId="2" borderId="39" xfId="1" applyNumberFormat="1" applyFont="1" applyFill="1" applyBorder="1" applyAlignment="1">
      <alignment horizontal="right" vertical="center" wrapText="1"/>
    </xf>
    <xf numFmtId="179" fontId="3" fillId="0" borderId="0" xfId="0" applyNumberFormat="1" applyFont="1" applyAlignment="1">
      <alignment vertical="center"/>
    </xf>
    <xf numFmtId="169" fontId="41" fillId="0" borderId="0" xfId="0" applyNumberFormat="1" applyFont="1" applyAlignment="1">
      <alignment horizontal="centerContinuous" vertical="center"/>
    </xf>
    <xf numFmtId="0" fontId="41" fillId="0" borderId="0" xfId="0" applyFont="1" applyAlignment="1">
      <alignment horizontal="centerContinuous" vertical="center"/>
    </xf>
    <xf numFmtId="0" fontId="41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165" fontId="10" fillId="0" borderId="51" xfId="1" applyNumberFormat="1" applyFont="1" applyBorder="1" applyAlignment="1">
      <alignment horizontal="center" vertical="center"/>
    </xf>
    <xf numFmtId="165" fontId="10" fillId="0" borderId="52" xfId="1" applyNumberFormat="1" applyFont="1" applyBorder="1" applyAlignment="1">
      <alignment horizontal="center" vertical="center"/>
    </xf>
    <xf numFmtId="165" fontId="10" fillId="0" borderId="0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169" fontId="10" fillId="0" borderId="13" xfId="0" applyNumberFormat="1" applyFont="1" applyBorder="1" applyAlignment="1">
      <alignment horizontal="center" vertical="center"/>
    </xf>
    <xf numFmtId="165" fontId="10" fillId="0" borderId="39" xfId="1" applyNumberFormat="1" applyFont="1" applyBorder="1" applyAlignment="1">
      <alignment horizontal="center" vertical="center"/>
    </xf>
    <xf numFmtId="165" fontId="10" fillId="0" borderId="22" xfId="1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5" fontId="4" fillId="0" borderId="58" xfId="1" applyNumberFormat="1" applyFont="1" applyBorder="1" applyAlignment="1">
      <alignment vertical="center"/>
    </xf>
    <xf numFmtId="170" fontId="4" fillId="0" borderId="5" xfId="1" applyNumberFormat="1" applyFont="1" applyBorder="1" applyAlignment="1">
      <alignment vertical="center"/>
    </xf>
    <xf numFmtId="170" fontId="6" fillId="2" borderId="2" xfId="1" applyNumberFormat="1" applyFont="1" applyFill="1" applyBorder="1" applyAlignment="1">
      <alignment vertical="center"/>
    </xf>
    <xf numFmtId="170" fontId="6" fillId="2" borderId="5" xfId="1" applyNumberFormat="1" applyFont="1" applyFill="1" applyBorder="1" applyAlignment="1">
      <alignment vertical="center"/>
    </xf>
    <xf numFmtId="170" fontId="4" fillId="0" borderId="5" xfId="1" applyNumberFormat="1" applyFont="1" applyFill="1" applyBorder="1" applyAlignment="1">
      <alignment vertical="center"/>
    </xf>
    <xf numFmtId="170" fontId="4" fillId="0" borderId="57" xfId="1" applyNumberFormat="1" applyFont="1" applyBorder="1" applyAlignment="1">
      <alignment vertical="center"/>
    </xf>
    <xf numFmtId="170" fontId="6" fillId="2" borderId="57" xfId="1" applyNumberFormat="1" applyFont="1" applyFill="1" applyBorder="1" applyAlignment="1">
      <alignment vertical="center"/>
    </xf>
    <xf numFmtId="170" fontId="6" fillId="4" borderId="52" xfId="1" applyNumberFormat="1" applyFont="1" applyFill="1" applyBorder="1" applyAlignment="1">
      <alignment vertical="center"/>
    </xf>
    <xf numFmtId="170" fontId="6" fillId="0" borderId="10" xfId="1" applyNumberFormat="1" applyFont="1" applyFill="1" applyBorder="1" applyAlignment="1">
      <alignment vertical="center"/>
    </xf>
    <xf numFmtId="170" fontId="6" fillId="0" borderId="11" xfId="1" applyNumberFormat="1" applyFont="1" applyFill="1" applyBorder="1" applyAlignment="1">
      <alignment vertical="center"/>
    </xf>
    <xf numFmtId="170" fontId="26" fillId="0" borderId="5" xfId="1" applyNumberFormat="1" applyFont="1" applyFill="1" applyBorder="1" applyAlignment="1">
      <alignment vertical="center"/>
    </xf>
    <xf numFmtId="170" fontId="6" fillId="4" borderId="2" xfId="1" applyNumberFormat="1" applyFont="1" applyFill="1" applyBorder="1" applyAlignment="1">
      <alignment vertical="center"/>
    </xf>
    <xf numFmtId="170" fontId="6" fillId="4" borderId="5" xfId="1" applyNumberFormat="1" applyFont="1" applyFill="1" applyBorder="1" applyAlignment="1">
      <alignment vertical="center"/>
    </xf>
    <xf numFmtId="170" fontId="6" fillId="4" borderId="27" xfId="1" applyNumberFormat="1" applyFont="1" applyFill="1" applyBorder="1" applyAlignment="1">
      <alignment vertical="center"/>
    </xf>
    <xf numFmtId="167" fontId="22" fillId="0" borderId="13" xfId="0" applyNumberFormat="1" applyFont="1" applyBorder="1" applyAlignment="1">
      <alignment horizontal="centerContinuous" vertical="center" wrapText="1"/>
    </xf>
    <xf numFmtId="167" fontId="22" fillId="0" borderId="10" xfId="0" applyNumberFormat="1" applyFont="1" applyBorder="1" applyAlignment="1">
      <alignment horizontal="centerContinuous" vertical="center" wrapText="1"/>
    </xf>
    <xf numFmtId="167" fontId="6" fillId="4" borderId="30" xfId="1" applyNumberFormat="1" applyFont="1" applyFill="1" applyBorder="1" applyAlignment="1">
      <alignment horizontal="center" vertical="center"/>
    </xf>
    <xf numFmtId="167" fontId="6" fillId="4" borderId="34" xfId="1" applyNumberFormat="1" applyFont="1" applyFill="1" applyBorder="1" applyAlignment="1">
      <alignment horizontal="center" vertical="center"/>
    </xf>
    <xf numFmtId="167" fontId="21" fillId="0" borderId="10" xfId="0" applyNumberFormat="1" applyFont="1" applyBorder="1" applyAlignment="1">
      <alignment horizontal="centerContinuous" vertical="center" wrapText="1"/>
    </xf>
    <xf numFmtId="167" fontId="6" fillId="0" borderId="13" xfId="0" applyNumberFormat="1" applyFont="1" applyBorder="1" applyAlignment="1">
      <alignment horizontal="centerContinuous" vertical="center" wrapText="1"/>
    </xf>
    <xf numFmtId="170" fontId="14" fillId="0" borderId="23" xfId="1" applyNumberFormat="1" applyFont="1" applyFill="1" applyBorder="1" applyAlignment="1">
      <alignment horizontal="left" vertical="center" wrapText="1" indent="1"/>
    </xf>
    <xf numFmtId="170" fontId="14" fillId="0" borderId="37" xfId="1" applyNumberFormat="1" applyFont="1" applyFill="1" applyBorder="1" applyAlignment="1">
      <alignment horizontal="left" vertical="center" wrapText="1" indent="1"/>
    </xf>
    <xf numFmtId="170" fontId="16" fillId="4" borderId="13" xfId="1" applyNumberFormat="1" applyFont="1" applyFill="1" applyBorder="1" applyAlignment="1">
      <alignment horizontal="left" vertical="center" wrapText="1" indent="1"/>
    </xf>
    <xf numFmtId="4" fontId="16" fillId="2" borderId="10" xfId="6" applyNumberFormat="1" applyFont="1" applyFill="1" applyBorder="1" applyAlignment="1">
      <alignment horizontal="left" vertical="center" wrapText="1" indent="1"/>
    </xf>
    <xf numFmtId="4" fontId="16" fillId="2" borderId="11" xfId="6" applyNumberFormat="1" applyFont="1" applyFill="1" applyBorder="1" applyAlignment="1">
      <alignment horizontal="left" vertical="center" wrapText="1" indent="1"/>
    </xf>
    <xf numFmtId="165" fontId="16" fillId="0" borderId="13" xfId="1" applyNumberFormat="1" applyFont="1" applyFill="1" applyBorder="1" applyAlignment="1">
      <alignment horizontal="left" vertical="center" indent="1"/>
    </xf>
    <xf numFmtId="170" fontId="16" fillId="5" borderId="13" xfId="1" applyNumberFormat="1" applyFont="1" applyFill="1" applyBorder="1" applyAlignment="1">
      <alignment horizontal="left" vertical="center" wrapText="1" indent="1"/>
    </xf>
    <xf numFmtId="43" fontId="4" fillId="0" borderId="33" xfId="1" applyFont="1" applyBorder="1" applyAlignment="1">
      <alignment vertical="center"/>
    </xf>
    <xf numFmtId="0" fontId="0" fillId="0" borderId="53" xfId="0" applyBorder="1" applyAlignment="1">
      <alignment horizontal="center" vertical="center"/>
    </xf>
    <xf numFmtId="169" fontId="0" fillId="0" borderId="69" xfId="0" applyNumberForma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9" fontId="10" fillId="0" borderId="56" xfId="0" applyNumberFormat="1" applyFont="1" applyBorder="1" applyAlignment="1">
      <alignment horizontal="center" vertical="center"/>
    </xf>
    <xf numFmtId="165" fontId="0" fillId="0" borderId="53" xfId="1" applyNumberFormat="1" applyFont="1" applyBorder="1" applyAlignment="1">
      <alignment horizontal="center" vertical="center"/>
    </xf>
    <xf numFmtId="165" fontId="0" fillId="0" borderId="69" xfId="1" applyNumberFormat="1" applyFont="1" applyBorder="1" applyAlignment="1">
      <alignment horizontal="center" vertical="center"/>
    </xf>
    <xf numFmtId="167" fontId="0" fillId="0" borderId="39" xfId="1" applyNumberFormat="1" applyFont="1" applyFill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0" fillId="0" borderId="10" xfId="1" applyFont="1" applyFill="1" applyBorder="1" applyAlignment="1">
      <alignment vertical="center"/>
    </xf>
    <xf numFmtId="167" fontId="0" fillId="0" borderId="10" xfId="1" applyNumberFormat="1" applyFont="1" applyFill="1" applyBorder="1" applyAlignment="1">
      <alignment vertical="center"/>
    </xf>
    <xf numFmtId="167" fontId="0" fillId="0" borderId="10" xfId="1" applyNumberFormat="1" applyFont="1" applyFill="1" applyBorder="1" applyAlignment="1">
      <alignment horizontal="center" vertical="center"/>
    </xf>
    <xf numFmtId="167" fontId="0" fillId="0" borderId="11" xfId="1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43" fontId="10" fillId="0" borderId="10" xfId="1" applyFont="1" applyFill="1" applyBorder="1" applyAlignment="1">
      <alignment vertical="center"/>
    </xf>
    <xf numFmtId="167" fontId="10" fillId="0" borderId="10" xfId="1" applyNumberFormat="1" applyFont="1" applyFill="1" applyBorder="1" applyAlignment="1">
      <alignment vertical="center"/>
    </xf>
    <xf numFmtId="167" fontId="4" fillId="0" borderId="39" xfId="1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74" fontId="4" fillId="0" borderId="53" xfId="9" applyNumberFormat="1" applyFont="1" applyBorder="1" applyAlignment="1">
      <alignment horizontal="left" vertical="center"/>
    </xf>
    <xf numFmtId="0" fontId="4" fillId="0" borderId="39" xfId="0" applyFont="1" applyBorder="1" applyAlignment="1">
      <alignment horizontal="center" vertical="center"/>
    </xf>
    <xf numFmtId="167" fontId="14" fillId="0" borderId="0" xfId="1" applyNumberFormat="1" applyFont="1" applyAlignment="1">
      <alignment vertical="center"/>
    </xf>
    <xf numFmtId="0" fontId="1" fillId="0" borderId="40" xfId="9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9" fontId="0" fillId="0" borderId="56" xfId="0" applyNumberFormat="1" applyBorder="1" applyAlignment="1">
      <alignment horizontal="center" vertical="center"/>
    </xf>
    <xf numFmtId="165" fontId="10" fillId="0" borderId="13" xfId="1" applyNumberFormat="1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165" fontId="1" fillId="0" borderId="22" xfId="1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vertical="center"/>
    </xf>
    <xf numFmtId="43" fontId="19" fillId="0" borderId="0" xfId="1" applyFont="1" applyAlignment="1">
      <alignment vertical="center"/>
    </xf>
    <xf numFmtId="43" fontId="4" fillId="0" borderId="0" xfId="1" applyFont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0" fillId="0" borderId="20" xfId="0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/>
    </xf>
    <xf numFmtId="169" fontId="0" fillId="0" borderId="20" xfId="0" applyNumberFormat="1" applyBorder="1" applyAlignment="1">
      <alignment horizontal="center" vertical="center"/>
    </xf>
    <xf numFmtId="169" fontId="0" fillId="0" borderId="23" xfId="0" applyNumberFormat="1" applyBorder="1" applyAlignment="1">
      <alignment horizontal="center" vertical="center"/>
    </xf>
    <xf numFmtId="169" fontId="0" fillId="0" borderId="25" xfId="0" applyNumberFormat="1" applyBorder="1" applyAlignment="1">
      <alignment horizontal="center"/>
    </xf>
    <xf numFmtId="0" fontId="38" fillId="0" borderId="0" xfId="0" applyFont="1" applyAlignment="1">
      <alignment horizontal="centerContinuous"/>
    </xf>
    <xf numFmtId="43" fontId="4" fillId="0" borderId="33" xfId="1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0" fillId="0" borderId="13" xfId="0" applyBorder="1"/>
    <xf numFmtId="170" fontId="0" fillId="0" borderId="13" xfId="0" applyNumberFormat="1" applyBorder="1"/>
    <xf numFmtId="0" fontId="4" fillId="0" borderId="23" xfId="9" quotePrefix="1" applyFont="1" applyBorder="1" applyAlignment="1">
      <alignment horizontal="center" vertical="center" wrapText="1"/>
    </xf>
    <xf numFmtId="0" fontId="26" fillId="0" borderId="23" xfId="9" quotePrefix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75" fontId="0" fillId="0" borderId="21" xfId="0" applyNumberFormat="1" applyBorder="1" applyAlignment="1">
      <alignment horizontal="center" vertical="center" wrapText="1"/>
    </xf>
    <xf numFmtId="167" fontId="0" fillId="0" borderId="21" xfId="1" applyNumberFormat="1" applyFont="1" applyBorder="1" applyAlignment="1">
      <alignment vertical="center"/>
    </xf>
    <xf numFmtId="165" fontId="0" fillId="0" borderId="21" xfId="1" applyNumberFormat="1" applyFont="1" applyBorder="1" applyAlignment="1">
      <alignment vertical="center"/>
    </xf>
    <xf numFmtId="175" fontId="0" fillId="0" borderId="23" xfId="0" applyNumberFormat="1" applyBorder="1" applyAlignment="1">
      <alignment horizontal="center" vertical="center" wrapText="1"/>
    </xf>
    <xf numFmtId="167" fontId="0" fillId="0" borderId="23" xfId="1" applyNumberFormat="1" applyFont="1" applyBorder="1" applyAlignment="1">
      <alignment vertical="center"/>
    </xf>
    <xf numFmtId="167" fontId="0" fillId="0" borderId="22" xfId="1" applyNumberFormat="1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165" fontId="0" fillId="0" borderId="0" xfId="0" applyNumberFormat="1" applyAlignment="1">
      <alignment vertical="center"/>
    </xf>
    <xf numFmtId="165" fontId="6" fillId="0" borderId="0" xfId="1" applyNumberFormat="1" applyFont="1" applyAlignment="1">
      <alignment vertical="center"/>
    </xf>
    <xf numFmtId="177" fontId="4" fillId="0" borderId="0" xfId="1" applyNumberFormat="1" applyFont="1" applyAlignment="1">
      <alignment vertical="center"/>
    </xf>
    <xf numFmtId="169" fontId="0" fillId="0" borderId="0" xfId="0" applyNumberFormat="1" applyAlignment="1">
      <alignment horizontal="left" vertical="center"/>
    </xf>
    <xf numFmtId="165" fontId="3" fillId="0" borderId="39" xfId="1" applyNumberFormat="1" applyFont="1" applyFill="1" applyBorder="1" applyAlignment="1">
      <alignment horizontal="left" vertical="center" wrapText="1"/>
    </xf>
    <xf numFmtId="165" fontId="10" fillId="0" borderId="23" xfId="1" applyNumberFormat="1" applyFont="1" applyBorder="1" applyAlignment="1">
      <alignment vertical="center"/>
    </xf>
    <xf numFmtId="43" fontId="3" fillId="0" borderId="33" xfId="9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5" fontId="0" fillId="0" borderId="37" xfId="1" applyNumberFormat="1" applyFont="1" applyBorder="1" applyAlignment="1">
      <alignment horizontal="center" vertical="center"/>
    </xf>
    <xf numFmtId="170" fontId="4" fillId="2" borderId="52" xfId="1" applyNumberFormat="1" applyFont="1" applyFill="1" applyBorder="1" applyAlignment="1">
      <alignment horizontal="left" vertical="center" wrapText="1" indent="1"/>
    </xf>
    <xf numFmtId="170" fontId="6" fillId="4" borderId="52" xfId="1" applyNumberFormat="1" applyFont="1" applyFill="1" applyBorder="1" applyAlignment="1">
      <alignment horizontal="left" vertical="center" wrapText="1" indent="1"/>
    </xf>
    <xf numFmtId="43" fontId="19" fillId="0" borderId="0" xfId="1" applyFont="1" applyAlignment="1">
      <alignment horizontal="center" vertical="center"/>
    </xf>
    <xf numFmtId="43" fontId="21" fillId="0" borderId="10" xfId="1" applyFont="1" applyBorder="1" applyAlignment="1">
      <alignment horizontal="centerContinuous" vertical="center" wrapText="1"/>
    </xf>
    <xf numFmtId="43" fontId="22" fillId="0" borderId="13" xfId="1" applyFont="1" applyBorder="1" applyAlignment="1">
      <alignment horizontal="centerContinuous" vertical="center" wrapText="1"/>
    </xf>
    <xf numFmtId="43" fontId="22" fillId="0" borderId="10" xfId="1" applyFont="1" applyBorder="1" applyAlignment="1">
      <alignment horizontal="centerContinuous" vertical="center" wrapText="1"/>
    </xf>
    <xf numFmtId="43" fontId="6" fillId="0" borderId="10" xfId="1" applyFont="1" applyBorder="1" applyAlignment="1">
      <alignment vertical="center"/>
    </xf>
    <xf numFmtId="43" fontId="6" fillId="2" borderId="33" xfId="1" applyFont="1" applyFill="1" applyBorder="1" applyAlignment="1">
      <alignment vertical="center"/>
    </xf>
    <xf numFmtId="43" fontId="4" fillId="0" borderId="38" xfId="1" applyFont="1" applyBorder="1" applyAlignment="1">
      <alignment vertical="center"/>
    </xf>
    <xf numFmtId="43" fontId="6" fillId="2" borderId="38" xfId="1" applyFont="1" applyFill="1" applyBorder="1" applyAlignment="1">
      <alignment vertical="center"/>
    </xf>
    <xf numFmtId="43" fontId="4" fillId="0" borderId="46" xfId="1" applyFont="1" applyBorder="1" applyAlignment="1">
      <alignment vertical="center"/>
    </xf>
    <xf numFmtId="43" fontId="6" fillId="4" borderId="11" xfId="1" applyFont="1" applyFill="1" applyBorder="1" applyAlignment="1">
      <alignment horizontal="center" vertical="center"/>
    </xf>
    <xf numFmtId="43" fontId="6" fillId="2" borderId="31" xfId="1" applyFont="1" applyFill="1" applyBorder="1" applyAlignment="1">
      <alignment horizontal="center" vertical="center"/>
    </xf>
    <xf numFmtId="43" fontId="6" fillId="2" borderId="33" xfId="1" applyFont="1" applyFill="1" applyBorder="1" applyAlignment="1">
      <alignment horizontal="center" vertical="center"/>
    </xf>
    <xf numFmtId="43" fontId="4" fillId="0" borderId="33" xfId="1" applyFont="1" applyFill="1" applyBorder="1" applyAlignment="1">
      <alignment horizontal="center" vertical="center"/>
    </xf>
    <xf numFmtId="43" fontId="4" fillId="2" borderId="33" xfId="1" applyFont="1" applyFill="1" applyBorder="1" applyAlignment="1">
      <alignment horizontal="center" vertical="center"/>
    </xf>
    <xf numFmtId="43" fontId="4" fillId="0" borderId="23" xfId="1" applyFont="1" applyFill="1" applyBorder="1" applyAlignment="1">
      <alignment vertical="center"/>
    </xf>
    <xf numFmtId="43" fontId="4" fillId="0" borderId="32" xfId="1" applyFont="1" applyBorder="1" applyAlignment="1">
      <alignment horizontal="center" vertical="center"/>
    </xf>
    <xf numFmtId="43" fontId="6" fillId="4" borderId="47" xfId="1" applyFont="1" applyFill="1" applyBorder="1" applyAlignment="1">
      <alignment horizontal="center" vertical="center"/>
    </xf>
    <xf numFmtId="43" fontId="6" fillId="4" borderId="33" xfId="1" applyFont="1" applyFill="1" applyBorder="1" applyAlignment="1">
      <alignment horizontal="center" vertical="center"/>
    </xf>
    <xf numFmtId="43" fontId="6" fillId="4" borderId="35" xfId="1" applyFont="1" applyFill="1" applyBorder="1" applyAlignment="1">
      <alignment horizontal="center" vertical="center"/>
    </xf>
    <xf numFmtId="167" fontId="4" fillId="0" borderId="10" xfId="1" applyNumberFormat="1" applyFont="1" applyBorder="1" applyAlignment="1">
      <alignment horizontal="centerContinuous" vertical="center"/>
    </xf>
    <xf numFmtId="167" fontId="4" fillId="0" borderId="10" xfId="1" applyNumberFormat="1" applyFont="1" applyBorder="1" applyAlignment="1">
      <alignment horizontal="center" vertical="center"/>
    </xf>
    <xf numFmtId="167" fontId="4" fillId="2" borderId="10" xfId="1" applyNumberFormat="1" applyFont="1" applyFill="1" applyBorder="1" applyAlignment="1">
      <alignment horizontal="center" vertical="center"/>
    </xf>
    <xf numFmtId="167" fontId="6" fillId="0" borderId="23" xfId="1" applyNumberFormat="1" applyFont="1" applyBorder="1" applyAlignment="1">
      <alignment horizontal="center" vertical="center"/>
    </xf>
    <xf numFmtId="167" fontId="6" fillId="0" borderId="22" xfId="1" applyNumberFormat="1" applyFont="1" applyBorder="1" applyAlignment="1">
      <alignment horizontal="center" vertical="center"/>
    </xf>
    <xf numFmtId="167" fontId="6" fillId="0" borderId="23" xfId="1" applyNumberFormat="1" applyFont="1" applyFill="1" applyBorder="1" applyAlignment="1">
      <alignment horizontal="center" vertical="center"/>
    </xf>
    <xf numFmtId="167" fontId="4" fillId="6" borderId="34" xfId="1" applyNumberFormat="1" applyFont="1" applyFill="1" applyBorder="1" applyAlignment="1">
      <alignment vertical="center"/>
    </xf>
    <xf numFmtId="167" fontId="6" fillId="0" borderId="48" xfId="1" applyNumberFormat="1" applyFont="1" applyBorder="1" applyAlignment="1">
      <alignment horizontal="centerContinuous" vertical="center"/>
    </xf>
    <xf numFmtId="167" fontId="6" fillId="0" borderId="42" xfId="1" applyNumberFormat="1" applyFont="1" applyBorder="1" applyAlignment="1">
      <alignment horizontal="centerContinuous" vertical="center"/>
    </xf>
    <xf numFmtId="167" fontId="4" fillId="2" borderId="42" xfId="1" applyNumberFormat="1" applyFont="1" applyFill="1" applyBorder="1" applyAlignment="1">
      <alignment horizontal="center" vertical="center"/>
    </xf>
    <xf numFmtId="43" fontId="10" fillId="0" borderId="0" xfId="1" applyFont="1" applyAlignment="1">
      <alignment vertical="center"/>
    </xf>
    <xf numFmtId="43" fontId="0" fillId="0" borderId="0" xfId="1" applyFont="1" applyAlignment="1">
      <alignment vertical="center"/>
    </xf>
    <xf numFmtId="175" fontId="4" fillId="0" borderId="43" xfId="9" applyNumberFormat="1" applyFont="1" applyBorder="1" applyAlignment="1">
      <alignment horizontal="center" vertical="center" wrapText="1"/>
    </xf>
    <xf numFmtId="165" fontId="0" fillId="0" borderId="13" xfId="1" applyNumberFormat="1" applyFont="1" applyBorder="1" applyAlignment="1">
      <alignment horizontal="center" vertical="center"/>
    </xf>
    <xf numFmtId="165" fontId="0" fillId="0" borderId="23" xfId="1" applyNumberFormat="1" applyFont="1" applyFill="1" applyBorder="1" applyAlignment="1">
      <alignment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65" fontId="0" fillId="0" borderId="22" xfId="1" applyNumberFormat="1" applyFont="1" applyBorder="1" applyAlignment="1">
      <alignment vertical="center"/>
    </xf>
    <xf numFmtId="0" fontId="0" fillId="0" borderId="10" xfId="0" applyBorder="1" applyAlignment="1">
      <alignment vertical="center"/>
    </xf>
    <xf numFmtId="167" fontId="0" fillId="0" borderId="10" xfId="1" applyNumberFormat="1" applyFont="1" applyBorder="1" applyAlignment="1">
      <alignment vertical="center"/>
    </xf>
    <xf numFmtId="165" fontId="0" fillId="0" borderId="11" xfId="1" applyNumberFormat="1" applyFont="1" applyBorder="1" applyAlignment="1">
      <alignment vertical="center"/>
    </xf>
    <xf numFmtId="0" fontId="0" fillId="0" borderId="39" xfId="0" applyBorder="1" applyAlignment="1">
      <alignment horizontal="center" vertical="center"/>
    </xf>
    <xf numFmtId="175" fontId="0" fillId="0" borderId="39" xfId="0" applyNumberFormat="1" applyBorder="1" applyAlignment="1">
      <alignment horizontal="center" vertical="center" wrapText="1"/>
    </xf>
    <xf numFmtId="167" fontId="0" fillId="0" borderId="39" xfId="1" applyNumberFormat="1" applyFont="1" applyBorder="1" applyAlignment="1">
      <alignment vertical="center"/>
    </xf>
    <xf numFmtId="165" fontId="0" fillId="0" borderId="39" xfId="1" applyNumberFormat="1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7" fontId="10" fillId="0" borderId="21" xfId="1" applyNumberFormat="1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165" fontId="10" fillId="0" borderId="21" xfId="0" applyNumberFormat="1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39" xfId="0" applyFont="1" applyBorder="1" applyAlignment="1">
      <alignment horizontal="center" vertical="center"/>
    </xf>
    <xf numFmtId="167" fontId="10" fillId="0" borderId="39" xfId="1" applyNumberFormat="1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165" fontId="10" fillId="0" borderId="39" xfId="0" applyNumberFormat="1" applyFont="1" applyBorder="1" applyAlignment="1">
      <alignment vertical="center"/>
    </xf>
    <xf numFmtId="167" fontId="10" fillId="0" borderId="23" xfId="1" applyNumberFormat="1" applyFont="1" applyBorder="1" applyAlignment="1">
      <alignment vertical="center"/>
    </xf>
    <xf numFmtId="165" fontId="10" fillId="0" borderId="23" xfId="0" applyNumberFormat="1" applyFont="1" applyBorder="1" applyAlignment="1">
      <alignment vertical="center"/>
    </xf>
    <xf numFmtId="167" fontId="10" fillId="0" borderId="37" xfId="1" applyNumberFormat="1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165" fontId="10" fillId="0" borderId="37" xfId="0" applyNumberFormat="1" applyFont="1" applyBorder="1" applyAlignment="1">
      <alignment vertical="center"/>
    </xf>
    <xf numFmtId="167" fontId="10" fillId="0" borderId="22" xfId="1" applyNumberFormat="1" applyFont="1" applyBorder="1" applyAlignment="1">
      <alignment vertical="center"/>
    </xf>
    <xf numFmtId="165" fontId="10" fillId="0" borderId="22" xfId="0" applyNumberFormat="1" applyFont="1" applyBorder="1" applyAlignment="1">
      <alignment vertical="center"/>
    </xf>
    <xf numFmtId="165" fontId="10" fillId="0" borderId="25" xfId="0" applyNumberFormat="1" applyFont="1" applyBorder="1" applyAlignment="1">
      <alignment vertical="center"/>
    </xf>
    <xf numFmtId="167" fontId="0" fillId="0" borderId="10" xfId="1" applyNumberFormat="1" applyFont="1" applyBorder="1" applyAlignment="1">
      <alignment horizontal="center" vertical="center"/>
    </xf>
    <xf numFmtId="175" fontId="16" fillId="3" borderId="13" xfId="8" applyNumberFormat="1" applyFont="1" applyFill="1" applyBorder="1" applyAlignment="1">
      <alignment horizontal="center" vertical="center"/>
    </xf>
    <xf numFmtId="175" fontId="0" fillId="3" borderId="13" xfId="0" applyNumberFormat="1" applyFill="1" applyBorder="1" applyAlignment="1">
      <alignment horizontal="center" vertical="center"/>
    </xf>
    <xf numFmtId="175" fontId="14" fillId="3" borderId="13" xfId="0" applyNumberFormat="1" applyFont="1" applyFill="1" applyBorder="1" applyAlignment="1">
      <alignment horizontal="center" vertical="center"/>
    </xf>
    <xf numFmtId="175" fontId="0" fillId="3" borderId="0" xfId="0" applyNumberFormat="1" applyFill="1" applyAlignment="1">
      <alignment horizontal="center" vertical="center"/>
    </xf>
    <xf numFmtId="170" fontId="14" fillId="0" borderId="0" xfId="6" applyNumberFormat="1" applyFont="1" applyAlignment="1">
      <alignment vertical="center"/>
    </xf>
    <xf numFmtId="165" fontId="0" fillId="0" borderId="13" xfId="0" applyNumberFormat="1" applyBorder="1" applyAlignment="1">
      <alignment horizontal="center" vertical="center"/>
    </xf>
    <xf numFmtId="0" fontId="3" fillId="0" borderId="42" xfId="9" applyFont="1" applyBorder="1" applyAlignment="1">
      <alignment horizontal="center" vertical="center" wrapText="1"/>
    </xf>
    <xf numFmtId="0" fontId="3" fillId="0" borderId="23" xfId="9" applyFont="1" applyBorder="1" applyAlignment="1">
      <alignment horizontal="center" vertical="center" wrapText="1"/>
    </xf>
    <xf numFmtId="165" fontId="16" fillId="3" borderId="13" xfId="1" applyNumberFormat="1" applyFont="1" applyFill="1" applyBorder="1" applyAlignment="1">
      <alignment horizontal="center" vertical="center"/>
    </xf>
    <xf numFmtId="165" fontId="14" fillId="0" borderId="13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0" fontId="0" fillId="0" borderId="0" xfId="2" applyNumberFormat="1" applyFont="1" applyAlignment="1">
      <alignment vertical="center"/>
    </xf>
    <xf numFmtId="10" fontId="14" fillId="0" borderId="0" xfId="2" applyNumberFormat="1" applyFont="1" applyAlignment="1">
      <alignment vertical="center"/>
    </xf>
    <xf numFmtId="181" fontId="0" fillId="0" borderId="0" xfId="0" applyNumberFormat="1" applyAlignment="1">
      <alignment vertical="center"/>
    </xf>
    <xf numFmtId="171" fontId="6" fillId="0" borderId="23" xfId="1" applyNumberFormat="1" applyFont="1" applyFill="1" applyBorder="1" applyAlignment="1">
      <alignment vertical="center"/>
    </xf>
    <xf numFmtId="43" fontId="14" fillId="0" borderId="21" xfId="1" applyFont="1" applyFill="1" applyBorder="1" applyAlignment="1">
      <alignment vertical="center"/>
    </xf>
    <xf numFmtId="167" fontId="14" fillId="0" borderId="21" xfId="1" applyNumberFormat="1" applyFont="1" applyFill="1" applyBorder="1" applyAlignment="1">
      <alignment vertical="center"/>
    </xf>
    <xf numFmtId="0" fontId="14" fillId="0" borderId="0" xfId="0" applyFont="1" applyAlignment="1">
      <alignment vertical="center" wrapText="1"/>
    </xf>
    <xf numFmtId="43" fontId="14" fillId="0" borderId="23" xfId="1" applyFont="1" applyFill="1" applyBorder="1" applyAlignment="1">
      <alignment vertical="center"/>
    </xf>
    <xf numFmtId="167" fontId="14" fillId="0" borderId="23" xfId="1" applyNumberFormat="1" applyFont="1" applyFill="1" applyBorder="1" applyAlignment="1">
      <alignment vertical="center"/>
    </xf>
    <xf numFmtId="43" fontId="14" fillId="0" borderId="37" xfId="1" applyFont="1" applyFill="1" applyBorder="1" applyAlignment="1">
      <alignment vertical="center"/>
    </xf>
    <xf numFmtId="167" fontId="14" fillId="0" borderId="37" xfId="1" applyNumberFormat="1" applyFont="1" applyFill="1" applyBorder="1" applyAlignment="1">
      <alignment vertical="center"/>
    </xf>
    <xf numFmtId="43" fontId="14" fillId="0" borderId="0" xfId="0" applyNumberFormat="1" applyFont="1" applyAlignment="1">
      <alignment vertical="center"/>
    </xf>
    <xf numFmtId="43" fontId="14" fillId="0" borderId="22" xfId="1" applyFont="1" applyFill="1" applyBorder="1" applyAlignment="1">
      <alignment vertical="center"/>
    </xf>
    <xf numFmtId="167" fontId="14" fillId="0" borderId="22" xfId="1" applyNumberFormat="1" applyFont="1" applyFill="1" applyBorder="1" applyAlignment="1">
      <alignment vertical="center"/>
    </xf>
    <xf numFmtId="171" fontId="14" fillId="0" borderId="23" xfId="1" applyNumberFormat="1" applyFont="1" applyFill="1" applyBorder="1" applyAlignment="1">
      <alignment vertical="center"/>
    </xf>
    <xf numFmtId="170" fontId="4" fillId="0" borderId="33" xfId="1" applyNumberFormat="1" applyFont="1" applyBorder="1" applyAlignment="1">
      <alignment vertical="center"/>
    </xf>
    <xf numFmtId="171" fontId="4" fillId="0" borderId="4" xfId="1" applyNumberFormat="1" applyFont="1" applyBorder="1" applyAlignment="1">
      <alignment vertical="center"/>
    </xf>
    <xf numFmtId="171" fontId="14" fillId="0" borderId="13" xfId="1" applyNumberFormat="1" applyFont="1" applyFill="1" applyBorder="1" applyAlignment="1">
      <alignment vertical="center"/>
    </xf>
    <xf numFmtId="165" fontId="14" fillId="0" borderId="13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165" fontId="0" fillId="0" borderId="25" xfId="1" applyNumberFormat="1" applyFont="1" applyBorder="1" applyAlignment="1">
      <alignment vertical="center"/>
    </xf>
    <xf numFmtId="171" fontId="14" fillId="0" borderId="23" xfId="1" applyNumberFormat="1" applyFont="1" applyBorder="1" applyAlignment="1">
      <alignment vertical="center"/>
    </xf>
    <xf numFmtId="172" fontId="0" fillId="0" borderId="23" xfId="0" applyNumberFormat="1" applyBorder="1" applyAlignment="1">
      <alignment vertical="center"/>
    </xf>
    <xf numFmtId="0" fontId="10" fillId="0" borderId="13" xfId="0" applyFont="1" applyBorder="1" applyAlignment="1">
      <alignment horizontal="right" vertical="center"/>
    </xf>
    <xf numFmtId="171" fontId="14" fillId="0" borderId="39" xfId="1" applyNumberFormat="1" applyFont="1" applyBorder="1" applyAlignment="1">
      <alignment vertical="center"/>
    </xf>
    <xf numFmtId="172" fontId="0" fillId="0" borderId="39" xfId="0" applyNumberFormat="1" applyBorder="1" applyAlignment="1">
      <alignment vertical="center"/>
    </xf>
    <xf numFmtId="170" fontId="16" fillId="0" borderId="13" xfId="1" applyNumberFormat="1" applyFont="1" applyBorder="1" applyAlignment="1">
      <alignment vertical="center"/>
    </xf>
    <xf numFmtId="170" fontId="14" fillId="0" borderId="23" xfId="1" applyNumberFormat="1" applyFont="1" applyBorder="1" applyAlignment="1">
      <alignment vertical="center"/>
    </xf>
    <xf numFmtId="182" fontId="0" fillId="0" borderId="23" xfId="0" applyNumberFormat="1" applyBorder="1" applyAlignment="1">
      <alignment vertical="center"/>
    </xf>
    <xf numFmtId="182" fontId="0" fillId="0" borderId="25" xfId="0" applyNumberFormat="1" applyBorder="1" applyAlignment="1">
      <alignment vertical="center"/>
    </xf>
    <xf numFmtId="165" fontId="16" fillId="0" borderId="13" xfId="1" applyNumberFormat="1" applyFont="1" applyBorder="1" applyAlignment="1">
      <alignment vertical="center"/>
    </xf>
    <xf numFmtId="165" fontId="0" fillId="0" borderId="0" xfId="1" applyNumberFormat="1" applyFont="1"/>
    <xf numFmtId="171" fontId="4" fillId="0" borderId="23" xfId="1" applyNumberFormat="1" applyFont="1" applyFill="1" applyBorder="1" applyAlignment="1">
      <alignment vertical="center"/>
    </xf>
    <xf numFmtId="0" fontId="26" fillId="0" borderId="30" xfId="9" applyFont="1" applyBorder="1" applyAlignment="1">
      <alignment horizontal="center" vertical="center" wrapText="1"/>
    </xf>
    <xf numFmtId="43" fontId="3" fillId="0" borderId="33" xfId="9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/>
    </xf>
    <xf numFmtId="43" fontId="5" fillId="0" borderId="30" xfId="9" applyNumberFormat="1" applyFont="1" applyBorder="1" applyAlignment="1">
      <alignment horizontal="center" vertical="center" wrapText="1"/>
    </xf>
    <xf numFmtId="0" fontId="10" fillId="0" borderId="0" xfId="0" applyFont="1"/>
    <xf numFmtId="174" fontId="4" fillId="0" borderId="23" xfId="9" applyNumberFormat="1" applyFont="1" applyBorder="1" applyAlignment="1">
      <alignment horizontal="left" vertical="center" wrapText="1"/>
    </xf>
    <xf numFmtId="0" fontId="4" fillId="0" borderId="41" xfId="9" quotePrefix="1" applyFont="1" applyBorder="1" applyAlignment="1">
      <alignment horizontal="center" vertical="center"/>
    </xf>
    <xf numFmtId="0" fontId="3" fillId="0" borderId="58" xfId="0" applyFont="1" applyBorder="1" applyAlignment="1">
      <alignment vertical="center"/>
    </xf>
    <xf numFmtId="177" fontId="3" fillId="0" borderId="0" xfId="0" applyNumberFormat="1" applyFont="1" applyAlignment="1">
      <alignment vertical="center"/>
    </xf>
    <xf numFmtId="0" fontId="0" fillId="0" borderId="13" xfId="1" applyNumberFormat="1" applyFont="1" applyBorder="1" applyAlignment="1">
      <alignment horizontal="center" vertical="center"/>
    </xf>
    <xf numFmtId="0" fontId="14" fillId="0" borderId="13" xfId="1" applyNumberFormat="1" applyFont="1" applyBorder="1" applyAlignment="1">
      <alignment horizontal="center" vertical="center"/>
    </xf>
    <xf numFmtId="174" fontId="4" fillId="0" borderId="40" xfId="9" applyNumberFormat="1" applyFont="1" applyBorder="1" applyAlignment="1">
      <alignment horizontal="center" vertical="center"/>
    </xf>
    <xf numFmtId="0" fontId="1" fillId="0" borderId="40" xfId="9" applyBorder="1" applyAlignment="1">
      <alignment horizontal="center" vertical="center" wrapText="1"/>
    </xf>
    <xf numFmtId="173" fontId="1" fillId="0" borderId="16" xfId="9" applyNumberFormat="1" applyBorder="1" applyAlignment="1">
      <alignment horizontal="center" vertical="center" wrapText="1"/>
    </xf>
    <xf numFmtId="167" fontId="4" fillId="0" borderId="10" xfId="1" applyNumberFormat="1" applyFont="1" applyFill="1" applyBorder="1" applyAlignment="1">
      <alignment horizontal="center" vertical="center"/>
    </xf>
    <xf numFmtId="165" fontId="4" fillId="8" borderId="58" xfId="1" applyNumberFormat="1" applyFont="1" applyFill="1" applyBorder="1" applyAlignment="1">
      <alignment horizontal="center" vertical="center"/>
    </xf>
    <xf numFmtId="0" fontId="4" fillId="8" borderId="58" xfId="1" applyNumberFormat="1" applyFont="1" applyFill="1" applyBorder="1" applyAlignment="1">
      <alignment vertical="center"/>
    </xf>
    <xf numFmtId="43" fontId="4" fillId="0" borderId="33" xfId="1" applyFont="1" applyFill="1" applyBorder="1" applyAlignment="1">
      <alignment vertical="center"/>
    </xf>
    <xf numFmtId="167" fontId="4" fillId="0" borderId="0" xfId="1" applyNumberFormat="1" applyFont="1" applyFill="1" applyAlignment="1">
      <alignment vertical="center"/>
    </xf>
    <xf numFmtId="165" fontId="4" fillId="0" borderId="58" xfId="1" applyNumberFormat="1" applyFont="1" applyFill="1" applyBorder="1" applyAlignment="1">
      <alignment horizontal="center" vertical="center"/>
    </xf>
    <xf numFmtId="165" fontId="4" fillId="0" borderId="0" xfId="1" applyNumberFormat="1" applyFont="1" applyFill="1" applyAlignment="1">
      <alignment vertical="center"/>
    </xf>
    <xf numFmtId="0" fontId="4" fillId="9" borderId="58" xfId="1" applyNumberFormat="1" applyFont="1" applyFill="1" applyBorder="1" applyAlignment="1">
      <alignment horizontal="center" vertical="center"/>
    </xf>
    <xf numFmtId="0" fontId="4" fillId="9" borderId="58" xfId="1" applyNumberFormat="1" applyFont="1" applyFill="1" applyBorder="1" applyAlignment="1">
      <alignment vertical="center"/>
    </xf>
    <xf numFmtId="0" fontId="4" fillId="8" borderId="58" xfId="1" applyNumberFormat="1" applyFont="1" applyFill="1" applyBorder="1" applyAlignment="1">
      <alignment horizontal="center" vertical="center"/>
    </xf>
    <xf numFmtId="165" fontId="4" fillId="9" borderId="58" xfId="1" applyNumberFormat="1" applyFont="1" applyFill="1" applyBorder="1" applyAlignment="1">
      <alignment horizontal="center" vertical="center"/>
    </xf>
    <xf numFmtId="165" fontId="4" fillId="9" borderId="58" xfId="1" applyNumberFormat="1" applyFont="1" applyFill="1" applyBorder="1" applyAlignment="1">
      <alignment vertical="center"/>
    </xf>
    <xf numFmtId="165" fontId="4" fillId="3" borderId="58" xfId="1" applyNumberFormat="1" applyFont="1" applyFill="1" applyBorder="1" applyAlignment="1">
      <alignment horizontal="center" vertical="center"/>
    </xf>
    <xf numFmtId="165" fontId="4" fillId="3" borderId="58" xfId="1" applyNumberFormat="1" applyFont="1" applyFill="1" applyBorder="1" applyAlignment="1">
      <alignment vertical="center"/>
    </xf>
    <xf numFmtId="165" fontId="4" fillId="0" borderId="58" xfId="1" applyNumberFormat="1" applyFont="1" applyFill="1" applyBorder="1" applyAlignment="1">
      <alignment vertical="center"/>
    </xf>
    <xf numFmtId="167" fontId="4" fillId="0" borderId="0" xfId="0" applyNumberFormat="1" applyFont="1" applyAlignment="1">
      <alignment vertical="center"/>
    </xf>
    <xf numFmtId="165" fontId="14" fillId="0" borderId="0" xfId="1" applyNumberFormat="1" applyFont="1" applyAlignment="1">
      <alignment horizontal="left" vertical="center" wrapText="1"/>
    </xf>
    <xf numFmtId="43" fontId="3" fillId="0" borderId="41" xfId="9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2" xfId="9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vertical="center" wrapText="1"/>
    </xf>
    <xf numFmtId="167" fontId="14" fillId="0" borderId="23" xfId="1" applyNumberFormat="1" applyFont="1" applyBorder="1" applyAlignment="1">
      <alignment vertical="center"/>
    </xf>
    <xf numFmtId="0" fontId="14" fillId="0" borderId="23" xfId="0" applyFont="1" applyBorder="1" applyAlignment="1">
      <alignment horizontal="right" vertical="center" wrapText="1"/>
    </xf>
    <xf numFmtId="165" fontId="3" fillId="0" borderId="39" xfId="1" applyNumberFormat="1" applyFont="1" applyFill="1" applyBorder="1" applyAlignment="1">
      <alignment horizontal="center" vertical="center" wrapText="1"/>
    </xf>
    <xf numFmtId="170" fontId="5" fillId="0" borderId="0" xfId="0" applyNumberFormat="1" applyFont="1" applyAlignment="1">
      <alignment vertical="center"/>
    </xf>
    <xf numFmtId="174" fontId="3" fillId="0" borderId="21" xfId="9" applyNumberFormat="1" applyFont="1" applyBorder="1" applyAlignment="1">
      <alignment horizontal="left" vertical="center" wrapText="1"/>
    </xf>
    <xf numFmtId="0" fontId="1" fillId="0" borderId="28" xfId="9" applyBorder="1" applyAlignment="1">
      <alignment horizontal="center" vertical="center" wrapText="1"/>
    </xf>
    <xf numFmtId="0" fontId="14" fillId="3" borderId="13" xfId="0" applyFont="1" applyFill="1" applyBorder="1" applyAlignment="1">
      <alignment vertical="center" wrapText="1"/>
    </xf>
    <xf numFmtId="175" fontId="31" fillId="3" borderId="13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172" fontId="0" fillId="0" borderId="0" xfId="0" applyNumberFormat="1" applyAlignment="1">
      <alignment vertical="center" wrapText="1"/>
    </xf>
    <xf numFmtId="171" fontId="0" fillId="0" borderId="0" xfId="0" applyNumberFormat="1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165" fontId="19" fillId="0" borderId="0" xfId="0" applyNumberFormat="1" applyFont="1" applyAlignment="1">
      <alignment horizontal="center" vertical="center"/>
    </xf>
    <xf numFmtId="165" fontId="5" fillId="0" borderId="0" xfId="1" applyNumberFormat="1" applyFont="1" applyAlignment="1">
      <alignment horizontal="center" vertical="center" wrapText="1"/>
    </xf>
    <xf numFmtId="165" fontId="5" fillId="0" borderId="0" xfId="1" applyNumberFormat="1" applyFont="1" applyAlignment="1">
      <alignment vertical="center" wrapText="1"/>
    </xf>
    <xf numFmtId="170" fontId="6" fillId="0" borderId="0" xfId="0" applyNumberFormat="1" applyFont="1" applyAlignment="1">
      <alignment vertical="center"/>
    </xf>
    <xf numFmtId="9" fontId="0" fillId="0" borderId="0" xfId="2" applyFont="1"/>
    <xf numFmtId="0" fontId="6" fillId="0" borderId="16" xfId="0" applyFont="1" applyBorder="1" applyAlignment="1">
      <alignment horizontal="center" vertical="center"/>
    </xf>
    <xf numFmtId="174" fontId="6" fillId="0" borderId="4" xfId="9" applyNumberFormat="1" applyFont="1" applyBorder="1" applyAlignment="1">
      <alignment horizontal="right" vertical="center"/>
    </xf>
    <xf numFmtId="0" fontId="6" fillId="0" borderId="23" xfId="0" applyFont="1" applyBorder="1" applyAlignment="1">
      <alignment horizontal="center" vertical="center"/>
    </xf>
    <xf numFmtId="0" fontId="6" fillId="0" borderId="30" xfId="9" applyFont="1" applyBorder="1" applyAlignment="1">
      <alignment horizontal="center" vertical="center"/>
    </xf>
    <xf numFmtId="0" fontId="6" fillId="0" borderId="30" xfId="9" applyFont="1" applyBorder="1" applyAlignment="1">
      <alignment horizontal="center" vertical="center" wrapText="1"/>
    </xf>
    <xf numFmtId="173" fontId="6" fillId="0" borderId="16" xfId="9" applyNumberFormat="1" applyFont="1" applyBorder="1" applyAlignment="1">
      <alignment horizontal="center" vertical="center" wrapText="1"/>
    </xf>
    <xf numFmtId="0" fontId="6" fillId="0" borderId="39" xfId="9" quotePrefix="1" applyFont="1" applyBorder="1" applyAlignment="1">
      <alignment horizontal="center" vertical="center" wrapText="1"/>
    </xf>
    <xf numFmtId="0" fontId="6" fillId="0" borderId="33" xfId="9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4" fillId="0" borderId="39" xfId="9" applyFont="1" applyBorder="1" applyAlignment="1">
      <alignment horizontal="center" vertical="center" wrapText="1"/>
    </xf>
    <xf numFmtId="0" fontId="4" fillId="0" borderId="23" xfId="9" applyFont="1" applyBorder="1" applyAlignment="1">
      <alignment horizontal="center" vertical="center" wrapText="1"/>
    </xf>
    <xf numFmtId="167" fontId="4" fillId="5" borderId="23" xfId="1" applyNumberFormat="1" applyFont="1" applyFill="1" applyBorder="1" applyAlignment="1">
      <alignment horizontal="center" vertical="center"/>
    </xf>
    <xf numFmtId="170" fontId="4" fillId="0" borderId="0" xfId="0" applyNumberFormat="1" applyFont="1" applyAlignment="1">
      <alignment vertical="center"/>
    </xf>
    <xf numFmtId="165" fontId="3" fillId="10" borderId="23" xfId="1" applyNumberFormat="1" applyFont="1" applyFill="1" applyBorder="1" applyAlignment="1">
      <alignment vertical="center"/>
    </xf>
    <xf numFmtId="165" fontId="3" fillId="10" borderId="37" xfId="1" applyNumberFormat="1" applyFont="1" applyFill="1" applyBorder="1" applyAlignment="1">
      <alignment vertical="center"/>
    </xf>
    <xf numFmtId="0" fontId="42" fillId="6" borderId="9" xfId="0" applyFont="1" applyFill="1" applyBorder="1" applyAlignment="1">
      <alignment horizontal="centerContinuous" vertical="center" wrapText="1"/>
    </xf>
    <xf numFmtId="0" fontId="42" fillId="6" borderId="10" xfId="0" applyFont="1" applyFill="1" applyBorder="1" applyAlignment="1">
      <alignment horizontal="centerContinuous" vertical="center" wrapText="1"/>
    </xf>
    <xf numFmtId="0" fontId="43" fillId="6" borderId="10" xfId="0" applyFont="1" applyFill="1" applyBorder="1" applyAlignment="1">
      <alignment horizontal="centerContinuous" vertical="center" wrapText="1"/>
    </xf>
    <xf numFmtId="0" fontId="44" fillId="0" borderId="10" xfId="0" applyFont="1" applyBorder="1" applyAlignment="1">
      <alignment vertical="center"/>
    </xf>
    <xf numFmtId="0" fontId="44" fillId="0" borderId="11" xfId="0" applyFont="1" applyBorder="1" applyAlignment="1">
      <alignment vertical="center"/>
    </xf>
    <xf numFmtId="17" fontId="43" fillId="5" borderId="52" xfId="0" applyNumberFormat="1" applyFont="1" applyFill="1" applyBorder="1" applyAlignment="1">
      <alignment horizontal="centerContinuous" vertical="center"/>
    </xf>
    <xf numFmtId="0" fontId="43" fillId="3" borderId="9" xfId="0" applyFont="1" applyFill="1" applyBorder="1" applyAlignment="1">
      <alignment vertical="center"/>
    </xf>
    <xf numFmtId="17" fontId="43" fillId="3" borderId="10" xfId="0" applyNumberFormat="1" applyFont="1" applyFill="1" applyBorder="1" applyAlignment="1">
      <alignment horizontal="centerContinuous" vertical="center"/>
    </xf>
    <xf numFmtId="167" fontId="43" fillId="5" borderId="52" xfId="0" applyNumberFormat="1" applyFont="1" applyFill="1" applyBorder="1" applyAlignment="1">
      <alignment horizontal="centerContinuous" vertical="center"/>
    </xf>
    <xf numFmtId="0" fontId="43" fillId="6" borderId="9" xfId="0" applyFont="1" applyFill="1" applyBorder="1" applyAlignment="1">
      <alignment horizontal="centerContinuous" vertical="center"/>
    </xf>
    <xf numFmtId="0" fontId="43" fillId="6" borderId="10" xfId="0" applyFont="1" applyFill="1" applyBorder="1" applyAlignment="1">
      <alignment horizontal="centerContinuous" vertical="center"/>
    </xf>
    <xf numFmtId="0" fontId="43" fillId="6" borderId="11" xfId="0" applyFont="1" applyFill="1" applyBorder="1" applyAlignment="1">
      <alignment horizontal="centerContinuous"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 wrapText="1"/>
    </xf>
    <xf numFmtId="0" fontId="45" fillId="3" borderId="19" xfId="0" applyFont="1" applyFill="1" applyBorder="1" applyAlignment="1">
      <alignment vertical="center" wrapText="1"/>
    </xf>
    <xf numFmtId="0" fontId="45" fillId="0" borderId="0" xfId="0" applyFont="1" applyAlignment="1">
      <alignment vertical="center"/>
    </xf>
    <xf numFmtId="0" fontId="45" fillId="3" borderId="18" xfId="0" applyFont="1" applyFill="1" applyBorder="1" applyAlignment="1">
      <alignment horizontal="centerContinuous" vertical="center" wrapText="1"/>
    </xf>
    <xf numFmtId="0" fontId="45" fillId="3" borderId="50" xfId="0" applyFont="1" applyFill="1" applyBorder="1" applyAlignment="1">
      <alignment horizontal="left" vertical="center" wrapText="1"/>
    </xf>
    <xf numFmtId="43" fontId="45" fillId="5" borderId="57" xfId="1" applyFont="1" applyFill="1" applyBorder="1" applyAlignment="1">
      <alignment horizontal="center" vertical="center" wrapText="1"/>
    </xf>
    <xf numFmtId="0" fontId="45" fillId="3" borderId="15" xfId="0" applyFont="1" applyFill="1" applyBorder="1" applyAlignment="1">
      <alignment horizontal="left" vertical="center" wrapText="1"/>
    </xf>
    <xf numFmtId="43" fontId="45" fillId="5" borderId="56" xfId="1" applyFont="1" applyFill="1" applyBorder="1" applyAlignment="1">
      <alignment horizontal="center" vertical="center" wrapText="1"/>
    </xf>
    <xf numFmtId="2" fontId="45" fillId="3" borderId="48" xfId="0" applyNumberFormat="1" applyFont="1" applyFill="1" applyBorder="1" applyAlignment="1">
      <alignment horizontal="center" vertical="center" textRotation="90" wrapText="1"/>
    </xf>
    <xf numFmtId="0" fontId="45" fillId="3" borderId="35" xfId="0" applyFont="1" applyFill="1" applyBorder="1" applyAlignment="1">
      <alignment horizontal="center" vertical="center" textRotation="90" wrapText="1"/>
    </xf>
    <xf numFmtId="175" fontId="4" fillId="0" borderId="43" xfId="9" applyNumberFormat="1" applyFont="1" applyBorder="1" applyAlignment="1">
      <alignment horizontal="center" vertical="center"/>
    </xf>
    <xf numFmtId="0" fontId="4" fillId="0" borderId="0" xfId="6" applyFont="1" applyAlignment="1">
      <alignment vertical="center"/>
    </xf>
    <xf numFmtId="165" fontId="4" fillId="0" borderId="0" xfId="6" applyNumberFormat="1" applyFont="1" applyAlignment="1">
      <alignment vertical="center"/>
    </xf>
    <xf numFmtId="43" fontId="17" fillId="0" borderId="0" xfId="1" applyFont="1" applyAlignment="1">
      <alignment horizontal="center" vertical="center" wrapText="1"/>
    </xf>
    <xf numFmtId="43" fontId="6" fillId="0" borderId="0" xfId="1" applyFont="1" applyAlignment="1">
      <alignment horizontal="center" vertical="center" wrapText="1"/>
    </xf>
    <xf numFmtId="0" fontId="6" fillId="6" borderId="28" xfId="6" quotePrefix="1" applyFont="1" applyFill="1" applyBorder="1" applyAlignment="1">
      <alignment horizontal="left" vertical="center"/>
    </xf>
    <xf numFmtId="165" fontId="4" fillId="6" borderId="28" xfId="6" applyNumberFormat="1" applyFont="1" applyFill="1" applyBorder="1" applyAlignment="1">
      <alignment vertical="center"/>
    </xf>
    <xf numFmtId="165" fontId="6" fillId="6" borderId="44" xfId="6" applyNumberFormat="1" applyFont="1" applyFill="1" applyBorder="1" applyAlignment="1">
      <alignment horizontal="right" vertical="center"/>
    </xf>
    <xf numFmtId="173" fontId="6" fillId="6" borderId="31" xfId="6" applyNumberFormat="1" applyFont="1" applyFill="1" applyBorder="1" applyAlignment="1">
      <alignment horizontal="right" vertical="center"/>
    </xf>
    <xf numFmtId="43" fontId="6" fillId="0" borderId="0" xfId="1" applyFont="1" applyAlignment="1">
      <alignment horizontal="right" vertical="center"/>
    </xf>
    <xf numFmtId="0" fontId="6" fillId="6" borderId="43" xfId="6" applyFont="1" applyFill="1" applyBorder="1" applyAlignment="1">
      <alignment horizontal="left" vertical="center"/>
    </xf>
    <xf numFmtId="0" fontId="6" fillId="6" borderId="40" xfId="6" applyFont="1" applyFill="1" applyBorder="1" applyAlignment="1">
      <alignment horizontal="left" vertical="center"/>
    </xf>
    <xf numFmtId="0" fontId="6" fillId="6" borderId="40" xfId="6" quotePrefix="1" applyFont="1" applyFill="1" applyBorder="1" applyAlignment="1">
      <alignment horizontal="left" vertical="center"/>
    </xf>
    <xf numFmtId="165" fontId="4" fillId="6" borderId="40" xfId="6" applyNumberFormat="1" applyFont="1" applyFill="1" applyBorder="1" applyAlignment="1">
      <alignment vertical="center"/>
    </xf>
    <xf numFmtId="165" fontId="6" fillId="6" borderId="30" xfId="6" applyNumberFormat="1" applyFont="1" applyFill="1" applyBorder="1" applyAlignment="1">
      <alignment horizontal="right" vertical="center"/>
    </xf>
    <xf numFmtId="173" fontId="6" fillId="6" borderId="33" xfId="6" applyNumberFormat="1" applyFont="1" applyFill="1" applyBorder="1" applyAlignment="1">
      <alignment horizontal="right" vertical="center"/>
    </xf>
    <xf numFmtId="0" fontId="6" fillId="6" borderId="16" xfId="6" applyFont="1" applyFill="1" applyBorder="1" applyAlignment="1">
      <alignment horizontal="left" vertical="center"/>
    </xf>
    <xf numFmtId="0" fontId="6" fillId="6" borderId="30" xfId="6" applyFont="1" applyFill="1" applyBorder="1" applyAlignment="1">
      <alignment horizontal="left" vertical="center"/>
    </xf>
    <xf numFmtId="0" fontId="6" fillId="6" borderId="30" xfId="6" applyFont="1" applyFill="1" applyBorder="1" applyAlignment="1">
      <alignment vertical="center"/>
    </xf>
    <xf numFmtId="165" fontId="6" fillId="6" borderId="30" xfId="6" applyNumberFormat="1" applyFont="1" applyFill="1" applyBorder="1" applyAlignment="1">
      <alignment vertical="center"/>
    </xf>
    <xf numFmtId="165" fontId="6" fillId="6" borderId="33" xfId="6" applyNumberFormat="1" applyFont="1" applyFill="1" applyBorder="1" applyAlignment="1">
      <alignment vertical="center"/>
    </xf>
    <xf numFmtId="43" fontId="6" fillId="0" borderId="0" xfId="1" applyFont="1" applyAlignment="1">
      <alignment vertical="center"/>
    </xf>
    <xf numFmtId="165" fontId="4" fillId="6" borderId="33" xfId="6" applyNumberFormat="1" applyFont="1" applyFill="1" applyBorder="1" applyAlignment="1">
      <alignment vertical="center"/>
    </xf>
    <xf numFmtId="43" fontId="6" fillId="0" borderId="0" xfId="1" applyFont="1" applyAlignment="1">
      <alignment horizontal="left" vertical="center" wrapText="1"/>
    </xf>
    <xf numFmtId="165" fontId="6" fillId="6" borderId="30" xfId="7" applyNumberFormat="1" applyFont="1" applyFill="1" applyBorder="1" applyAlignment="1">
      <alignment horizontal="left" vertical="center"/>
    </xf>
    <xf numFmtId="165" fontId="6" fillId="6" borderId="59" xfId="6" applyNumberFormat="1" applyFont="1" applyFill="1" applyBorder="1" applyAlignment="1">
      <alignment horizontal="right" vertical="center"/>
    </xf>
    <xf numFmtId="165" fontId="6" fillId="6" borderId="33" xfId="1" quotePrefix="1" applyNumberFormat="1" applyFont="1" applyFill="1" applyBorder="1" applyAlignment="1">
      <alignment vertical="center"/>
    </xf>
    <xf numFmtId="0" fontId="6" fillId="6" borderId="30" xfId="7" applyFont="1" applyFill="1" applyBorder="1" applyAlignment="1">
      <alignment horizontal="left" vertical="center"/>
    </xf>
    <xf numFmtId="165" fontId="4" fillId="6" borderId="30" xfId="6" applyNumberFormat="1" applyFont="1" applyFill="1" applyBorder="1" applyAlignment="1">
      <alignment vertical="center"/>
    </xf>
    <xf numFmtId="10" fontId="6" fillId="6" borderId="33" xfId="2" applyNumberFormat="1" applyFont="1" applyFill="1" applyBorder="1" applyAlignment="1">
      <alignment horizontal="right" vertical="center"/>
    </xf>
    <xf numFmtId="165" fontId="6" fillId="3" borderId="13" xfId="6" applyNumberFormat="1" applyFont="1" applyFill="1" applyBorder="1" applyAlignment="1">
      <alignment horizontal="center" vertical="center" wrapText="1"/>
    </xf>
    <xf numFmtId="4" fontId="6" fillId="2" borderId="19" xfId="7" applyNumberFormat="1" applyFont="1" applyFill="1" applyBorder="1" applyAlignment="1">
      <alignment horizontal="center" vertical="center"/>
    </xf>
    <xf numFmtId="4" fontId="6" fillId="2" borderId="10" xfId="7" applyNumberFormat="1" applyFont="1" applyFill="1" applyBorder="1" applyAlignment="1">
      <alignment vertical="center"/>
    </xf>
    <xf numFmtId="165" fontId="6" fillId="2" borderId="10" xfId="6" applyNumberFormat="1" applyFont="1" applyFill="1" applyBorder="1" applyAlignment="1">
      <alignment horizontal="center" vertical="center" wrapText="1"/>
    </xf>
    <xf numFmtId="165" fontId="6" fillId="2" borderId="11" xfId="6" applyNumberFormat="1" applyFont="1" applyFill="1" applyBorder="1" applyAlignment="1">
      <alignment horizontal="center" vertical="center" wrapText="1"/>
    </xf>
    <xf numFmtId="2" fontId="4" fillId="0" borderId="0" xfId="6" applyNumberFormat="1" applyFont="1" applyAlignment="1">
      <alignment vertical="center"/>
    </xf>
    <xf numFmtId="3" fontId="4" fillId="0" borderId="24" xfId="7" applyNumberFormat="1" applyFont="1" applyBorder="1" applyAlignment="1">
      <alignment horizontal="center" vertical="center"/>
    </xf>
    <xf numFmtId="4" fontId="4" fillId="0" borderId="24" xfId="7" applyNumberFormat="1" applyFont="1" applyBorder="1" applyAlignment="1">
      <alignment horizontal="center" vertical="center"/>
    </xf>
    <xf numFmtId="170" fontId="4" fillId="0" borderId="23" xfId="1" applyNumberFormat="1" applyFont="1" applyFill="1" applyBorder="1" applyAlignment="1">
      <alignment horizontal="left" vertical="center" wrapText="1" indent="1"/>
    </xf>
    <xf numFmtId="3" fontId="4" fillId="0" borderId="0" xfId="6" applyNumberFormat="1" applyFont="1" applyAlignment="1">
      <alignment vertical="center"/>
    </xf>
    <xf numFmtId="3" fontId="4" fillId="0" borderId="23" xfId="7" applyNumberFormat="1" applyFont="1" applyBorder="1" applyAlignment="1">
      <alignment horizontal="center" vertical="center"/>
    </xf>
    <xf numFmtId="4" fontId="4" fillId="0" borderId="23" xfId="7" applyNumberFormat="1" applyFont="1" applyBorder="1" applyAlignment="1">
      <alignment horizontal="center" vertical="center"/>
    </xf>
    <xf numFmtId="10" fontId="6" fillId="0" borderId="0" xfId="2" applyNumberFormat="1" applyFont="1" applyAlignment="1">
      <alignment horizontal="left" vertical="center" wrapText="1"/>
    </xf>
    <xf numFmtId="4" fontId="4" fillId="4" borderId="13" xfId="6" applyNumberFormat="1" applyFont="1" applyFill="1" applyBorder="1" applyAlignment="1">
      <alignment vertical="center"/>
    </xf>
    <xf numFmtId="4" fontId="6" fillId="4" borderId="11" xfId="6" applyNumberFormat="1" applyFont="1" applyFill="1" applyBorder="1" applyAlignment="1">
      <alignment horizontal="center" vertical="center"/>
    </xf>
    <xf numFmtId="170" fontId="6" fillId="4" borderId="13" xfId="1" applyNumberFormat="1" applyFont="1" applyFill="1" applyBorder="1" applyAlignment="1">
      <alignment horizontal="left" vertical="center" wrapText="1" indent="1"/>
    </xf>
    <xf numFmtId="43" fontId="4" fillId="0" borderId="0" xfId="6" applyNumberFormat="1" applyFont="1" applyAlignment="1">
      <alignment vertical="center"/>
    </xf>
    <xf numFmtId="4" fontId="4" fillId="0" borderId="0" xfId="6" applyNumberFormat="1" applyFont="1" applyAlignment="1">
      <alignment vertical="center"/>
    </xf>
    <xf numFmtId="170" fontId="6" fillId="2" borderId="10" xfId="6" applyNumberFormat="1" applyFont="1" applyFill="1" applyBorder="1" applyAlignment="1">
      <alignment horizontal="left" vertical="center" wrapText="1" indent="1"/>
    </xf>
    <xf numFmtId="170" fontId="6" fillId="2" borderId="11" xfId="6" applyNumberFormat="1" applyFont="1" applyFill="1" applyBorder="1" applyAlignment="1">
      <alignment horizontal="left" vertical="center" wrapText="1" indent="1"/>
    </xf>
    <xf numFmtId="4" fontId="4" fillId="0" borderId="33" xfId="6" applyNumberFormat="1" applyFont="1" applyBorder="1" applyAlignment="1">
      <alignment horizontal="center" vertical="center"/>
    </xf>
    <xf numFmtId="4" fontId="4" fillId="4" borderId="13" xfId="7" applyNumberFormat="1" applyFont="1" applyFill="1" applyBorder="1" applyAlignment="1">
      <alignment horizontal="center" vertical="center"/>
    </xf>
    <xf numFmtId="3" fontId="4" fillId="0" borderId="9" xfId="6" applyNumberFormat="1" applyFont="1" applyBorder="1" applyAlignment="1">
      <alignment vertical="center"/>
    </xf>
    <xf numFmtId="4" fontId="6" fillId="0" borderId="10" xfId="6" applyNumberFormat="1" applyFont="1" applyBorder="1" applyAlignment="1">
      <alignment horizontal="right" vertical="center"/>
    </xf>
    <xf numFmtId="4" fontId="6" fillId="0" borderId="10" xfId="6" applyNumberFormat="1" applyFont="1" applyBorder="1" applyAlignment="1">
      <alignment horizontal="center" vertical="center"/>
    </xf>
    <xf numFmtId="170" fontId="6" fillId="0" borderId="10" xfId="1" applyNumberFormat="1" applyFont="1" applyFill="1" applyBorder="1" applyAlignment="1">
      <alignment horizontal="left" vertical="center" indent="1"/>
    </xf>
    <xf numFmtId="170" fontId="6" fillId="0" borderId="11" xfId="1" applyNumberFormat="1" applyFont="1" applyFill="1" applyBorder="1" applyAlignment="1">
      <alignment horizontal="left" vertical="center" indent="1"/>
    </xf>
    <xf numFmtId="43" fontId="6" fillId="0" borderId="0" xfId="1" applyFont="1" applyFill="1" applyAlignment="1">
      <alignment horizontal="left" vertical="center" wrapText="1"/>
    </xf>
    <xf numFmtId="3" fontId="4" fillId="4" borderId="13" xfId="6" applyNumberFormat="1" applyFont="1" applyFill="1" applyBorder="1" applyAlignment="1">
      <alignment vertical="center"/>
    </xf>
    <xf numFmtId="3" fontId="4" fillId="0" borderId="22" xfId="7" applyNumberFormat="1" applyFont="1" applyBorder="1" applyAlignment="1">
      <alignment horizontal="center" vertical="center"/>
    </xf>
    <xf numFmtId="3" fontId="6" fillId="4" borderId="13" xfId="6" applyNumberFormat="1" applyFont="1" applyFill="1" applyBorder="1" applyAlignment="1">
      <alignment horizontal="center" vertical="center"/>
    </xf>
    <xf numFmtId="4" fontId="4" fillId="0" borderId="47" xfId="6" applyNumberFormat="1" applyFont="1" applyBorder="1" applyAlignment="1">
      <alignment horizontal="center" vertical="center"/>
    </xf>
    <xf numFmtId="3" fontId="4" fillId="0" borderId="17" xfId="6" applyNumberFormat="1" applyFont="1" applyBorder="1" applyAlignment="1">
      <alignment horizontal="center" vertical="center"/>
    </xf>
    <xf numFmtId="4" fontId="4" fillId="0" borderId="20" xfId="7" applyNumberFormat="1" applyFont="1" applyBorder="1" applyAlignment="1">
      <alignment horizontal="center" vertical="center"/>
    </xf>
    <xf numFmtId="170" fontId="4" fillId="0" borderId="20" xfId="1" applyNumberFormat="1" applyFont="1" applyFill="1" applyBorder="1" applyAlignment="1">
      <alignment horizontal="left" vertical="center" indent="1"/>
    </xf>
    <xf numFmtId="170" fontId="4" fillId="4" borderId="21" xfId="1" applyNumberFormat="1" applyFont="1" applyFill="1" applyBorder="1" applyAlignment="1">
      <alignment horizontal="left" vertical="center" wrapText="1" indent="1"/>
    </xf>
    <xf numFmtId="170" fontId="4" fillId="0" borderId="23" xfId="1" applyNumberFormat="1" applyFont="1" applyBorder="1" applyAlignment="1">
      <alignment horizontal="left" vertical="center" indent="1"/>
    </xf>
    <xf numFmtId="170" fontId="4" fillId="4" borderId="23" xfId="1" applyNumberFormat="1" applyFont="1" applyFill="1" applyBorder="1" applyAlignment="1">
      <alignment horizontal="left" vertical="center" wrapText="1" indent="1"/>
    </xf>
    <xf numFmtId="165" fontId="4" fillId="0" borderId="23" xfId="1" applyNumberFormat="1" applyFont="1" applyBorder="1" applyAlignment="1">
      <alignment horizontal="left" vertical="center" indent="1"/>
    </xf>
    <xf numFmtId="3" fontId="4" fillId="0" borderId="23" xfId="6" applyNumberFormat="1" applyFont="1" applyBorder="1" applyAlignment="1">
      <alignment horizontal="center" vertical="center"/>
    </xf>
    <xf numFmtId="4" fontId="4" fillId="0" borderId="33" xfId="7" applyNumberFormat="1" applyFont="1" applyBorder="1" applyAlignment="1">
      <alignment horizontal="center" vertical="center"/>
    </xf>
    <xf numFmtId="165" fontId="4" fillId="0" borderId="23" xfId="1" applyNumberFormat="1" applyFont="1" applyFill="1" applyBorder="1" applyAlignment="1">
      <alignment horizontal="left" vertical="center" indent="1"/>
    </xf>
    <xf numFmtId="170" fontId="4" fillId="4" borderId="22" xfId="1" applyNumberFormat="1" applyFont="1" applyFill="1" applyBorder="1" applyAlignment="1">
      <alignment horizontal="left" vertical="center" wrapText="1" indent="1"/>
    </xf>
    <xf numFmtId="4" fontId="6" fillId="5" borderId="9" xfId="6" applyNumberFormat="1" applyFont="1" applyFill="1" applyBorder="1" applyAlignment="1">
      <alignment vertical="center"/>
    </xf>
    <xf numFmtId="4" fontId="4" fillId="5" borderId="9" xfId="6" applyNumberFormat="1" applyFont="1" applyFill="1" applyBorder="1" applyAlignment="1">
      <alignment vertical="center"/>
    </xf>
    <xf numFmtId="4" fontId="6" fillId="5" borderId="11" xfId="6" applyNumberFormat="1" applyFont="1" applyFill="1" applyBorder="1" applyAlignment="1">
      <alignment horizontal="right" vertical="center"/>
    </xf>
    <xf numFmtId="4" fontId="6" fillId="5" borderId="11" xfId="6" applyNumberFormat="1" applyFont="1" applyFill="1" applyBorder="1" applyAlignment="1">
      <alignment horizontal="center" vertical="center"/>
    </xf>
    <xf numFmtId="165" fontId="6" fillId="5" borderId="13" xfId="1" applyNumberFormat="1" applyFont="1" applyFill="1" applyBorder="1" applyAlignment="1">
      <alignment vertical="center"/>
    </xf>
    <xf numFmtId="170" fontId="4" fillId="0" borderId="0" xfId="6" applyNumberFormat="1" applyFont="1" applyAlignment="1">
      <alignment vertical="center"/>
    </xf>
    <xf numFmtId="0" fontId="6" fillId="0" borderId="0" xfId="6" applyFont="1" applyAlignment="1">
      <alignment vertical="center"/>
    </xf>
    <xf numFmtId="0" fontId="6" fillId="0" borderId="0" xfId="6" applyFont="1" applyAlignment="1">
      <alignment horizontal="center" vertical="center"/>
    </xf>
    <xf numFmtId="165" fontId="6" fillId="0" borderId="0" xfId="6" applyNumberFormat="1" applyFont="1" applyAlignment="1">
      <alignment vertical="center"/>
    </xf>
    <xf numFmtId="165" fontId="6" fillId="0" borderId="0" xfId="6" applyNumberFormat="1" applyFont="1" applyAlignment="1">
      <alignment horizontal="right" vertical="center"/>
    </xf>
    <xf numFmtId="177" fontId="0" fillId="0" borderId="0" xfId="0" applyNumberFormat="1" applyAlignment="1">
      <alignment vertical="center"/>
    </xf>
    <xf numFmtId="0" fontId="4" fillId="5" borderId="39" xfId="9" quotePrefix="1" applyFont="1" applyFill="1" applyBorder="1" applyAlignment="1">
      <alignment horizontal="center" vertical="center"/>
    </xf>
    <xf numFmtId="165" fontId="3" fillId="0" borderId="37" xfId="1" applyNumberFormat="1" applyFont="1" applyBorder="1" applyAlignment="1">
      <alignment horizontal="center" vertical="center"/>
    </xf>
    <xf numFmtId="175" fontId="14" fillId="0" borderId="23" xfId="0" applyNumberFormat="1" applyFont="1" applyBorder="1" applyAlignment="1">
      <alignment horizontal="center" vertical="center" wrapText="1"/>
    </xf>
    <xf numFmtId="165" fontId="14" fillId="0" borderId="37" xfId="1" applyNumberFormat="1" applyFont="1" applyBorder="1" applyAlignment="1">
      <alignment vertical="center"/>
    </xf>
    <xf numFmtId="170" fontId="0" fillId="0" borderId="13" xfId="0" applyNumberFormat="1" applyBorder="1" applyAlignment="1">
      <alignment vertical="center"/>
    </xf>
    <xf numFmtId="170" fontId="10" fillId="0" borderId="13" xfId="0" applyNumberFormat="1" applyFont="1" applyBorder="1" applyAlignment="1">
      <alignment vertical="center"/>
    </xf>
    <xf numFmtId="43" fontId="3" fillId="0" borderId="0" xfId="0" applyNumberFormat="1" applyFont="1" applyAlignment="1">
      <alignment vertical="center"/>
    </xf>
    <xf numFmtId="0" fontId="46" fillId="0" borderId="13" xfId="0" applyFont="1" applyBorder="1" applyAlignment="1">
      <alignment horizontal="center" vertical="center"/>
    </xf>
    <xf numFmtId="0" fontId="46" fillId="0" borderId="20" xfId="0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0" borderId="13" xfId="0" applyFont="1" applyBorder="1" applyAlignment="1">
      <alignment horizontal="center" vertical="center" wrapText="1"/>
    </xf>
    <xf numFmtId="0" fontId="46" fillId="0" borderId="20" xfId="0" applyFont="1" applyBorder="1" applyAlignment="1">
      <alignment horizontal="center" vertical="center" wrapText="1"/>
    </xf>
    <xf numFmtId="0" fontId="46" fillId="0" borderId="24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67" fontId="46" fillId="0" borderId="13" xfId="0" applyNumberFormat="1" applyFont="1" applyBorder="1" applyAlignment="1">
      <alignment vertical="center"/>
    </xf>
    <xf numFmtId="168" fontId="46" fillId="3" borderId="13" xfId="0" applyNumberFormat="1" applyFont="1" applyFill="1" applyBorder="1" applyAlignment="1">
      <alignment vertical="center"/>
    </xf>
    <xf numFmtId="168" fontId="46" fillId="0" borderId="13" xfId="0" applyNumberFormat="1" applyFont="1" applyBorder="1" applyAlignment="1">
      <alignment vertical="center"/>
    </xf>
    <xf numFmtId="0" fontId="32" fillId="0" borderId="24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32" fillId="0" borderId="13" xfId="0" applyFont="1" applyBorder="1" applyAlignment="1">
      <alignment vertical="center"/>
    </xf>
    <xf numFmtId="169" fontId="46" fillId="0" borderId="13" xfId="0" applyNumberFormat="1" applyFont="1" applyBorder="1" applyAlignment="1">
      <alignment horizontal="center" vertical="center"/>
    </xf>
    <xf numFmtId="167" fontId="32" fillId="0" borderId="13" xfId="1" applyNumberFormat="1" applyFont="1" applyBorder="1" applyAlignment="1">
      <alignment vertical="center"/>
    </xf>
    <xf numFmtId="167" fontId="32" fillId="0" borderId="13" xfId="0" applyNumberFormat="1" applyFont="1" applyBorder="1" applyAlignment="1">
      <alignment vertical="center"/>
    </xf>
    <xf numFmtId="0" fontId="32" fillId="0" borderId="25" xfId="0" applyFont="1" applyBorder="1" applyAlignment="1">
      <alignment vertical="center"/>
    </xf>
    <xf numFmtId="174" fontId="14" fillId="0" borderId="13" xfId="0" applyNumberFormat="1" applyFont="1" applyBorder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165" fontId="44" fillId="0" borderId="0" xfId="1" applyNumberFormat="1" applyFont="1" applyAlignment="1">
      <alignment vertical="center"/>
    </xf>
    <xf numFmtId="165" fontId="45" fillId="0" borderId="0" xfId="1" applyNumberFormat="1" applyFont="1" applyAlignment="1">
      <alignment vertical="center" wrapText="1"/>
    </xf>
    <xf numFmtId="165" fontId="45" fillId="0" borderId="0" xfId="1" applyNumberFormat="1" applyFont="1" applyAlignment="1">
      <alignment vertical="center"/>
    </xf>
    <xf numFmtId="0" fontId="47" fillId="0" borderId="0" xfId="0" applyFont="1" applyAlignment="1">
      <alignment horizontal="centerContinuous" vertical="center"/>
    </xf>
    <xf numFmtId="0" fontId="43" fillId="3" borderId="13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2" borderId="17" xfId="0" applyFont="1" applyFill="1" applyBorder="1" applyAlignment="1">
      <alignment horizontal="center" vertical="center" wrapText="1"/>
    </xf>
    <xf numFmtId="0" fontId="43" fillId="2" borderId="10" xfId="0" applyFont="1" applyFill="1" applyBorder="1" applyAlignment="1">
      <alignment horizontal="center" vertical="center" wrapText="1"/>
    </xf>
    <xf numFmtId="165" fontId="43" fillId="2" borderId="10" xfId="1" applyNumberFormat="1" applyFont="1" applyFill="1" applyBorder="1" applyAlignment="1">
      <alignment horizontal="center" vertical="center" wrapText="1"/>
    </xf>
    <xf numFmtId="0" fontId="43" fillId="2" borderId="11" xfId="0" applyFont="1" applyFill="1" applyBorder="1" applyAlignment="1">
      <alignment horizontal="center" vertical="center" wrapText="1"/>
    </xf>
    <xf numFmtId="0" fontId="44" fillId="0" borderId="20" xfId="0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 wrapText="1"/>
    </xf>
    <xf numFmtId="0" fontId="44" fillId="0" borderId="20" xfId="0" applyFont="1" applyBorder="1" applyAlignment="1">
      <alignment vertical="center" wrapText="1"/>
    </xf>
    <xf numFmtId="165" fontId="44" fillId="0" borderId="20" xfId="1" applyNumberFormat="1" applyFont="1" applyFill="1" applyBorder="1" applyAlignment="1">
      <alignment vertical="center"/>
    </xf>
    <xf numFmtId="165" fontId="44" fillId="0" borderId="20" xfId="0" applyNumberFormat="1" applyFont="1" applyBorder="1" applyAlignment="1">
      <alignment vertical="center"/>
    </xf>
    <xf numFmtId="9" fontId="44" fillId="0" borderId="20" xfId="0" applyNumberFormat="1" applyFont="1" applyBorder="1" applyAlignment="1">
      <alignment horizontal="center" vertical="center"/>
    </xf>
    <xf numFmtId="165" fontId="44" fillId="0" borderId="20" xfId="1" applyNumberFormat="1" applyFont="1" applyBorder="1" applyAlignment="1">
      <alignment horizontal="center" vertical="center"/>
    </xf>
    <xf numFmtId="165" fontId="44" fillId="0" borderId="20" xfId="1" applyNumberFormat="1" applyFont="1" applyFill="1" applyBorder="1" applyAlignment="1">
      <alignment horizontal="center" vertical="center"/>
    </xf>
    <xf numFmtId="0" fontId="44" fillId="0" borderId="13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 wrapText="1"/>
    </xf>
    <xf numFmtId="0" fontId="44" fillId="0" borderId="13" xfId="0" applyFont="1" applyBorder="1" applyAlignment="1">
      <alignment vertical="center" wrapText="1"/>
    </xf>
    <xf numFmtId="165" fontId="44" fillId="0" borderId="13" xfId="1" applyNumberFormat="1" applyFont="1" applyFill="1" applyBorder="1" applyAlignment="1">
      <alignment vertical="center"/>
    </xf>
    <xf numFmtId="165" fontId="44" fillId="0" borderId="13" xfId="0" applyNumberFormat="1" applyFont="1" applyBorder="1" applyAlignment="1">
      <alignment vertical="center"/>
    </xf>
    <xf numFmtId="9" fontId="44" fillId="0" borderId="13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horizontal="center" vertical="center"/>
    </xf>
    <xf numFmtId="0" fontId="44" fillId="0" borderId="22" xfId="0" applyFont="1" applyBorder="1" applyAlignment="1">
      <alignment horizontal="center" vertical="center" wrapText="1"/>
    </xf>
    <xf numFmtId="0" fontId="44" fillId="0" borderId="22" xfId="0" applyFont="1" applyBorder="1" applyAlignment="1">
      <alignment vertical="center" wrapText="1"/>
    </xf>
    <xf numFmtId="165" fontId="44" fillId="0" borderId="22" xfId="1" applyNumberFormat="1" applyFont="1" applyFill="1" applyBorder="1" applyAlignment="1">
      <alignment vertical="center"/>
    </xf>
    <xf numFmtId="165" fontId="44" fillId="0" borderId="22" xfId="0" applyNumberFormat="1" applyFont="1" applyBorder="1" applyAlignment="1">
      <alignment vertical="center"/>
    </xf>
    <xf numFmtId="9" fontId="44" fillId="0" borderId="22" xfId="0" applyNumberFormat="1" applyFont="1" applyBorder="1" applyAlignment="1">
      <alignment horizontal="center" vertical="center"/>
    </xf>
    <xf numFmtId="165" fontId="44" fillId="0" borderId="22" xfId="1" applyNumberFormat="1" applyFont="1" applyBorder="1" applyAlignment="1">
      <alignment horizontal="center" vertical="center"/>
    </xf>
    <xf numFmtId="165" fontId="44" fillId="0" borderId="22" xfId="1" applyNumberFormat="1" applyFont="1" applyFill="1" applyBorder="1" applyAlignment="1">
      <alignment horizontal="center" vertical="center"/>
    </xf>
    <xf numFmtId="165" fontId="44" fillId="0" borderId="13" xfId="1" applyNumberFormat="1" applyFont="1" applyFill="1" applyBorder="1" applyAlignment="1">
      <alignment horizontal="center" vertical="center"/>
    </xf>
    <xf numFmtId="0" fontId="44" fillId="0" borderId="25" xfId="0" applyFont="1" applyBorder="1" applyAlignment="1">
      <alignment horizontal="center" vertical="center"/>
    </xf>
    <xf numFmtId="0" fontId="44" fillId="0" borderId="25" xfId="0" applyFont="1" applyBorder="1" applyAlignment="1">
      <alignment horizontal="left" vertical="center" wrapText="1"/>
    </xf>
    <xf numFmtId="165" fontId="44" fillId="0" borderId="25" xfId="1" applyNumberFormat="1" applyFont="1" applyFill="1" applyBorder="1" applyAlignment="1">
      <alignment horizontal="center" vertical="center"/>
    </xf>
    <xf numFmtId="9" fontId="44" fillId="0" borderId="25" xfId="0" applyNumberFormat="1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168" fontId="44" fillId="0" borderId="20" xfId="0" applyNumberFormat="1" applyFont="1" applyBorder="1" applyAlignment="1">
      <alignment horizontal="center" vertical="center"/>
    </xf>
    <xf numFmtId="165" fontId="44" fillId="0" borderId="21" xfId="0" applyNumberFormat="1" applyFont="1" applyBorder="1" applyAlignment="1">
      <alignment vertical="center"/>
    </xf>
    <xf numFmtId="165" fontId="44" fillId="0" borderId="37" xfId="1" applyNumberFormat="1" applyFont="1" applyFill="1" applyBorder="1" applyAlignment="1">
      <alignment horizontal="center" vertical="center"/>
    </xf>
    <xf numFmtId="165" fontId="44" fillId="0" borderId="37" xfId="1" applyNumberFormat="1" applyFont="1" applyBorder="1" applyAlignment="1">
      <alignment horizontal="center" vertical="center"/>
    </xf>
    <xf numFmtId="166" fontId="44" fillId="0" borderId="20" xfId="0" applyNumberFormat="1" applyFont="1" applyBorder="1" applyAlignment="1">
      <alignment horizontal="center" vertical="center"/>
    </xf>
    <xf numFmtId="0" fontId="44" fillId="0" borderId="37" xfId="0" applyFont="1" applyBorder="1" applyAlignment="1">
      <alignment vertical="center" wrapText="1"/>
    </xf>
    <xf numFmtId="0" fontId="44" fillId="0" borderId="23" xfId="0" applyFont="1" applyBorder="1" applyAlignment="1">
      <alignment horizontal="center" vertical="center"/>
    </xf>
    <xf numFmtId="0" fontId="44" fillId="0" borderId="23" xfId="0" applyFont="1" applyBorder="1" applyAlignment="1">
      <alignment horizontal="center" vertical="center" wrapText="1"/>
    </xf>
    <xf numFmtId="0" fontId="44" fillId="0" borderId="23" xfId="0" applyFont="1" applyBorder="1" applyAlignment="1">
      <alignment vertical="center" wrapText="1"/>
    </xf>
    <xf numFmtId="165" fontId="44" fillId="0" borderId="23" xfId="1" applyNumberFormat="1" applyFont="1" applyFill="1" applyBorder="1" applyAlignment="1">
      <alignment vertical="center"/>
    </xf>
    <xf numFmtId="165" fontId="44" fillId="0" borderId="23" xfId="0" applyNumberFormat="1" applyFont="1" applyBorder="1" applyAlignment="1">
      <alignment vertical="center"/>
    </xf>
    <xf numFmtId="9" fontId="44" fillId="0" borderId="23" xfId="0" applyNumberFormat="1" applyFont="1" applyBorder="1" applyAlignment="1">
      <alignment horizontal="center" vertical="center"/>
    </xf>
    <xf numFmtId="43" fontId="44" fillId="0" borderId="23" xfId="1" applyFont="1" applyBorder="1" applyAlignment="1">
      <alignment horizontal="center" vertical="center"/>
    </xf>
    <xf numFmtId="165" fontId="44" fillId="0" borderId="23" xfId="1" applyNumberFormat="1" applyFont="1" applyFill="1" applyBorder="1" applyAlignment="1">
      <alignment horizontal="center" vertical="center"/>
    </xf>
    <xf numFmtId="165" fontId="44" fillId="0" borderId="23" xfId="1" applyNumberFormat="1" applyFont="1" applyBorder="1" applyAlignment="1">
      <alignment horizontal="center" vertical="center"/>
    </xf>
    <xf numFmtId="43" fontId="43" fillId="2" borderId="17" xfId="1" applyFont="1" applyFill="1" applyBorder="1" applyAlignment="1">
      <alignment horizontal="center" vertical="center" wrapText="1"/>
    </xf>
    <xf numFmtId="43" fontId="43" fillId="2" borderId="10" xfId="1" applyFont="1" applyFill="1" applyBorder="1" applyAlignment="1">
      <alignment horizontal="center" vertical="center" wrapText="1"/>
    </xf>
    <xf numFmtId="43" fontId="43" fillId="2" borderId="11" xfId="1" applyFont="1" applyFill="1" applyBorder="1" applyAlignment="1">
      <alignment horizontal="center" vertical="center" wrapText="1"/>
    </xf>
    <xf numFmtId="43" fontId="43" fillId="0" borderId="0" xfId="1" applyFont="1" applyAlignment="1">
      <alignment horizontal="center" vertical="center" wrapText="1"/>
    </xf>
    <xf numFmtId="43" fontId="43" fillId="2" borderId="42" xfId="1" applyFont="1" applyFill="1" applyBorder="1" applyAlignment="1">
      <alignment horizontal="center" vertical="center" wrapText="1"/>
    </xf>
    <xf numFmtId="43" fontId="43" fillId="2" borderId="47" xfId="1" applyFont="1" applyFill="1" applyBorder="1" applyAlignment="1">
      <alignment horizontal="center" vertical="center" wrapText="1"/>
    </xf>
    <xf numFmtId="0" fontId="44" fillId="0" borderId="21" xfId="0" applyFont="1" applyBorder="1" applyAlignment="1">
      <alignment vertical="center" wrapText="1"/>
    </xf>
    <xf numFmtId="43" fontId="44" fillId="0" borderId="21" xfId="1" applyFont="1" applyBorder="1" applyAlignment="1">
      <alignment horizontal="center" vertical="center"/>
    </xf>
    <xf numFmtId="165" fontId="44" fillId="0" borderId="21" xfId="1" applyNumberFormat="1" applyFont="1" applyFill="1" applyBorder="1" applyAlignment="1">
      <alignment horizontal="center" vertical="center"/>
    </xf>
    <xf numFmtId="43" fontId="44" fillId="0" borderId="13" xfId="1" applyFont="1" applyBorder="1" applyAlignment="1">
      <alignment horizontal="center" vertical="center"/>
    </xf>
    <xf numFmtId="0" fontId="43" fillId="4" borderId="17" xfId="0" applyFont="1" applyFill="1" applyBorder="1" applyAlignment="1">
      <alignment horizontal="right" vertical="center"/>
    </xf>
    <xf numFmtId="0" fontId="43" fillId="4" borderId="42" xfId="0" applyFont="1" applyFill="1" applyBorder="1" applyAlignment="1">
      <alignment horizontal="right" vertical="center"/>
    </xf>
    <xf numFmtId="0" fontId="43" fillId="4" borderId="47" xfId="0" applyFont="1" applyFill="1" applyBorder="1" applyAlignment="1">
      <alignment horizontal="right" vertical="center"/>
    </xf>
    <xf numFmtId="0" fontId="43" fillId="4" borderId="20" xfId="0" applyFont="1" applyFill="1" applyBorder="1" applyAlignment="1">
      <alignment vertical="center"/>
    </xf>
    <xf numFmtId="165" fontId="45" fillId="4" borderId="20" xfId="0" applyNumberFormat="1" applyFont="1" applyFill="1" applyBorder="1" applyAlignment="1">
      <alignment vertical="center"/>
    </xf>
    <xf numFmtId="0" fontId="43" fillId="0" borderId="0" xfId="0" applyFont="1" applyAlignment="1">
      <alignment vertical="center"/>
    </xf>
    <xf numFmtId="0" fontId="43" fillId="4" borderId="16" xfId="0" applyFont="1" applyFill="1" applyBorder="1" applyAlignment="1">
      <alignment horizontal="right" vertical="center"/>
    </xf>
    <xf numFmtId="0" fontId="43" fillId="4" borderId="30" xfId="0" applyFont="1" applyFill="1" applyBorder="1" applyAlignment="1">
      <alignment horizontal="right" vertical="center"/>
    </xf>
    <xf numFmtId="0" fontId="43" fillId="4" borderId="33" xfId="0" applyFont="1" applyFill="1" applyBorder="1" applyAlignment="1">
      <alignment horizontal="right" vertical="center"/>
    </xf>
    <xf numFmtId="0" fontId="43" fillId="4" borderId="23" xfId="0" applyFont="1" applyFill="1" applyBorder="1" applyAlignment="1">
      <alignment vertical="center"/>
    </xf>
    <xf numFmtId="165" fontId="45" fillId="4" borderId="23" xfId="0" applyNumberFormat="1" applyFont="1" applyFill="1" applyBorder="1" applyAlignment="1">
      <alignment vertical="center"/>
    </xf>
    <xf numFmtId="0" fontId="43" fillId="4" borderId="19" xfId="0" applyFont="1" applyFill="1" applyBorder="1" applyAlignment="1">
      <alignment horizontal="right" vertical="center"/>
    </xf>
    <xf numFmtId="0" fontId="43" fillId="4" borderId="34" xfId="0" applyFont="1" applyFill="1" applyBorder="1" applyAlignment="1">
      <alignment horizontal="right" vertical="center"/>
    </xf>
    <xf numFmtId="0" fontId="43" fillId="4" borderId="35" xfId="0" applyFont="1" applyFill="1" applyBorder="1" applyAlignment="1">
      <alignment horizontal="right" vertical="center"/>
    </xf>
    <xf numFmtId="0" fontId="43" fillId="4" borderId="25" xfId="0" applyFont="1" applyFill="1" applyBorder="1" applyAlignment="1">
      <alignment vertical="center"/>
    </xf>
    <xf numFmtId="165" fontId="45" fillId="4" borderId="25" xfId="0" applyNumberFormat="1" applyFont="1" applyFill="1" applyBorder="1" applyAlignment="1">
      <alignment vertical="center"/>
    </xf>
    <xf numFmtId="0" fontId="44" fillId="0" borderId="24" xfId="0" applyFont="1" applyBorder="1" applyAlignment="1">
      <alignment horizontal="center" vertical="center"/>
    </xf>
    <xf numFmtId="9" fontId="44" fillId="0" borderId="24" xfId="0" applyNumberFormat="1" applyFont="1" applyBorder="1" applyAlignment="1">
      <alignment horizontal="center" vertical="center"/>
    </xf>
    <xf numFmtId="165" fontId="44" fillId="0" borderId="24" xfId="1" applyNumberFormat="1" applyFont="1" applyFill="1" applyBorder="1" applyAlignment="1">
      <alignment horizontal="center" vertical="center"/>
    </xf>
    <xf numFmtId="0" fontId="44" fillId="0" borderId="24" xfId="0" applyFont="1" applyBorder="1" applyAlignment="1">
      <alignment horizontal="left" vertical="center" wrapText="1"/>
    </xf>
    <xf numFmtId="9" fontId="44" fillId="0" borderId="21" xfId="0" applyNumberFormat="1" applyFont="1" applyBorder="1" applyAlignment="1">
      <alignment horizontal="center" vertical="center"/>
    </xf>
    <xf numFmtId="0" fontId="44" fillId="0" borderId="21" xfId="0" applyFont="1" applyBorder="1" applyAlignment="1">
      <alignment horizontal="left" vertical="center" wrapText="1"/>
    </xf>
    <xf numFmtId="0" fontId="44" fillId="0" borderId="23" xfId="0" applyFont="1" applyBorder="1" applyAlignment="1">
      <alignment horizontal="left" vertical="center" wrapText="1"/>
    </xf>
    <xf numFmtId="43" fontId="45" fillId="3" borderId="12" xfId="1" applyFont="1" applyFill="1" applyBorder="1" applyAlignment="1">
      <alignment horizontal="centerContinuous" vertical="center" wrapText="1"/>
    </xf>
    <xf numFmtId="43" fontId="45" fillId="5" borderId="27" xfId="1" applyFont="1" applyFill="1" applyBorder="1" applyAlignment="1">
      <alignment horizontal="center" vertical="center" wrapText="1"/>
    </xf>
    <xf numFmtId="0" fontId="45" fillId="3" borderId="14" xfId="0" applyFont="1" applyFill="1" applyBorder="1" applyAlignment="1">
      <alignment vertical="center" wrapText="1"/>
    </xf>
    <xf numFmtId="43" fontId="45" fillId="5" borderId="2" xfId="1" applyFont="1" applyFill="1" applyBorder="1" applyAlignment="1">
      <alignment horizontal="center" vertical="center" wrapText="1"/>
    </xf>
    <xf numFmtId="175" fontId="0" fillId="0" borderId="13" xfId="0" applyNumberFormat="1" applyBorder="1" applyAlignment="1">
      <alignment horizontal="center" vertical="center" wrapText="1"/>
    </xf>
    <xf numFmtId="175" fontId="14" fillId="0" borderId="13" xfId="0" applyNumberFormat="1" applyFont="1" applyBorder="1" applyAlignment="1">
      <alignment horizontal="center" vertical="center" wrapText="1"/>
    </xf>
    <xf numFmtId="165" fontId="4" fillId="0" borderId="0" xfId="6" applyNumberFormat="1" applyFont="1" applyAlignment="1">
      <alignment horizontal="left" vertical="center" indent="4"/>
    </xf>
    <xf numFmtId="165" fontId="4" fillId="4" borderId="23" xfId="1" applyNumberFormat="1" applyFont="1" applyFill="1" applyBorder="1" applyAlignment="1">
      <alignment horizontal="left" vertical="center" wrapText="1" indent="1"/>
    </xf>
    <xf numFmtId="0" fontId="4" fillId="0" borderId="21" xfId="9" applyFont="1" applyBorder="1" applyAlignment="1">
      <alignment horizontal="center" vertical="center"/>
    </xf>
    <xf numFmtId="175" fontId="26" fillId="0" borderId="16" xfId="9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5" fontId="24" fillId="0" borderId="0" xfId="1" applyNumberFormat="1" applyFont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4" fillId="0" borderId="10" xfId="0" applyFont="1" applyBorder="1" applyAlignment="1">
      <alignment vertical="center" wrapText="1"/>
    </xf>
    <xf numFmtId="2" fontId="24" fillId="0" borderId="10" xfId="0" applyNumberFormat="1" applyFont="1" applyBorder="1" applyAlignment="1">
      <alignment vertical="center" wrapText="1"/>
    </xf>
    <xf numFmtId="0" fontId="24" fillId="0" borderId="11" xfId="0" applyFont="1" applyBorder="1" applyAlignment="1">
      <alignment vertical="center" wrapText="1"/>
    </xf>
    <xf numFmtId="0" fontId="24" fillId="2" borderId="9" xfId="0" applyFont="1" applyFill="1" applyBorder="1" applyAlignment="1">
      <alignment vertical="center"/>
    </xf>
    <xf numFmtId="0" fontId="24" fillId="2" borderId="10" xfId="0" applyFont="1" applyFill="1" applyBorder="1" applyAlignment="1">
      <alignment vertical="center"/>
    </xf>
    <xf numFmtId="10" fontId="24" fillId="2" borderId="10" xfId="0" applyNumberFormat="1" applyFont="1" applyFill="1" applyBorder="1" applyAlignment="1">
      <alignment vertical="center"/>
    </xf>
    <xf numFmtId="2" fontId="24" fillId="2" borderId="10" xfId="0" applyNumberFormat="1" applyFont="1" applyFill="1" applyBorder="1" applyAlignment="1">
      <alignment vertical="center"/>
    </xf>
    <xf numFmtId="0" fontId="24" fillId="2" borderId="11" xfId="0" applyFont="1" applyFill="1" applyBorder="1" applyAlignment="1">
      <alignment vertical="center"/>
    </xf>
    <xf numFmtId="0" fontId="19" fillId="0" borderId="39" xfId="0" applyFont="1" applyBorder="1" applyAlignment="1">
      <alignment horizontal="center" vertical="center"/>
    </xf>
    <xf numFmtId="169" fontId="19" fillId="0" borderId="39" xfId="0" applyNumberFormat="1" applyFont="1" applyBorder="1" applyAlignment="1">
      <alignment horizontal="center" vertical="center"/>
    </xf>
    <xf numFmtId="170" fontId="19" fillId="0" borderId="39" xfId="1" applyNumberFormat="1" applyFont="1" applyFill="1" applyBorder="1" applyAlignment="1">
      <alignment vertical="center"/>
    </xf>
    <xf numFmtId="43" fontId="19" fillId="0" borderId="62" xfId="1" applyFont="1" applyBorder="1" applyAlignment="1">
      <alignment horizontal="center" vertical="center"/>
    </xf>
    <xf numFmtId="171" fontId="19" fillId="7" borderId="41" xfId="1" applyNumberFormat="1" applyFont="1" applyFill="1" applyBorder="1" applyAlignment="1">
      <alignment horizontal="center" vertical="center"/>
    </xf>
    <xf numFmtId="165" fontId="19" fillId="0" borderId="62" xfId="1" applyNumberFormat="1" applyFont="1" applyBorder="1" applyAlignment="1">
      <alignment horizontal="center" vertical="center"/>
    </xf>
    <xf numFmtId="179" fontId="19" fillId="0" borderId="39" xfId="1" applyNumberFormat="1" applyFont="1" applyFill="1" applyBorder="1" applyAlignment="1">
      <alignment vertical="center"/>
    </xf>
    <xf numFmtId="165" fontId="19" fillId="0" borderId="39" xfId="1" applyNumberFormat="1" applyFont="1" applyFill="1" applyBorder="1" applyAlignment="1">
      <alignment vertical="center"/>
    </xf>
    <xf numFmtId="170" fontId="19" fillId="4" borderId="18" xfId="1" applyNumberFormat="1" applyFont="1" applyFill="1" applyBorder="1" applyAlignment="1">
      <alignment horizontal="right" vertical="center" wrapText="1"/>
    </xf>
    <xf numFmtId="0" fontId="19" fillId="0" borderId="23" xfId="0" applyFont="1" applyBorder="1" applyAlignment="1">
      <alignment horizontal="center" vertical="center"/>
    </xf>
    <xf numFmtId="170" fontId="19" fillId="0" borderId="23" xfId="1" applyNumberFormat="1" applyFont="1" applyFill="1" applyBorder="1" applyAlignment="1">
      <alignment horizontal="center" vertical="center"/>
    </xf>
    <xf numFmtId="43" fontId="19" fillId="0" borderId="58" xfId="1" applyFont="1" applyBorder="1" applyAlignment="1">
      <alignment horizontal="center" vertical="center"/>
    </xf>
    <xf numFmtId="171" fontId="19" fillId="7" borderId="33" xfId="1" applyNumberFormat="1" applyFont="1" applyFill="1" applyBorder="1" applyAlignment="1">
      <alignment horizontal="center" vertical="center"/>
    </xf>
    <xf numFmtId="165" fontId="19" fillId="0" borderId="58" xfId="1" applyNumberFormat="1" applyFont="1" applyBorder="1" applyAlignment="1">
      <alignment horizontal="center" vertical="center"/>
    </xf>
    <xf numFmtId="179" fontId="19" fillId="0" borderId="23" xfId="1" applyNumberFormat="1" applyFont="1" applyFill="1" applyBorder="1" applyAlignment="1">
      <alignment vertical="center"/>
    </xf>
    <xf numFmtId="165" fontId="19" fillId="0" borderId="23" xfId="1" applyNumberFormat="1" applyFont="1" applyFill="1" applyBorder="1" applyAlignment="1">
      <alignment vertical="center"/>
    </xf>
    <xf numFmtId="0" fontId="19" fillId="0" borderId="37" xfId="0" applyFont="1" applyBorder="1" applyAlignment="1">
      <alignment horizontal="center" vertical="center"/>
    </xf>
    <xf numFmtId="171" fontId="19" fillId="7" borderId="38" xfId="1" applyNumberFormat="1" applyFont="1" applyFill="1" applyBorder="1" applyAlignment="1">
      <alignment horizontal="center" vertical="center"/>
    </xf>
    <xf numFmtId="170" fontId="19" fillId="0" borderId="37" xfId="1" applyNumberFormat="1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175" fontId="19" fillId="0" borderId="20" xfId="0" applyNumberFormat="1" applyFont="1" applyBorder="1" applyAlignment="1">
      <alignment horizontal="center" vertical="center"/>
    </xf>
    <xf numFmtId="0" fontId="19" fillId="0" borderId="20" xfId="0" applyFont="1" applyBorder="1" applyAlignment="1">
      <alignment vertical="center"/>
    </xf>
    <xf numFmtId="167" fontId="19" fillId="0" borderId="20" xfId="1" applyNumberFormat="1" applyFont="1" applyBorder="1" applyAlignment="1">
      <alignment vertical="center"/>
    </xf>
    <xf numFmtId="175" fontId="19" fillId="0" borderId="13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167" fontId="19" fillId="0" borderId="13" xfId="1" applyNumberFormat="1" applyFont="1" applyBorder="1" applyAlignment="1">
      <alignment vertical="center"/>
    </xf>
    <xf numFmtId="167" fontId="19" fillId="0" borderId="13" xfId="0" applyNumberFormat="1" applyFont="1" applyBorder="1" applyAlignment="1">
      <alignment vertical="center"/>
    </xf>
    <xf numFmtId="169" fontId="19" fillId="0" borderId="37" xfId="0" applyNumberFormat="1" applyFont="1" applyBorder="1" applyAlignment="1">
      <alignment horizontal="center" vertical="center"/>
    </xf>
    <xf numFmtId="170" fontId="19" fillId="0" borderId="37" xfId="1" applyNumberFormat="1" applyFont="1" applyFill="1" applyBorder="1" applyAlignment="1">
      <alignment vertical="center"/>
    </xf>
    <xf numFmtId="43" fontId="19" fillId="0" borderId="55" xfId="1" applyFont="1" applyBorder="1" applyAlignment="1">
      <alignment horizontal="center" vertical="center"/>
    </xf>
    <xf numFmtId="165" fontId="19" fillId="0" borderId="55" xfId="1" applyNumberFormat="1" applyFont="1" applyBorder="1" applyAlignment="1">
      <alignment horizontal="center" vertical="center"/>
    </xf>
    <xf numFmtId="179" fontId="19" fillId="0" borderId="37" xfId="1" applyNumberFormat="1" applyFont="1" applyFill="1" applyBorder="1" applyAlignment="1">
      <alignment vertical="center"/>
    </xf>
    <xf numFmtId="165" fontId="19" fillId="0" borderId="37" xfId="1" applyNumberFormat="1" applyFont="1" applyFill="1" applyBorder="1" applyAlignment="1">
      <alignment vertical="center"/>
    </xf>
    <xf numFmtId="0" fontId="24" fillId="4" borderId="9" xfId="0" applyFont="1" applyFill="1" applyBorder="1" applyAlignment="1">
      <alignment horizontal="left" vertical="center"/>
    </xf>
    <xf numFmtId="0" fontId="19" fillId="4" borderId="10" xfId="0" applyFont="1" applyFill="1" applyBorder="1" applyAlignment="1">
      <alignment horizontal="center" vertical="center"/>
    </xf>
    <xf numFmtId="169" fontId="19" fillId="4" borderId="10" xfId="0" applyNumberFormat="1" applyFont="1" applyFill="1" applyBorder="1" applyAlignment="1">
      <alignment horizontal="center" vertical="center"/>
    </xf>
    <xf numFmtId="165" fontId="24" fillId="4" borderId="13" xfId="1" applyNumberFormat="1" applyFont="1" applyFill="1" applyBorder="1" applyAlignment="1">
      <alignment vertical="center"/>
    </xf>
    <xf numFmtId="43" fontId="19" fillId="4" borderId="10" xfId="1" applyFont="1" applyFill="1" applyBorder="1" applyAlignment="1">
      <alignment horizontal="center" vertical="center"/>
    </xf>
    <xf numFmtId="171" fontId="19" fillId="4" borderId="10" xfId="1" applyNumberFormat="1" applyFont="1" applyFill="1" applyBorder="1" applyAlignment="1">
      <alignment horizontal="center" vertical="center"/>
    </xf>
    <xf numFmtId="179" fontId="19" fillId="4" borderId="11" xfId="1" applyNumberFormat="1" applyFont="1" applyFill="1" applyBorder="1" applyAlignment="1">
      <alignment vertical="center"/>
    </xf>
    <xf numFmtId="179" fontId="24" fillId="0" borderId="10" xfId="0" applyNumberFormat="1" applyFont="1" applyBorder="1" applyAlignment="1">
      <alignment vertical="center" wrapText="1"/>
    </xf>
    <xf numFmtId="0" fontId="24" fillId="2" borderId="9" xfId="0" applyFont="1" applyFill="1" applyBorder="1" applyAlignment="1">
      <alignment horizontal="left" vertical="center"/>
    </xf>
    <xf numFmtId="0" fontId="24" fillId="2" borderId="10" xfId="0" applyFont="1" applyFill="1" applyBorder="1" applyAlignment="1">
      <alignment horizontal="left" vertical="center"/>
    </xf>
    <xf numFmtId="10" fontId="24" fillId="2" borderId="10" xfId="0" applyNumberFormat="1" applyFont="1" applyFill="1" applyBorder="1" applyAlignment="1">
      <alignment horizontal="left" vertical="center"/>
    </xf>
    <xf numFmtId="2" fontId="24" fillId="2" borderId="10" xfId="0" applyNumberFormat="1" applyFont="1" applyFill="1" applyBorder="1" applyAlignment="1">
      <alignment horizontal="left" vertical="center"/>
    </xf>
    <xf numFmtId="179" fontId="24" fillId="2" borderId="10" xfId="0" applyNumberFormat="1" applyFont="1" applyFill="1" applyBorder="1" applyAlignment="1">
      <alignment horizontal="left" vertical="center"/>
    </xf>
    <xf numFmtId="0" fontId="24" fillId="2" borderId="11" xfId="0" applyFont="1" applyFill="1" applyBorder="1" applyAlignment="1">
      <alignment horizontal="left" vertical="center"/>
    </xf>
    <xf numFmtId="169" fontId="19" fillId="0" borderId="23" xfId="0" applyNumberFormat="1" applyFont="1" applyBorder="1" applyAlignment="1">
      <alignment horizontal="center" vertical="center"/>
    </xf>
    <xf numFmtId="170" fontId="19" fillId="0" borderId="23" xfId="1" applyNumberFormat="1" applyFont="1" applyFill="1" applyBorder="1" applyAlignment="1">
      <alignment vertical="center"/>
    </xf>
    <xf numFmtId="43" fontId="19" fillId="0" borderId="49" xfId="1" applyFont="1" applyBorder="1" applyAlignment="1">
      <alignment horizontal="center" vertical="center"/>
    </xf>
    <xf numFmtId="165" fontId="19" fillId="0" borderId="49" xfId="1" applyNumberFormat="1" applyFont="1" applyBorder="1" applyAlignment="1">
      <alignment horizontal="center" vertical="center"/>
    </xf>
    <xf numFmtId="177" fontId="19" fillId="0" borderId="23" xfId="1" applyNumberFormat="1" applyFont="1" applyFill="1" applyBorder="1" applyAlignment="1">
      <alignment vertical="center"/>
    </xf>
    <xf numFmtId="167" fontId="19" fillId="4" borderId="11" xfId="1" applyNumberFormat="1" applyFont="1" applyFill="1" applyBorder="1" applyAlignment="1">
      <alignment vertical="center"/>
    </xf>
    <xf numFmtId="0" fontId="24" fillId="4" borderId="14" xfId="0" applyFont="1" applyFill="1" applyBorder="1" applyAlignment="1">
      <alignment horizontal="left" vertical="center"/>
    </xf>
    <xf numFmtId="0" fontId="24" fillId="4" borderId="28" xfId="0" applyFont="1" applyFill="1" applyBorder="1" applyAlignment="1">
      <alignment horizontal="center" vertical="center"/>
    </xf>
    <xf numFmtId="169" fontId="24" fillId="4" borderId="28" xfId="0" applyNumberFormat="1" applyFont="1" applyFill="1" applyBorder="1" applyAlignment="1">
      <alignment horizontal="center" vertical="center"/>
    </xf>
    <xf numFmtId="170" fontId="24" fillId="4" borderId="28" xfId="1" applyNumberFormat="1" applyFont="1" applyFill="1" applyBorder="1" applyAlignment="1">
      <alignment vertical="center"/>
    </xf>
    <xf numFmtId="43" fontId="24" fillId="4" borderId="28" xfId="1" applyFont="1" applyFill="1" applyBorder="1" applyAlignment="1">
      <alignment horizontal="center" vertical="center"/>
    </xf>
    <xf numFmtId="171" fontId="24" fillId="4" borderId="28" xfId="1" applyNumberFormat="1" applyFont="1" applyFill="1" applyBorder="1" applyAlignment="1">
      <alignment horizontal="center" vertical="center"/>
    </xf>
    <xf numFmtId="171" fontId="24" fillId="4" borderId="28" xfId="1" applyNumberFormat="1" applyFont="1" applyFill="1" applyBorder="1" applyAlignment="1">
      <alignment horizontal="right" vertical="center"/>
    </xf>
    <xf numFmtId="167" fontId="24" fillId="4" borderId="31" xfId="1" applyNumberFormat="1" applyFont="1" applyFill="1" applyBorder="1" applyAlignment="1">
      <alignment horizontal="right" vertical="center"/>
    </xf>
    <xf numFmtId="170" fontId="24" fillId="4" borderId="23" xfId="1" applyNumberFormat="1" applyFont="1" applyFill="1" applyBorder="1" applyAlignment="1">
      <alignment horizontal="right" vertical="center" wrapText="1"/>
    </xf>
    <xf numFmtId="0" fontId="24" fillId="4" borderId="43" xfId="0" applyFont="1" applyFill="1" applyBorder="1" applyAlignment="1">
      <alignment horizontal="left" vertical="center"/>
    </xf>
    <xf numFmtId="0" fontId="24" fillId="4" borderId="40" xfId="0" applyFont="1" applyFill="1" applyBorder="1" applyAlignment="1">
      <alignment horizontal="center" vertical="center"/>
    </xf>
    <xf numFmtId="169" fontId="24" fillId="4" borderId="40" xfId="0" applyNumberFormat="1" applyFont="1" applyFill="1" applyBorder="1" applyAlignment="1">
      <alignment horizontal="center" vertical="center"/>
    </xf>
    <xf numFmtId="170" fontId="24" fillId="4" borderId="40" xfId="1" applyNumberFormat="1" applyFont="1" applyFill="1" applyBorder="1" applyAlignment="1">
      <alignment vertical="center"/>
    </xf>
    <xf numFmtId="43" fontId="24" fillId="4" borderId="40" xfId="1" applyFont="1" applyFill="1" applyBorder="1" applyAlignment="1">
      <alignment horizontal="center" vertical="center"/>
    </xf>
    <xf numFmtId="171" fontId="24" fillId="4" borderId="40" xfId="1" applyNumberFormat="1" applyFont="1" applyFill="1" applyBorder="1" applyAlignment="1">
      <alignment horizontal="center" vertical="center"/>
    </xf>
    <xf numFmtId="171" fontId="24" fillId="4" borderId="40" xfId="1" applyNumberFormat="1" applyFont="1" applyFill="1" applyBorder="1" applyAlignment="1">
      <alignment horizontal="right" vertical="center"/>
    </xf>
    <xf numFmtId="167" fontId="24" fillId="4" borderId="41" xfId="1" applyNumberFormat="1" applyFont="1" applyFill="1" applyBorder="1" applyAlignment="1">
      <alignment horizontal="right" vertical="center"/>
    </xf>
    <xf numFmtId="0" fontId="24" fillId="4" borderId="15" xfId="0" applyFont="1" applyFill="1" applyBorder="1" applyAlignment="1">
      <alignment horizontal="left" vertical="center"/>
    </xf>
    <xf numFmtId="0" fontId="24" fillId="4" borderId="29" xfId="0" applyFont="1" applyFill="1" applyBorder="1" applyAlignment="1">
      <alignment horizontal="center" vertical="center"/>
    </xf>
    <xf numFmtId="169" fontId="24" fillId="4" borderId="29" xfId="0" applyNumberFormat="1" applyFont="1" applyFill="1" applyBorder="1" applyAlignment="1">
      <alignment horizontal="center" vertical="center"/>
    </xf>
    <xf numFmtId="170" fontId="24" fillId="4" borderId="29" xfId="1" applyNumberFormat="1" applyFont="1" applyFill="1" applyBorder="1" applyAlignment="1">
      <alignment vertical="center"/>
    </xf>
    <xf numFmtId="43" fontId="24" fillId="4" borderId="29" xfId="1" applyFont="1" applyFill="1" applyBorder="1" applyAlignment="1">
      <alignment horizontal="center" vertical="center"/>
    </xf>
    <xf numFmtId="171" fontId="24" fillId="4" borderId="29" xfId="1" applyNumberFormat="1" applyFont="1" applyFill="1" applyBorder="1" applyAlignment="1">
      <alignment horizontal="center" vertical="center"/>
    </xf>
    <xf numFmtId="171" fontId="24" fillId="4" borderId="29" xfId="1" applyNumberFormat="1" applyFont="1" applyFill="1" applyBorder="1" applyAlignment="1">
      <alignment horizontal="right" vertical="center"/>
    </xf>
    <xf numFmtId="167" fontId="24" fillId="4" borderId="32" xfId="1" applyNumberFormat="1" applyFont="1" applyFill="1" applyBorder="1" applyAlignment="1">
      <alignment horizontal="right" vertical="center"/>
    </xf>
    <xf numFmtId="170" fontId="24" fillId="4" borderId="22" xfId="1" applyNumberFormat="1" applyFont="1" applyFill="1" applyBorder="1" applyAlignment="1">
      <alignment horizontal="right" vertical="center" wrapText="1"/>
    </xf>
    <xf numFmtId="167" fontId="4" fillId="5" borderId="39" xfId="1" applyNumberFormat="1" applyFont="1" applyFill="1" applyBorder="1" applyAlignment="1">
      <alignment horizontal="center" vertical="center"/>
    </xf>
    <xf numFmtId="0" fontId="3" fillId="5" borderId="39" xfId="9" quotePrefix="1" applyFont="1" applyFill="1" applyBorder="1" applyAlignment="1">
      <alignment horizontal="center" vertical="center"/>
    </xf>
    <xf numFmtId="43" fontId="14" fillId="0" borderId="0" xfId="1" applyFont="1" applyAlignment="1">
      <alignment horizontal="left" vertical="center" wrapText="1"/>
    </xf>
    <xf numFmtId="167" fontId="0" fillId="0" borderId="0" xfId="0" applyNumberFormat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0" fillId="8" borderId="13" xfId="0" applyFill="1" applyBorder="1" applyAlignment="1">
      <alignment vertical="center" wrapText="1"/>
    </xf>
    <xf numFmtId="175" fontId="0" fillId="8" borderId="13" xfId="0" applyNumberFormat="1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/>
    </xf>
    <xf numFmtId="0" fontId="14" fillId="8" borderId="0" xfId="0" applyFont="1" applyFill="1" applyAlignment="1">
      <alignment vertical="center"/>
    </xf>
    <xf numFmtId="176" fontId="0" fillId="8" borderId="13" xfId="0" applyNumberFormat="1" applyFill="1" applyBorder="1" applyAlignment="1">
      <alignment vertical="center"/>
    </xf>
    <xf numFmtId="171" fontId="14" fillId="8" borderId="13" xfId="1" applyNumberFormat="1" applyFont="1" applyFill="1" applyBorder="1" applyAlignment="1">
      <alignment vertical="center"/>
    </xf>
    <xf numFmtId="0" fontId="16" fillId="2" borderId="23" xfId="0" applyFont="1" applyFill="1" applyBorder="1" applyAlignment="1">
      <alignment vertical="center" wrapText="1"/>
    </xf>
    <xf numFmtId="0" fontId="0" fillId="2" borderId="13" xfId="0" applyFill="1" applyBorder="1" applyAlignment="1">
      <alignment vertical="center" wrapText="1"/>
    </xf>
    <xf numFmtId="0" fontId="5" fillId="2" borderId="16" xfId="0" applyFont="1" applyFill="1" applyBorder="1" applyAlignment="1">
      <alignment horizontal="center" vertical="center"/>
    </xf>
    <xf numFmtId="174" fontId="5" fillId="2" borderId="4" xfId="9" applyNumberFormat="1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39" xfId="9" applyFont="1" applyFill="1" applyBorder="1" applyAlignment="1">
      <alignment horizontal="center" vertical="center"/>
    </xf>
    <xf numFmtId="0" fontId="3" fillId="2" borderId="16" xfId="9" applyFont="1" applyFill="1" applyBorder="1" applyAlignment="1">
      <alignment horizontal="center" vertical="center"/>
    </xf>
    <xf numFmtId="0" fontId="3" fillId="2" borderId="33" xfId="9" applyFont="1" applyFill="1" applyBorder="1" applyAlignment="1">
      <alignment horizontal="center" vertical="center"/>
    </xf>
    <xf numFmtId="4" fontId="14" fillId="0" borderId="16" xfId="7" applyNumberFormat="1" applyFont="1" applyBorder="1" applyAlignment="1">
      <alignment horizontal="justify" vertical="center" wrapText="1"/>
    </xf>
    <xf numFmtId="4" fontId="14" fillId="0" borderId="33" xfId="7" applyNumberFormat="1" applyFont="1" applyBorder="1" applyAlignment="1">
      <alignment horizontal="justify" vertical="center" wrapText="1"/>
    </xf>
    <xf numFmtId="4" fontId="16" fillId="4" borderId="9" xfId="6" applyNumberFormat="1" applyFont="1" applyFill="1" applyBorder="1" applyAlignment="1">
      <alignment horizontal="right" vertical="center"/>
    </xf>
    <xf numFmtId="4" fontId="16" fillId="4" borderId="11" xfId="6" applyNumberFormat="1" applyFont="1" applyFill="1" applyBorder="1" applyAlignment="1">
      <alignment horizontal="right" vertical="center"/>
    </xf>
    <xf numFmtId="4" fontId="14" fillId="0" borderId="16" xfId="7" applyNumberFormat="1" applyFont="1" applyBorder="1" applyAlignment="1">
      <alignment horizontal="left" vertical="center" wrapText="1"/>
    </xf>
    <xf numFmtId="4" fontId="14" fillId="0" borderId="33" xfId="7" applyNumberFormat="1" applyFont="1" applyBorder="1" applyAlignment="1">
      <alignment horizontal="left" vertical="center" wrapText="1"/>
    </xf>
    <xf numFmtId="4" fontId="14" fillId="0" borderId="18" xfId="7" applyNumberFormat="1" applyFont="1" applyBorder="1" applyAlignment="1">
      <alignment horizontal="left" vertical="center" wrapText="1"/>
    </xf>
    <xf numFmtId="4" fontId="14" fillId="0" borderId="46" xfId="7" applyNumberFormat="1" applyFont="1" applyBorder="1" applyAlignment="1">
      <alignment horizontal="left" vertical="center" wrapText="1"/>
    </xf>
    <xf numFmtId="4" fontId="16" fillId="2" borderId="13" xfId="7" applyNumberFormat="1" applyFont="1" applyFill="1" applyBorder="1" applyAlignment="1">
      <alignment vertical="center"/>
    </xf>
    <xf numFmtId="4" fontId="16" fillId="2" borderId="9" xfId="7" applyNumberFormat="1" applyFont="1" applyFill="1" applyBorder="1" applyAlignment="1">
      <alignment vertical="center"/>
    </xf>
    <xf numFmtId="4" fontId="14" fillId="0" borderId="16" xfId="7" applyNumberFormat="1" applyFont="1" applyBorder="1" applyAlignment="1">
      <alignment horizontal="left" vertical="center"/>
    </xf>
    <xf numFmtId="4" fontId="14" fillId="0" borderId="33" xfId="7" applyNumberFormat="1" applyFont="1" applyBorder="1" applyAlignment="1">
      <alignment horizontal="left" vertical="center"/>
    </xf>
    <xf numFmtId="4" fontId="14" fillId="0" borderId="15" xfId="7" applyNumberFormat="1" applyFont="1" applyBorder="1" applyAlignment="1">
      <alignment horizontal="left" vertical="center" wrapText="1"/>
    </xf>
    <xf numFmtId="4" fontId="14" fillId="0" borderId="32" xfId="7" applyNumberFormat="1" applyFont="1" applyBorder="1" applyAlignment="1">
      <alignment horizontal="left" vertical="center" wrapText="1"/>
    </xf>
    <xf numFmtId="4" fontId="14" fillId="0" borderId="19" xfId="7" applyNumberFormat="1" applyFont="1" applyBorder="1" applyAlignment="1">
      <alignment horizontal="left" vertical="center" wrapText="1"/>
    </xf>
    <xf numFmtId="4" fontId="14" fillId="0" borderId="35" xfId="7" applyNumberFormat="1" applyFont="1" applyBorder="1" applyAlignment="1">
      <alignment horizontal="left" vertical="center" wrapText="1"/>
    </xf>
    <xf numFmtId="4" fontId="16" fillId="3" borderId="9" xfId="6" applyNumberFormat="1" applyFont="1" applyFill="1" applyBorder="1" applyAlignment="1">
      <alignment horizontal="center" vertical="center" wrapText="1"/>
    </xf>
    <xf numFmtId="4" fontId="16" fillId="3" borderId="10" xfId="6" applyNumberFormat="1" applyFont="1" applyFill="1" applyBorder="1" applyAlignment="1">
      <alignment horizontal="center" vertical="center" wrapText="1"/>
    </xf>
    <xf numFmtId="4" fontId="16" fillId="3" borderId="11" xfId="6" applyNumberFormat="1" applyFont="1" applyFill="1" applyBorder="1" applyAlignment="1">
      <alignment horizontal="center" vertical="center" wrapText="1"/>
    </xf>
    <xf numFmtId="4" fontId="14" fillId="0" borderId="17" xfId="7" applyNumberFormat="1" applyFont="1" applyBorder="1" applyAlignment="1">
      <alignment horizontal="justify" vertical="center" wrapText="1"/>
    </xf>
    <xf numFmtId="4" fontId="14" fillId="0" borderId="47" xfId="7" applyNumberFormat="1" applyFont="1" applyBorder="1" applyAlignment="1">
      <alignment horizontal="justify" vertical="center" wrapText="1"/>
    </xf>
    <xf numFmtId="0" fontId="18" fillId="6" borderId="17" xfId="5" applyFont="1" applyFill="1" applyBorder="1" applyAlignment="1">
      <alignment horizontal="center" vertical="center" wrapText="1"/>
    </xf>
    <xf numFmtId="0" fontId="18" fillId="6" borderId="42" xfId="5" applyFont="1" applyFill="1" applyBorder="1" applyAlignment="1">
      <alignment horizontal="center" vertical="center" wrapText="1"/>
    </xf>
    <xf numFmtId="0" fontId="18" fillId="6" borderId="47" xfId="5" applyFont="1" applyFill="1" applyBorder="1" applyAlignment="1">
      <alignment horizontal="center" vertical="center" wrapText="1"/>
    </xf>
    <xf numFmtId="0" fontId="17" fillId="6" borderId="19" xfId="5" applyFont="1" applyFill="1" applyBorder="1" applyAlignment="1">
      <alignment horizontal="center" vertical="center" wrapText="1"/>
    </xf>
    <xf numFmtId="0" fontId="17" fillId="6" borderId="34" xfId="5" applyFont="1" applyFill="1" applyBorder="1" applyAlignment="1">
      <alignment horizontal="center" vertical="center" wrapText="1"/>
    </xf>
    <xf numFmtId="0" fontId="17" fillId="6" borderId="35" xfId="5" applyFont="1" applyFill="1" applyBorder="1" applyAlignment="1">
      <alignment horizontal="center" vertical="center" wrapText="1"/>
    </xf>
    <xf numFmtId="0" fontId="16" fillId="6" borderId="18" xfId="6" applyFont="1" applyFill="1" applyBorder="1" applyAlignment="1">
      <alignment horizontal="left" vertical="center"/>
    </xf>
    <xf numFmtId="0" fontId="16" fillId="6" borderId="0" xfId="6" applyFont="1" applyFill="1" applyAlignment="1">
      <alignment horizontal="left" vertical="center"/>
    </xf>
    <xf numFmtId="0" fontId="16" fillId="6" borderId="16" xfId="6" applyFont="1" applyFill="1" applyBorder="1" applyAlignment="1">
      <alignment horizontal="left" vertical="center"/>
    </xf>
    <xf numFmtId="0" fontId="16" fillId="6" borderId="30" xfId="6" applyFont="1" applyFill="1" applyBorder="1" applyAlignment="1">
      <alignment horizontal="left" vertical="center"/>
    </xf>
    <xf numFmtId="4" fontId="16" fillId="5" borderId="9" xfId="6" applyNumberFormat="1" applyFont="1" applyFill="1" applyBorder="1" applyAlignment="1">
      <alignment horizontal="right" vertical="center"/>
    </xf>
    <xf numFmtId="4" fontId="16" fillId="5" borderId="10" xfId="6" applyNumberFormat="1" applyFont="1" applyFill="1" applyBorder="1" applyAlignment="1">
      <alignment horizontal="right" vertical="center"/>
    </xf>
    <xf numFmtId="4" fontId="16" fillId="5" borderId="10" xfId="6" applyNumberFormat="1" applyFont="1" applyFill="1" applyBorder="1" applyAlignment="1">
      <alignment horizontal="left" vertical="center"/>
    </xf>
    <xf numFmtId="4" fontId="16" fillId="5" borderId="11" xfId="6" applyNumberFormat="1" applyFont="1" applyFill="1" applyBorder="1" applyAlignment="1">
      <alignment horizontal="left" vertical="center"/>
    </xf>
    <xf numFmtId="0" fontId="16" fillId="6" borderId="16" xfId="6" applyFont="1" applyFill="1" applyBorder="1" applyAlignment="1">
      <alignment horizontal="left" vertical="center" wrapText="1"/>
    </xf>
    <xf numFmtId="0" fontId="16" fillId="6" borderId="30" xfId="6" applyFont="1" applyFill="1" applyBorder="1" applyAlignment="1">
      <alignment horizontal="left" vertical="center" wrapText="1"/>
    </xf>
    <xf numFmtId="0" fontId="16" fillId="6" borderId="33" xfId="6" applyFont="1" applyFill="1" applyBorder="1" applyAlignment="1">
      <alignment horizontal="left" vertical="center" wrapText="1"/>
    </xf>
    <xf numFmtId="4" fontId="16" fillId="3" borderId="20" xfId="6" applyNumberFormat="1" applyFont="1" applyFill="1" applyBorder="1" applyAlignment="1">
      <alignment horizontal="center" vertical="center" wrapText="1"/>
    </xf>
    <xf numFmtId="4" fontId="16" fillId="3" borderId="25" xfId="6" applyNumberFormat="1" applyFont="1" applyFill="1" applyBorder="1" applyAlignment="1">
      <alignment horizontal="center" vertical="center" wrapText="1"/>
    </xf>
    <xf numFmtId="4" fontId="16" fillId="3" borderId="17" xfId="6" applyNumberFormat="1" applyFont="1" applyFill="1" applyBorder="1" applyAlignment="1">
      <alignment horizontal="center" vertical="center" wrapText="1"/>
    </xf>
    <xf numFmtId="4" fontId="16" fillId="3" borderId="47" xfId="6" applyNumberFormat="1" applyFont="1" applyFill="1" applyBorder="1" applyAlignment="1">
      <alignment horizontal="center" vertical="center" wrapText="1"/>
    </xf>
    <xf numFmtId="4" fontId="16" fillId="3" borderId="19" xfId="6" applyNumberFormat="1" applyFont="1" applyFill="1" applyBorder="1" applyAlignment="1">
      <alignment horizontal="center" vertical="center" wrapText="1"/>
    </xf>
    <xf numFmtId="4" fontId="16" fillId="3" borderId="35" xfId="6" applyNumberFormat="1" applyFont="1" applyFill="1" applyBorder="1" applyAlignment="1">
      <alignment horizontal="center" vertical="center" wrapText="1"/>
    </xf>
    <xf numFmtId="4" fontId="25" fillId="5" borderId="9" xfId="6" applyNumberFormat="1" applyFont="1" applyFill="1" applyBorder="1" applyAlignment="1">
      <alignment horizontal="center" vertical="center"/>
    </xf>
    <xf numFmtId="4" fontId="25" fillId="5" borderId="10" xfId="6" applyNumberFormat="1" applyFont="1" applyFill="1" applyBorder="1" applyAlignment="1">
      <alignment horizontal="center" vertical="center"/>
    </xf>
    <xf numFmtId="4" fontId="25" fillId="5" borderId="11" xfId="6" applyNumberFormat="1" applyFont="1" applyFill="1" applyBorder="1" applyAlignment="1">
      <alignment horizontal="center" vertical="center"/>
    </xf>
    <xf numFmtId="165" fontId="16" fillId="3" borderId="9" xfId="6" applyNumberFormat="1" applyFont="1" applyFill="1" applyBorder="1" applyAlignment="1">
      <alignment horizontal="center" vertical="center" wrapText="1"/>
    </xf>
    <xf numFmtId="165" fontId="16" fillId="3" borderId="10" xfId="6" applyNumberFormat="1" applyFont="1" applyFill="1" applyBorder="1" applyAlignment="1">
      <alignment horizontal="center" vertical="center" wrapText="1"/>
    </xf>
    <xf numFmtId="165" fontId="16" fillId="3" borderId="11" xfId="6" applyNumberFormat="1" applyFont="1" applyFill="1" applyBorder="1" applyAlignment="1">
      <alignment horizontal="center" vertical="center" wrapText="1"/>
    </xf>
    <xf numFmtId="0" fontId="16" fillId="0" borderId="25" xfId="6" applyFont="1" applyBorder="1" applyAlignment="1">
      <alignment horizontal="left" vertical="center"/>
    </xf>
    <xf numFmtId="0" fontId="16" fillId="0" borderId="19" xfId="6" applyFont="1" applyBorder="1" applyAlignment="1">
      <alignment horizontal="left" vertical="center"/>
    </xf>
    <xf numFmtId="0" fontId="16" fillId="6" borderId="14" xfId="6" applyFont="1" applyFill="1" applyBorder="1" applyAlignment="1">
      <alignment horizontal="left" vertical="center"/>
    </xf>
    <xf numFmtId="0" fontId="16" fillId="6" borderId="28" xfId="6" applyFont="1" applyFill="1" applyBorder="1" applyAlignment="1">
      <alignment horizontal="left" vertical="center"/>
    </xf>
    <xf numFmtId="4" fontId="4" fillId="0" borderId="16" xfId="7" applyNumberFormat="1" applyFont="1" applyBorder="1" applyAlignment="1">
      <alignment horizontal="justify" vertical="center" wrapText="1"/>
    </xf>
    <xf numFmtId="4" fontId="4" fillId="0" borderId="33" xfId="7" applyNumberFormat="1" applyFont="1" applyBorder="1" applyAlignment="1">
      <alignment horizontal="justify" vertical="center" wrapText="1"/>
    </xf>
    <xf numFmtId="4" fontId="4" fillId="0" borderId="15" xfId="7" applyNumberFormat="1" applyFont="1" applyBorder="1" applyAlignment="1">
      <alignment horizontal="justify" vertical="center" wrapText="1"/>
    </xf>
    <xf numFmtId="4" fontId="4" fillId="0" borderId="32" xfId="7" applyNumberFormat="1" applyFont="1" applyBorder="1" applyAlignment="1">
      <alignment horizontal="justify" vertical="center" wrapText="1"/>
    </xf>
    <xf numFmtId="4" fontId="6" fillId="4" borderId="9" xfId="6" applyNumberFormat="1" applyFont="1" applyFill="1" applyBorder="1" applyAlignment="1">
      <alignment horizontal="right" vertical="center"/>
    </xf>
    <xf numFmtId="4" fontId="6" fillId="4" borderId="11" xfId="6" applyNumberFormat="1" applyFont="1" applyFill="1" applyBorder="1" applyAlignment="1">
      <alignment horizontal="right" vertical="center"/>
    </xf>
    <xf numFmtId="4" fontId="6" fillId="5" borderId="9" xfId="6" applyNumberFormat="1" applyFont="1" applyFill="1" applyBorder="1" applyAlignment="1">
      <alignment horizontal="left" vertical="center"/>
    </xf>
    <xf numFmtId="4" fontId="6" fillId="5" borderId="10" xfId="6" applyNumberFormat="1" applyFont="1" applyFill="1" applyBorder="1" applyAlignment="1">
      <alignment horizontal="left" vertical="center"/>
    </xf>
    <xf numFmtId="4" fontId="6" fillId="5" borderId="11" xfId="6" applyNumberFormat="1" applyFont="1" applyFill="1" applyBorder="1" applyAlignment="1">
      <alignment horizontal="left" vertical="center"/>
    </xf>
    <xf numFmtId="4" fontId="6" fillId="2" borderId="13" xfId="7" applyNumberFormat="1" applyFont="1" applyFill="1" applyBorder="1" applyAlignment="1">
      <alignment vertical="center"/>
    </xf>
    <xf numFmtId="4" fontId="6" fillId="2" borderId="9" xfId="7" applyNumberFormat="1" applyFont="1" applyFill="1" applyBorder="1" applyAlignment="1">
      <alignment vertical="center"/>
    </xf>
    <xf numFmtId="4" fontId="4" fillId="0" borderId="17" xfId="7" applyNumberFormat="1" applyFont="1" applyBorder="1" applyAlignment="1">
      <alignment horizontal="justify" vertical="center" wrapText="1"/>
    </xf>
    <xf numFmtId="4" fontId="4" fillId="0" borderId="47" xfId="7" applyNumberFormat="1" applyFont="1" applyBorder="1" applyAlignment="1">
      <alignment horizontal="justify" vertical="center" wrapText="1"/>
    </xf>
    <xf numFmtId="0" fontId="6" fillId="6" borderId="16" xfId="6" applyFont="1" applyFill="1" applyBorder="1" applyAlignment="1">
      <alignment horizontal="left" vertical="center"/>
    </xf>
    <xf numFmtId="0" fontId="6" fillId="6" borderId="30" xfId="6" applyFont="1" applyFill="1" applyBorder="1" applyAlignment="1">
      <alignment horizontal="left" vertical="center"/>
    </xf>
    <xf numFmtId="0" fontId="6" fillId="6" borderId="30" xfId="6" applyFont="1" applyFill="1" applyBorder="1" applyAlignment="1">
      <alignment horizontal="left" vertical="center" wrapText="1"/>
    </xf>
    <xf numFmtId="0" fontId="6" fillId="6" borderId="33" xfId="6" applyFont="1" applyFill="1" applyBorder="1" applyAlignment="1">
      <alignment horizontal="left" vertical="center" wrapText="1"/>
    </xf>
    <xf numFmtId="0" fontId="6" fillId="0" borderId="25" xfId="6" applyFont="1" applyBorder="1" applyAlignment="1">
      <alignment horizontal="left" vertical="center"/>
    </xf>
    <xf numFmtId="0" fontId="6" fillId="0" borderId="19" xfId="6" applyFont="1" applyBorder="1" applyAlignment="1">
      <alignment horizontal="left" vertical="center"/>
    </xf>
    <xf numFmtId="4" fontId="6" fillId="3" borderId="20" xfId="6" applyNumberFormat="1" applyFont="1" applyFill="1" applyBorder="1" applyAlignment="1">
      <alignment horizontal="center" vertical="center" wrapText="1"/>
    </xf>
    <xf numFmtId="4" fontId="6" fillId="3" borderId="25" xfId="6" applyNumberFormat="1" applyFont="1" applyFill="1" applyBorder="1" applyAlignment="1">
      <alignment horizontal="center" vertical="center" wrapText="1"/>
    </xf>
    <xf numFmtId="4" fontId="6" fillId="3" borderId="17" xfId="6" applyNumberFormat="1" applyFont="1" applyFill="1" applyBorder="1" applyAlignment="1">
      <alignment horizontal="center" vertical="center" wrapText="1"/>
    </xf>
    <xf numFmtId="4" fontId="6" fillId="3" borderId="47" xfId="6" applyNumberFormat="1" applyFont="1" applyFill="1" applyBorder="1" applyAlignment="1">
      <alignment horizontal="center" vertical="center" wrapText="1"/>
    </xf>
    <xf numFmtId="4" fontId="6" fillId="3" borderId="19" xfId="6" applyNumberFormat="1" applyFont="1" applyFill="1" applyBorder="1" applyAlignment="1">
      <alignment horizontal="center" vertical="center" wrapText="1"/>
    </xf>
    <xf numFmtId="4" fontId="6" fillId="3" borderId="35" xfId="6" applyNumberFormat="1" applyFont="1" applyFill="1" applyBorder="1" applyAlignment="1">
      <alignment horizontal="center" vertical="center" wrapText="1"/>
    </xf>
    <xf numFmtId="165" fontId="6" fillId="3" borderId="9" xfId="6" applyNumberFormat="1" applyFont="1" applyFill="1" applyBorder="1" applyAlignment="1">
      <alignment horizontal="center" vertical="center" wrapText="1"/>
    </xf>
    <xf numFmtId="165" fontId="6" fillId="3" borderId="10" xfId="6" applyNumberFormat="1" applyFont="1" applyFill="1" applyBorder="1" applyAlignment="1">
      <alignment horizontal="center" vertical="center" wrapText="1"/>
    </xf>
    <xf numFmtId="165" fontId="6" fillId="3" borderId="11" xfId="6" applyNumberFormat="1" applyFont="1" applyFill="1" applyBorder="1" applyAlignment="1">
      <alignment horizontal="center" vertical="center" wrapText="1"/>
    </xf>
    <xf numFmtId="0" fontId="6" fillId="6" borderId="16" xfId="6" applyFont="1" applyFill="1" applyBorder="1" applyAlignment="1">
      <alignment horizontal="left" vertical="center" wrapText="1"/>
    </xf>
    <xf numFmtId="0" fontId="17" fillId="6" borderId="17" xfId="5" applyFont="1" applyFill="1" applyBorder="1" applyAlignment="1">
      <alignment horizontal="center" vertical="center" wrapText="1"/>
    </xf>
    <xf numFmtId="0" fontId="17" fillId="6" borderId="42" xfId="5" applyFont="1" applyFill="1" applyBorder="1" applyAlignment="1">
      <alignment horizontal="center" vertical="center" wrapText="1"/>
    </xf>
    <xf numFmtId="0" fontId="17" fillId="6" borderId="47" xfId="5" applyFont="1" applyFill="1" applyBorder="1" applyAlignment="1">
      <alignment horizontal="center" vertical="center" wrapText="1"/>
    </xf>
    <xf numFmtId="0" fontId="6" fillId="6" borderId="14" xfId="6" applyFont="1" applyFill="1" applyBorder="1" applyAlignment="1">
      <alignment horizontal="left" vertical="center"/>
    </xf>
    <xf numFmtId="0" fontId="6" fillId="6" borderId="28" xfId="6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top" textRotation="90"/>
    </xf>
    <xf numFmtId="0" fontId="4" fillId="0" borderId="16" xfId="0" applyFont="1" applyBorder="1" applyAlignment="1">
      <alignment horizontal="center" vertical="top" textRotation="90"/>
    </xf>
    <xf numFmtId="0" fontId="6" fillId="0" borderId="16" xfId="0" applyFont="1" applyBorder="1" applyAlignment="1">
      <alignment horizontal="center" vertical="top" textRotation="90"/>
    </xf>
    <xf numFmtId="0" fontId="6" fillId="0" borderId="21" xfId="0" applyFont="1" applyBorder="1" applyAlignment="1">
      <alignment horizontal="center" vertical="top" textRotation="90" wrapText="1"/>
    </xf>
    <xf numFmtId="0" fontId="4" fillId="0" borderId="23" xfId="0" applyFont="1" applyBorder="1" applyAlignment="1">
      <alignment horizontal="center" vertical="top" textRotation="90" wrapText="1"/>
    </xf>
    <xf numFmtId="0" fontId="6" fillId="0" borderId="23" xfId="0" applyFont="1" applyBorder="1" applyAlignment="1">
      <alignment horizontal="center" vertical="top" textRotation="90" wrapText="1"/>
    </xf>
    <xf numFmtId="166" fontId="6" fillId="0" borderId="1" xfId="0" applyNumberFormat="1" applyFont="1" applyBorder="1" applyAlignment="1">
      <alignment horizontal="center" vertical="top" textRotation="90"/>
    </xf>
    <xf numFmtId="10" fontId="6" fillId="0" borderId="4" xfId="0" applyNumberFormat="1" applyFont="1" applyBorder="1" applyAlignment="1">
      <alignment horizontal="center" vertical="top" textRotation="90"/>
    </xf>
    <xf numFmtId="165" fontId="6" fillId="0" borderId="2" xfId="1" applyNumberFormat="1" applyFont="1" applyFill="1" applyBorder="1" applyAlignment="1">
      <alignment horizontal="center" vertical="top" textRotation="90"/>
    </xf>
    <xf numFmtId="165" fontId="6" fillId="0" borderId="5" xfId="1" applyNumberFormat="1" applyFont="1" applyFill="1" applyBorder="1" applyAlignment="1">
      <alignment horizontal="center" vertical="top" textRotation="90"/>
    </xf>
    <xf numFmtId="165" fontId="6" fillId="0" borderId="26" xfId="1" applyNumberFormat="1" applyFont="1" applyBorder="1" applyAlignment="1">
      <alignment horizontal="center" vertical="top" textRotation="90" wrapText="1"/>
    </xf>
    <xf numFmtId="165" fontId="6" fillId="0" borderId="12" xfId="1" applyNumberFormat="1" applyFont="1" applyBorder="1" applyAlignment="1">
      <alignment horizontal="center" vertical="top" textRotation="90" wrapText="1"/>
    </xf>
    <xf numFmtId="165" fontId="6" fillId="0" borderId="27" xfId="1" applyNumberFormat="1" applyFont="1" applyBorder="1" applyAlignment="1">
      <alignment horizontal="center" vertical="top" textRotation="90" wrapText="1"/>
    </xf>
    <xf numFmtId="166" fontId="6" fillId="0" borderId="17" xfId="0" applyNumberFormat="1" applyFont="1" applyBorder="1" applyAlignment="1">
      <alignment horizontal="center" vertical="top" textRotation="90"/>
    </xf>
    <xf numFmtId="166" fontId="6" fillId="0" borderId="18" xfId="0" applyNumberFormat="1" applyFont="1" applyBorder="1" applyAlignment="1">
      <alignment horizontal="center" vertical="top" textRotation="90"/>
    </xf>
    <xf numFmtId="0" fontId="6" fillId="0" borderId="20" xfId="0" applyFont="1" applyBorder="1" applyAlignment="1">
      <alignment horizontal="center" vertical="top" textRotation="90" wrapText="1"/>
    </xf>
    <xf numFmtId="0" fontId="6" fillId="0" borderId="24" xfId="0" applyFont="1" applyBorder="1" applyAlignment="1">
      <alignment horizontal="center" vertical="top" textRotation="90" wrapText="1"/>
    </xf>
    <xf numFmtId="166" fontId="6" fillId="0" borderId="19" xfId="0" applyNumberFormat="1" applyFont="1" applyBorder="1" applyAlignment="1">
      <alignment horizontal="center" vertical="top" textRotation="90"/>
    </xf>
    <xf numFmtId="0" fontId="6" fillId="0" borderId="20" xfId="0" applyFont="1" applyBorder="1" applyAlignment="1">
      <alignment horizontal="center" vertical="top" textRotation="90"/>
    </xf>
    <xf numFmtId="0" fontId="6" fillId="0" borderId="24" xfId="0" applyFont="1" applyBorder="1" applyAlignment="1">
      <alignment horizontal="center" vertical="top" textRotation="90"/>
    </xf>
    <xf numFmtId="167" fontId="6" fillId="3" borderId="59" xfId="1" applyNumberFormat="1" applyFont="1" applyFill="1" applyBorder="1" applyAlignment="1">
      <alignment horizontal="center" vertical="center" wrapText="1"/>
    </xf>
    <xf numFmtId="167" fontId="6" fillId="3" borderId="61" xfId="1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top" textRotation="90"/>
    </xf>
    <xf numFmtId="0" fontId="6" fillId="0" borderId="25" xfId="0" applyFont="1" applyBorder="1" applyAlignment="1">
      <alignment horizontal="center" vertical="top" textRotation="90"/>
    </xf>
    <xf numFmtId="43" fontId="6" fillId="3" borderId="31" xfId="1" applyFont="1" applyFill="1" applyBorder="1" applyAlignment="1">
      <alignment horizontal="center" vertical="center" wrapText="1"/>
    </xf>
    <xf numFmtId="43" fontId="6" fillId="3" borderId="32" xfId="1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top" textRotation="90" wrapText="1"/>
    </xf>
    <xf numFmtId="0" fontId="6" fillId="0" borderId="18" xfId="0" applyFont="1" applyBorder="1" applyAlignment="1">
      <alignment horizontal="center" vertical="top" textRotation="90" wrapText="1"/>
    </xf>
    <xf numFmtId="0" fontId="6" fillId="0" borderId="19" xfId="0" applyFont="1" applyBorder="1" applyAlignment="1">
      <alignment horizontal="center" vertical="top" textRotation="90" wrapText="1"/>
    </xf>
    <xf numFmtId="0" fontId="6" fillId="3" borderId="21" xfId="1" applyNumberFormat="1" applyFont="1" applyFill="1" applyBorder="1" applyAlignment="1">
      <alignment horizontal="center" vertical="center" wrapText="1"/>
    </xf>
    <xf numFmtId="0" fontId="6" fillId="3" borderId="22" xfId="1" applyNumberFormat="1" applyFont="1" applyFill="1" applyBorder="1" applyAlignment="1">
      <alignment horizontal="center" vertical="center" wrapText="1"/>
    </xf>
    <xf numFmtId="0" fontId="6" fillId="3" borderId="28" xfId="1" applyNumberFormat="1" applyFont="1" applyFill="1" applyBorder="1" applyAlignment="1">
      <alignment horizontal="center" vertical="center" wrapText="1"/>
    </xf>
    <xf numFmtId="0" fontId="6" fillId="3" borderId="29" xfId="1" applyNumberFormat="1" applyFont="1" applyFill="1" applyBorder="1" applyAlignment="1">
      <alignment horizontal="center" vertical="center" wrapText="1"/>
    </xf>
    <xf numFmtId="165" fontId="6" fillId="3" borderId="28" xfId="1" applyNumberFormat="1" applyFont="1" applyFill="1" applyBorder="1" applyAlignment="1">
      <alignment horizontal="center" vertical="center" wrapText="1"/>
    </xf>
    <xf numFmtId="165" fontId="6" fillId="3" borderId="29" xfId="1" applyNumberFormat="1" applyFont="1" applyFill="1" applyBorder="1" applyAlignment="1">
      <alignment horizontal="center" vertical="center" wrapText="1"/>
    </xf>
    <xf numFmtId="165" fontId="6" fillId="0" borderId="26" xfId="1" applyNumberFormat="1" applyFont="1" applyFill="1" applyBorder="1" applyAlignment="1">
      <alignment horizontal="center" vertical="top" textRotation="90"/>
    </xf>
    <xf numFmtId="165" fontId="6" fillId="0" borderId="12" xfId="1" applyNumberFormat="1" applyFont="1" applyFill="1" applyBorder="1" applyAlignment="1">
      <alignment horizontal="center" vertical="top" textRotation="90"/>
    </xf>
    <xf numFmtId="165" fontId="6" fillId="0" borderId="27" xfId="1" applyNumberFormat="1" applyFont="1" applyFill="1" applyBorder="1" applyAlignment="1">
      <alignment horizontal="center" vertical="top" textRotation="90"/>
    </xf>
    <xf numFmtId="166" fontId="6" fillId="0" borderId="42" xfId="0" applyNumberFormat="1" applyFont="1" applyBorder="1" applyAlignment="1">
      <alignment horizontal="center" vertical="top" textRotation="90"/>
    </xf>
    <xf numFmtId="166" fontId="6" fillId="0" borderId="0" xfId="0" applyNumberFormat="1" applyFont="1" applyAlignment="1">
      <alignment horizontal="center" vertical="top" textRotation="90"/>
    </xf>
    <xf numFmtId="166" fontId="6" fillId="0" borderId="34" xfId="0" applyNumberFormat="1" applyFont="1" applyBorder="1" applyAlignment="1">
      <alignment horizontal="center" vertical="top" textRotation="90"/>
    </xf>
    <xf numFmtId="0" fontId="6" fillId="0" borderId="13" xfId="0" applyFont="1" applyBorder="1" applyAlignment="1">
      <alignment horizontal="center" vertical="top" textRotation="90" wrapText="1"/>
    </xf>
    <xf numFmtId="0" fontId="6" fillId="3" borderId="14" xfId="1" applyNumberFormat="1" applyFont="1" applyFill="1" applyBorder="1" applyAlignment="1">
      <alignment horizontal="center" vertical="center" wrapText="1"/>
    </xf>
    <xf numFmtId="0" fontId="6" fillId="3" borderId="31" xfId="1" applyNumberFormat="1" applyFont="1" applyFill="1" applyBorder="1" applyAlignment="1">
      <alignment horizontal="center" vertical="center" wrapText="1"/>
    </xf>
    <xf numFmtId="167" fontId="6" fillId="3" borderId="14" xfId="1" applyNumberFormat="1" applyFont="1" applyFill="1" applyBorder="1" applyAlignment="1">
      <alignment horizontal="center" vertical="center" wrapText="1"/>
    </xf>
    <xf numFmtId="165" fontId="6" fillId="0" borderId="42" xfId="1" applyNumberFormat="1" applyFont="1" applyFill="1" applyBorder="1" applyAlignment="1">
      <alignment horizontal="center" vertical="top" textRotation="90"/>
    </xf>
    <xf numFmtId="165" fontId="6" fillId="0" borderId="0" xfId="1" applyNumberFormat="1" applyFont="1" applyFill="1" applyBorder="1" applyAlignment="1">
      <alignment horizontal="center" vertical="top" textRotation="90"/>
    </xf>
    <xf numFmtId="165" fontId="6" fillId="0" borderId="34" xfId="1" applyNumberFormat="1" applyFont="1" applyFill="1" applyBorder="1" applyAlignment="1">
      <alignment horizontal="center" vertical="top" textRotation="90"/>
    </xf>
    <xf numFmtId="166" fontId="6" fillId="0" borderId="6" xfId="0" applyNumberFormat="1" applyFont="1" applyBorder="1" applyAlignment="1">
      <alignment horizontal="center" vertical="top" textRotation="90"/>
    </xf>
    <xf numFmtId="166" fontId="6" fillId="0" borderId="7" xfId="0" applyNumberFormat="1" applyFont="1" applyBorder="1" applyAlignment="1">
      <alignment horizontal="center" vertical="top" textRotation="90"/>
    </xf>
    <xf numFmtId="166" fontId="6" fillId="0" borderId="8" xfId="0" applyNumberFormat="1" applyFont="1" applyBorder="1" applyAlignment="1">
      <alignment horizontal="center" vertical="top" textRotation="90"/>
    </xf>
    <xf numFmtId="0" fontId="6" fillId="0" borderId="25" xfId="0" applyFont="1" applyBorder="1" applyAlignment="1">
      <alignment horizontal="center" vertical="top" textRotation="90" wrapText="1"/>
    </xf>
    <xf numFmtId="0" fontId="6" fillId="0" borderId="17" xfId="0" applyFont="1" applyBorder="1" applyAlignment="1">
      <alignment horizontal="center" vertical="top" textRotation="90"/>
    </xf>
    <xf numFmtId="0" fontId="6" fillId="0" borderId="18" xfId="0" applyFont="1" applyBorder="1" applyAlignment="1">
      <alignment horizontal="center" vertical="top" textRotation="90"/>
    </xf>
    <xf numFmtId="0" fontId="6" fillId="0" borderId="19" xfId="0" applyFont="1" applyBorder="1" applyAlignment="1">
      <alignment horizontal="center" vertical="top" textRotation="90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3" xfId="0" applyFont="1" applyBorder="1" applyAlignment="1">
      <alignment horizontal="left" vertical="center"/>
    </xf>
    <xf numFmtId="0" fontId="10" fillId="0" borderId="62" xfId="0" applyFont="1" applyBorder="1" applyAlignment="1">
      <alignment horizontal="left" vertical="center"/>
    </xf>
    <xf numFmtId="0" fontId="10" fillId="0" borderId="6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6" xfId="0" applyFont="1" applyBorder="1" applyAlignment="1">
      <alignment horizontal="left" vertical="center"/>
    </xf>
    <xf numFmtId="0" fontId="10" fillId="0" borderId="45" xfId="0" applyFont="1" applyBorder="1" applyAlignment="1">
      <alignment horizontal="left" vertical="center"/>
    </xf>
    <xf numFmtId="0" fontId="16" fillId="0" borderId="20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167" fontId="14" fillId="0" borderId="20" xfId="1" applyNumberFormat="1" applyFont="1" applyBorder="1" applyAlignment="1">
      <alignment horizontal="center" vertical="center"/>
    </xf>
    <xf numFmtId="167" fontId="14" fillId="0" borderId="24" xfId="1" applyNumberFormat="1" applyFont="1" applyBorder="1" applyAlignment="1">
      <alignment horizontal="center" vertical="center"/>
    </xf>
    <xf numFmtId="167" fontId="14" fillId="0" borderId="25" xfId="1" applyNumberFormat="1" applyFont="1" applyBorder="1" applyAlignment="1">
      <alignment horizontal="center" vertical="center"/>
    </xf>
    <xf numFmtId="167" fontId="14" fillId="0" borderId="20" xfId="1" applyNumberFormat="1" applyFont="1" applyFill="1" applyBorder="1" applyAlignment="1">
      <alignment horizontal="center" vertical="center"/>
    </xf>
    <xf numFmtId="167" fontId="14" fillId="0" borderId="24" xfId="1" applyNumberFormat="1" applyFont="1" applyFill="1" applyBorder="1" applyAlignment="1">
      <alignment horizontal="center" vertical="center"/>
    </xf>
    <xf numFmtId="167" fontId="14" fillId="0" borderId="25" xfId="1" applyNumberFormat="1" applyFont="1" applyFill="1" applyBorder="1" applyAlignment="1">
      <alignment horizontal="center" vertical="center"/>
    </xf>
    <xf numFmtId="167" fontId="14" fillId="0" borderId="21" xfId="1" applyNumberFormat="1" applyFont="1" applyFill="1" applyBorder="1" applyAlignment="1">
      <alignment horizontal="center" vertical="center"/>
    </xf>
    <xf numFmtId="167" fontId="14" fillId="0" borderId="23" xfId="1" applyNumberFormat="1" applyFont="1" applyFill="1" applyBorder="1" applyAlignment="1">
      <alignment horizontal="center" vertical="center"/>
    </xf>
    <xf numFmtId="167" fontId="14" fillId="0" borderId="37" xfId="1" applyNumberFormat="1" applyFont="1" applyFill="1" applyBorder="1" applyAlignment="1">
      <alignment horizontal="center" vertical="center"/>
    </xf>
    <xf numFmtId="167" fontId="14" fillId="0" borderId="22" xfId="1" applyNumberFormat="1" applyFont="1" applyFill="1" applyBorder="1" applyAlignment="1">
      <alignment horizontal="center" vertical="center"/>
    </xf>
    <xf numFmtId="167" fontId="0" fillId="0" borderId="20" xfId="1" applyNumberFormat="1" applyFont="1" applyFill="1" applyBorder="1" applyAlignment="1">
      <alignment horizontal="center" vertical="center"/>
    </xf>
    <xf numFmtId="167" fontId="0" fillId="0" borderId="24" xfId="1" applyNumberFormat="1" applyFont="1" applyFill="1" applyBorder="1" applyAlignment="1">
      <alignment horizontal="center" vertical="center"/>
    </xf>
    <xf numFmtId="167" fontId="0" fillId="0" borderId="25" xfId="1" applyNumberFormat="1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7" fontId="0" fillId="0" borderId="20" xfId="1" applyNumberFormat="1" applyFont="1" applyBorder="1" applyAlignment="1">
      <alignment horizontal="center" vertical="center"/>
    </xf>
    <xf numFmtId="167" fontId="0" fillId="0" borderId="24" xfId="1" applyNumberFormat="1" applyFont="1" applyBorder="1" applyAlignment="1">
      <alignment horizontal="center" vertical="center"/>
    </xf>
    <xf numFmtId="167" fontId="0" fillId="0" borderId="25" xfId="1" applyNumberFormat="1" applyFont="1" applyBorder="1" applyAlignment="1">
      <alignment horizontal="center" vertical="center"/>
    </xf>
    <xf numFmtId="167" fontId="0" fillId="0" borderId="21" xfId="1" applyNumberFormat="1" applyFont="1" applyFill="1" applyBorder="1" applyAlignment="1">
      <alignment horizontal="center" vertical="center"/>
    </xf>
    <xf numFmtId="167" fontId="0" fillId="0" borderId="23" xfId="1" applyNumberFormat="1" applyFont="1" applyFill="1" applyBorder="1" applyAlignment="1">
      <alignment horizontal="center" vertical="center"/>
    </xf>
    <xf numFmtId="167" fontId="0" fillId="0" borderId="37" xfId="1" applyNumberFormat="1" applyFont="1" applyFill="1" applyBorder="1" applyAlignment="1">
      <alignment horizontal="center" vertical="center"/>
    </xf>
    <xf numFmtId="167" fontId="0" fillId="0" borderId="22" xfId="1" applyNumberFormat="1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167" fontId="0" fillId="0" borderId="21" xfId="1" applyNumberFormat="1" applyFont="1" applyBorder="1" applyAlignment="1">
      <alignment horizontal="center" vertical="center"/>
    </xf>
    <xf numFmtId="167" fontId="0" fillId="0" borderId="23" xfId="1" applyNumberFormat="1" applyFont="1" applyBorder="1" applyAlignment="1">
      <alignment horizontal="center" vertical="center"/>
    </xf>
    <xf numFmtId="167" fontId="0" fillId="0" borderId="37" xfId="1" applyNumberFormat="1" applyFont="1" applyBorder="1" applyAlignment="1">
      <alignment horizontal="center" vertical="center"/>
    </xf>
    <xf numFmtId="167" fontId="0" fillId="0" borderId="22" xfId="1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67" fontId="0" fillId="0" borderId="13" xfId="1" applyNumberFormat="1" applyFont="1" applyFill="1" applyBorder="1" applyAlignment="1">
      <alignment horizontal="center" vertical="center"/>
    </xf>
    <xf numFmtId="167" fontId="10" fillId="0" borderId="20" xfId="1" applyNumberFormat="1" applyFont="1" applyFill="1" applyBorder="1" applyAlignment="1">
      <alignment horizontal="center" vertical="center" wrapText="1"/>
    </xf>
    <xf numFmtId="167" fontId="10" fillId="0" borderId="25" xfId="1" applyNumberFormat="1" applyFont="1" applyFill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67" fontId="10" fillId="0" borderId="20" xfId="1" applyNumberFormat="1" applyFont="1" applyBorder="1" applyAlignment="1">
      <alignment horizontal="center" vertical="center" wrapText="1"/>
    </xf>
    <xf numFmtId="167" fontId="10" fillId="0" borderId="25" xfId="1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65" fontId="0" fillId="0" borderId="9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174" fontId="4" fillId="0" borderId="16" xfId="1" applyNumberFormat="1" applyFont="1" applyFill="1" applyBorder="1" applyAlignment="1">
      <alignment horizontal="center" vertical="center"/>
    </xf>
    <xf numFmtId="174" fontId="4" fillId="0" borderId="33" xfId="1" applyNumberFormat="1" applyFont="1" applyFill="1" applyBorder="1" applyAlignment="1">
      <alignment horizontal="center" vertical="center"/>
    </xf>
    <xf numFmtId="174" fontId="4" fillId="0" borderId="17" xfId="1" applyNumberFormat="1" applyFont="1" applyFill="1" applyBorder="1" applyAlignment="1">
      <alignment horizontal="center" vertical="center"/>
    </xf>
    <xf numFmtId="174" fontId="4" fillId="0" borderId="47" xfId="1" applyNumberFormat="1" applyFont="1" applyFill="1" applyBorder="1" applyAlignment="1">
      <alignment horizontal="center" vertical="center"/>
    </xf>
    <xf numFmtId="0" fontId="5" fillId="0" borderId="59" xfId="0" applyFont="1" applyBorder="1" applyAlignment="1">
      <alignment horizontal="right" vertical="center"/>
    </xf>
    <xf numFmtId="0" fontId="5" fillId="0" borderId="30" xfId="0" applyFont="1" applyBorder="1" applyAlignment="1">
      <alignment horizontal="right" vertical="center"/>
    </xf>
    <xf numFmtId="0" fontId="5" fillId="0" borderId="61" xfId="0" applyFont="1" applyBorder="1" applyAlignment="1">
      <alignment horizontal="right" vertical="center"/>
    </xf>
    <xf numFmtId="175" fontId="14" fillId="0" borderId="16" xfId="0" applyNumberFormat="1" applyFont="1" applyBorder="1" applyAlignment="1">
      <alignment horizontal="center" vertical="center" wrapText="1"/>
    </xf>
    <xf numFmtId="175" fontId="14" fillId="0" borderId="33" xfId="0" applyNumberFormat="1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7" xfId="0" applyFont="1" applyBorder="1" applyAlignment="1">
      <alignment horizontal="right" vertical="center"/>
    </xf>
    <xf numFmtId="0" fontId="10" fillId="0" borderId="42" xfId="0" applyFont="1" applyBorder="1" applyAlignment="1">
      <alignment horizontal="right" vertical="center"/>
    </xf>
    <xf numFmtId="0" fontId="10" fillId="0" borderId="47" xfId="0" applyFont="1" applyBorder="1" applyAlignment="1">
      <alignment horizontal="right" vertical="center"/>
    </xf>
    <xf numFmtId="0" fontId="10" fillId="0" borderId="16" xfId="0" applyFont="1" applyBorder="1" applyAlignment="1">
      <alignment horizontal="right" vertical="center"/>
    </xf>
    <xf numFmtId="0" fontId="10" fillId="0" borderId="30" xfId="0" applyFont="1" applyBorder="1" applyAlignment="1">
      <alignment horizontal="right" vertical="center"/>
    </xf>
    <xf numFmtId="0" fontId="10" fillId="0" borderId="33" xfId="0" applyFont="1" applyBorder="1" applyAlignment="1">
      <alignment horizontal="right" vertical="center"/>
    </xf>
    <xf numFmtId="0" fontId="10" fillId="0" borderId="16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textRotation="90"/>
    </xf>
    <xf numFmtId="0" fontId="10" fillId="0" borderId="13" xfId="0" applyFont="1" applyBorder="1" applyAlignment="1">
      <alignment horizontal="center" vertical="center" textRotation="90"/>
    </xf>
    <xf numFmtId="0" fontId="10" fillId="0" borderId="15" xfId="0" applyFont="1" applyBorder="1" applyAlignment="1">
      <alignment horizontal="right" vertical="center"/>
    </xf>
    <xf numFmtId="0" fontId="10" fillId="0" borderId="29" xfId="0" applyFont="1" applyBorder="1" applyAlignment="1">
      <alignment horizontal="right" vertical="center"/>
    </xf>
    <xf numFmtId="0" fontId="10" fillId="0" borderId="32" xfId="0" applyFont="1" applyBorder="1" applyAlignment="1">
      <alignment horizontal="right" vertical="center"/>
    </xf>
    <xf numFmtId="175" fontId="0" fillId="0" borderId="16" xfId="0" applyNumberFormat="1" applyBorder="1" applyAlignment="1">
      <alignment horizontal="center" vertical="center" wrapText="1"/>
    </xf>
    <xf numFmtId="175" fontId="0" fillId="0" borderId="33" xfId="0" applyNumberForma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166" fontId="6" fillId="0" borderId="20" xfId="0" applyNumberFormat="1" applyFont="1" applyBorder="1" applyAlignment="1">
      <alignment horizontal="center" vertical="top" textRotation="90"/>
    </xf>
    <xf numFmtId="166" fontId="6" fillId="0" borderId="24" xfId="0" applyNumberFormat="1" applyFont="1" applyBorder="1" applyAlignment="1">
      <alignment horizontal="center" vertical="top" textRotation="90"/>
    </xf>
    <xf numFmtId="165" fontId="6" fillId="0" borderId="20" xfId="1" applyNumberFormat="1" applyFont="1" applyBorder="1" applyAlignment="1">
      <alignment horizontal="center" vertical="top" textRotation="90" wrapText="1"/>
    </xf>
    <xf numFmtId="165" fontId="6" fillId="0" borderId="24" xfId="1" applyNumberFormat="1" applyFont="1" applyBorder="1" applyAlignment="1">
      <alignment horizontal="center" vertical="top" textRotation="90" wrapText="1"/>
    </xf>
    <xf numFmtId="43" fontId="45" fillId="5" borderId="26" xfId="1" applyFont="1" applyFill="1" applyBorder="1" applyAlignment="1">
      <alignment horizontal="center" vertical="center" wrapText="1"/>
    </xf>
    <xf numFmtId="43" fontId="45" fillId="5" borderId="27" xfId="1" applyFont="1" applyFill="1" applyBorder="1" applyAlignment="1">
      <alignment horizontal="center" vertical="center" wrapText="1"/>
    </xf>
    <xf numFmtId="0" fontId="45" fillId="3" borderId="6" xfId="0" applyFont="1" applyFill="1" applyBorder="1" applyAlignment="1">
      <alignment horizontal="left" vertical="center" wrapText="1"/>
    </xf>
    <xf numFmtId="0" fontId="45" fillId="3" borderId="8" xfId="0" applyFont="1" applyFill="1" applyBorder="1" applyAlignment="1">
      <alignment horizontal="left" vertical="center" wrapText="1"/>
    </xf>
    <xf numFmtId="0" fontId="45" fillId="3" borderId="9" xfId="0" applyFont="1" applyFill="1" applyBorder="1" applyAlignment="1">
      <alignment horizontal="center" vertical="center" wrapText="1"/>
    </xf>
    <xf numFmtId="0" fontId="45" fillId="3" borderId="11" xfId="0" applyFont="1" applyFill="1" applyBorder="1" applyAlignment="1">
      <alignment horizontal="center" vertical="center" wrapText="1"/>
    </xf>
    <xf numFmtId="0" fontId="45" fillId="3" borderId="9" xfId="0" quotePrefix="1" applyFont="1" applyFill="1" applyBorder="1" applyAlignment="1">
      <alignment horizontal="center" vertical="center" wrapText="1"/>
    </xf>
    <xf numFmtId="0" fontId="45" fillId="3" borderId="11" xfId="0" quotePrefix="1" applyFont="1" applyFill="1" applyBorder="1" applyAlignment="1">
      <alignment horizontal="center" vertical="center" wrapText="1"/>
    </xf>
    <xf numFmtId="167" fontId="19" fillId="0" borderId="20" xfId="1" applyNumberFormat="1" applyFont="1" applyBorder="1" applyAlignment="1">
      <alignment horizontal="center" vertical="center"/>
    </xf>
    <xf numFmtId="167" fontId="19" fillId="0" borderId="25" xfId="1" applyNumberFormat="1" applyFont="1" applyBorder="1" applyAlignment="1">
      <alignment horizontal="center" vertical="center"/>
    </xf>
    <xf numFmtId="167" fontId="19" fillId="0" borderId="24" xfId="1" applyNumberFormat="1" applyFont="1" applyBorder="1" applyAlignment="1">
      <alignment horizontal="center" vertical="center"/>
    </xf>
    <xf numFmtId="165" fontId="45" fillId="5" borderId="26" xfId="1" applyNumberFormat="1" applyFont="1" applyFill="1" applyBorder="1" applyAlignment="1">
      <alignment horizontal="center" vertical="center" wrapText="1"/>
    </xf>
    <xf numFmtId="165" fontId="45" fillId="5" borderId="27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7" fillId="0" borderId="9" xfId="1" applyNumberFormat="1" applyFont="1" applyBorder="1" applyAlignment="1">
      <alignment horizontal="center" vertical="center"/>
    </xf>
    <xf numFmtId="165" fontId="7" fillId="0" borderId="11" xfId="1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5" fillId="3" borderId="20" xfId="0" applyFont="1" applyFill="1" applyBorder="1" applyAlignment="1">
      <alignment horizontal="center" vertical="center"/>
    </xf>
    <xf numFmtId="0" fontId="45" fillId="3" borderId="24" xfId="0" applyFont="1" applyFill="1" applyBorder="1" applyAlignment="1">
      <alignment horizontal="center" vertical="center"/>
    </xf>
    <xf numFmtId="0" fontId="45" fillId="3" borderId="25" xfId="0" applyFont="1" applyFill="1" applyBorder="1" applyAlignment="1">
      <alignment horizontal="center" vertical="center"/>
    </xf>
    <xf numFmtId="0" fontId="45" fillId="3" borderId="21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37" xfId="0" applyFont="1" applyFill="1" applyBorder="1" applyAlignment="1">
      <alignment horizontal="center" vertical="center"/>
    </xf>
    <xf numFmtId="0" fontId="45" fillId="3" borderId="22" xfId="0" applyFont="1" applyFill="1" applyBorder="1" applyAlignment="1">
      <alignment horizontal="center" vertical="center"/>
    </xf>
    <xf numFmtId="0" fontId="45" fillId="3" borderId="21" xfId="0" applyFont="1" applyFill="1" applyBorder="1" applyAlignment="1">
      <alignment horizontal="center" vertical="center" wrapText="1"/>
    </xf>
    <xf numFmtId="0" fontId="45" fillId="3" borderId="23" xfId="0" applyFont="1" applyFill="1" applyBorder="1" applyAlignment="1">
      <alignment horizontal="center" vertical="center" wrapText="1"/>
    </xf>
    <xf numFmtId="0" fontId="45" fillId="3" borderId="37" xfId="0" applyFont="1" applyFill="1" applyBorder="1" applyAlignment="1">
      <alignment horizontal="center" vertical="center" wrapText="1"/>
    </xf>
    <xf numFmtId="0" fontId="45" fillId="3" borderId="22" xfId="0" applyFont="1" applyFill="1" applyBorder="1" applyAlignment="1">
      <alignment horizontal="center" vertical="center" wrapText="1"/>
    </xf>
    <xf numFmtId="0" fontId="43" fillId="3" borderId="9" xfId="0" applyFont="1" applyFill="1" applyBorder="1" applyAlignment="1">
      <alignment horizontal="left" vertical="center" wrapText="1"/>
    </xf>
    <xf numFmtId="0" fontId="43" fillId="3" borderId="10" xfId="0" applyFont="1" applyFill="1" applyBorder="1" applyAlignment="1">
      <alignment horizontal="left" vertical="center" wrapText="1"/>
    </xf>
    <xf numFmtId="0" fontId="9" fillId="0" borderId="34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 wrapText="1"/>
    </xf>
    <xf numFmtId="0" fontId="46" fillId="0" borderId="42" xfId="0" applyFont="1" applyBorder="1" applyAlignment="1">
      <alignment horizontal="center" vertical="center" wrapText="1"/>
    </xf>
    <xf numFmtId="0" fontId="46" fillId="0" borderId="47" xfId="0" applyFont="1" applyBorder="1" applyAlignment="1">
      <alignment horizontal="center" vertical="center" wrapText="1"/>
    </xf>
    <xf numFmtId="0" fontId="44" fillId="0" borderId="20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/>
    </xf>
    <xf numFmtId="0" fontId="44" fillId="0" borderId="20" xfId="0" applyFont="1" applyBorder="1" applyAlignment="1">
      <alignment horizontal="left" vertical="center" wrapText="1"/>
    </xf>
    <xf numFmtId="0" fontId="44" fillId="0" borderId="39" xfId="0" applyFont="1" applyBorder="1" applyAlignment="1">
      <alignment horizontal="left" vertical="center" wrapText="1"/>
    </xf>
    <xf numFmtId="0" fontId="44" fillId="0" borderId="25" xfId="0" applyFont="1" applyBorder="1" applyAlignment="1">
      <alignment horizontal="center" vertical="center"/>
    </xf>
    <xf numFmtId="0" fontId="44" fillId="0" borderId="25" xfId="0" applyFont="1" applyBorder="1" applyAlignment="1">
      <alignment horizontal="left" vertical="center" wrapText="1"/>
    </xf>
    <xf numFmtId="0" fontId="44" fillId="0" borderId="20" xfId="0" applyFont="1" applyBorder="1" applyAlignment="1">
      <alignment horizontal="center" vertical="center" wrapText="1"/>
    </xf>
    <xf numFmtId="0" fontId="44" fillId="0" borderId="25" xfId="0" applyFont="1" applyBorder="1" applyAlignment="1">
      <alignment horizontal="center" vertical="center" wrapText="1"/>
    </xf>
    <xf numFmtId="165" fontId="44" fillId="0" borderId="20" xfId="1" applyNumberFormat="1" applyFont="1" applyFill="1" applyBorder="1" applyAlignment="1">
      <alignment horizontal="center" vertical="center"/>
    </xf>
    <xf numFmtId="165" fontId="44" fillId="0" borderId="39" xfId="1" applyNumberFormat="1" applyFont="1" applyFill="1" applyBorder="1" applyAlignment="1">
      <alignment horizontal="center" vertical="center"/>
    </xf>
    <xf numFmtId="9" fontId="44" fillId="0" borderId="20" xfId="0" applyNumberFormat="1" applyFont="1" applyBorder="1" applyAlignment="1">
      <alignment horizontal="center" vertical="center"/>
    </xf>
    <xf numFmtId="9" fontId="44" fillId="0" borderId="39" xfId="0" applyNumberFormat="1" applyFont="1" applyBorder="1" applyAlignment="1">
      <alignment horizontal="center" vertical="center"/>
    </xf>
    <xf numFmtId="165" fontId="44" fillId="0" borderId="20" xfId="0" applyNumberFormat="1" applyFont="1" applyBorder="1" applyAlignment="1">
      <alignment horizontal="center" vertical="center"/>
    </xf>
    <xf numFmtId="165" fontId="44" fillId="0" borderId="39" xfId="0" applyNumberFormat="1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165" fontId="44" fillId="0" borderId="25" xfId="0" applyNumberFormat="1" applyFont="1" applyBorder="1" applyAlignment="1">
      <alignment horizontal="center" vertical="center"/>
    </xf>
    <xf numFmtId="165" fontId="44" fillId="0" borderId="25" xfId="1" applyNumberFormat="1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9" xfId="0" applyFont="1" applyFill="1" applyBorder="1" applyAlignment="1">
      <alignment horizontal="center" vertical="center"/>
    </xf>
    <xf numFmtId="0" fontId="43" fillId="3" borderId="10" xfId="0" applyFont="1" applyFill="1" applyBorder="1" applyAlignment="1">
      <alignment horizontal="center" vertical="center"/>
    </xf>
    <xf numFmtId="0" fontId="43" fillId="3" borderId="11" xfId="0" applyFont="1" applyFill="1" applyBorder="1" applyAlignment="1">
      <alignment horizontal="center" vertical="center"/>
    </xf>
    <xf numFmtId="0" fontId="43" fillId="3" borderId="9" xfId="0" applyFont="1" applyFill="1" applyBorder="1" applyAlignment="1">
      <alignment horizontal="center" vertical="center" wrapText="1"/>
    </xf>
    <xf numFmtId="0" fontId="43" fillId="3" borderId="11" xfId="0" applyFont="1" applyFill="1" applyBorder="1" applyAlignment="1">
      <alignment horizontal="center" vertical="center" wrapText="1"/>
    </xf>
    <xf numFmtId="165" fontId="44" fillId="0" borderId="20" xfId="1" applyNumberFormat="1" applyFont="1" applyBorder="1" applyAlignment="1">
      <alignment horizontal="center" vertical="center"/>
    </xf>
    <xf numFmtId="165" fontId="44" fillId="0" borderId="25" xfId="1" applyNumberFormat="1" applyFont="1" applyBorder="1" applyAlignment="1">
      <alignment horizontal="center" vertical="center"/>
    </xf>
    <xf numFmtId="165" fontId="44" fillId="0" borderId="39" xfId="1" applyNumberFormat="1" applyFont="1" applyBorder="1" applyAlignment="1">
      <alignment horizontal="center" vertical="center"/>
    </xf>
    <xf numFmtId="0" fontId="44" fillId="0" borderId="37" xfId="0" applyFont="1" applyBorder="1" applyAlignment="1">
      <alignment horizontal="center" vertical="center"/>
    </xf>
    <xf numFmtId="0" fontId="44" fillId="0" borderId="37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left" vertical="center" wrapText="1"/>
    </xf>
    <xf numFmtId="165" fontId="44" fillId="0" borderId="37" xfId="1" applyNumberFormat="1" applyFont="1" applyFill="1" applyBorder="1" applyAlignment="1">
      <alignment horizontal="center" vertical="center"/>
    </xf>
    <xf numFmtId="165" fontId="44" fillId="0" borderId="37" xfId="0" applyNumberFormat="1" applyFont="1" applyBorder="1" applyAlignment="1">
      <alignment horizontal="center" vertical="center"/>
    </xf>
    <xf numFmtId="9" fontId="44" fillId="0" borderId="37" xfId="0" applyNumberFormat="1" applyFont="1" applyBorder="1" applyAlignment="1">
      <alignment horizontal="center" vertical="center"/>
    </xf>
    <xf numFmtId="9" fontId="44" fillId="0" borderId="25" xfId="0" applyNumberFormat="1" applyFont="1" applyBorder="1" applyAlignment="1">
      <alignment horizontal="center" vertical="center"/>
    </xf>
    <xf numFmtId="165" fontId="44" fillId="0" borderId="37" xfId="1" applyNumberFormat="1" applyFont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49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right" vertical="center"/>
    </xf>
    <xf numFmtId="0" fontId="5" fillId="4" borderId="42" xfId="0" applyFont="1" applyFill="1" applyBorder="1" applyAlignment="1">
      <alignment horizontal="right" vertical="center"/>
    </xf>
    <xf numFmtId="0" fontId="5" fillId="4" borderId="47" xfId="0" applyFont="1" applyFill="1" applyBorder="1" applyAlignment="1">
      <alignment horizontal="right" vertical="center"/>
    </xf>
    <xf numFmtId="0" fontId="5" fillId="4" borderId="16" xfId="0" applyFont="1" applyFill="1" applyBorder="1" applyAlignment="1">
      <alignment horizontal="right" vertical="center"/>
    </xf>
    <xf numFmtId="0" fontId="5" fillId="4" borderId="30" xfId="0" applyFont="1" applyFill="1" applyBorder="1" applyAlignment="1">
      <alignment horizontal="right" vertical="center"/>
    </xf>
    <xf numFmtId="0" fontId="5" fillId="4" borderId="33" xfId="0" applyFont="1" applyFill="1" applyBorder="1" applyAlignment="1">
      <alignment horizontal="right" vertical="center"/>
    </xf>
    <xf numFmtId="0" fontId="5" fillId="4" borderId="19" xfId="0" applyFont="1" applyFill="1" applyBorder="1" applyAlignment="1">
      <alignment horizontal="right" vertical="center"/>
    </xf>
    <xf numFmtId="0" fontId="5" fillId="4" borderId="34" xfId="0" applyFont="1" applyFill="1" applyBorder="1" applyAlignment="1">
      <alignment horizontal="right" vertical="center"/>
    </xf>
    <xf numFmtId="0" fontId="5" fillId="4" borderId="35" xfId="0" applyFont="1" applyFill="1" applyBorder="1" applyAlignment="1">
      <alignment horizontal="right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right" vertical="center"/>
    </xf>
    <xf numFmtId="0" fontId="6" fillId="3" borderId="47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165" fontId="6" fillId="3" borderId="20" xfId="1" applyNumberFormat="1" applyFont="1" applyFill="1" applyBorder="1" applyAlignment="1">
      <alignment horizontal="center" vertical="center" wrapText="1"/>
    </xf>
    <xf numFmtId="165" fontId="6" fillId="3" borderId="25" xfId="1" applyNumberFormat="1" applyFont="1" applyFill="1" applyBorder="1" applyAlignment="1">
      <alignment horizontal="center" vertical="center" wrapText="1"/>
    </xf>
    <xf numFmtId="0" fontId="6" fillId="3" borderId="20" xfId="1" applyNumberFormat="1" applyFont="1" applyFill="1" applyBorder="1" applyAlignment="1">
      <alignment horizontal="center" vertical="center" wrapText="1"/>
    </xf>
    <xf numFmtId="0" fontId="6" fillId="3" borderId="25" xfId="1" applyNumberFormat="1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Continuous" vertical="center"/>
    </xf>
    <xf numFmtId="0" fontId="3" fillId="0" borderId="13" xfId="0" applyFont="1" applyBorder="1" applyAlignment="1">
      <alignment horizontal="center" vertical="center" wrapText="1"/>
    </xf>
    <xf numFmtId="0" fontId="6" fillId="3" borderId="16" xfId="8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/>
    </xf>
    <xf numFmtId="174" fontId="3" fillId="0" borderId="0" xfId="9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centerContinuous" vertical="center"/>
    </xf>
    <xf numFmtId="174" fontId="3" fillId="0" borderId="13" xfId="9" applyNumberFormat="1" applyFont="1" applyBorder="1" applyAlignment="1">
      <alignment horizontal="left" vertical="center"/>
    </xf>
    <xf numFmtId="174" fontId="3" fillId="0" borderId="9" xfId="9" applyNumberFormat="1" applyFont="1" applyBorder="1" applyAlignment="1">
      <alignment horizontal="left" vertical="center"/>
    </xf>
    <xf numFmtId="0" fontId="6" fillId="3" borderId="4" xfId="8" applyFont="1" applyFill="1" applyBorder="1" applyAlignment="1">
      <alignment horizontal="center" vertical="center" wrapText="1"/>
    </xf>
    <xf numFmtId="174" fontId="3" fillId="0" borderId="24" xfId="9" applyNumberFormat="1" applyFont="1" applyBorder="1" applyAlignment="1">
      <alignment horizontal="left" vertical="center"/>
    </xf>
    <xf numFmtId="174" fontId="3" fillId="0" borderId="3" xfId="9" applyNumberFormat="1" applyFont="1" applyBorder="1" applyAlignment="1">
      <alignment horizontal="left" vertical="center"/>
    </xf>
    <xf numFmtId="0" fontId="3" fillId="6" borderId="4" xfId="0" applyFont="1" applyFill="1" applyBorder="1" applyAlignment="1">
      <alignment vertical="center"/>
    </xf>
    <xf numFmtId="174" fontId="3" fillId="0" borderId="17" xfId="9" applyNumberFormat="1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horizontal="centerContinuous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Continuous" vertical="center"/>
    </xf>
    <xf numFmtId="0" fontId="3" fillId="0" borderId="13" xfId="0" applyFont="1" applyBorder="1" applyAlignment="1">
      <alignment horizontal="center" vertical="center"/>
    </xf>
    <xf numFmtId="0" fontId="6" fillId="3" borderId="23" xfId="8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6" borderId="23" xfId="0" applyFont="1" applyFill="1" applyBorder="1" applyAlignment="1">
      <alignment vertical="center"/>
    </xf>
    <xf numFmtId="0" fontId="3" fillId="0" borderId="23" xfId="0" applyFont="1" applyBorder="1" applyAlignment="1">
      <alignment horizontal="centerContinuous" vertical="center"/>
    </xf>
    <xf numFmtId="0" fontId="3" fillId="0" borderId="0" xfId="9" applyFont="1" applyBorder="1" applyAlignment="1">
      <alignment horizontal="center" vertical="center"/>
    </xf>
    <xf numFmtId="0" fontId="5" fillId="0" borderId="30" xfId="0" applyFont="1" applyBorder="1" applyAlignment="1">
      <alignment horizontal="centerContinuous" vertical="center"/>
    </xf>
    <xf numFmtId="0" fontId="3" fillId="0" borderId="13" xfId="9" applyFont="1" applyBorder="1" applyAlignment="1">
      <alignment horizontal="center" vertical="center"/>
    </xf>
    <xf numFmtId="0" fontId="3" fillId="2" borderId="30" xfId="9" applyFont="1" applyFill="1" applyBorder="1" applyAlignment="1">
      <alignment horizontal="center" vertical="center"/>
    </xf>
    <xf numFmtId="0" fontId="6" fillId="3" borderId="30" xfId="8" applyFont="1" applyFill="1" applyBorder="1" applyAlignment="1">
      <alignment horizontal="center" vertical="center" wrapText="1"/>
    </xf>
    <xf numFmtId="0" fontId="3" fillId="0" borderId="29" xfId="9" applyFont="1" applyBorder="1" applyAlignment="1">
      <alignment horizontal="center" vertical="center"/>
    </xf>
    <xf numFmtId="0" fontId="3" fillId="6" borderId="30" xfId="0" applyFont="1" applyFill="1" applyBorder="1" applyAlignment="1">
      <alignment vertical="center"/>
    </xf>
    <xf numFmtId="0" fontId="3" fillId="0" borderId="30" xfId="0" applyFont="1" applyBorder="1" applyAlignment="1">
      <alignment horizontal="centerContinuous" vertical="center"/>
    </xf>
    <xf numFmtId="167" fontId="4" fillId="0" borderId="0" xfId="1" applyNumberFormat="1" applyFont="1" applyFill="1" applyBorder="1" applyAlignment="1">
      <alignment horizontal="center" vertical="center"/>
    </xf>
    <xf numFmtId="167" fontId="6" fillId="0" borderId="23" xfId="1" applyNumberFormat="1" applyFont="1" applyBorder="1" applyAlignment="1">
      <alignment horizontal="centerContinuous" vertical="center"/>
    </xf>
    <xf numFmtId="167" fontId="4" fillId="0" borderId="13" xfId="1" applyNumberFormat="1" applyFont="1" applyFill="1" applyBorder="1" applyAlignment="1">
      <alignment horizontal="center" vertical="center"/>
    </xf>
    <xf numFmtId="167" fontId="4" fillId="2" borderId="23" xfId="1" applyNumberFormat="1" applyFont="1" applyFill="1" applyBorder="1" applyAlignment="1">
      <alignment horizontal="center" vertical="center"/>
    </xf>
    <xf numFmtId="167" fontId="6" fillId="3" borderId="23" xfId="1" applyNumberFormat="1" applyFont="1" applyFill="1" applyBorder="1" applyAlignment="1">
      <alignment horizontal="center" vertical="center" wrapText="1"/>
    </xf>
    <xf numFmtId="167" fontId="4" fillId="0" borderId="22" xfId="1" applyNumberFormat="1" applyFont="1" applyFill="1" applyBorder="1" applyAlignment="1">
      <alignment horizontal="center" vertical="center"/>
    </xf>
    <xf numFmtId="167" fontId="3" fillId="2" borderId="23" xfId="1" applyNumberFormat="1" applyFont="1" applyFill="1" applyBorder="1" applyAlignment="1">
      <alignment horizontal="center" vertical="center"/>
    </xf>
    <xf numFmtId="167" fontId="4" fillId="6" borderId="23" xfId="1" applyNumberFormat="1" applyFont="1" applyFill="1" applyBorder="1" applyAlignment="1">
      <alignment vertical="center"/>
    </xf>
    <xf numFmtId="167" fontId="4" fillId="0" borderId="23" xfId="1" applyNumberFormat="1" applyFont="1" applyBorder="1" applyAlignment="1">
      <alignment horizontal="centerContinuous" vertical="center"/>
    </xf>
    <xf numFmtId="0" fontId="3" fillId="0" borderId="0" xfId="9" applyFont="1" applyBorder="1" applyAlignment="1">
      <alignment horizontal="center" vertical="center" wrapText="1"/>
    </xf>
    <xf numFmtId="0" fontId="3" fillId="0" borderId="39" xfId="9" applyFont="1" applyBorder="1" applyAlignment="1">
      <alignment horizontal="center" vertical="center" wrapText="1"/>
    </xf>
    <xf numFmtId="0" fontId="3" fillId="0" borderId="10" xfId="9" applyFont="1" applyBorder="1" applyAlignment="1">
      <alignment horizontal="center" vertical="center" wrapText="1"/>
    </xf>
    <xf numFmtId="0" fontId="3" fillId="0" borderId="13" xfId="9" applyFont="1" applyBorder="1" applyAlignment="1">
      <alignment horizontal="center" vertical="center" wrapText="1"/>
    </xf>
    <xf numFmtId="0" fontId="4" fillId="0" borderId="39" xfId="9" applyFont="1" applyBorder="1" applyAlignment="1">
      <alignment horizontal="center" vertical="center"/>
    </xf>
    <xf numFmtId="175" fontId="3" fillId="0" borderId="30" xfId="9" applyNumberFormat="1" applyFont="1" applyBorder="1" applyAlignment="1">
      <alignment horizontal="center" vertical="center" wrapText="1"/>
    </xf>
    <xf numFmtId="0" fontId="4" fillId="0" borderId="16" xfId="9" applyFont="1" applyBorder="1" applyAlignment="1">
      <alignment horizontal="center" vertical="center" wrapText="1"/>
    </xf>
    <xf numFmtId="0" fontId="3" fillId="0" borderId="11" xfId="9" applyFont="1" applyBorder="1" applyAlignment="1">
      <alignment horizontal="center" vertical="center" wrapText="1"/>
    </xf>
    <xf numFmtId="175" fontId="3" fillId="0" borderId="0" xfId="9" applyNumberFormat="1" applyFont="1" applyBorder="1" applyAlignment="1">
      <alignment horizontal="center" vertical="center"/>
    </xf>
    <xf numFmtId="0" fontId="3" fillId="0" borderId="16" xfId="9" applyFont="1" applyBorder="1" applyAlignment="1">
      <alignment horizontal="center" vertical="center"/>
    </xf>
    <xf numFmtId="175" fontId="3" fillId="0" borderId="10" xfId="9" applyNumberFormat="1" applyFont="1" applyBorder="1" applyAlignment="1">
      <alignment horizontal="center" vertical="center" wrapText="1"/>
    </xf>
    <xf numFmtId="175" fontId="3" fillId="0" borderId="13" xfId="9" applyNumberFormat="1" applyFont="1" applyBorder="1" applyAlignment="1">
      <alignment horizontal="center" vertical="center" wrapText="1"/>
    </xf>
    <xf numFmtId="175" fontId="3" fillId="0" borderId="10" xfId="9" applyNumberFormat="1" applyFont="1" applyBorder="1" applyAlignment="1">
      <alignment horizontal="center" vertical="center"/>
    </xf>
    <xf numFmtId="0" fontId="5" fillId="6" borderId="16" xfId="0" applyFont="1" applyFill="1" applyBorder="1" applyAlignment="1">
      <alignment horizontal="centerContinuous" vertical="center"/>
    </xf>
    <xf numFmtId="175" fontId="3" fillId="0" borderId="9" xfId="9" applyNumberFormat="1" applyFont="1" applyBorder="1" applyAlignment="1">
      <alignment horizontal="center" vertical="center" wrapText="1"/>
    </xf>
    <xf numFmtId="175" fontId="3" fillId="0" borderId="11" xfId="9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Continuous" vertical="center"/>
    </xf>
    <xf numFmtId="175" fontId="3" fillId="0" borderId="15" xfId="9" applyNumberFormat="1" applyFont="1" applyBorder="1" applyAlignment="1">
      <alignment horizontal="center" vertical="center"/>
    </xf>
    <xf numFmtId="0" fontId="3" fillId="0" borderId="0" xfId="9" quotePrefix="1" applyFont="1" applyBorder="1" applyAlignment="1">
      <alignment horizontal="center" vertical="center"/>
    </xf>
    <xf numFmtId="0" fontId="0" fillId="0" borderId="39" xfId="0" applyBorder="1" applyAlignment="1">
      <alignment horizontal="centerContinuous" vertical="center"/>
    </xf>
    <xf numFmtId="0" fontId="3" fillId="0" borderId="13" xfId="9" quotePrefix="1" applyFont="1" applyBorder="1" applyAlignment="1">
      <alignment horizontal="center" vertical="center"/>
    </xf>
    <xf numFmtId="0" fontId="4" fillId="5" borderId="23" xfId="9" quotePrefix="1" applyFont="1" applyFill="1" applyBorder="1" applyAlignment="1">
      <alignment horizontal="center" vertical="center"/>
    </xf>
    <xf numFmtId="0" fontId="3" fillId="2" borderId="39" xfId="9" quotePrefix="1" applyFont="1" applyFill="1" applyBorder="1" applyAlignment="1">
      <alignment horizontal="center" vertical="center"/>
    </xf>
    <xf numFmtId="0" fontId="3" fillId="0" borderId="25" xfId="9" quotePrefix="1" applyFont="1" applyBorder="1" applyAlignment="1">
      <alignment horizontal="center" vertical="center"/>
    </xf>
    <xf numFmtId="0" fontId="3" fillId="6" borderId="39" xfId="0" applyFont="1" applyFill="1" applyBorder="1" applyAlignment="1">
      <alignment horizontal="centerContinuous" vertical="center"/>
    </xf>
    <xf numFmtId="0" fontId="3" fillId="0" borderId="42" xfId="9" quotePrefix="1" applyFont="1" applyBorder="1" applyAlignment="1">
      <alignment horizontal="center" vertical="center"/>
    </xf>
    <xf numFmtId="14" fontId="5" fillId="0" borderId="39" xfId="0" applyNumberFormat="1" applyFont="1" applyBorder="1" applyAlignment="1">
      <alignment horizontal="centerContinuous" vertical="center"/>
    </xf>
    <xf numFmtId="14" fontId="5" fillId="0" borderId="33" xfId="0" applyNumberFormat="1" applyFont="1" applyBorder="1" applyAlignment="1">
      <alignment horizontal="center" vertical="center"/>
    </xf>
    <xf numFmtId="0" fontId="6" fillId="3" borderId="33" xfId="8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Continuous" vertical="center"/>
    </xf>
    <xf numFmtId="0" fontId="0" fillId="0" borderId="33" xfId="0" applyBorder="1" applyAlignment="1">
      <alignment vertical="center"/>
    </xf>
    <xf numFmtId="0" fontId="3" fillId="0" borderId="33" xfId="0" applyFont="1" applyBorder="1" applyAlignment="1">
      <alignment vertical="center"/>
    </xf>
  </cellXfs>
  <cellStyles count="11">
    <cellStyle name="Comma" xfId="1" builtinId="3"/>
    <cellStyle name="Comma 72" xfId="3" xr:uid="{7901018F-290E-43DF-95F8-F13A4DAF7000}"/>
    <cellStyle name="Comma 73" xfId="4" xr:uid="{DD85DD64-2C55-42BF-B3FE-A584DDBC7A8F}"/>
    <cellStyle name="Normal" xfId="0" builtinId="0"/>
    <cellStyle name="Normal 10 2 2" xfId="7" xr:uid="{7129F693-1826-4242-A4DE-6CF9338DAC97}"/>
    <cellStyle name="Normal 12 2" xfId="5" xr:uid="{86F8EEBA-F66E-4B2A-95E2-66CC58A115F0}"/>
    <cellStyle name="Normal 2 2 2 2 2" xfId="9" xr:uid="{6B15131B-B2FE-4567-B1B7-5DB8FB681763}"/>
    <cellStyle name="Normal_Abstract sheet2" xfId="6" xr:uid="{6DBC2479-EC38-4FA5-8603-5C4E8E4FD11C}"/>
    <cellStyle name="Normal_COVERPAGE-IPA20" xfId="10" xr:uid="{BB76123C-D166-472C-AFC1-1BC79BBCA7EB}"/>
    <cellStyle name="Normal_IPC#07 SOMA THSLSH" xfId="8" xr:uid="{8B5013CC-B1DC-40E5-A5F4-9019273CF760}"/>
    <cellStyle name="Percent" xfId="2" builtinId="5"/>
  </cellStyles>
  <dxfs count="1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4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8.png"/><Relationship Id="rId4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9.png"/><Relationship Id="rId4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9.png"/><Relationship Id="rId4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9.png"/><Relationship Id="rId4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9.png"/><Relationship Id="rId4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9.png"/><Relationship Id="rId4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9.png"/><Relationship Id="rId4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3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2.png"/><Relationship Id="rId1" Type="http://schemas.openxmlformats.org/officeDocument/2006/relationships/image" Target="../media/image14.png"/><Relationship Id="rId4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7103</xdr:colOff>
      <xdr:row>53</xdr:row>
      <xdr:rowOff>64105</xdr:rowOff>
    </xdr:from>
    <xdr:to>
      <xdr:col>3</xdr:col>
      <xdr:colOff>1251857</xdr:colOff>
      <xdr:row>62</xdr:row>
      <xdr:rowOff>21772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D0D3C4-87B4-47D4-8CA3-E081E702E85C}"/>
            </a:ext>
          </a:extLst>
        </xdr:cNvPr>
        <xdr:cNvSpPr/>
      </xdr:nvSpPr>
      <xdr:spPr>
        <a:xfrm>
          <a:off x="94189" y="10274905"/>
          <a:ext cx="3400125" cy="1623181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7102</xdr:colOff>
      <xdr:row>62</xdr:row>
      <xdr:rowOff>85871</xdr:rowOff>
    </xdr:from>
    <xdr:to>
      <xdr:col>3</xdr:col>
      <xdr:colOff>1251856</xdr:colOff>
      <xdr:row>71</xdr:row>
      <xdr:rowOff>43537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20CBA23D-CDC1-4287-AD62-782D5DD23EC1}"/>
            </a:ext>
          </a:extLst>
        </xdr:cNvPr>
        <xdr:cNvSpPr/>
      </xdr:nvSpPr>
      <xdr:spPr>
        <a:xfrm>
          <a:off x="94188" y="11962185"/>
          <a:ext cx="3400125" cy="1623181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7098</xdr:colOff>
      <xdr:row>71</xdr:row>
      <xdr:rowOff>107646</xdr:rowOff>
    </xdr:from>
    <xdr:to>
      <xdr:col>3</xdr:col>
      <xdr:colOff>1251852</xdr:colOff>
      <xdr:row>80</xdr:row>
      <xdr:rowOff>65313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399E405-6A5C-4FD4-9408-A33CBFF353CF}"/>
            </a:ext>
          </a:extLst>
        </xdr:cNvPr>
        <xdr:cNvSpPr/>
      </xdr:nvSpPr>
      <xdr:spPr>
        <a:xfrm>
          <a:off x="94184" y="13649475"/>
          <a:ext cx="3400125" cy="1623181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7094</xdr:colOff>
      <xdr:row>80</xdr:row>
      <xdr:rowOff>129415</xdr:rowOff>
    </xdr:from>
    <xdr:to>
      <xdr:col>3</xdr:col>
      <xdr:colOff>1251848</xdr:colOff>
      <xdr:row>90</xdr:row>
      <xdr:rowOff>10885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6EA02D9-9D51-44D7-A59B-77BB93B31C87}"/>
            </a:ext>
          </a:extLst>
        </xdr:cNvPr>
        <xdr:cNvSpPr/>
      </xdr:nvSpPr>
      <xdr:spPr>
        <a:xfrm>
          <a:off x="94180" y="15543586"/>
          <a:ext cx="3400125" cy="169938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1324271</xdr:colOff>
      <xdr:row>53</xdr:row>
      <xdr:rowOff>64101</xdr:rowOff>
    </xdr:from>
    <xdr:to>
      <xdr:col>5</xdr:col>
      <xdr:colOff>587824</xdr:colOff>
      <xdr:row>62</xdr:row>
      <xdr:rowOff>21768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F3DDF9A-81B7-41A8-8EC7-82E6E7F26F9C}"/>
            </a:ext>
          </a:extLst>
        </xdr:cNvPr>
        <xdr:cNvSpPr/>
      </xdr:nvSpPr>
      <xdr:spPr>
        <a:xfrm>
          <a:off x="3566728" y="10274901"/>
          <a:ext cx="3400125" cy="1623181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1324270</xdr:colOff>
      <xdr:row>62</xdr:row>
      <xdr:rowOff>85867</xdr:rowOff>
    </xdr:from>
    <xdr:to>
      <xdr:col>5</xdr:col>
      <xdr:colOff>587823</xdr:colOff>
      <xdr:row>71</xdr:row>
      <xdr:rowOff>43533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677B290-AD74-4002-B196-B39C7059A3E3}"/>
            </a:ext>
          </a:extLst>
        </xdr:cNvPr>
        <xdr:cNvSpPr/>
      </xdr:nvSpPr>
      <xdr:spPr>
        <a:xfrm>
          <a:off x="3566727" y="11962181"/>
          <a:ext cx="3400125" cy="1623181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1324266</xdr:colOff>
      <xdr:row>71</xdr:row>
      <xdr:rowOff>107642</xdr:rowOff>
    </xdr:from>
    <xdr:to>
      <xdr:col>5</xdr:col>
      <xdr:colOff>587819</xdr:colOff>
      <xdr:row>80</xdr:row>
      <xdr:rowOff>65309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C9EE25F7-32DF-4FD8-9D4A-EC747828E8EB}"/>
            </a:ext>
          </a:extLst>
        </xdr:cNvPr>
        <xdr:cNvSpPr/>
      </xdr:nvSpPr>
      <xdr:spPr>
        <a:xfrm>
          <a:off x="3566723" y="13649471"/>
          <a:ext cx="3400125" cy="1623181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1324262</xdr:colOff>
      <xdr:row>80</xdr:row>
      <xdr:rowOff>129411</xdr:rowOff>
    </xdr:from>
    <xdr:to>
      <xdr:col>5</xdr:col>
      <xdr:colOff>587815</xdr:colOff>
      <xdr:row>90</xdr:row>
      <xdr:rowOff>14144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93645A1D-E87F-4FE6-A8AB-DC9E5A94FCFE}"/>
            </a:ext>
          </a:extLst>
        </xdr:cNvPr>
        <xdr:cNvSpPr/>
      </xdr:nvSpPr>
      <xdr:spPr>
        <a:xfrm>
          <a:off x="3566719" y="15336754"/>
          <a:ext cx="3400125" cy="1615561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649359</xdr:colOff>
      <xdr:row>53</xdr:row>
      <xdr:rowOff>64099</xdr:rowOff>
    </xdr:from>
    <xdr:to>
      <xdr:col>7</xdr:col>
      <xdr:colOff>1349827</xdr:colOff>
      <xdr:row>62</xdr:row>
      <xdr:rowOff>21766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6AF460-0896-46AC-BC57-45C7C86B4626}"/>
            </a:ext>
          </a:extLst>
        </xdr:cNvPr>
        <xdr:cNvSpPr/>
      </xdr:nvSpPr>
      <xdr:spPr>
        <a:xfrm>
          <a:off x="7028388" y="10274899"/>
          <a:ext cx="3400125" cy="1623181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649358</xdr:colOff>
      <xdr:row>62</xdr:row>
      <xdr:rowOff>85865</xdr:rowOff>
    </xdr:from>
    <xdr:to>
      <xdr:col>7</xdr:col>
      <xdr:colOff>1349826</xdr:colOff>
      <xdr:row>71</xdr:row>
      <xdr:rowOff>43531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35FF4595-AC62-41D7-B4C1-46132DAC70F3}"/>
            </a:ext>
          </a:extLst>
        </xdr:cNvPr>
        <xdr:cNvSpPr/>
      </xdr:nvSpPr>
      <xdr:spPr>
        <a:xfrm>
          <a:off x="7028387" y="11962179"/>
          <a:ext cx="3400125" cy="1623181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649354</xdr:colOff>
      <xdr:row>71</xdr:row>
      <xdr:rowOff>107640</xdr:rowOff>
    </xdr:from>
    <xdr:to>
      <xdr:col>7</xdr:col>
      <xdr:colOff>1349822</xdr:colOff>
      <xdr:row>80</xdr:row>
      <xdr:rowOff>65307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DE25C662-DACD-4FB1-936F-6A16034A39BF}"/>
            </a:ext>
          </a:extLst>
        </xdr:cNvPr>
        <xdr:cNvSpPr/>
      </xdr:nvSpPr>
      <xdr:spPr>
        <a:xfrm>
          <a:off x="7028383" y="13649469"/>
          <a:ext cx="3400125" cy="1623181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649350</xdr:colOff>
      <xdr:row>80</xdr:row>
      <xdr:rowOff>129409</xdr:rowOff>
    </xdr:from>
    <xdr:to>
      <xdr:col>7</xdr:col>
      <xdr:colOff>1349818</xdr:colOff>
      <xdr:row>90</xdr:row>
      <xdr:rowOff>14142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F58728F-5B4B-4260-88B7-48882C619D78}"/>
            </a:ext>
          </a:extLst>
        </xdr:cNvPr>
        <xdr:cNvSpPr/>
      </xdr:nvSpPr>
      <xdr:spPr>
        <a:xfrm>
          <a:off x="7028379" y="15336752"/>
          <a:ext cx="3400125" cy="1615561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113595</xdr:colOff>
      <xdr:row>1</xdr:row>
      <xdr:rowOff>98896</xdr:rowOff>
    </xdr:from>
    <xdr:to>
      <xdr:col>1</xdr:col>
      <xdr:colOff>675283</xdr:colOff>
      <xdr:row>1</xdr:row>
      <xdr:rowOff>628774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9F1BE3-5188-4BBF-9C93-6B194083D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270" y="156046"/>
          <a:ext cx="561688" cy="529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48058</xdr:colOff>
      <xdr:row>1</xdr:row>
      <xdr:rowOff>103476</xdr:rowOff>
    </xdr:from>
    <xdr:to>
      <xdr:col>9</xdr:col>
      <xdr:colOff>628217</xdr:colOff>
      <xdr:row>1</xdr:row>
      <xdr:rowOff>648999</xdr:rowOff>
    </xdr:to>
    <xdr:pic>
      <xdr:nvPicPr>
        <xdr:cNvPr id="3" name="Picture 5" descr="C:\Users\SURYA-KANTA\AppData\Local\Microsoft\Windows\INetCache\Content.MSO\5C653A75.tmp">
          <a:extLst>
            <a:ext uri="{FF2B5EF4-FFF2-40B4-BE49-F238E27FC236}">
              <a16:creationId xmlns:a16="http://schemas.microsoft.com/office/drawing/2014/main" id="{E2029AAB-728D-48E3-8426-2358DB9B0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8508" y="160626"/>
          <a:ext cx="580159" cy="545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725093</xdr:colOff>
      <xdr:row>1</xdr:row>
      <xdr:rowOff>103477</xdr:rowOff>
    </xdr:from>
    <xdr:to>
      <xdr:col>10</xdr:col>
      <xdr:colOff>463155</xdr:colOff>
      <xdr:row>1</xdr:row>
      <xdr:rowOff>649000</xdr:rowOff>
    </xdr:to>
    <xdr:pic>
      <xdr:nvPicPr>
        <xdr:cNvPr id="6" name="Picture 3" descr="C:\Users\SURYA-KANTA\AppData\Local\Microsoft\Windows\INetCache\Content.MSO\3C31AD93.tmp">
          <a:extLst>
            <a:ext uri="{FF2B5EF4-FFF2-40B4-BE49-F238E27FC236}">
              <a16:creationId xmlns:a16="http://schemas.microsoft.com/office/drawing/2014/main" id="{E051EDA9-15E2-4B3F-A8FA-554863FF6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5543" y="160627"/>
          <a:ext cx="547687" cy="545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557429</xdr:colOff>
      <xdr:row>1</xdr:row>
      <xdr:rowOff>114517</xdr:rowOff>
    </xdr:from>
    <xdr:to>
      <xdr:col>10</xdr:col>
      <xdr:colOff>1085634</xdr:colOff>
      <xdr:row>1</xdr:row>
      <xdr:rowOff>642722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023D6A-0452-4684-AC33-653859829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7504" y="171667"/>
          <a:ext cx="528205" cy="528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108421</xdr:rowOff>
    </xdr:from>
    <xdr:to>
      <xdr:col>1</xdr:col>
      <xdr:colOff>637888</xdr:colOff>
      <xdr:row>1</xdr:row>
      <xdr:rowOff>638299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58B84D-9B19-79F7-29D2-313E91F80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65571"/>
          <a:ext cx="552163" cy="529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59531</xdr:colOff>
      <xdr:row>1</xdr:row>
      <xdr:rowOff>59531</xdr:rowOff>
    </xdr:from>
    <xdr:to>
      <xdr:col>16</xdr:col>
      <xdr:colOff>697706</xdr:colOff>
      <xdr:row>1</xdr:row>
      <xdr:rowOff>659606</xdr:rowOff>
    </xdr:to>
    <xdr:pic>
      <xdr:nvPicPr>
        <xdr:cNvPr id="4" name="Picture 5" descr="C:\Users\SURYA-KANTA\AppData\Local\Microsoft\Windows\INetCache\Content.MSO\5C653A75.tmp">
          <a:extLst>
            <a:ext uri="{FF2B5EF4-FFF2-40B4-BE49-F238E27FC236}">
              <a16:creationId xmlns:a16="http://schemas.microsoft.com/office/drawing/2014/main" id="{DB0FE5DA-16E2-E11F-A8C9-A5D6E8A80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8812" y="130969"/>
          <a:ext cx="6381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738189</xdr:colOff>
      <xdr:row>1</xdr:row>
      <xdr:rowOff>59532</xdr:rowOff>
    </xdr:from>
    <xdr:to>
      <xdr:col>17</xdr:col>
      <xdr:colOff>473870</xdr:colOff>
      <xdr:row>1</xdr:row>
      <xdr:rowOff>659607</xdr:rowOff>
    </xdr:to>
    <xdr:pic>
      <xdr:nvPicPr>
        <xdr:cNvPr id="5" name="Picture 3" descr="C:\Users\SURYA-KANTA\AppData\Local\Microsoft\Windows\INetCache\Content.MSO\3C31AD93.tmp">
          <a:extLst>
            <a:ext uri="{FF2B5EF4-FFF2-40B4-BE49-F238E27FC236}">
              <a16:creationId xmlns:a16="http://schemas.microsoft.com/office/drawing/2014/main" id="{6F35B11D-0319-28F0-FC67-E8A0E530C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7470" y="130970"/>
          <a:ext cx="5810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523875</xdr:colOff>
      <xdr:row>1</xdr:row>
      <xdr:rowOff>71438</xdr:rowOff>
    </xdr:from>
    <xdr:to>
      <xdr:col>17</xdr:col>
      <xdr:colOff>1104900</xdr:colOff>
      <xdr:row>1</xdr:row>
      <xdr:rowOff>652463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AC8892-E9E5-E670-1CA0-920519C64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0" y="142876"/>
          <a:ext cx="5810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285749</xdr:colOff>
      <xdr:row>1</xdr:row>
      <xdr:rowOff>107160</xdr:rowOff>
    </xdr:from>
    <xdr:to>
      <xdr:col>1</xdr:col>
      <xdr:colOff>642375</xdr:colOff>
      <xdr:row>1</xdr:row>
      <xdr:rowOff>443590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D4ECEA-F89F-4561-9D12-0B6744D90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214316"/>
          <a:ext cx="356626" cy="336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6216</xdr:colOff>
      <xdr:row>1</xdr:row>
      <xdr:rowOff>67403</xdr:rowOff>
    </xdr:from>
    <xdr:to>
      <xdr:col>9</xdr:col>
      <xdr:colOff>460508</xdr:colOff>
      <xdr:row>1</xdr:row>
      <xdr:rowOff>494571</xdr:rowOff>
    </xdr:to>
    <xdr:pic>
      <xdr:nvPicPr>
        <xdr:cNvPr id="2" name="Picture 5" descr="C:\Users\SURYA-KANTA\AppData\Local\Microsoft\Windows\INetCache\Content.MSO\5C653A75.tmp">
          <a:extLst>
            <a:ext uri="{FF2B5EF4-FFF2-40B4-BE49-F238E27FC236}">
              <a16:creationId xmlns:a16="http://schemas.microsoft.com/office/drawing/2014/main" id="{457A90F6-8C50-4AD4-A48B-3E823A7D9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7216" y="162653"/>
          <a:ext cx="454292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546379</xdr:colOff>
      <xdr:row>1</xdr:row>
      <xdr:rowOff>67404</xdr:rowOff>
    </xdr:from>
    <xdr:to>
      <xdr:col>9</xdr:col>
      <xdr:colOff>975244</xdr:colOff>
      <xdr:row>1</xdr:row>
      <xdr:rowOff>494572</xdr:rowOff>
    </xdr:to>
    <xdr:pic>
      <xdr:nvPicPr>
        <xdr:cNvPr id="3" name="Picture 3" descr="C:\Users\SURYA-KANTA\AppData\Local\Microsoft\Windows\INetCache\Content.MSO\3C31AD93.tmp">
          <a:extLst>
            <a:ext uri="{FF2B5EF4-FFF2-40B4-BE49-F238E27FC236}">
              <a16:creationId xmlns:a16="http://schemas.microsoft.com/office/drawing/2014/main" id="{9AF2F258-CE73-4329-8630-564AED8A6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7379" y="162654"/>
          <a:ext cx="428865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1110028</xdr:colOff>
      <xdr:row>1</xdr:row>
      <xdr:rowOff>76566</xdr:rowOff>
    </xdr:from>
    <xdr:to>
      <xdr:col>9</xdr:col>
      <xdr:colOff>1523634</xdr:colOff>
      <xdr:row>1</xdr:row>
      <xdr:rowOff>490172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96F0C3-9271-43A2-B75B-040FD72D9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1028" y="171816"/>
          <a:ext cx="413606" cy="413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285748</xdr:colOff>
      <xdr:row>1</xdr:row>
      <xdr:rowOff>119066</xdr:rowOff>
    </xdr:from>
    <xdr:to>
      <xdr:col>1</xdr:col>
      <xdr:colOff>642374</xdr:colOff>
      <xdr:row>1</xdr:row>
      <xdr:rowOff>440532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41F2CB-7C56-4866-B05D-BDE55F444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7" y="226222"/>
          <a:ext cx="356626" cy="321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85725</xdr:colOff>
      <xdr:row>1</xdr:row>
      <xdr:rowOff>57150</xdr:rowOff>
    </xdr:from>
    <xdr:to>
      <xdr:col>9</xdr:col>
      <xdr:colOff>540017</xdr:colOff>
      <xdr:row>1</xdr:row>
      <xdr:rowOff>484318</xdr:rowOff>
    </xdr:to>
    <xdr:pic>
      <xdr:nvPicPr>
        <xdr:cNvPr id="5" name="Picture 5" descr="C:\Users\SURYA-KANTA\AppData\Local\Microsoft\Windows\INetCache\Content.MSO\5C653A75.tmp">
          <a:extLst>
            <a:ext uri="{FF2B5EF4-FFF2-40B4-BE49-F238E27FC236}">
              <a16:creationId xmlns:a16="http://schemas.microsoft.com/office/drawing/2014/main" id="{C7E715EA-DE29-406D-A908-3990546BF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0" y="152400"/>
          <a:ext cx="454292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625888</xdr:colOff>
      <xdr:row>1</xdr:row>
      <xdr:rowOff>57151</xdr:rowOff>
    </xdr:from>
    <xdr:to>
      <xdr:col>9</xdr:col>
      <xdr:colOff>1054753</xdr:colOff>
      <xdr:row>1</xdr:row>
      <xdr:rowOff>484319</xdr:rowOff>
    </xdr:to>
    <xdr:pic>
      <xdr:nvPicPr>
        <xdr:cNvPr id="6" name="Picture 3" descr="C:\Users\SURYA-KANTA\AppData\Local\Microsoft\Windows\INetCache\Content.MSO\3C31AD93.tmp">
          <a:extLst>
            <a:ext uri="{FF2B5EF4-FFF2-40B4-BE49-F238E27FC236}">
              <a16:creationId xmlns:a16="http://schemas.microsoft.com/office/drawing/2014/main" id="{52CBD4D0-9E01-46A7-B7E0-721B6C0DF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84463" y="152401"/>
          <a:ext cx="428865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1189537</xdr:colOff>
      <xdr:row>1</xdr:row>
      <xdr:rowOff>66313</xdr:rowOff>
    </xdr:from>
    <xdr:to>
      <xdr:col>9</xdr:col>
      <xdr:colOff>1603143</xdr:colOff>
      <xdr:row>1</xdr:row>
      <xdr:rowOff>479919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6FEF3D-0E33-4711-804E-21E57C3A9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8112" y="161563"/>
          <a:ext cx="413606" cy="413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261938</xdr:colOff>
      <xdr:row>1</xdr:row>
      <xdr:rowOff>107159</xdr:rowOff>
    </xdr:from>
    <xdr:to>
      <xdr:col>1</xdr:col>
      <xdr:colOff>618564</xdr:colOff>
      <xdr:row>1</xdr:row>
      <xdr:rowOff>452438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6F997-CFCB-49EA-B3B5-2A24C9496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907" y="214315"/>
          <a:ext cx="356626" cy="345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66675</xdr:colOff>
      <xdr:row>1</xdr:row>
      <xdr:rowOff>57150</xdr:rowOff>
    </xdr:from>
    <xdr:to>
      <xdr:col>9</xdr:col>
      <xdr:colOff>520967</xdr:colOff>
      <xdr:row>1</xdr:row>
      <xdr:rowOff>484318</xdr:rowOff>
    </xdr:to>
    <xdr:pic>
      <xdr:nvPicPr>
        <xdr:cNvPr id="5" name="Picture 5" descr="C:\Users\SURYA-KANTA\AppData\Local\Microsoft\Windows\INetCache\Content.MSO\5C653A75.tmp">
          <a:extLst>
            <a:ext uri="{FF2B5EF4-FFF2-40B4-BE49-F238E27FC236}">
              <a16:creationId xmlns:a16="http://schemas.microsoft.com/office/drawing/2014/main" id="{EA5BE3E8-7F68-4759-80C3-E7FDC04F9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152400"/>
          <a:ext cx="454292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606838</xdr:colOff>
      <xdr:row>1</xdr:row>
      <xdr:rowOff>57151</xdr:rowOff>
    </xdr:from>
    <xdr:to>
      <xdr:col>9</xdr:col>
      <xdr:colOff>1035703</xdr:colOff>
      <xdr:row>1</xdr:row>
      <xdr:rowOff>484319</xdr:rowOff>
    </xdr:to>
    <xdr:pic>
      <xdr:nvPicPr>
        <xdr:cNvPr id="6" name="Picture 3" descr="C:\Users\SURYA-KANTA\AppData\Local\Microsoft\Windows\INetCache\Content.MSO\3C31AD93.tmp">
          <a:extLst>
            <a:ext uri="{FF2B5EF4-FFF2-40B4-BE49-F238E27FC236}">
              <a16:creationId xmlns:a16="http://schemas.microsoft.com/office/drawing/2014/main" id="{EFD69E0A-456B-4637-A607-50DED2BBD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4938" y="152401"/>
          <a:ext cx="428865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1170487</xdr:colOff>
      <xdr:row>1</xdr:row>
      <xdr:rowOff>66313</xdr:rowOff>
    </xdr:from>
    <xdr:to>
      <xdr:col>9</xdr:col>
      <xdr:colOff>1584093</xdr:colOff>
      <xdr:row>1</xdr:row>
      <xdr:rowOff>479919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DDF21E-9F1E-4E7A-9E5C-8B5A9E70B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8587" y="161563"/>
          <a:ext cx="413606" cy="413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273843</xdr:colOff>
      <xdr:row>1120</xdr:row>
      <xdr:rowOff>107159</xdr:rowOff>
    </xdr:from>
    <xdr:to>
      <xdr:col>1</xdr:col>
      <xdr:colOff>630469</xdr:colOff>
      <xdr:row>1120</xdr:row>
      <xdr:rowOff>441008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DEFC4E-68BA-44B7-A403-68E445161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" y="214315"/>
          <a:ext cx="356626" cy="345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76200</xdr:colOff>
      <xdr:row>1120</xdr:row>
      <xdr:rowOff>57150</xdr:rowOff>
    </xdr:from>
    <xdr:to>
      <xdr:col>9</xdr:col>
      <xdr:colOff>530492</xdr:colOff>
      <xdr:row>1120</xdr:row>
      <xdr:rowOff>484318</xdr:rowOff>
    </xdr:to>
    <xdr:pic>
      <xdr:nvPicPr>
        <xdr:cNvPr id="8" name="Picture 5" descr="C:\Users\SURYA-KANTA\AppData\Local\Microsoft\Windows\INetCache\Content.MSO\5C653A75.tmp">
          <a:extLst>
            <a:ext uri="{FF2B5EF4-FFF2-40B4-BE49-F238E27FC236}">
              <a16:creationId xmlns:a16="http://schemas.microsoft.com/office/drawing/2014/main" id="{FB1FC637-56D3-40EA-BAB6-ABD19412B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152400"/>
          <a:ext cx="454292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616363</xdr:colOff>
      <xdr:row>1120</xdr:row>
      <xdr:rowOff>57151</xdr:rowOff>
    </xdr:from>
    <xdr:to>
      <xdr:col>9</xdr:col>
      <xdr:colOff>1045228</xdr:colOff>
      <xdr:row>1120</xdr:row>
      <xdr:rowOff>484319</xdr:rowOff>
    </xdr:to>
    <xdr:pic>
      <xdr:nvPicPr>
        <xdr:cNvPr id="9" name="Picture 3" descr="C:\Users\SURYA-KANTA\AppData\Local\Microsoft\Windows\INetCache\Content.MSO\3C31AD93.tmp">
          <a:extLst>
            <a:ext uri="{FF2B5EF4-FFF2-40B4-BE49-F238E27FC236}">
              <a16:creationId xmlns:a16="http://schemas.microsoft.com/office/drawing/2014/main" id="{C557CDE1-E537-48B3-BE4A-1CB6D1B5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4938" y="152401"/>
          <a:ext cx="428865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1180012</xdr:colOff>
      <xdr:row>1120</xdr:row>
      <xdr:rowOff>66313</xdr:rowOff>
    </xdr:from>
    <xdr:to>
      <xdr:col>9</xdr:col>
      <xdr:colOff>1593618</xdr:colOff>
      <xdr:row>1120</xdr:row>
      <xdr:rowOff>479919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A11A058-2CB4-4831-B358-076A97C3D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8587" y="161563"/>
          <a:ext cx="413606" cy="413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250031</xdr:colOff>
      <xdr:row>1</xdr:row>
      <xdr:rowOff>119065</xdr:rowOff>
    </xdr:from>
    <xdr:to>
      <xdr:col>1</xdr:col>
      <xdr:colOff>606657</xdr:colOff>
      <xdr:row>1</xdr:row>
      <xdr:rowOff>464344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366E1-5BE8-4A25-94B4-2F090062A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26221"/>
          <a:ext cx="356626" cy="345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66675</xdr:colOff>
      <xdr:row>1</xdr:row>
      <xdr:rowOff>66675</xdr:rowOff>
    </xdr:from>
    <xdr:to>
      <xdr:col>9</xdr:col>
      <xdr:colOff>520967</xdr:colOff>
      <xdr:row>1</xdr:row>
      <xdr:rowOff>493843</xdr:rowOff>
    </xdr:to>
    <xdr:pic>
      <xdr:nvPicPr>
        <xdr:cNvPr id="5" name="Picture 5" descr="C:\Users\SURYA-KANTA\AppData\Local\Microsoft\Windows\INetCache\Content.MSO\5C653A75.tmp">
          <a:extLst>
            <a:ext uri="{FF2B5EF4-FFF2-40B4-BE49-F238E27FC236}">
              <a16:creationId xmlns:a16="http://schemas.microsoft.com/office/drawing/2014/main" id="{EDCAC9BE-C93F-4AEF-90BD-91B4437D7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0" y="161925"/>
          <a:ext cx="454292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606838</xdr:colOff>
      <xdr:row>1</xdr:row>
      <xdr:rowOff>66676</xdr:rowOff>
    </xdr:from>
    <xdr:to>
      <xdr:col>9</xdr:col>
      <xdr:colOff>1035703</xdr:colOff>
      <xdr:row>1</xdr:row>
      <xdr:rowOff>493844</xdr:rowOff>
    </xdr:to>
    <xdr:pic>
      <xdr:nvPicPr>
        <xdr:cNvPr id="6" name="Picture 3" descr="C:\Users\SURYA-KANTA\AppData\Local\Microsoft\Windows\INetCache\Content.MSO\3C31AD93.tmp">
          <a:extLst>
            <a:ext uri="{FF2B5EF4-FFF2-40B4-BE49-F238E27FC236}">
              <a16:creationId xmlns:a16="http://schemas.microsoft.com/office/drawing/2014/main" id="{772E786B-4DE6-4821-910D-D9D55C232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413" y="161926"/>
          <a:ext cx="428865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1170487</xdr:colOff>
      <xdr:row>1</xdr:row>
      <xdr:rowOff>75838</xdr:rowOff>
    </xdr:from>
    <xdr:to>
      <xdr:col>9</xdr:col>
      <xdr:colOff>1584093</xdr:colOff>
      <xdr:row>1</xdr:row>
      <xdr:rowOff>489444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074625-4834-4176-9101-4CF940DB7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9062" y="171088"/>
          <a:ext cx="413606" cy="413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250031</xdr:colOff>
      <xdr:row>1</xdr:row>
      <xdr:rowOff>119065</xdr:rowOff>
    </xdr:from>
    <xdr:to>
      <xdr:col>1</xdr:col>
      <xdr:colOff>606657</xdr:colOff>
      <xdr:row>1</xdr:row>
      <xdr:rowOff>464344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0FD5B7-9511-457D-8459-AADA0706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191" y="218125"/>
          <a:ext cx="356626" cy="345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66675</xdr:colOff>
      <xdr:row>1</xdr:row>
      <xdr:rowOff>66675</xdr:rowOff>
    </xdr:from>
    <xdr:to>
      <xdr:col>9</xdr:col>
      <xdr:colOff>520967</xdr:colOff>
      <xdr:row>1</xdr:row>
      <xdr:rowOff>493843</xdr:rowOff>
    </xdr:to>
    <xdr:pic>
      <xdr:nvPicPr>
        <xdr:cNvPr id="3" name="Picture 5" descr="C:\Users\SURYA-KANTA\AppData\Local\Microsoft\Windows\INetCache\Content.MSO\5C653A75.tmp">
          <a:extLst>
            <a:ext uri="{FF2B5EF4-FFF2-40B4-BE49-F238E27FC236}">
              <a16:creationId xmlns:a16="http://schemas.microsoft.com/office/drawing/2014/main" id="{D70C01E8-4E3E-4C7D-934A-DE21E3E44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165735"/>
          <a:ext cx="454292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606838</xdr:colOff>
      <xdr:row>1</xdr:row>
      <xdr:rowOff>66676</xdr:rowOff>
    </xdr:from>
    <xdr:to>
      <xdr:col>9</xdr:col>
      <xdr:colOff>1035703</xdr:colOff>
      <xdr:row>1</xdr:row>
      <xdr:rowOff>493844</xdr:rowOff>
    </xdr:to>
    <xdr:pic>
      <xdr:nvPicPr>
        <xdr:cNvPr id="4" name="Picture 3" descr="C:\Users\SURYA-KANTA\AppData\Local\Microsoft\Windows\INetCache\Content.MSO\3C31AD93.tmp">
          <a:extLst>
            <a:ext uri="{FF2B5EF4-FFF2-40B4-BE49-F238E27FC236}">
              <a16:creationId xmlns:a16="http://schemas.microsoft.com/office/drawing/2014/main" id="{DBE59C9D-7D11-4A65-AF97-B06CE7D08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4938" y="165736"/>
          <a:ext cx="428865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1170487</xdr:colOff>
      <xdr:row>1</xdr:row>
      <xdr:rowOff>75838</xdr:rowOff>
    </xdr:from>
    <xdr:to>
      <xdr:col>9</xdr:col>
      <xdr:colOff>1584093</xdr:colOff>
      <xdr:row>1</xdr:row>
      <xdr:rowOff>489444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76F7DA-5C06-48C4-A313-9F8D0A27F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8587" y="174898"/>
          <a:ext cx="413606" cy="413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261938</xdr:colOff>
      <xdr:row>1</xdr:row>
      <xdr:rowOff>107159</xdr:rowOff>
    </xdr:from>
    <xdr:to>
      <xdr:col>1</xdr:col>
      <xdr:colOff>618564</xdr:colOff>
      <xdr:row>1</xdr:row>
      <xdr:rowOff>452438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CCA842-75EB-42A4-A822-B8560294A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8" y="206219"/>
          <a:ext cx="356626" cy="345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</xdr:row>
      <xdr:rowOff>57150</xdr:rowOff>
    </xdr:from>
    <xdr:to>
      <xdr:col>12</xdr:col>
      <xdr:colOff>568592</xdr:colOff>
      <xdr:row>1</xdr:row>
      <xdr:rowOff>484318</xdr:rowOff>
    </xdr:to>
    <xdr:pic>
      <xdr:nvPicPr>
        <xdr:cNvPr id="3" name="Picture 5" descr="C:\Users\SURYA-KANTA\AppData\Local\Microsoft\Windows\INetCache\Content.MSO\5C653A75.tmp">
          <a:extLst>
            <a:ext uri="{FF2B5EF4-FFF2-40B4-BE49-F238E27FC236}">
              <a16:creationId xmlns:a16="http://schemas.microsoft.com/office/drawing/2014/main" id="{0B1810DE-18FD-41D4-B2E1-2A7B09D2C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152400"/>
          <a:ext cx="454292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654463</xdr:colOff>
      <xdr:row>1</xdr:row>
      <xdr:rowOff>57151</xdr:rowOff>
    </xdr:from>
    <xdr:to>
      <xdr:col>13</xdr:col>
      <xdr:colOff>349903</xdr:colOff>
      <xdr:row>1</xdr:row>
      <xdr:rowOff>484319</xdr:rowOff>
    </xdr:to>
    <xdr:pic>
      <xdr:nvPicPr>
        <xdr:cNvPr id="4" name="Picture 3" descr="C:\Users\SURYA-KANTA\AppData\Local\Microsoft\Windows\INetCache\Content.MSO\3C31AD93.tmp">
          <a:extLst>
            <a:ext uri="{FF2B5EF4-FFF2-40B4-BE49-F238E27FC236}">
              <a16:creationId xmlns:a16="http://schemas.microsoft.com/office/drawing/2014/main" id="{B5F95701-269E-41C6-90F4-838F225A4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3888" y="152401"/>
          <a:ext cx="428865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484687</xdr:colOff>
      <xdr:row>1</xdr:row>
      <xdr:rowOff>66313</xdr:rowOff>
    </xdr:from>
    <xdr:to>
      <xdr:col>13</xdr:col>
      <xdr:colOff>898293</xdr:colOff>
      <xdr:row>1</xdr:row>
      <xdr:rowOff>479919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EA6CE7-55DB-4D1A-B5DC-AD54DB7C9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7537" y="161563"/>
          <a:ext cx="413606" cy="413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250031</xdr:colOff>
      <xdr:row>1</xdr:row>
      <xdr:rowOff>119065</xdr:rowOff>
    </xdr:from>
    <xdr:to>
      <xdr:col>1</xdr:col>
      <xdr:colOff>606657</xdr:colOff>
      <xdr:row>1</xdr:row>
      <xdr:rowOff>464344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C4F878-5ABF-4D2F-AA86-01134D29F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191" y="218125"/>
          <a:ext cx="356626" cy="345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66675</xdr:colOff>
      <xdr:row>1</xdr:row>
      <xdr:rowOff>66675</xdr:rowOff>
    </xdr:from>
    <xdr:to>
      <xdr:col>9</xdr:col>
      <xdr:colOff>520967</xdr:colOff>
      <xdr:row>1</xdr:row>
      <xdr:rowOff>493843</xdr:rowOff>
    </xdr:to>
    <xdr:pic>
      <xdr:nvPicPr>
        <xdr:cNvPr id="3" name="Picture 5" descr="C:\Users\SURYA-KANTA\AppData\Local\Microsoft\Windows\INetCache\Content.MSO\5C653A75.tmp">
          <a:extLst>
            <a:ext uri="{FF2B5EF4-FFF2-40B4-BE49-F238E27FC236}">
              <a16:creationId xmlns:a16="http://schemas.microsoft.com/office/drawing/2014/main" id="{63054ECD-22BB-4960-86C7-EB993A3BA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4775" y="165735"/>
          <a:ext cx="454292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606838</xdr:colOff>
      <xdr:row>1</xdr:row>
      <xdr:rowOff>66676</xdr:rowOff>
    </xdr:from>
    <xdr:to>
      <xdr:col>9</xdr:col>
      <xdr:colOff>1035703</xdr:colOff>
      <xdr:row>1</xdr:row>
      <xdr:rowOff>493844</xdr:rowOff>
    </xdr:to>
    <xdr:pic>
      <xdr:nvPicPr>
        <xdr:cNvPr id="4" name="Picture 3" descr="C:\Users\SURYA-KANTA\AppData\Local\Microsoft\Windows\INetCache\Content.MSO\3C31AD93.tmp">
          <a:extLst>
            <a:ext uri="{FF2B5EF4-FFF2-40B4-BE49-F238E27FC236}">
              <a16:creationId xmlns:a16="http://schemas.microsoft.com/office/drawing/2014/main" id="{165A000C-C160-4BC8-B1DE-AD1A1E7DC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4938" y="165736"/>
          <a:ext cx="428865" cy="42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1170487</xdr:colOff>
      <xdr:row>1</xdr:row>
      <xdr:rowOff>75838</xdr:rowOff>
    </xdr:from>
    <xdr:to>
      <xdr:col>9</xdr:col>
      <xdr:colOff>1584093</xdr:colOff>
      <xdr:row>1</xdr:row>
      <xdr:rowOff>489444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1300D7-CC04-4ED0-B8CD-2BB16FE55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8587" y="174898"/>
          <a:ext cx="413606" cy="413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75495</xdr:colOff>
      <xdr:row>1</xdr:row>
      <xdr:rowOff>108421</xdr:rowOff>
    </xdr:from>
    <xdr:to>
      <xdr:col>1</xdr:col>
      <xdr:colOff>637183</xdr:colOff>
      <xdr:row>1</xdr:row>
      <xdr:rowOff>638299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EE4282-43F3-4C14-A99A-C13BDC2A5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170" y="175096"/>
          <a:ext cx="561688" cy="529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357188</xdr:colOff>
      <xdr:row>1</xdr:row>
      <xdr:rowOff>71437</xdr:rowOff>
    </xdr:from>
    <xdr:to>
      <xdr:col>12</xdr:col>
      <xdr:colOff>995363</xdr:colOff>
      <xdr:row>1</xdr:row>
      <xdr:rowOff>671512</xdr:rowOff>
    </xdr:to>
    <xdr:pic>
      <xdr:nvPicPr>
        <xdr:cNvPr id="9" name="Picture 5" descr="C:\Users\SURYA-KANTA\AppData\Local\Microsoft\Windows\INetCache\Content.MSO\5C653A75.tmp">
          <a:extLst>
            <a:ext uri="{FF2B5EF4-FFF2-40B4-BE49-F238E27FC236}">
              <a16:creationId xmlns:a16="http://schemas.microsoft.com/office/drawing/2014/main" id="{FCE9FEF9-CD36-4011-B1CE-B73A84708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5969" y="142875"/>
          <a:ext cx="6381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1035846</xdr:colOff>
      <xdr:row>1</xdr:row>
      <xdr:rowOff>71438</xdr:rowOff>
    </xdr:from>
    <xdr:to>
      <xdr:col>14</xdr:col>
      <xdr:colOff>176213</xdr:colOff>
      <xdr:row>1</xdr:row>
      <xdr:rowOff>671513</xdr:rowOff>
    </xdr:to>
    <xdr:pic>
      <xdr:nvPicPr>
        <xdr:cNvPr id="10" name="Picture 3" descr="C:\Users\SURYA-KANTA\AppData\Local\Microsoft\Windows\INetCache\Content.MSO\3C31AD93.tmp">
          <a:extLst>
            <a:ext uri="{FF2B5EF4-FFF2-40B4-BE49-F238E27FC236}">
              <a16:creationId xmlns:a16="http://schemas.microsoft.com/office/drawing/2014/main" id="{322F85BA-6A00-4830-985B-990C3F123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4627" y="142876"/>
          <a:ext cx="581024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226218</xdr:colOff>
      <xdr:row>1</xdr:row>
      <xdr:rowOff>83344</xdr:rowOff>
    </xdr:from>
    <xdr:to>
      <xdr:col>14</xdr:col>
      <xdr:colOff>807243</xdr:colOff>
      <xdr:row>1</xdr:row>
      <xdr:rowOff>664369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088B961-E500-45D4-9278-62A966D5B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5656" y="154782"/>
          <a:ext cx="5810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1</xdr:row>
      <xdr:rowOff>59531</xdr:rowOff>
    </xdr:from>
    <xdr:to>
      <xdr:col>2</xdr:col>
      <xdr:colOff>340230</xdr:colOff>
      <xdr:row>1</xdr:row>
      <xdr:rowOff>589409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410CA0-61A1-4022-AD9C-A4ED88F71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4" y="135731"/>
          <a:ext cx="568831" cy="529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114301</xdr:colOff>
      <xdr:row>1</xdr:row>
      <xdr:rowOff>47624</xdr:rowOff>
    </xdr:from>
    <xdr:to>
      <xdr:col>20</xdr:col>
      <xdr:colOff>157163</xdr:colOff>
      <xdr:row>1</xdr:row>
      <xdr:rowOff>647699</xdr:rowOff>
    </xdr:to>
    <xdr:pic>
      <xdr:nvPicPr>
        <xdr:cNvPr id="3" name="Picture 5" descr="C:\Users\SURYA-KANTA\AppData\Local\Microsoft\Windows\INetCache\Content.MSO\5C653A75.tmp">
          <a:extLst>
            <a:ext uri="{FF2B5EF4-FFF2-40B4-BE49-F238E27FC236}">
              <a16:creationId xmlns:a16="http://schemas.microsoft.com/office/drawing/2014/main" id="{54DBCDFB-9C55-43E1-8E26-0ADF7A19C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1" y="123824"/>
          <a:ext cx="652462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197646</xdr:colOff>
      <xdr:row>1</xdr:row>
      <xdr:rowOff>47625</xdr:rowOff>
    </xdr:from>
    <xdr:to>
      <xdr:col>21</xdr:col>
      <xdr:colOff>111921</xdr:colOff>
      <xdr:row>1</xdr:row>
      <xdr:rowOff>647700</xdr:rowOff>
    </xdr:to>
    <xdr:pic>
      <xdr:nvPicPr>
        <xdr:cNvPr id="4" name="Picture 3" descr="C:\Users\SURYA-KANTA\AppData\Local\Microsoft\Windows\INetCache\Content.MSO\3C31AD93.tmp">
          <a:extLst>
            <a:ext uri="{FF2B5EF4-FFF2-40B4-BE49-F238E27FC236}">
              <a16:creationId xmlns:a16="http://schemas.microsoft.com/office/drawing/2014/main" id="{7BD82AEF-C0C0-411F-A5EB-532DE35CC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2446" y="123825"/>
          <a:ext cx="6000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150020</xdr:colOff>
      <xdr:row>1</xdr:row>
      <xdr:rowOff>47625</xdr:rowOff>
    </xdr:from>
    <xdr:to>
      <xdr:col>21</xdr:col>
      <xdr:colOff>731045</xdr:colOff>
      <xdr:row>1</xdr:row>
      <xdr:rowOff>640557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B742B0-BC13-429E-9D5B-0D0B2A236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0620" y="123825"/>
          <a:ext cx="581025" cy="5929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127451</xdr:colOff>
      <xdr:row>0</xdr:row>
      <xdr:rowOff>85044</xdr:rowOff>
    </xdr:from>
    <xdr:to>
      <xdr:col>0</xdr:col>
      <xdr:colOff>477982</xdr:colOff>
      <xdr:row>0</xdr:row>
      <xdr:rowOff>464281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300893-3A72-4AE1-A04C-5E3D0C976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51" y="85044"/>
          <a:ext cx="350531" cy="379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297435</xdr:colOff>
      <xdr:row>0</xdr:row>
      <xdr:rowOff>61918</xdr:rowOff>
    </xdr:from>
    <xdr:to>
      <xdr:col>10</xdr:col>
      <xdr:colOff>703085</xdr:colOff>
      <xdr:row>0</xdr:row>
      <xdr:rowOff>435730</xdr:rowOff>
    </xdr:to>
    <xdr:pic>
      <xdr:nvPicPr>
        <xdr:cNvPr id="3" name="Picture 5" descr="C:\Users\SURYA-KANTA\AppData\Local\Microsoft\Windows\INetCache\Content.MSO\5C653A75.tmp">
          <a:extLst>
            <a:ext uri="{FF2B5EF4-FFF2-40B4-BE49-F238E27FC236}">
              <a16:creationId xmlns:a16="http://schemas.microsoft.com/office/drawing/2014/main" id="{5021DF4A-55FA-4576-BE14-C8545A22D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2871" y="61918"/>
          <a:ext cx="405650" cy="373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732016</xdr:colOff>
      <xdr:row>0</xdr:row>
      <xdr:rowOff>82701</xdr:rowOff>
    </xdr:from>
    <xdr:to>
      <xdr:col>11</xdr:col>
      <xdr:colOff>302729</xdr:colOff>
      <xdr:row>0</xdr:row>
      <xdr:rowOff>422569</xdr:rowOff>
    </xdr:to>
    <xdr:pic>
      <xdr:nvPicPr>
        <xdr:cNvPr id="4" name="Picture 3" descr="C:\Users\SURYA-KANTA\AppData\Local\Microsoft\Windows\INetCache\Content.MSO\3C31AD93.tmp">
          <a:extLst>
            <a:ext uri="{FF2B5EF4-FFF2-40B4-BE49-F238E27FC236}">
              <a16:creationId xmlns:a16="http://schemas.microsoft.com/office/drawing/2014/main" id="{154F149C-60D2-475C-ACFA-4417FBD44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7452" y="82701"/>
          <a:ext cx="381204" cy="339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394847</xdr:colOff>
      <xdr:row>0</xdr:row>
      <xdr:rowOff>100668</xdr:rowOff>
    </xdr:from>
    <xdr:to>
      <xdr:col>11</xdr:col>
      <xdr:colOff>736188</xdr:colOff>
      <xdr:row>0</xdr:row>
      <xdr:rowOff>436422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928076-CFD0-4C9C-A704-F58C71800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0774" y="100668"/>
          <a:ext cx="341341" cy="335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APTOP%20BACKUP_ALL_19-09-2020\Vineet%20Vardhan%20Robbi\L&amp;T%20Construction%20Infrastructure%20IC\Majirgaon%20Palashbari%20Sualkuchi%20Bridge%20Project%20(LE24M055)\Client%20Invoicing\11_RAB_Feb'25\IPA_11\2025-03-04_IPA_11_R0.xlsx" TargetMode="External"/><Relationship Id="rId1" Type="http://schemas.openxmlformats.org/officeDocument/2006/relationships/externalLinkPath" Target="file:///D:\LAPTOP%20BACKUP_ALL_19-09-2020\Vineet%20Vardhan%20Robbi\L&amp;T%20Construction%20Infrastructure%20IC\Majirgaon%20Palashbari%20Sualkuchi%20Bridge%20Project%20(LE24M055)\Client%20Invoicing\11_RAB_Feb'25\IPA_11\2025-03-04_IPA_11_R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s. - L&amp;T"/>
      <sheetName val="Abs. - PMC"/>
      <sheetName val="Abs. - PMC (For Print)"/>
      <sheetName val="Breakup-Summary"/>
      <sheetName val="Detailed breakup"/>
      <sheetName val="Schedule 1"/>
      <sheetName val="Schedule 2"/>
      <sheetName val="Schedule 3"/>
      <sheetName val="Schedule 4"/>
      <sheetName val="Schedule 5"/>
      <sheetName val="Schedule 7"/>
      <sheetName val="Price Adj. - Breakup"/>
      <sheetName val="Price Adj. - Rev."/>
      <sheetName val="Withheld-Release"/>
      <sheetName val="Royalty Details"/>
      <sheetName val="Well Cal."/>
      <sheetName val="MB Entry"/>
      <sheetName val="Checklist"/>
      <sheetName val="Mandate Documents"/>
    </sheetNames>
    <sheetDataSet>
      <sheetData sheetId="0"/>
      <sheetData sheetId="1"/>
      <sheetData sheetId="2"/>
      <sheetData sheetId="3"/>
      <sheetData sheetId="4">
        <row r="476">
          <cell r="J476">
            <v>14.5032</v>
          </cell>
          <cell r="K476">
            <v>310369440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W4" t="str">
            <v>Period of bill :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NEET VARDHAN ROBBI" id="{1BF0AD9A-2A71-457C-A3D5-D7FF3C6BDDD7}" userId="VINEET VARDHAN ROBBI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06" dT="2025-06-18T05:08:35.66" personId="{1BF0AD9A-2A71-457C-A3D5-D7FF3C6BDDD7}" id="{03C6AE1D-AFDE-4A72-8853-BF4BB04A07E5}">
    <text>To be changed from 7 to 10</text>
  </threadedComment>
  <threadedComment ref="H107" dT="2025-06-18T05:08:35.66" personId="{1BF0AD9A-2A71-457C-A3D5-D7FF3C6BDDD7}" id="{0C2307AC-C3AA-4CE4-9ADB-C408C8DADEB4}">
    <text>To be changed from 7 to 10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ECEF-175D-4B13-9B56-3CB0FC7045D2}">
  <sheetPr codeName="Sheet1"/>
  <dimension ref="B1:L65"/>
  <sheetViews>
    <sheetView view="pageBreakPreview" zoomScale="70" zoomScaleNormal="90" zoomScaleSheetLayoutView="70" workbookViewId="0">
      <selection activeCell="J51" sqref="J51"/>
    </sheetView>
  </sheetViews>
  <sheetFormatPr defaultColWidth="9.109375" defaultRowHeight="14.4" x14ac:dyDescent="0.3"/>
  <cols>
    <col min="1" max="1" width="1.44140625" style="107" customWidth="1"/>
    <col min="2" max="2" width="5.5546875" style="107" customWidth="1"/>
    <col min="3" max="3" width="25.5546875" style="107" customWidth="1"/>
    <col min="4" max="4" width="26.44140625" style="107" customWidth="1"/>
    <col min="5" max="5" width="8.5546875" style="107" customWidth="1"/>
    <col min="6" max="6" width="19.5546875" style="108" customWidth="1"/>
    <col min="7" max="7" width="19.5546875" style="107" customWidth="1"/>
    <col min="8" max="8" width="19.5546875" style="108" customWidth="1"/>
    <col min="9" max="9" width="16.88671875" style="690" bestFit="1" customWidth="1"/>
    <col min="10" max="11" width="14.88671875" style="107" customWidth="1"/>
    <col min="12" max="12" width="14.44140625" style="107" customWidth="1"/>
    <col min="13" max="13" width="17.5546875" style="107" customWidth="1"/>
    <col min="14" max="14" width="16.5546875" style="107" customWidth="1"/>
    <col min="15" max="15" width="15.5546875" style="107" bestFit="1" customWidth="1"/>
    <col min="16" max="16" width="11.44140625" style="107" bestFit="1" customWidth="1"/>
    <col min="17" max="16384" width="9.109375" style="107"/>
  </cols>
  <sheetData>
    <row r="1" spans="2:9" ht="6.75" customHeight="1" x14ac:dyDescent="0.3"/>
    <row r="2" spans="2:9" ht="21.75" customHeight="1" x14ac:dyDescent="0.3">
      <c r="B2" s="1560" t="s">
        <v>0</v>
      </c>
      <c r="C2" s="1561"/>
      <c r="D2" s="1561"/>
      <c r="E2" s="1561"/>
      <c r="F2" s="1561"/>
      <c r="G2" s="1561"/>
      <c r="H2" s="1562"/>
      <c r="I2" s="691"/>
    </row>
    <row r="3" spans="2:9" ht="21.75" customHeight="1" x14ac:dyDescent="0.3">
      <c r="B3" s="1563" t="s">
        <v>1</v>
      </c>
      <c r="C3" s="1564"/>
      <c r="D3" s="1564"/>
      <c r="E3" s="1564"/>
      <c r="F3" s="1564"/>
      <c r="G3" s="1564"/>
      <c r="H3" s="1565"/>
      <c r="I3" s="692"/>
    </row>
    <row r="4" spans="2:9" x14ac:dyDescent="0.3">
      <c r="B4" s="1566" t="s">
        <v>2</v>
      </c>
      <c r="C4" s="1567"/>
      <c r="D4" s="243" t="s">
        <v>3</v>
      </c>
      <c r="E4" s="243"/>
      <c r="F4" s="244"/>
      <c r="G4" s="422" t="s">
        <v>4</v>
      </c>
      <c r="H4" s="816">
        <f ca="1">TODAY()-1</f>
        <v>46285</v>
      </c>
      <c r="I4" s="693"/>
    </row>
    <row r="5" spans="2:9" x14ac:dyDescent="0.3">
      <c r="B5" s="327" t="s">
        <v>5</v>
      </c>
      <c r="C5" s="328"/>
      <c r="D5" s="415" t="str">
        <f>'Abs. - PMC (For Print)'!D5</f>
        <v>Main Works &amp; Price Adjustment</v>
      </c>
      <c r="E5" s="415"/>
      <c r="F5" s="416"/>
      <c r="G5" s="474"/>
      <c r="H5" s="417"/>
      <c r="I5" s="693"/>
    </row>
    <row r="6" spans="2:9" x14ac:dyDescent="0.3">
      <c r="B6" s="1568" t="s">
        <v>6</v>
      </c>
      <c r="C6" s="1569"/>
      <c r="D6" s="329" t="str">
        <f>'Abs. - PMC (For Print)'!D6</f>
        <v>1st Jul'26 to 31st Jul'26</v>
      </c>
      <c r="E6" s="329"/>
      <c r="F6" s="418"/>
      <c r="G6" s="329"/>
      <c r="H6" s="419"/>
      <c r="I6" s="694"/>
    </row>
    <row r="7" spans="2:9" x14ac:dyDescent="0.3">
      <c r="B7" s="1568" t="s">
        <v>7</v>
      </c>
      <c r="C7" s="1569"/>
      <c r="D7" s="329" t="s">
        <v>8</v>
      </c>
      <c r="E7" s="329"/>
      <c r="F7" s="418"/>
      <c r="G7" s="329"/>
      <c r="H7" s="420"/>
    </row>
    <row r="8" spans="2:9" ht="25.35" customHeight="1" x14ac:dyDescent="0.3">
      <c r="B8" s="1574" t="s">
        <v>9</v>
      </c>
      <c r="C8" s="1575"/>
      <c r="D8" s="1575" t="s">
        <v>10</v>
      </c>
      <c r="E8" s="1575"/>
      <c r="F8" s="1575"/>
      <c r="G8" s="1575"/>
      <c r="H8" s="1576"/>
      <c r="I8" s="695"/>
    </row>
    <row r="9" spans="2:9" x14ac:dyDescent="0.3">
      <c r="B9" s="1568" t="s">
        <v>11</v>
      </c>
      <c r="C9" s="1569"/>
      <c r="D9" s="329" t="s">
        <v>12</v>
      </c>
      <c r="E9" s="329"/>
      <c r="F9" s="418"/>
      <c r="G9" s="329"/>
      <c r="H9" s="420"/>
      <c r="I9" s="695"/>
    </row>
    <row r="10" spans="2:9" x14ac:dyDescent="0.3">
      <c r="B10" s="1568" t="s">
        <v>13</v>
      </c>
      <c r="C10" s="1569"/>
      <c r="D10" s="1575" t="s">
        <v>14</v>
      </c>
      <c r="E10" s="1575"/>
      <c r="F10" s="1575"/>
      <c r="G10" s="1575"/>
      <c r="H10" s="1576"/>
      <c r="I10" s="695"/>
    </row>
    <row r="11" spans="2:9" x14ac:dyDescent="0.3">
      <c r="B11" s="327" t="s">
        <v>15</v>
      </c>
      <c r="C11" s="328"/>
      <c r="D11" s="328" t="s">
        <v>16</v>
      </c>
      <c r="E11" s="328"/>
      <c r="F11" s="330"/>
      <c r="G11" s="423" t="s">
        <v>17</v>
      </c>
      <c r="H11" s="331">
        <f>26885400000</f>
        <v>26885400000</v>
      </c>
      <c r="I11" s="695"/>
    </row>
    <row r="12" spans="2:9" x14ac:dyDescent="0.3">
      <c r="B12" s="1568" t="s">
        <v>18</v>
      </c>
      <c r="C12" s="1569"/>
      <c r="D12" s="330" t="s">
        <v>19</v>
      </c>
      <c r="E12" s="330"/>
      <c r="F12" s="416"/>
      <c r="G12" s="423" t="s">
        <v>20</v>
      </c>
      <c r="H12" s="421">
        <f>'Breakup-Summary'!$F$23</f>
        <v>0.7576273182258666</v>
      </c>
      <c r="I12" s="693"/>
    </row>
    <row r="13" spans="2:9" ht="25.35" customHeight="1" x14ac:dyDescent="0.3">
      <c r="B13" s="1574" t="s">
        <v>21</v>
      </c>
      <c r="C13" s="1575"/>
      <c r="D13" s="1575" t="s">
        <v>22</v>
      </c>
      <c r="E13" s="1575"/>
      <c r="F13" s="1575"/>
      <c r="G13" s="1575"/>
      <c r="H13" s="1576"/>
      <c r="I13" s="695"/>
    </row>
    <row r="14" spans="2:9" ht="15" customHeight="1" x14ac:dyDescent="0.3">
      <c r="B14" s="1577" t="s">
        <v>23</v>
      </c>
      <c r="C14" s="1579" t="s">
        <v>24</v>
      </c>
      <c r="D14" s="1580"/>
      <c r="E14" s="1577" t="s">
        <v>25</v>
      </c>
      <c r="F14" s="1555" t="s">
        <v>26</v>
      </c>
      <c r="G14" s="1556"/>
      <c r="H14" s="1557"/>
      <c r="I14" s="695"/>
    </row>
    <row r="15" spans="2:9" ht="15" customHeight="1" x14ac:dyDescent="0.3">
      <c r="B15" s="1578"/>
      <c r="C15" s="1581"/>
      <c r="D15" s="1582"/>
      <c r="E15" s="1578"/>
      <c r="F15" s="407" t="s">
        <v>27</v>
      </c>
      <c r="G15" s="407" t="s">
        <v>28</v>
      </c>
      <c r="H15" s="407" t="s">
        <v>29</v>
      </c>
      <c r="I15" s="695"/>
    </row>
    <row r="16" spans="2:9" x14ac:dyDescent="0.3">
      <c r="B16" s="153" t="s">
        <v>30</v>
      </c>
      <c r="C16" s="1547" t="s">
        <v>31</v>
      </c>
      <c r="D16" s="1548"/>
      <c r="E16" s="166"/>
      <c r="F16" s="165"/>
      <c r="G16" s="165"/>
      <c r="H16" s="164"/>
      <c r="I16" s="695"/>
    </row>
    <row r="17" spans="2:12" ht="30" customHeight="1" x14ac:dyDescent="0.3">
      <c r="B17" s="172" t="s">
        <v>32</v>
      </c>
      <c r="C17" s="1558" t="s">
        <v>33</v>
      </c>
      <c r="D17" s="1559"/>
      <c r="E17" s="173" t="str">
        <f>_xlfn.UNICHAR(8377)</f>
        <v>₹</v>
      </c>
      <c r="F17" s="940">
        <f>('Detailed breakup'!N531/1.18)</f>
        <v>17226390633.898308</v>
      </c>
      <c r="G17" s="940">
        <f>('Detailed breakup'!P531/1.18)</f>
        <v>11013075548.305086</v>
      </c>
      <c r="H17" s="940">
        <f>F17-G17</f>
        <v>6213315085.5932217</v>
      </c>
      <c r="I17" s="1522"/>
      <c r="J17" s="690"/>
      <c r="K17" s="251"/>
      <c r="L17" s="251"/>
    </row>
    <row r="18" spans="2:12" ht="30" customHeight="1" x14ac:dyDescent="0.3">
      <c r="B18" s="169" t="s">
        <v>34</v>
      </c>
      <c r="C18" s="1539" t="s">
        <v>35</v>
      </c>
      <c r="D18" s="1540"/>
      <c r="E18" s="170" t="s">
        <v>36</v>
      </c>
      <c r="F18" s="940">
        <f>('Detailed breakup'!N532/1.18)</f>
        <v>1369786.4406779662</v>
      </c>
      <c r="G18" s="940">
        <f>('Detailed breakup'!P532/1.18)</f>
        <v>1369786.4406779662</v>
      </c>
      <c r="H18" s="940">
        <f>F18-G18</f>
        <v>0</v>
      </c>
      <c r="I18" s="1159"/>
      <c r="J18" s="116"/>
      <c r="K18" s="116"/>
      <c r="L18" s="116"/>
    </row>
    <row r="19" spans="2:12" ht="30" customHeight="1" x14ac:dyDescent="0.3">
      <c r="B19" s="169" t="s">
        <v>37</v>
      </c>
      <c r="C19" s="1539" t="s">
        <v>38</v>
      </c>
      <c r="D19" s="1540"/>
      <c r="E19" s="170" t="s">
        <v>36</v>
      </c>
      <c r="F19" s="940">
        <f>('Price Adj.'!V75/1.18)</f>
        <v>316689070.33898306</v>
      </c>
      <c r="G19" s="940">
        <f>('Price Adj.'!V76/1.18)</f>
        <v>60193166.949152544</v>
      </c>
      <c r="H19" s="940">
        <f>F19-G19</f>
        <v>256495903.38983053</v>
      </c>
      <c r="I19" s="695"/>
      <c r="J19" s="122"/>
      <c r="K19" s="116"/>
    </row>
    <row r="20" spans="2:12" ht="30" customHeight="1" x14ac:dyDescent="0.3">
      <c r="B20" s="169" t="s">
        <v>39</v>
      </c>
      <c r="C20" s="1539" t="s">
        <v>40</v>
      </c>
      <c r="D20" s="1540"/>
      <c r="E20" s="170" t="s">
        <v>36</v>
      </c>
      <c r="F20" s="940">
        <v>0</v>
      </c>
      <c r="G20" s="940">
        <v>0</v>
      </c>
      <c r="H20" s="940">
        <f>F20-G20</f>
        <v>0</v>
      </c>
      <c r="I20" s="695"/>
      <c r="J20" s="645"/>
      <c r="K20" s="116"/>
    </row>
    <row r="21" spans="2:12" ht="30" customHeight="1" x14ac:dyDescent="0.3">
      <c r="B21" s="169" t="s">
        <v>41</v>
      </c>
      <c r="C21" s="1539" t="s">
        <v>42</v>
      </c>
      <c r="D21" s="1540"/>
      <c r="E21" s="170" t="s">
        <v>36</v>
      </c>
      <c r="F21" s="940">
        <v>0</v>
      </c>
      <c r="G21" s="940">
        <v>0</v>
      </c>
      <c r="H21" s="940">
        <f>F21-G21</f>
        <v>0</v>
      </c>
      <c r="I21" s="695"/>
      <c r="J21" s="645"/>
      <c r="K21" s="116"/>
    </row>
    <row r="22" spans="2:12" x14ac:dyDescent="0.3">
      <c r="B22" s="169" t="s">
        <v>43</v>
      </c>
      <c r="C22" s="1543" t="s">
        <v>44</v>
      </c>
      <c r="D22" s="1544"/>
      <c r="E22" s="170" t="s">
        <v>36</v>
      </c>
      <c r="F22" s="940">
        <f>(SUM($F$17:$F$21)*9%)</f>
        <v>1579000454.1610169</v>
      </c>
      <c r="G22" s="940">
        <f>(SUM($G$17:$G$21)*9%)</f>
        <v>996717465.15254235</v>
      </c>
      <c r="H22" s="940">
        <f>ROUND(SUM($H$17:$H$21)*9%,0)</f>
        <v>582282989</v>
      </c>
      <c r="I22" s="695"/>
      <c r="J22" s="645"/>
    </row>
    <row r="23" spans="2:12" x14ac:dyDescent="0.3">
      <c r="B23" s="123" t="s">
        <v>45</v>
      </c>
      <c r="C23" s="1553" t="s">
        <v>46</v>
      </c>
      <c r="D23" s="1554"/>
      <c r="E23" s="167" t="s">
        <v>36</v>
      </c>
      <c r="F23" s="941">
        <f>(SUM($F$17:$F$21)*9%)</f>
        <v>1579000454.1610169</v>
      </c>
      <c r="G23" s="941">
        <f>(SUM($G$17:$G$21)*9%)</f>
        <v>996717465.15254235</v>
      </c>
      <c r="H23" s="941">
        <f>ROUND(SUM($H$17:$H$21)*9%,0)</f>
        <v>582282989</v>
      </c>
      <c r="I23" s="694"/>
      <c r="J23" s="645"/>
      <c r="K23" s="116"/>
      <c r="L23" s="116"/>
    </row>
    <row r="24" spans="2:12" x14ac:dyDescent="0.3">
      <c r="B24" s="154"/>
      <c r="C24" s="1541" t="s">
        <v>47</v>
      </c>
      <c r="D24" s="1542"/>
      <c r="E24" s="168" t="s">
        <v>36</v>
      </c>
      <c r="F24" s="942">
        <f>SUM(F17:F23)</f>
        <v>20702450399.000004</v>
      </c>
      <c r="G24" s="942">
        <f>SUM(G17:G23)</f>
        <v>13068073432</v>
      </c>
      <c r="H24" s="942">
        <f>SUM(H17:H23)</f>
        <v>7634376966.9830523</v>
      </c>
      <c r="I24" s="694"/>
      <c r="J24" s="645"/>
      <c r="L24" s="119"/>
    </row>
    <row r="25" spans="2:12" x14ac:dyDescent="0.3">
      <c r="B25" s="154"/>
      <c r="C25" s="1541" t="s">
        <v>48</v>
      </c>
      <c r="D25" s="1542"/>
      <c r="E25" s="168" t="s">
        <v>36</v>
      </c>
      <c r="F25" s="942">
        <f>F24/1.18</f>
        <v>17544449490.677971</v>
      </c>
      <c r="G25" s="942">
        <f>G24/1.18</f>
        <v>11074638501.694916</v>
      </c>
      <c r="H25" s="942">
        <f>H24/1.18</f>
        <v>6469810988.968689</v>
      </c>
      <c r="I25" s="694"/>
      <c r="L25" s="119"/>
    </row>
    <row r="26" spans="2:12" x14ac:dyDescent="0.3">
      <c r="B26" s="153" t="s">
        <v>49</v>
      </c>
      <c r="C26" s="1547" t="s">
        <v>50</v>
      </c>
      <c r="D26" s="1548"/>
      <c r="E26" s="166"/>
      <c r="F26" s="943"/>
      <c r="G26" s="943"/>
      <c r="H26" s="944"/>
      <c r="I26" s="694"/>
      <c r="L26" s="121"/>
    </row>
    <row r="27" spans="2:12" ht="30" customHeight="1" x14ac:dyDescent="0.3">
      <c r="B27" s="169" t="s">
        <v>32</v>
      </c>
      <c r="C27" s="1543" t="s">
        <v>51</v>
      </c>
      <c r="D27" s="1544"/>
      <c r="E27" s="170" t="s">
        <v>36</v>
      </c>
      <c r="F27" s="940">
        <f>G27+H27</f>
        <v>1139211864.4067798</v>
      </c>
      <c r="G27" s="940">
        <f>(H11*5%/1.18)</f>
        <v>1139211864.4067798</v>
      </c>
      <c r="H27" s="940">
        <v>0</v>
      </c>
      <c r="I27" s="695"/>
      <c r="K27" s="116"/>
    </row>
    <row r="28" spans="2:12" ht="25.35" customHeight="1" x14ac:dyDescent="0.3">
      <c r="B28" s="169" t="s">
        <v>34</v>
      </c>
      <c r="C28" s="1543" t="s">
        <v>52</v>
      </c>
      <c r="D28" s="1544"/>
      <c r="E28" s="178" t="s">
        <v>36</v>
      </c>
      <c r="F28" s="940">
        <f>H28+G28</f>
        <v>1139211864.4067798</v>
      </c>
      <c r="G28" s="940">
        <f>(H11*5%/1.18)</f>
        <v>1139211864.4067798</v>
      </c>
      <c r="H28" s="940">
        <v>0</v>
      </c>
      <c r="I28" s="694"/>
      <c r="L28" s="116"/>
    </row>
    <row r="29" spans="2:12" x14ac:dyDescent="0.3">
      <c r="B29" s="169" t="s">
        <v>53</v>
      </c>
      <c r="C29" s="1543" t="s">
        <v>54</v>
      </c>
      <c r="D29" s="1544"/>
      <c r="E29" s="178" t="s">
        <v>36</v>
      </c>
      <c r="F29" s="940">
        <f>(SUM($F$27:$F$28)*9%)</f>
        <v>205058135.59322035</v>
      </c>
      <c r="G29" s="940">
        <f>(SUM($G$27:$G$28)*9%)</f>
        <v>205058135.59322035</v>
      </c>
      <c r="H29" s="940">
        <f>SUM($H$27:$H$28)*9%</f>
        <v>0</v>
      </c>
      <c r="I29" s="694"/>
      <c r="L29" s="119"/>
    </row>
    <row r="30" spans="2:12" x14ac:dyDescent="0.3">
      <c r="B30" s="123" t="s">
        <v>55</v>
      </c>
      <c r="C30" s="1553" t="s">
        <v>56</v>
      </c>
      <c r="D30" s="1554"/>
      <c r="E30" s="177" t="s">
        <v>36</v>
      </c>
      <c r="F30" s="940">
        <f>ROUND(SUM($F$27:$F$28)*9%,0)</f>
        <v>205058136</v>
      </c>
      <c r="G30" s="940">
        <f>(SUM($G$27:$G$28)*9%)</f>
        <v>205058135.59322035</v>
      </c>
      <c r="H30" s="940">
        <f>SUM($H$27:$H$28)*9%</f>
        <v>0</v>
      </c>
      <c r="I30" s="694"/>
      <c r="J30" s="251"/>
      <c r="L30" s="119"/>
    </row>
    <row r="31" spans="2:12" x14ac:dyDescent="0.3">
      <c r="B31" s="156"/>
      <c r="C31" s="1541" t="s">
        <v>57</v>
      </c>
      <c r="D31" s="1542"/>
      <c r="E31" s="168" t="s">
        <v>36</v>
      </c>
      <c r="F31" s="942">
        <f>SUM(F27:F30)</f>
        <v>2688540000.4067798</v>
      </c>
      <c r="G31" s="942">
        <f>SUM(G27:G30)</f>
        <v>2688540000</v>
      </c>
      <c r="H31" s="942">
        <f>SUM(H27:H30)</f>
        <v>0</v>
      </c>
      <c r="I31" s="694"/>
      <c r="J31" s="251"/>
    </row>
    <row r="32" spans="2:12" x14ac:dyDescent="0.3">
      <c r="B32" s="156"/>
      <c r="C32" s="1541" t="s">
        <v>58</v>
      </c>
      <c r="D32" s="1542"/>
      <c r="E32" s="168" t="s">
        <v>36</v>
      </c>
      <c r="F32" s="942">
        <f>F31+F24</f>
        <v>23390990399.406784</v>
      </c>
      <c r="G32" s="942">
        <f>G31+G24</f>
        <v>15756613432</v>
      </c>
      <c r="H32" s="942">
        <f>H31+H24</f>
        <v>7634376966.9830523</v>
      </c>
      <c r="I32" s="694"/>
      <c r="J32" s="251"/>
    </row>
    <row r="33" spans="2:12" x14ac:dyDescent="0.3">
      <c r="B33" s="156"/>
      <c r="C33" s="1541" t="s">
        <v>59</v>
      </c>
      <c r="D33" s="1542"/>
      <c r="E33" s="168" t="s">
        <v>36</v>
      </c>
      <c r="F33" s="942">
        <f>ROUND(F32/1.18,0)</f>
        <v>19822873220</v>
      </c>
      <c r="G33" s="942">
        <f>ROUND(G32/1.18,0)</f>
        <v>13353062231</v>
      </c>
      <c r="H33" s="942">
        <f>ROUND(H32/1.18,0)</f>
        <v>6469810989</v>
      </c>
      <c r="I33" s="694"/>
      <c r="J33" s="251"/>
    </row>
    <row r="34" spans="2:12" x14ac:dyDescent="0.3">
      <c r="B34" s="153" t="s">
        <v>60</v>
      </c>
      <c r="C34" s="1547" t="s">
        <v>61</v>
      </c>
      <c r="D34" s="1548"/>
      <c r="E34" s="166"/>
      <c r="F34" s="943"/>
      <c r="G34" s="943"/>
      <c r="H34" s="944"/>
      <c r="I34" s="692"/>
    </row>
    <row r="35" spans="2:12" ht="30" customHeight="1" x14ac:dyDescent="0.3">
      <c r="B35" s="175" t="s">
        <v>32</v>
      </c>
      <c r="C35" s="1539" t="s">
        <v>62</v>
      </c>
      <c r="D35" s="1540"/>
      <c r="E35" s="176" t="s">
        <v>36</v>
      </c>
      <c r="F35" s="940">
        <f>G35+H35</f>
        <v>2584164063.0508475</v>
      </c>
      <c r="G35" s="940">
        <f>(SUM(G17:G18)*15%)</f>
        <v>1652166800.2118645</v>
      </c>
      <c r="H35" s="940">
        <f>(SUM(H17:H18)*15%)</f>
        <v>931997262.83898318</v>
      </c>
      <c r="I35" s="694"/>
      <c r="J35" s="122"/>
    </row>
    <row r="36" spans="2:12" x14ac:dyDescent="0.3">
      <c r="B36" s="169" t="s">
        <v>63</v>
      </c>
      <c r="C36" s="1543" t="s">
        <v>64</v>
      </c>
      <c r="D36" s="1544"/>
      <c r="E36" s="178" t="s">
        <v>36</v>
      </c>
      <c r="F36" s="940">
        <f>SUM($F$35:$F$35)*9%</f>
        <v>232574765.67457628</v>
      </c>
      <c r="G36" s="940">
        <f>(SUM($G$35:$G$35)*9%)</f>
        <v>148695012.01906779</v>
      </c>
      <c r="H36" s="940">
        <f>(SUM($H$35:$H$35)*9%)</f>
        <v>83879753.655508488</v>
      </c>
      <c r="I36" s="694"/>
      <c r="J36" s="645"/>
      <c r="K36" s="645"/>
      <c r="L36" s="645"/>
    </row>
    <row r="37" spans="2:12" x14ac:dyDescent="0.3">
      <c r="B37" s="123" t="s">
        <v>65</v>
      </c>
      <c r="C37" s="1553" t="s">
        <v>66</v>
      </c>
      <c r="D37" s="1554"/>
      <c r="E37" s="178" t="s">
        <v>36</v>
      </c>
      <c r="F37" s="940">
        <f>SUM($F$35:$F$35)*9%</f>
        <v>232574765.67457628</v>
      </c>
      <c r="G37" s="940">
        <f>(SUM($G$35:$G$35)*9%)</f>
        <v>148695012.01906779</v>
      </c>
      <c r="H37" s="940">
        <f>(SUM($H$35:$H$35)*9%)</f>
        <v>83879753.655508488</v>
      </c>
      <c r="I37" s="694"/>
      <c r="J37" s="645"/>
      <c r="K37" s="645"/>
      <c r="L37" s="645"/>
    </row>
    <row r="38" spans="2:12" x14ac:dyDescent="0.3">
      <c r="B38" s="157"/>
      <c r="C38" s="1541" t="s">
        <v>67</v>
      </c>
      <c r="D38" s="1542"/>
      <c r="E38" s="168" t="s">
        <v>36</v>
      </c>
      <c r="F38" s="942">
        <f>SUM(F35:F37)</f>
        <v>3049313594.4000001</v>
      </c>
      <c r="G38" s="942">
        <f>SUM(G35:G37)</f>
        <v>1949556824.25</v>
      </c>
      <c r="H38" s="942">
        <f>SUM(H35:H37)</f>
        <v>1099756770.1500001</v>
      </c>
      <c r="I38" s="694"/>
      <c r="J38" s="645"/>
      <c r="K38" s="645"/>
      <c r="L38" s="645"/>
    </row>
    <row r="39" spans="2:12" x14ac:dyDescent="0.3">
      <c r="B39" s="153" t="s">
        <v>68</v>
      </c>
      <c r="C39" s="1547" t="s">
        <v>69</v>
      </c>
      <c r="D39" s="1548"/>
      <c r="E39" s="166"/>
      <c r="F39" s="943"/>
      <c r="G39" s="943"/>
      <c r="H39" s="944"/>
      <c r="I39" s="694"/>
      <c r="J39" s="645"/>
      <c r="K39" s="645"/>
      <c r="L39" s="645"/>
    </row>
    <row r="40" spans="2:12" x14ac:dyDescent="0.3">
      <c r="B40" s="169" t="s">
        <v>32</v>
      </c>
      <c r="C40" s="1543" t="s">
        <v>70</v>
      </c>
      <c r="D40" s="1544"/>
      <c r="E40" s="178" t="s">
        <v>36</v>
      </c>
      <c r="F40" s="940">
        <f>IF((G40+H40)&lt;="5%*$H$11",(G40+H40),5%*$H$11)</f>
        <v>1242147023.938983</v>
      </c>
      <c r="G40" s="940">
        <f>G24*6%</f>
        <v>784084405.91999996</v>
      </c>
      <c r="H40" s="940">
        <f>H24*6%</f>
        <v>458062618.01898313</v>
      </c>
      <c r="I40" s="694"/>
      <c r="J40" s="645"/>
      <c r="K40" s="645"/>
      <c r="L40" s="645"/>
    </row>
    <row r="41" spans="2:12" x14ac:dyDescent="0.3">
      <c r="B41" s="169" t="s">
        <v>34</v>
      </c>
      <c r="C41" s="1543" t="s">
        <v>71</v>
      </c>
      <c r="D41" s="1544"/>
      <c r="E41" s="178" t="s">
        <v>36</v>
      </c>
      <c r="F41" s="940">
        <f>G41+H41</f>
        <v>-605998256</v>
      </c>
      <c r="G41" s="940">
        <f>-'Retention Release'!$G$39</f>
        <v>-605998256</v>
      </c>
      <c r="H41" s="940">
        <f>-'Retention Release'!$G$40</f>
        <v>0</v>
      </c>
      <c r="I41" s="694"/>
      <c r="J41" s="645"/>
      <c r="K41" s="645"/>
      <c r="L41" s="645"/>
    </row>
    <row r="42" spans="2:12" x14ac:dyDescent="0.3">
      <c r="B42" s="169" t="s">
        <v>37</v>
      </c>
      <c r="C42" s="1539" t="s">
        <v>72</v>
      </c>
      <c r="D42" s="1540"/>
      <c r="E42" s="178" t="s">
        <v>36</v>
      </c>
      <c r="F42" s="940">
        <f>G42+H42</f>
        <v>497964247</v>
      </c>
      <c r="G42" s="940">
        <f>'Withheld-Release'!$M$47</f>
        <v>497964247</v>
      </c>
      <c r="H42" s="940">
        <f>'Withheld-Release'!$M$48</f>
        <v>0</v>
      </c>
      <c r="I42" s="694"/>
      <c r="L42" s="116"/>
    </row>
    <row r="43" spans="2:12" x14ac:dyDescent="0.3">
      <c r="B43" s="172" t="s">
        <v>39</v>
      </c>
      <c r="C43" s="1545" t="s">
        <v>73</v>
      </c>
      <c r="D43" s="1546"/>
      <c r="E43" s="538" t="s">
        <v>36</v>
      </c>
      <c r="F43" s="940">
        <f>G43+H43</f>
        <v>-497964247</v>
      </c>
      <c r="G43" s="940">
        <f>-'Withheld-Release'!R47</f>
        <v>-497964247</v>
      </c>
      <c r="H43" s="940">
        <f>-'Withheld-Release'!R48</f>
        <v>0</v>
      </c>
      <c r="I43" s="694"/>
      <c r="J43" s="122"/>
      <c r="L43" s="116"/>
    </row>
    <row r="44" spans="2:12" x14ac:dyDescent="0.3">
      <c r="B44" s="539" t="s">
        <v>41</v>
      </c>
      <c r="C44" s="1551" t="s">
        <v>74</v>
      </c>
      <c r="D44" s="1552"/>
      <c r="E44" s="538" t="s">
        <v>36</v>
      </c>
      <c r="F44" s="940">
        <f>G44+H44</f>
        <v>-137739041.31999999</v>
      </c>
      <c r="G44" s="940">
        <f>-'Royalty Details'!O63</f>
        <v>-127312122.49380192</v>
      </c>
      <c r="H44" s="940">
        <f>-'Royalty Details'!O64</f>
        <v>-10426918.826198071</v>
      </c>
      <c r="I44" s="694"/>
      <c r="L44" s="116"/>
    </row>
    <row r="45" spans="2:12" x14ac:dyDescent="0.3">
      <c r="B45" s="157"/>
      <c r="C45" s="1541" t="s">
        <v>75</v>
      </c>
      <c r="D45" s="1542"/>
      <c r="E45" s="168" t="s">
        <v>36</v>
      </c>
      <c r="F45" s="942">
        <f>SUM(F40:F44)</f>
        <v>498409726.61898297</v>
      </c>
      <c r="G45" s="942">
        <f>SUM(G40:G44)</f>
        <v>50774027.426198035</v>
      </c>
      <c r="H45" s="942">
        <f>SUM(H40:H44)</f>
        <v>447635699.19278502</v>
      </c>
      <c r="I45" s="694"/>
      <c r="J45" s="251"/>
      <c r="K45" s="122"/>
    </row>
    <row r="46" spans="2:12" ht="3.6" customHeight="1" x14ac:dyDescent="0.3">
      <c r="B46" s="631"/>
      <c r="C46" s="632"/>
      <c r="D46" s="633"/>
      <c r="E46" s="634"/>
      <c r="F46" s="945"/>
      <c r="G46" s="945"/>
      <c r="H46" s="945"/>
      <c r="I46" s="696"/>
      <c r="J46" s="635"/>
      <c r="K46" s="251"/>
      <c r="L46" s="122"/>
    </row>
    <row r="47" spans="2:12" x14ac:dyDescent="0.3">
      <c r="B47" s="157"/>
      <c r="C47" s="1541" t="s">
        <v>76</v>
      </c>
      <c r="D47" s="1542"/>
      <c r="E47" s="168" t="s">
        <v>36</v>
      </c>
      <c r="F47" s="942">
        <f>(F24+F31-F38)/1.18</f>
        <v>17238709156.785408</v>
      </c>
      <c r="G47" s="942">
        <f>(G24+G31-G38)/1.18</f>
        <v>11700895430.29661</v>
      </c>
      <c r="H47" s="942">
        <f>(H24+H31-H38)/1.18</f>
        <v>5537813726.1297054</v>
      </c>
      <c r="I47" s="694"/>
      <c r="J47" s="251"/>
      <c r="K47" s="122"/>
    </row>
    <row r="48" spans="2:12" x14ac:dyDescent="0.3">
      <c r="B48" s="153" t="s">
        <v>77</v>
      </c>
      <c r="C48" s="1547" t="s">
        <v>78</v>
      </c>
      <c r="D48" s="1548"/>
      <c r="E48" s="166"/>
      <c r="F48" s="943"/>
      <c r="G48" s="943"/>
      <c r="H48" s="944"/>
      <c r="I48" s="692"/>
    </row>
    <row r="49" spans="2:12" x14ac:dyDescent="0.3">
      <c r="B49" s="182" t="s">
        <v>32</v>
      </c>
      <c r="C49" s="1549" t="s">
        <v>79</v>
      </c>
      <c r="D49" s="1550"/>
      <c r="E49" s="183" t="s">
        <v>36</v>
      </c>
      <c r="F49" s="940">
        <f>$F$47/(1.01*1.02)*2%</f>
        <v>334667232.70792872</v>
      </c>
      <c r="G49" s="940">
        <f>ROUND(($G$47*2%),0)</f>
        <v>234017909</v>
      </c>
      <c r="H49" s="940">
        <f>F49-G49</f>
        <v>100649323.70792872</v>
      </c>
      <c r="I49" s="694"/>
    </row>
    <row r="50" spans="2:12" x14ac:dyDescent="0.3">
      <c r="B50" s="182" t="s">
        <v>34</v>
      </c>
      <c r="C50" s="1539" t="s">
        <v>80</v>
      </c>
      <c r="D50" s="1540"/>
      <c r="E50" s="183" t="s">
        <v>36</v>
      </c>
      <c r="F50" s="940">
        <f>ROUND((SUM(F17:F18)/1.02*2%),0)</f>
        <v>337799224</v>
      </c>
      <c r="G50" s="940">
        <f>ROUND((SUM(G17:G18)/1.02*2%),0)</f>
        <v>215969516</v>
      </c>
      <c r="H50" s="940">
        <f t="shared" ref="H50:H56" si="0">F50-G50</f>
        <v>121829708</v>
      </c>
      <c r="I50" s="118"/>
      <c r="J50" s="1086"/>
    </row>
    <row r="51" spans="2:12" x14ac:dyDescent="0.3">
      <c r="B51" s="182" t="s">
        <v>37</v>
      </c>
      <c r="C51" s="1539" t="s">
        <v>81</v>
      </c>
      <c r="D51" s="1540"/>
      <c r="E51" s="183" t="s">
        <v>36</v>
      </c>
      <c r="F51" s="940">
        <f>ROUND(($F$50*2.5%),0)</f>
        <v>8444981</v>
      </c>
      <c r="G51" s="940">
        <f>ROUND((G50*2.5%),0)</f>
        <v>5399238</v>
      </c>
      <c r="H51" s="940">
        <f t="shared" si="0"/>
        <v>3045743</v>
      </c>
      <c r="I51" s="118"/>
      <c r="J51" s="645"/>
    </row>
    <row r="52" spans="2:12" ht="25.5" customHeight="1" x14ac:dyDescent="0.3">
      <c r="B52" s="169" t="s">
        <v>39</v>
      </c>
      <c r="C52" s="1539" t="s">
        <v>82</v>
      </c>
      <c r="D52" s="1540"/>
      <c r="E52" s="178" t="s">
        <v>36</v>
      </c>
      <c r="F52" s="940">
        <f>ROUND(($F$50*10%),0)</f>
        <v>33779922</v>
      </c>
      <c r="G52" s="940">
        <f>ROUND((G50*10%),0)</f>
        <v>21596952</v>
      </c>
      <c r="H52" s="940">
        <f t="shared" si="0"/>
        <v>12182970</v>
      </c>
      <c r="I52" s="118"/>
      <c r="L52" s="116"/>
    </row>
    <row r="53" spans="2:12" x14ac:dyDescent="0.3">
      <c r="B53" s="182" t="s">
        <v>41</v>
      </c>
      <c r="C53" s="1539" t="s">
        <v>83</v>
      </c>
      <c r="D53" s="1540"/>
      <c r="E53" s="178" t="s">
        <v>36</v>
      </c>
      <c r="F53" s="940">
        <f>ROUND(($F$50*10%),0)</f>
        <v>33779922</v>
      </c>
      <c r="G53" s="940">
        <f>ROUND((G50*10%),0)</f>
        <v>21596952</v>
      </c>
      <c r="H53" s="940">
        <f t="shared" si="0"/>
        <v>12182970</v>
      </c>
      <c r="I53" s="118"/>
    </row>
    <row r="54" spans="2:12" x14ac:dyDescent="0.3">
      <c r="B54" s="182" t="s">
        <v>84</v>
      </c>
      <c r="C54" s="1539" t="s">
        <v>85</v>
      </c>
      <c r="D54" s="1540"/>
      <c r="E54" s="178" t="s">
        <v>36</v>
      </c>
      <c r="F54" s="940">
        <f>G54+H54</f>
        <v>2606924.56</v>
      </c>
      <c r="G54" s="940">
        <f>8516520*2%</f>
        <v>170330.4</v>
      </c>
      <c r="H54" s="940">
        <f>$H$50*2%</f>
        <v>2436594.16</v>
      </c>
      <c r="I54" s="694"/>
    </row>
    <row r="55" spans="2:12" x14ac:dyDescent="0.3">
      <c r="B55" s="182" t="s">
        <v>86</v>
      </c>
      <c r="C55" s="1539" t="s">
        <v>87</v>
      </c>
      <c r="D55" s="1540"/>
      <c r="E55" s="170" t="s">
        <v>36</v>
      </c>
      <c r="F55" s="940">
        <f>ROUND($F$47*1%,0)</f>
        <v>172387092</v>
      </c>
      <c r="G55" s="940">
        <f>ROUND(($G$47*1%),0)</f>
        <v>117008954</v>
      </c>
      <c r="H55" s="940">
        <f t="shared" si="0"/>
        <v>55378138</v>
      </c>
      <c r="I55" s="694"/>
      <c r="L55" s="119"/>
    </row>
    <row r="56" spans="2:12" x14ac:dyDescent="0.3">
      <c r="B56" s="182" t="s">
        <v>88</v>
      </c>
      <c r="C56" s="1539" t="s">
        <v>89</v>
      </c>
      <c r="D56" s="1540"/>
      <c r="E56" s="178" t="s">
        <v>36</v>
      </c>
      <c r="F56" s="940">
        <f>ROUND($F$47*1%,0)</f>
        <v>172387092</v>
      </c>
      <c r="G56" s="940">
        <f>ROUND(($G$47*1%),0)</f>
        <v>117008954</v>
      </c>
      <c r="H56" s="940">
        <f t="shared" si="0"/>
        <v>55378138</v>
      </c>
      <c r="I56" s="694"/>
      <c r="J56" s="119"/>
      <c r="K56" s="119"/>
      <c r="L56" s="119"/>
    </row>
    <row r="57" spans="2:12" x14ac:dyDescent="0.3">
      <c r="B57" s="182" t="s">
        <v>90</v>
      </c>
      <c r="C57" s="1539" t="s">
        <v>91</v>
      </c>
      <c r="D57" s="1540"/>
      <c r="E57" s="178" t="s">
        <v>36</v>
      </c>
      <c r="F57" s="940">
        <f>ROUND($F$25/1.01*1%,0)</f>
        <v>173707421</v>
      </c>
      <c r="G57" s="940">
        <f>ROUND(G24*1%,0)+2</f>
        <v>130680736</v>
      </c>
      <c r="H57" s="940">
        <f>F57-G57</f>
        <v>43026685</v>
      </c>
      <c r="I57" s="694"/>
      <c r="K57" s="119"/>
    </row>
    <row r="58" spans="2:12" x14ac:dyDescent="0.3">
      <c r="B58" s="154"/>
      <c r="C58" s="1541" t="s">
        <v>92</v>
      </c>
      <c r="D58" s="1542"/>
      <c r="E58" s="168" t="s">
        <v>36</v>
      </c>
      <c r="F58" s="942">
        <f>SUM(F49:F57)</f>
        <v>1269559811.2679286</v>
      </c>
      <c r="G58" s="942">
        <f>SUM(G49:G57)</f>
        <v>863449541.39999998</v>
      </c>
      <c r="H58" s="942">
        <f>SUM(H49:H57)</f>
        <v>406110269.86792874</v>
      </c>
      <c r="I58" s="694"/>
    </row>
    <row r="59" spans="2:12" x14ac:dyDescent="0.3">
      <c r="B59" s="381"/>
      <c r="C59" s="382"/>
      <c r="D59" s="383" t="s">
        <v>93</v>
      </c>
      <c r="E59" s="384" t="s">
        <v>36</v>
      </c>
      <c r="F59" s="946">
        <f>ROUND(F24+F31-F38-F58-F45,0)</f>
        <v>18573707267</v>
      </c>
      <c r="G59" s="946">
        <f>ROUND(G24+G31-G38-G58-G45,0)</f>
        <v>12892833039</v>
      </c>
      <c r="H59" s="946">
        <f>ROUND(H24+H31-H38-H58-H45,0)</f>
        <v>5680874228</v>
      </c>
      <c r="I59" s="694"/>
    </row>
    <row r="60" spans="2:12" x14ac:dyDescent="0.3">
      <c r="B60" s="1570" t="s">
        <v>94</v>
      </c>
      <c r="C60" s="1571"/>
      <c r="D60" s="1572" t="str">
        <f>J65</f>
        <v>Rupees Sixty Eight Crores  Eight Lakhs Seventy Four Thousand Two Hundred and Twenty Eight Only</v>
      </c>
      <c r="E60" s="1572"/>
      <c r="F60" s="1572"/>
      <c r="G60" s="1572"/>
      <c r="H60" s="1573"/>
      <c r="I60" s="694"/>
      <c r="L60" s="119"/>
    </row>
    <row r="61" spans="2:12" hidden="1" x14ac:dyDescent="0.25">
      <c r="G61" s="108"/>
      <c r="J61" s="886" t="str">
        <f>CHOOSE(IF(VALUE(RIGHT(ROUNDDOWN(H59/10000000,0),2))&gt;9,IF(LEFT(RIGHT(ROUNDDOWN(H59/10000000,0),2),1)="1",VALUE(RIGHT(ROUNDDOWN(H59/10000000,0),1))+2,VALUE(LEFT(RIGHT(ROUNDDOWN(H59/10000000,0),2),1))+10),1),"","Ten","Eleven","Twelve","Thirteen","Fourteen","Fifteen","Sixteen","Seventeen","Eighteen","Ninteen","Twenty","Thirty","Forty","Fifty","Sixty","Seventy","Eighty","Ninety")&amp;CHOOSE(IF(AND(VALUE(RIGHT(ROUNDDOWN(H59/10000000,0),2))&lt;20,VALUE(RIGHT(ROUNDDOWN(H59/10000000,0),2))&gt;10),1,VALUE(RIGHT(ROUNDDOWN(H59/10000000,0),1))+1),""," One"," Two"," Three"," Four"," Five"," Six"," Seven"," Eight"," Nine")&amp; IF(VALUE(RIGHT(ROUNDDOWN(H59/10000000,0),2))&gt;0," Crores ","")</f>
        <v xml:space="preserve">Sixty Eight Crores </v>
      </c>
    </row>
    <row r="62" spans="2:12" hidden="1" x14ac:dyDescent="0.25">
      <c r="G62" s="108"/>
      <c r="J62" s="886" t="str">
        <f>CHOOSE(IF(VALUE(RIGHT(ROUNDDOWN(H59/100000,0),2))&gt;9,IF(LEFT(RIGHT(ROUNDDOWN(H59/100000,0),2),1)="1",VALUE(RIGHT(ROUNDDOWN(H59/100000,0),1))+2,VALUE(LEFT(RIGHT(ROUNDDOWN(H59/100000,0),2),1))+10),1),"","Ten","Eleven","Twelve","Thirteen","Fourteen","Fifteen","Sixteen","Seventeen","Eighteen","Ninteen","Twenty","Thirty","Forty","Fifty","Sixty","Seventy","Eighty","Ninety")&amp;CHOOSE(IF(AND(VALUE(RIGHT(ROUNDDOWN(H59/100000,0),2))&lt;20,VALUE(RIGHT(ROUNDDOWN(H59/100000,0),2))&gt;10),1,VALUE(RIGHT(ROUNDDOWN(H59/100000,0),1))+1),""," One"," Two"," Three"," Four"," Five"," Six"," Seven"," Eight"," Nine")&amp; IF(VALUE(RIGHT(ROUNDDOWN(H59/100000,0),2))&gt;0," Lakhs ","")</f>
        <v xml:space="preserve"> Eight Lakhs </v>
      </c>
    </row>
    <row r="63" spans="2:12" hidden="1" x14ac:dyDescent="0.25">
      <c r="J63" s="886" t="str">
        <f>CHOOSE(IF(VALUE(RIGHT(ROUNDDOWN(H59/1000,0),2))&gt;9,IF(LEFT(RIGHT(ROUNDDOWN(H59/1000,0),2),1)="1",VALUE(RIGHT(ROUNDDOWN(H59/1000,0),1))+2,VALUE(LEFT(RIGHT(ROUNDDOWN(H59/1000,0),2),1))+10),1),"","Ten","Eleven","Twelve","Thirteen","Fourteen","Fifteen","Sixteen","Seventeen","Eighteen","Ninteen","Twenty","Thirty","Forty","Fifty","Sixty","Seventy","Eighty","Ninety")&amp;CHOOSE(IF(AND(VALUE(RIGHT(ROUNDDOWN(H59/1000,0),2))&lt;20,VALUE(RIGHT(ROUNDDOWN(H59/1000,0),2))&gt;10),1,VALUE(RIGHT(ROUNDDOWN(H59/1000,0),1))+1),""," One"," Two"," Three"," Four"," Five"," Six"," Seven"," Eight"," Nine")&amp; IF(VALUE(RIGHT(ROUNDDOWN(H59/1000,0),2))&gt;0," Thousand ","")</f>
        <v xml:space="preserve">Seventy Four Thousand </v>
      </c>
    </row>
    <row r="64" spans="2:12" hidden="1" x14ac:dyDescent="0.25">
      <c r="J64" s="886" t="str">
        <f>CHOOSE(VALUE(RIGHT(ROUNDDOWN(H59/100,0),1))+1,"","One","Two","Three","Four","Five","Six","Seven","Eight","Nine")&amp; IF(VALUE(RIGHT(ROUNDDOWN(H59/100,0),1))&gt;0," Hundred and ","")&amp;CHOOSE(IF(VALUE(RIGHT(ROUNDDOWN(H59,0),2))&gt;9,IF(LEFT(RIGHT(ROUNDDOWN(H59,0),2),1)="1",VALUE(RIGHT(ROUNDDOWN(H59,0),1))+2,VALUE(LEFT(RIGHT(ROUNDDOWN(H59,0),2),1))+10),1),"","Ten","Eleven","Twelve","Thirteen","Fourteen","Fifteen","Sixteen","Seventeen","Eighteen","Ninteen","Twenty","Thirty","Forty","Fifty","Sixty","Seventy","Eighty","Ninety")&amp;CHOOSE(IF(AND(VALUE(RIGHT(ROUNDDOWN(H59,0),2))&lt;20,VALUE(RIGHT(ROUNDDOWN(H59,0),2))&gt;10),1,VALUE(RIGHT(ROUNDDOWN(H59,0),1))+1),""," One"," Two"," Three"," Four"," Five"," Six"," Seven"," Eight"," Nine")</f>
        <v>Two Hundred and Twenty Eight</v>
      </c>
    </row>
    <row r="65" spans="10:10" hidden="1" x14ac:dyDescent="0.25">
      <c r="J65" s="887" t="str">
        <f>"Rupees " &amp;J61&amp;J62&amp;J63&amp;J64&amp;" Only"</f>
        <v>Rupees Sixty Eight Crores  Eight Lakhs Seventy Four Thousand Two Hundred and Twenty Eight Only</v>
      </c>
    </row>
  </sheetData>
  <mergeCells count="61">
    <mergeCell ref="B60:C60"/>
    <mergeCell ref="D60:H60"/>
    <mergeCell ref="C41:D41"/>
    <mergeCell ref="B8:C8"/>
    <mergeCell ref="D8:H8"/>
    <mergeCell ref="C42:D42"/>
    <mergeCell ref="B9:C9"/>
    <mergeCell ref="B10:C10"/>
    <mergeCell ref="D10:H10"/>
    <mergeCell ref="B12:C12"/>
    <mergeCell ref="B13:C13"/>
    <mergeCell ref="D13:H13"/>
    <mergeCell ref="C24:D24"/>
    <mergeCell ref="B14:B15"/>
    <mergeCell ref="C14:D15"/>
    <mergeCell ref="E14:E15"/>
    <mergeCell ref="B2:H2"/>
    <mergeCell ref="B3:H3"/>
    <mergeCell ref="B4:C4"/>
    <mergeCell ref="B6:C6"/>
    <mergeCell ref="B7:C7"/>
    <mergeCell ref="F14:H14"/>
    <mergeCell ref="C16:D16"/>
    <mergeCell ref="C17:D17"/>
    <mergeCell ref="C18:D18"/>
    <mergeCell ref="C19:D19"/>
    <mergeCell ref="C20:D20"/>
    <mergeCell ref="C22:D22"/>
    <mergeCell ref="C23:D23"/>
    <mergeCell ref="C34:D34"/>
    <mergeCell ref="C35:D35"/>
    <mergeCell ref="C36:D36"/>
    <mergeCell ref="C37:D37"/>
    <mergeCell ref="C25:D25"/>
    <mergeCell ref="C26:D26"/>
    <mergeCell ref="C27:D27"/>
    <mergeCell ref="C28:D28"/>
    <mergeCell ref="C29:D29"/>
    <mergeCell ref="C30:D30"/>
    <mergeCell ref="C58:D58"/>
    <mergeCell ref="C21:D21"/>
    <mergeCell ref="C32:D32"/>
    <mergeCell ref="C33:D33"/>
    <mergeCell ref="C40:D40"/>
    <mergeCell ref="C43:D43"/>
    <mergeCell ref="C38:D38"/>
    <mergeCell ref="C39:D39"/>
    <mergeCell ref="C48:D48"/>
    <mergeCell ref="C49:D49"/>
    <mergeCell ref="C52:D52"/>
    <mergeCell ref="C55:D55"/>
    <mergeCell ref="C45:D45"/>
    <mergeCell ref="C50:D50"/>
    <mergeCell ref="C31:D31"/>
    <mergeCell ref="C44:D44"/>
    <mergeCell ref="C51:D51"/>
    <mergeCell ref="C53:D53"/>
    <mergeCell ref="C56:D56"/>
    <mergeCell ref="C57:D57"/>
    <mergeCell ref="C47:D47"/>
    <mergeCell ref="C54:D54"/>
  </mergeCells>
  <printOptions horizontalCentered="1"/>
  <pageMargins left="0.51181102362204722" right="0.51181102362204722" top="0.55118110236220474" bottom="0.74803149606299213" header="0.31496062992125984" footer="0.31496062992125984"/>
  <pageSetup paperSize="9" scale="70" orientation="portrait" r:id="rId1"/>
  <ignoredErrors>
    <ignoredError sqref="H5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7E41-570D-4735-A6B7-26912E053B80}">
  <sheetPr codeName="Sheet2"/>
  <dimension ref="B1:L57"/>
  <sheetViews>
    <sheetView view="pageBreakPreview" zoomScale="80" zoomScaleNormal="90" zoomScaleSheetLayoutView="80" workbookViewId="0">
      <selection activeCell="D5" sqref="D5"/>
    </sheetView>
  </sheetViews>
  <sheetFormatPr defaultColWidth="9.109375" defaultRowHeight="14.4" x14ac:dyDescent="0.3"/>
  <cols>
    <col min="1" max="1" width="1.44140625" style="107" customWidth="1"/>
    <col min="2" max="2" width="5.5546875" style="107" customWidth="1"/>
    <col min="3" max="3" width="25.5546875" style="107" customWidth="1"/>
    <col min="4" max="4" width="26.44140625" style="107" customWidth="1"/>
    <col min="5" max="5" width="8.5546875" style="107" customWidth="1"/>
    <col min="6" max="8" width="19.5546875" style="251" customWidth="1"/>
    <col min="9" max="9" width="16.44140625" style="108" bestFit="1" customWidth="1"/>
    <col min="10" max="10" width="15.44140625" style="107" bestFit="1" customWidth="1"/>
    <col min="11" max="11" width="16.44140625" style="107" bestFit="1" customWidth="1"/>
    <col min="12" max="12" width="17.44140625" style="107" customWidth="1"/>
    <col min="13" max="13" width="17.5546875" style="107" customWidth="1"/>
    <col min="14" max="14" width="16.5546875" style="107" customWidth="1"/>
    <col min="15" max="15" width="15.5546875" style="107" bestFit="1" customWidth="1"/>
    <col min="16" max="16" width="11.44140625" style="107" bestFit="1" customWidth="1"/>
    <col min="17" max="16384" width="9.109375" style="107"/>
  </cols>
  <sheetData>
    <row r="1" spans="2:12" ht="6.75" customHeight="1" x14ac:dyDescent="0.3"/>
    <row r="2" spans="2:12" ht="21.75" customHeight="1" x14ac:dyDescent="0.3">
      <c r="B2" s="1560" t="s">
        <v>95</v>
      </c>
      <c r="C2" s="1561"/>
      <c r="D2" s="1561"/>
      <c r="E2" s="1561"/>
      <c r="F2" s="1561"/>
      <c r="G2" s="1561"/>
      <c r="H2" s="1562"/>
      <c r="I2" s="109"/>
    </row>
    <row r="3" spans="2:12" ht="21.75" customHeight="1" x14ac:dyDescent="0.3">
      <c r="B3" s="1563" t="s">
        <v>1</v>
      </c>
      <c r="C3" s="1564"/>
      <c r="D3" s="1564"/>
      <c r="E3" s="1564"/>
      <c r="F3" s="1564"/>
      <c r="G3" s="1564"/>
      <c r="H3" s="1565"/>
      <c r="I3" s="110"/>
    </row>
    <row r="4" spans="2:12" x14ac:dyDescent="0.3">
      <c r="B4" s="1591" t="s">
        <v>96</v>
      </c>
      <c r="C4" s="1592"/>
      <c r="D4" s="326" t="s">
        <v>97</v>
      </c>
      <c r="E4" s="326"/>
      <c r="F4" s="398"/>
      <c r="G4" s="399" t="s">
        <v>4</v>
      </c>
      <c r="H4" s="722">
        <v>45799</v>
      </c>
      <c r="I4" s="112"/>
    </row>
    <row r="5" spans="2:12" x14ac:dyDescent="0.3">
      <c r="B5" s="332" t="s">
        <v>5</v>
      </c>
      <c r="C5" s="333"/>
      <c r="D5" s="334" t="s">
        <v>98</v>
      </c>
      <c r="E5" s="334"/>
      <c r="F5" s="400"/>
      <c r="G5" s="444"/>
      <c r="H5" s="417"/>
      <c r="I5" s="112"/>
    </row>
    <row r="6" spans="2:12" x14ac:dyDescent="0.3">
      <c r="B6" s="1568" t="s">
        <v>6</v>
      </c>
      <c r="C6" s="1569"/>
      <c r="D6" s="329" t="str">
        <f>'Abs. - L&amp;T'!D6</f>
        <v>1st Jul'26 to 31st Jul'26</v>
      </c>
      <c r="E6" s="329"/>
      <c r="F6" s="401"/>
      <c r="G6" s="401"/>
      <c r="H6" s="402"/>
      <c r="I6" s="113"/>
    </row>
    <row r="7" spans="2:12" x14ac:dyDescent="0.3">
      <c r="B7" s="1568" t="s">
        <v>7</v>
      </c>
      <c r="C7" s="1569"/>
      <c r="D7" s="329" t="s">
        <v>8</v>
      </c>
      <c r="E7" s="329"/>
      <c r="F7" s="401"/>
      <c r="G7" s="401"/>
      <c r="H7" s="403"/>
    </row>
    <row r="8" spans="2:12" ht="30" customHeight="1" x14ac:dyDescent="0.3">
      <c r="B8" s="1574" t="s">
        <v>9</v>
      </c>
      <c r="C8" s="1575"/>
      <c r="D8" s="1575" t="s">
        <v>10</v>
      </c>
      <c r="E8" s="1575"/>
      <c r="F8" s="1575"/>
      <c r="G8" s="1575"/>
      <c r="H8" s="1576"/>
      <c r="I8" s="114"/>
    </row>
    <row r="9" spans="2:12" x14ac:dyDescent="0.3">
      <c r="B9" s="1568" t="s">
        <v>11</v>
      </c>
      <c r="C9" s="1569"/>
      <c r="D9" s="329" t="s">
        <v>12</v>
      </c>
      <c r="E9" s="329"/>
      <c r="F9" s="401"/>
      <c r="G9" s="401"/>
      <c r="H9" s="403"/>
      <c r="I9" s="114"/>
    </row>
    <row r="10" spans="2:12" x14ac:dyDescent="0.3">
      <c r="B10" s="1568" t="s">
        <v>13</v>
      </c>
      <c r="C10" s="1569"/>
      <c r="D10" s="1575" t="s">
        <v>14</v>
      </c>
      <c r="E10" s="1575"/>
      <c r="F10" s="1575"/>
      <c r="G10" s="1575"/>
      <c r="H10" s="1576"/>
      <c r="I10" s="114"/>
    </row>
    <row r="11" spans="2:12" x14ac:dyDescent="0.3">
      <c r="B11" s="327" t="s">
        <v>15</v>
      </c>
      <c r="C11" s="328"/>
      <c r="D11" s="328" t="s">
        <v>16</v>
      </c>
      <c r="E11" s="328"/>
      <c r="F11" s="404"/>
      <c r="G11" s="405" t="s">
        <v>17</v>
      </c>
      <c r="H11" s="331">
        <f>26885400000</f>
        <v>26885400000</v>
      </c>
      <c r="I11" s="117"/>
    </row>
    <row r="12" spans="2:12" x14ac:dyDescent="0.3">
      <c r="B12" s="1568" t="s">
        <v>18</v>
      </c>
      <c r="C12" s="1569"/>
      <c r="D12" s="330" t="s">
        <v>19</v>
      </c>
      <c r="E12" s="330"/>
      <c r="F12" s="406"/>
      <c r="G12" s="405" t="s">
        <v>20</v>
      </c>
      <c r="H12" s="412">
        <f>F17/H11</f>
        <v>0.75606615293058688</v>
      </c>
      <c r="I12" s="111"/>
    </row>
    <row r="13" spans="2:12" ht="30" customHeight="1" x14ac:dyDescent="0.3">
      <c r="B13" s="1589" t="s">
        <v>21</v>
      </c>
      <c r="C13" s="1590"/>
      <c r="D13" s="1575" t="s">
        <v>22</v>
      </c>
      <c r="E13" s="1575"/>
      <c r="F13" s="1575"/>
      <c r="G13" s="1575"/>
      <c r="H13" s="1576"/>
      <c r="I13" s="114"/>
    </row>
    <row r="14" spans="2:12" x14ac:dyDescent="0.3">
      <c r="B14" s="1577" t="s">
        <v>23</v>
      </c>
      <c r="C14" s="1579" t="s">
        <v>24</v>
      </c>
      <c r="D14" s="1580"/>
      <c r="E14" s="1577" t="s">
        <v>25</v>
      </c>
      <c r="F14" s="1586" t="s">
        <v>26</v>
      </c>
      <c r="G14" s="1587"/>
      <c r="H14" s="1588"/>
      <c r="I14" s="115"/>
    </row>
    <row r="15" spans="2:12" x14ac:dyDescent="0.3">
      <c r="B15" s="1578"/>
      <c r="C15" s="1581"/>
      <c r="D15" s="1582"/>
      <c r="E15" s="1578"/>
      <c r="F15" s="407" t="s">
        <v>27</v>
      </c>
      <c r="G15" s="407" t="s">
        <v>28</v>
      </c>
      <c r="H15" s="407" t="s">
        <v>29</v>
      </c>
      <c r="I15" s="115"/>
    </row>
    <row r="16" spans="2:12" x14ac:dyDescent="0.3">
      <c r="B16" s="153" t="s">
        <v>30</v>
      </c>
      <c r="C16" s="1547" t="s">
        <v>31</v>
      </c>
      <c r="D16" s="1548"/>
      <c r="E16" s="166"/>
      <c r="F16" s="408"/>
      <c r="G16" s="408"/>
      <c r="H16" s="409"/>
      <c r="I16" s="118"/>
      <c r="L16" s="121"/>
    </row>
    <row r="17" spans="2:12" ht="30" customHeight="1" x14ac:dyDescent="0.3">
      <c r="B17" s="172" t="s">
        <v>32</v>
      </c>
      <c r="C17" s="1558" t="s">
        <v>33</v>
      </c>
      <c r="D17" s="1559"/>
      <c r="E17" s="173" t="str">
        <f>_xlfn.UNICHAR(8377)</f>
        <v>₹</v>
      </c>
      <c r="F17" s="174">
        <f>'Detailed breakup'!N531</f>
        <v>20327140948</v>
      </c>
      <c r="G17" s="174">
        <f>'Detailed breakup'!P531</f>
        <v>12995429147</v>
      </c>
      <c r="H17" s="174">
        <f>F17-G17</f>
        <v>7331711801</v>
      </c>
      <c r="I17" s="117"/>
      <c r="J17" s="116"/>
    </row>
    <row r="18" spans="2:12" ht="30" customHeight="1" x14ac:dyDescent="0.3">
      <c r="B18" s="169" t="s">
        <v>34</v>
      </c>
      <c r="C18" s="1539" t="s">
        <v>35</v>
      </c>
      <c r="D18" s="1540"/>
      <c r="E18" s="170" t="str">
        <f t="shared" ref="E18:E23" si="0">_xlfn.UNICHAR(8377)</f>
        <v>₹</v>
      </c>
      <c r="F18" s="171">
        <f>'Detailed breakup'!N532</f>
        <v>1616348</v>
      </c>
      <c r="G18" s="171">
        <f>'Detailed breakup'!P532</f>
        <v>1616348</v>
      </c>
      <c r="H18" s="171">
        <f>'Detailed breakup'!R532</f>
        <v>0</v>
      </c>
      <c r="I18" s="117"/>
      <c r="J18" s="116"/>
      <c r="K18" s="116"/>
    </row>
    <row r="19" spans="2:12" ht="30" customHeight="1" x14ac:dyDescent="0.3">
      <c r="B19" s="169" t="s">
        <v>37</v>
      </c>
      <c r="C19" s="1539" t="s">
        <v>38</v>
      </c>
      <c r="D19" s="1540"/>
      <c r="E19" s="170" t="str">
        <f t="shared" si="0"/>
        <v>₹</v>
      </c>
      <c r="F19" s="540">
        <f>'Price Adj.'!V75</f>
        <v>373693103</v>
      </c>
      <c r="G19" s="540">
        <f>'Price Adj.'!V76</f>
        <v>71027937</v>
      </c>
      <c r="H19" s="540">
        <f>F19-G19</f>
        <v>302665166</v>
      </c>
      <c r="I19" s="117"/>
      <c r="J19" s="116"/>
      <c r="K19" s="116"/>
      <c r="L19" s="116"/>
    </row>
    <row r="20" spans="2:12" ht="30" customHeight="1" x14ac:dyDescent="0.3">
      <c r="B20" s="169" t="s">
        <v>39</v>
      </c>
      <c r="C20" s="1539" t="s">
        <v>40</v>
      </c>
      <c r="D20" s="1540"/>
      <c r="E20" s="170" t="str">
        <f t="shared" si="0"/>
        <v>₹</v>
      </c>
      <c r="F20" s="171">
        <v>0</v>
      </c>
      <c r="G20" s="171">
        <v>0</v>
      </c>
      <c r="H20" s="171">
        <f>F20-G20</f>
        <v>0</v>
      </c>
      <c r="I20" s="117"/>
      <c r="K20" s="116"/>
    </row>
    <row r="21" spans="2:12" ht="30" customHeight="1" x14ac:dyDescent="0.3">
      <c r="B21" s="169" t="s">
        <v>41</v>
      </c>
      <c r="C21" s="1539" t="s">
        <v>42</v>
      </c>
      <c r="D21" s="1540"/>
      <c r="E21" s="170" t="str">
        <f t="shared" si="0"/>
        <v>₹</v>
      </c>
      <c r="F21" s="171">
        <v>0</v>
      </c>
      <c r="G21" s="171">
        <v>0</v>
      </c>
      <c r="H21" s="171">
        <f>F21-G21</f>
        <v>0</v>
      </c>
      <c r="I21" s="117"/>
      <c r="J21" s="116"/>
      <c r="K21" s="116"/>
    </row>
    <row r="22" spans="2:12" x14ac:dyDescent="0.3">
      <c r="B22" s="154"/>
      <c r="C22" s="1541" t="s">
        <v>99</v>
      </c>
      <c r="D22" s="1542"/>
      <c r="E22" s="168" t="str">
        <f t="shared" si="0"/>
        <v>₹</v>
      </c>
      <c r="F22" s="155">
        <f>(SUM(F17:F21))</f>
        <v>20702450399</v>
      </c>
      <c r="G22" s="155">
        <f>(SUM(G17:G21))</f>
        <v>13068073432</v>
      </c>
      <c r="H22" s="155">
        <f>(SUM(H17:H21))</f>
        <v>7634376967</v>
      </c>
      <c r="I22" s="117"/>
      <c r="J22" s="122"/>
      <c r="L22" s="119"/>
    </row>
    <row r="23" spans="2:12" x14ac:dyDescent="0.3">
      <c r="B23" s="154"/>
      <c r="C23" s="1541" t="s">
        <v>100</v>
      </c>
      <c r="D23" s="1542"/>
      <c r="E23" s="168" t="str">
        <f t="shared" si="0"/>
        <v>₹</v>
      </c>
      <c r="F23" s="155">
        <f>(F22/1.18)</f>
        <v>17544449490.677967</v>
      </c>
      <c r="G23" s="155">
        <f>(G22/1.18)</f>
        <v>11074638501.694916</v>
      </c>
      <c r="H23" s="155">
        <f>(H22/1.18)</f>
        <v>6469810988.9830513</v>
      </c>
      <c r="I23" s="117"/>
      <c r="J23" s="122"/>
      <c r="L23" s="119"/>
    </row>
    <row r="24" spans="2:12" x14ac:dyDescent="0.3">
      <c r="B24" s="153" t="s">
        <v>49</v>
      </c>
      <c r="C24" s="1547" t="s">
        <v>50</v>
      </c>
      <c r="D24" s="1548"/>
      <c r="E24" s="166"/>
      <c r="F24" s="408"/>
      <c r="G24" s="408"/>
      <c r="H24" s="409"/>
      <c r="I24" s="117"/>
      <c r="L24" s="121"/>
    </row>
    <row r="25" spans="2:12" ht="30" customHeight="1" x14ac:dyDescent="0.3">
      <c r="B25" s="169" t="s">
        <v>32</v>
      </c>
      <c r="C25" s="1539" t="s">
        <v>51</v>
      </c>
      <c r="D25" s="1540"/>
      <c r="E25" s="170" t="s">
        <v>36</v>
      </c>
      <c r="F25" s="171">
        <f>G25+H25</f>
        <v>2688540000</v>
      </c>
      <c r="G25" s="171">
        <f>H11*10%</f>
        <v>2688540000</v>
      </c>
      <c r="H25" s="171">
        <v>0</v>
      </c>
      <c r="I25" s="117"/>
      <c r="K25" s="116"/>
    </row>
    <row r="26" spans="2:12" ht="30" customHeight="1" x14ac:dyDescent="0.3">
      <c r="B26" s="169" t="s">
        <v>34</v>
      </c>
      <c r="C26" s="1539" t="s">
        <v>52</v>
      </c>
      <c r="D26" s="1540"/>
      <c r="E26" s="178" t="s">
        <v>36</v>
      </c>
      <c r="F26" s="171">
        <f>H26+G26</f>
        <v>0</v>
      </c>
      <c r="G26" s="171">
        <v>0</v>
      </c>
      <c r="H26" s="171">
        <v>0</v>
      </c>
      <c r="I26" s="117"/>
      <c r="L26" s="116"/>
    </row>
    <row r="27" spans="2:12" x14ac:dyDescent="0.3">
      <c r="B27" s="156"/>
      <c r="C27" s="1541" t="s">
        <v>101</v>
      </c>
      <c r="D27" s="1542"/>
      <c r="E27" s="168" t="s">
        <v>36</v>
      </c>
      <c r="F27" s="155">
        <f>(SUM(F25:F26))</f>
        <v>2688540000</v>
      </c>
      <c r="G27" s="155">
        <f>(SUM(G25:G26))</f>
        <v>2688540000</v>
      </c>
      <c r="H27" s="155">
        <f>(SUM(H25:H26))</f>
        <v>0</v>
      </c>
      <c r="I27" s="117"/>
      <c r="J27" s="251"/>
    </row>
    <row r="28" spans="2:12" x14ac:dyDescent="0.3">
      <c r="B28" s="156"/>
      <c r="C28" s="1541" t="s">
        <v>102</v>
      </c>
      <c r="D28" s="1542"/>
      <c r="E28" s="168" t="s">
        <v>36</v>
      </c>
      <c r="F28" s="155">
        <f>(F22+F27)</f>
        <v>23390990399</v>
      </c>
      <c r="G28" s="155">
        <f>(G22+G27)</f>
        <v>15756613432</v>
      </c>
      <c r="H28" s="155">
        <f>(H22+H27)</f>
        <v>7634376967</v>
      </c>
      <c r="I28" s="117"/>
      <c r="J28" s="251"/>
    </row>
    <row r="29" spans="2:12" x14ac:dyDescent="0.3">
      <c r="B29" s="156"/>
      <c r="C29" s="1541" t="s">
        <v>103</v>
      </c>
      <c r="D29" s="1542"/>
      <c r="E29" s="168" t="s">
        <v>36</v>
      </c>
      <c r="F29" s="155">
        <f>(F28/1.18)</f>
        <v>19822873219.491528</v>
      </c>
      <c r="G29" s="155">
        <f>(G28/1.18)</f>
        <v>13353062230.508474</v>
      </c>
      <c r="H29" s="155">
        <f>(H28/1.18)</f>
        <v>6469810988.9830513</v>
      </c>
      <c r="I29" s="117"/>
      <c r="J29" s="251"/>
    </row>
    <row r="30" spans="2:12" x14ac:dyDescent="0.3">
      <c r="B30" s="153" t="s">
        <v>60</v>
      </c>
      <c r="C30" s="1547" t="s">
        <v>61</v>
      </c>
      <c r="D30" s="1548"/>
      <c r="E30" s="166"/>
      <c r="F30" s="408"/>
      <c r="G30" s="408"/>
      <c r="H30" s="409"/>
      <c r="I30" s="117"/>
    </row>
    <row r="31" spans="2:12" ht="30" customHeight="1" x14ac:dyDescent="0.3">
      <c r="B31" s="175" t="s">
        <v>32</v>
      </c>
      <c r="C31" s="1539" t="s">
        <v>104</v>
      </c>
      <c r="D31" s="1540"/>
      <c r="E31" s="176" t="s">
        <v>36</v>
      </c>
      <c r="F31" s="174">
        <f>(G31+H31)</f>
        <v>3105367559.8499999</v>
      </c>
      <c r="G31" s="174">
        <f>(G22*15%)</f>
        <v>1960211014.8</v>
      </c>
      <c r="H31" s="174">
        <f>(H22*15%)</f>
        <v>1145156545.05</v>
      </c>
      <c r="I31" s="117"/>
      <c r="J31" s="251"/>
    </row>
    <row r="32" spans="2:12" x14ac:dyDescent="0.3">
      <c r="B32" s="169" t="s">
        <v>34</v>
      </c>
      <c r="C32" s="1539" t="s">
        <v>70</v>
      </c>
      <c r="D32" s="1540"/>
      <c r="E32" s="178" t="s">
        <v>36</v>
      </c>
      <c r="F32" s="171">
        <f>(G32+H32)</f>
        <v>1242147023.9400001</v>
      </c>
      <c r="G32" s="171">
        <f>(G22*6%)</f>
        <v>784084405.91999996</v>
      </c>
      <c r="H32" s="171">
        <f>(H22*6%)</f>
        <v>458062618.01999998</v>
      </c>
      <c r="I32" s="117"/>
      <c r="L32" s="116"/>
    </row>
    <row r="33" spans="2:12" x14ac:dyDescent="0.3">
      <c r="B33" s="157"/>
      <c r="C33" s="1541" t="s">
        <v>105</v>
      </c>
      <c r="D33" s="1542"/>
      <c r="E33" s="168" t="s">
        <v>36</v>
      </c>
      <c r="F33" s="155">
        <f>SUM(F31:F32)</f>
        <v>4347514583.79</v>
      </c>
      <c r="G33" s="155">
        <f>SUM(G31:G32)</f>
        <v>2744295420.7199998</v>
      </c>
      <c r="H33" s="155">
        <f>SUM(H31:H32)</f>
        <v>1603219163.0699999</v>
      </c>
      <c r="I33" s="117"/>
      <c r="J33" s="251"/>
      <c r="K33" s="122"/>
    </row>
    <row r="34" spans="2:12" x14ac:dyDescent="0.3">
      <c r="B34" s="307"/>
      <c r="C34" s="1541" t="s">
        <v>106</v>
      </c>
      <c r="D34" s="1542"/>
      <c r="E34" s="168" t="s">
        <v>36</v>
      </c>
      <c r="F34" s="155">
        <f>F28-F33</f>
        <v>19043475815.209999</v>
      </c>
      <c r="G34" s="155">
        <f>G28-G33</f>
        <v>13012318011.280001</v>
      </c>
      <c r="H34" s="155">
        <f>H28-H33</f>
        <v>6031157803.9300003</v>
      </c>
      <c r="I34" s="117"/>
      <c r="J34" s="251"/>
      <c r="K34" s="122"/>
    </row>
    <row r="35" spans="2:12" x14ac:dyDescent="0.3">
      <c r="B35" s="153" t="s">
        <v>68</v>
      </c>
      <c r="C35" s="1547" t="s">
        <v>107</v>
      </c>
      <c r="D35" s="1548"/>
      <c r="E35" s="166"/>
      <c r="F35" s="408"/>
      <c r="G35" s="408"/>
      <c r="H35" s="409"/>
      <c r="I35" s="117"/>
    </row>
    <row r="36" spans="2:12" x14ac:dyDescent="0.3">
      <c r="B36" s="169" t="s">
        <v>32</v>
      </c>
      <c r="C36" s="1539" t="s">
        <v>108</v>
      </c>
      <c r="D36" s="1540"/>
      <c r="E36" s="178" t="s">
        <v>36</v>
      </c>
      <c r="F36" s="171">
        <f>G36+H36</f>
        <v>0</v>
      </c>
      <c r="G36" s="171">
        <v>0</v>
      </c>
      <c r="H36" s="171">
        <v>0</v>
      </c>
      <c r="I36" s="117"/>
      <c r="L36" s="116"/>
    </row>
    <row r="37" spans="2:12" x14ac:dyDescent="0.3">
      <c r="B37" s="169" t="s">
        <v>34</v>
      </c>
      <c r="C37" s="1539" t="s">
        <v>73</v>
      </c>
      <c r="D37" s="1540"/>
      <c r="E37" s="178" t="s">
        <v>36</v>
      </c>
      <c r="F37" s="171">
        <f>G37+H37</f>
        <v>0</v>
      </c>
      <c r="G37" s="171">
        <v>0</v>
      </c>
      <c r="H37" s="171">
        <v>0</v>
      </c>
      <c r="I37" s="117"/>
      <c r="L37" s="116"/>
    </row>
    <row r="38" spans="2:12" x14ac:dyDescent="0.3">
      <c r="B38" s="157"/>
      <c r="C38" s="1541" t="s">
        <v>109</v>
      </c>
      <c r="D38" s="1542"/>
      <c r="E38" s="168" t="s">
        <v>36</v>
      </c>
      <c r="F38" s="155">
        <f>SUM(F36:F37)</f>
        <v>0</v>
      </c>
      <c r="G38" s="155">
        <f>SUM(G36:G37)</f>
        <v>0</v>
      </c>
      <c r="H38" s="155">
        <f>SUM(H36:H37)</f>
        <v>0</v>
      </c>
      <c r="I38" s="117"/>
      <c r="J38" s="251"/>
      <c r="K38" s="122"/>
    </row>
    <row r="39" spans="2:12" x14ac:dyDescent="0.3">
      <c r="B39" s="157"/>
      <c r="C39" s="1541" t="s">
        <v>110</v>
      </c>
      <c r="D39" s="1542"/>
      <c r="E39" s="168" t="s">
        <v>36</v>
      </c>
      <c r="F39" s="155">
        <f>((F22-F31)/1.18)</f>
        <v>14912782067.076273</v>
      </c>
      <c r="G39" s="155">
        <f>((G22-G31)/1.18)</f>
        <v>9413442726.4406796</v>
      </c>
      <c r="H39" s="155">
        <f>((H22-H31)/1.18)</f>
        <v>5499339340.6355934</v>
      </c>
      <c r="I39" s="117"/>
      <c r="J39" s="251"/>
      <c r="K39" s="122"/>
    </row>
    <row r="40" spans="2:12" x14ac:dyDescent="0.3">
      <c r="B40" s="153" t="s">
        <v>77</v>
      </c>
      <c r="C40" s="1547" t="s">
        <v>78</v>
      </c>
      <c r="D40" s="1548"/>
      <c r="E40" s="166"/>
      <c r="F40" s="408"/>
      <c r="G40" s="408"/>
      <c r="H40" s="409"/>
      <c r="I40" s="117"/>
      <c r="J40" s="251"/>
    </row>
    <row r="41" spans="2:12" x14ac:dyDescent="0.3">
      <c r="B41" s="181" t="s">
        <v>32</v>
      </c>
      <c r="C41" s="1539" t="s">
        <v>111</v>
      </c>
      <c r="D41" s="1540"/>
      <c r="E41" s="179" t="s">
        <v>36</v>
      </c>
      <c r="F41" s="180">
        <f>((F27+F22-F31)/1.18*2%)</f>
        <v>343824115.91779661</v>
      </c>
      <c r="G41" s="180">
        <v>64838315</v>
      </c>
      <c r="H41" s="180">
        <f>F41-G41</f>
        <v>278985800.91779661</v>
      </c>
      <c r="I41" s="117"/>
      <c r="J41" s="120"/>
      <c r="L41" s="122"/>
    </row>
    <row r="42" spans="2:12" x14ac:dyDescent="0.3">
      <c r="B42" s="169" t="s">
        <v>34</v>
      </c>
      <c r="C42" s="1539" t="s">
        <v>112</v>
      </c>
      <c r="D42" s="1540"/>
      <c r="E42" s="178" t="s">
        <v>36</v>
      </c>
      <c r="F42" s="171">
        <f>((F22/1.18/1.02)*2%)</f>
        <v>344008813.54270524</v>
      </c>
      <c r="G42" s="171">
        <v>22225883</v>
      </c>
      <c r="H42" s="171">
        <f t="shared" ref="H42:H48" si="1">F42-G42</f>
        <v>321782930.54270524</v>
      </c>
      <c r="I42" s="117"/>
      <c r="J42" s="251"/>
      <c r="L42" s="116"/>
    </row>
    <row r="43" spans="2:12" x14ac:dyDescent="0.3">
      <c r="B43" s="169" t="s">
        <v>37</v>
      </c>
      <c r="C43" s="1539" t="s">
        <v>81</v>
      </c>
      <c r="D43" s="1540"/>
      <c r="E43" s="178" t="s">
        <v>36</v>
      </c>
      <c r="F43" s="171">
        <f>(F42*2.5%)</f>
        <v>8600220.3385676313</v>
      </c>
      <c r="G43" s="171">
        <v>449089</v>
      </c>
      <c r="H43" s="171">
        <f t="shared" si="1"/>
        <v>8151131.3385676313</v>
      </c>
      <c r="I43" s="117"/>
      <c r="J43" s="251"/>
      <c r="L43" s="116"/>
    </row>
    <row r="44" spans="2:12" ht="30" customHeight="1" x14ac:dyDescent="0.3">
      <c r="B44" s="169" t="s">
        <v>39</v>
      </c>
      <c r="C44" s="1539" t="s">
        <v>82</v>
      </c>
      <c r="D44" s="1540"/>
      <c r="E44" s="178" t="s">
        <v>36</v>
      </c>
      <c r="F44" s="171">
        <f>(F42*10%)</f>
        <v>34400881.354270525</v>
      </c>
      <c r="G44" s="171">
        <v>1796354</v>
      </c>
      <c r="H44" s="171">
        <f t="shared" si="1"/>
        <v>32604527.354270525</v>
      </c>
      <c r="I44" s="117"/>
      <c r="L44" s="116"/>
    </row>
    <row r="45" spans="2:12" x14ac:dyDescent="0.3">
      <c r="B45" s="169" t="s">
        <v>41</v>
      </c>
      <c r="C45" s="1539" t="s">
        <v>83</v>
      </c>
      <c r="D45" s="1540"/>
      <c r="E45" s="178" t="s">
        <v>36</v>
      </c>
      <c r="F45" s="171">
        <f>(F42*10%)</f>
        <v>34400881.354270525</v>
      </c>
      <c r="G45" s="171">
        <v>1796354</v>
      </c>
      <c r="H45" s="171">
        <f t="shared" si="1"/>
        <v>32604527.354270525</v>
      </c>
      <c r="I45" s="117"/>
      <c r="J45" s="251"/>
      <c r="L45" s="116"/>
    </row>
    <row r="46" spans="2:12" x14ac:dyDescent="0.3">
      <c r="B46" s="182" t="s">
        <v>84</v>
      </c>
      <c r="C46" s="1539" t="s">
        <v>113</v>
      </c>
      <c r="D46" s="1540"/>
      <c r="E46" s="183" t="s">
        <v>36</v>
      </c>
      <c r="F46" s="184">
        <f>((F27+F22-F31)/1.18*1%)</f>
        <v>171912057.95889831</v>
      </c>
      <c r="G46" s="184">
        <v>19179316</v>
      </c>
      <c r="H46" s="184">
        <f t="shared" si="1"/>
        <v>152732741.95889831</v>
      </c>
      <c r="I46" s="117"/>
    </row>
    <row r="47" spans="2:12" x14ac:dyDescent="0.3">
      <c r="B47" s="182" t="s">
        <v>86</v>
      </c>
      <c r="C47" s="1539" t="s">
        <v>114</v>
      </c>
      <c r="D47" s="1540"/>
      <c r="E47" s="183" t="s">
        <v>36</v>
      </c>
      <c r="F47" s="184">
        <f>((F27+F22-F31)/1.18*1%)</f>
        <v>171912057.95889831</v>
      </c>
      <c r="G47" s="184">
        <v>19179316</v>
      </c>
      <c r="H47" s="184">
        <f t="shared" si="1"/>
        <v>152732741.95889831</v>
      </c>
      <c r="I47" s="117"/>
    </row>
    <row r="48" spans="2:12" x14ac:dyDescent="0.3">
      <c r="B48" s="182" t="s">
        <v>88</v>
      </c>
      <c r="C48" s="1539" t="s">
        <v>115</v>
      </c>
      <c r="D48" s="1540"/>
      <c r="E48" s="170" t="s">
        <v>36</v>
      </c>
      <c r="F48" s="171">
        <f>(F23*1%)</f>
        <v>175444494.90677968</v>
      </c>
      <c r="G48" s="171">
        <v>10810459</v>
      </c>
      <c r="H48" s="171">
        <f t="shared" si="1"/>
        <v>164634035.90677968</v>
      </c>
      <c r="I48" s="117"/>
      <c r="L48" s="119"/>
    </row>
    <row r="49" spans="2:12" x14ac:dyDescent="0.3">
      <c r="B49" s="154"/>
      <c r="C49" s="1541" t="s">
        <v>116</v>
      </c>
      <c r="D49" s="1542"/>
      <c r="E49" s="168" t="s">
        <v>36</v>
      </c>
      <c r="F49" s="155">
        <f>SUM(F41:F48)</f>
        <v>1284503523.3321872</v>
      </c>
      <c r="G49" s="155">
        <f>SUM(G41:G48)</f>
        <v>140275086</v>
      </c>
      <c r="H49" s="155">
        <f>SUM(H41:H48)</f>
        <v>1144228437.3321869</v>
      </c>
      <c r="I49" s="117"/>
    </row>
    <row r="50" spans="2:12" x14ac:dyDescent="0.3">
      <c r="B50" s="381"/>
      <c r="C50" s="382"/>
      <c r="D50" s="383" t="s">
        <v>117</v>
      </c>
      <c r="E50" s="384" t="s">
        <v>36</v>
      </c>
      <c r="F50" s="385">
        <f>(F34-F38-F49)</f>
        <v>17758972291.877811</v>
      </c>
      <c r="G50" s="385">
        <f>(G34-G38-G49)</f>
        <v>12872042925.280001</v>
      </c>
      <c r="H50" s="385">
        <f>(H34-H38-H49)</f>
        <v>4886929366.5978136</v>
      </c>
      <c r="I50" s="117"/>
      <c r="J50" s="116"/>
      <c r="L50" s="119"/>
    </row>
    <row r="51" spans="2:12" x14ac:dyDescent="0.3">
      <c r="B51" s="1583" t="s">
        <v>118</v>
      </c>
      <c r="C51" s="1584"/>
      <c r="D51" s="1584"/>
      <c r="E51" s="1584"/>
      <c r="F51" s="1584"/>
      <c r="G51" s="1584"/>
      <c r="H51" s="1585"/>
      <c r="I51" s="118"/>
      <c r="J51" s="116"/>
      <c r="L51" s="119"/>
    </row>
    <row r="56" spans="2:12" s="321" customFormat="1" x14ac:dyDescent="0.3">
      <c r="E56" s="322"/>
      <c r="F56" s="410"/>
      <c r="G56" s="410"/>
      <c r="H56" s="411"/>
      <c r="I56" s="113"/>
    </row>
    <row r="57" spans="2:12" s="321" customFormat="1" x14ac:dyDescent="0.3">
      <c r="E57" s="322"/>
      <c r="F57" s="410"/>
      <c r="G57" s="410"/>
      <c r="H57" s="411"/>
      <c r="I57" s="113"/>
    </row>
  </sheetData>
  <mergeCells count="52">
    <mergeCell ref="C39:D39"/>
    <mergeCell ref="B13:C13"/>
    <mergeCell ref="D13:H13"/>
    <mergeCell ref="B2:H2"/>
    <mergeCell ref="B3:H3"/>
    <mergeCell ref="B4:C4"/>
    <mergeCell ref="B6:C6"/>
    <mergeCell ref="B7:C7"/>
    <mergeCell ref="B8:C8"/>
    <mergeCell ref="D8:H8"/>
    <mergeCell ref="B9:C9"/>
    <mergeCell ref="B10:C10"/>
    <mergeCell ref="D10:H10"/>
    <mergeCell ref="B12:C12"/>
    <mergeCell ref="C22:D22"/>
    <mergeCell ref="B14:B15"/>
    <mergeCell ref="C14:D15"/>
    <mergeCell ref="E14:E15"/>
    <mergeCell ref="F14:H14"/>
    <mergeCell ref="C16:D16"/>
    <mergeCell ref="C17:D17"/>
    <mergeCell ref="C19:D19"/>
    <mergeCell ref="C20:D20"/>
    <mergeCell ref="C21:D21"/>
    <mergeCell ref="C18:D18"/>
    <mergeCell ref="C42:D42"/>
    <mergeCell ref="C23:D23"/>
    <mergeCell ref="C35:D35"/>
    <mergeCell ref="C36:D36"/>
    <mergeCell ref="C37:D37"/>
    <mergeCell ref="C38:D38"/>
    <mergeCell ref="C34:D34"/>
    <mergeCell ref="C32:D32"/>
    <mergeCell ref="C24:D24"/>
    <mergeCell ref="C25:D25"/>
    <mergeCell ref="C26:D26"/>
    <mergeCell ref="C28:D28"/>
    <mergeCell ref="C49:D49"/>
    <mergeCell ref="B51:H51"/>
    <mergeCell ref="C40:D40"/>
    <mergeCell ref="C41:D41"/>
    <mergeCell ref="C46:D46"/>
    <mergeCell ref="C48:D48"/>
    <mergeCell ref="C47:D47"/>
    <mergeCell ref="C44:D44"/>
    <mergeCell ref="C45:D45"/>
    <mergeCell ref="C43:D43"/>
    <mergeCell ref="C27:D27"/>
    <mergeCell ref="C29:D29"/>
    <mergeCell ref="C33:D33"/>
    <mergeCell ref="C30:D30"/>
    <mergeCell ref="C31:D31"/>
  </mergeCells>
  <printOptions horizontalCentered="1"/>
  <pageMargins left="0.70866141732283472" right="0.70866141732283472" top="0.74803149606299213" bottom="0.74803149606299213" header="0.31496062992125984" footer="0.31496062992125984"/>
  <pageSetup paperSize="5" scale="69" orientation="portrait" r:id="rId1"/>
  <ignoredErrors>
    <ignoredError sqref="H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09F2-EA21-431F-8B19-FEF6BDEC579C}">
  <sheetPr codeName="Sheet3">
    <pageSetUpPr fitToPage="1"/>
  </sheetPr>
  <dimension ref="B1:S91"/>
  <sheetViews>
    <sheetView view="pageBreakPreview" topLeftCell="C30" zoomScale="95" zoomScaleNormal="90" zoomScaleSheetLayoutView="70" workbookViewId="0">
      <selection activeCell="H42" sqref="H42"/>
    </sheetView>
  </sheetViews>
  <sheetFormatPr defaultColWidth="9.109375" defaultRowHeight="15.6" x14ac:dyDescent="0.3"/>
  <cols>
    <col min="1" max="1" width="1.44140625" style="1223" customWidth="1"/>
    <col min="2" max="2" width="5.5546875" style="1223" customWidth="1"/>
    <col min="3" max="3" width="25.5546875" style="1223" customWidth="1"/>
    <col min="4" max="4" width="51.5546875" style="1223" customWidth="1"/>
    <col min="5" max="5" width="8.5546875" style="1223" customWidth="1"/>
    <col min="6" max="8" width="19.5546875" style="1224" customWidth="1"/>
    <col min="9" max="9" width="5.109375" style="979" customWidth="1"/>
    <col min="10" max="10" width="21.109375" style="1223" bestFit="1" customWidth="1"/>
    <col min="11" max="11" width="18.109375" style="1223" bestFit="1" customWidth="1"/>
    <col min="12" max="12" width="15" style="1223" bestFit="1" customWidth="1"/>
    <col min="13" max="13" width="4.88671875" style="1223" customWidth="1"/>
    <col min="14" max="16" width="18.109375" style="1223" bestFit="1" customWidth="1"/>
    <col min="17" max="17" width="11.5546875" style="1223" bestFit="1" customWidth="1"/>
    <col min="18" max="18" width="15.88671875" style="598" bestFit="1" customWidth="1"/>
    <col min="19" max="19" width="14.109375" style="1223" bestFit="1" customWidth="1"/>
    <col min="20" max="16384" width="9.109375" style="1223"/>
  </cols>
  <sheetData>
    <row r="1" spans="2:13" ht="6.75" customHeight="1" x14ac:dyDescent="0.3"/>
    <row r="2" spans="2:13" x14ac:dyDescent="0.3">
      <c r="B2" s="1622" t="s">
        <v>95</v>
      </c>
      <c r="C2" s="1623"/>
      <c r="D2" s="1623"/>
      <c r="E2" s="1623"/>
      <c r="F2" s="1623"/>
      <c r="G2" s="1623"/>
      <c r="H2" s="1624"/>
      <c r="I2" s="1225"/>
    </row>
    <row r="3" spans="2:13" x14ac:dyDescent="0.3">
      <c r="B3" s="1563" t="s">
        <v>1</v>
      </c>
      <c r="C3" s="1564"/>
      <c r="D3" s="1564"/>
      <c r="E3" s="1564"/>
      <c r="F3" s="1564"/>
      <c r="G3" s="1564"/>
      <c r="H3" s="1565"/>
      <c r="I3" s="1226"/>
    </row>
    <row r="4" spans="2:13" x14ac:dyDescent="0.3">
      <c r="B4" s="1625" t="s">
        <v>96</v>
      </c>
      <c r="C4" s="1626"/>
      <c r="D4" s="1227" t="s">
        <v>119</v>
      </c>
      <c r="E4" s="1227"/>
      <c r="F4" s="1228"/>
      <c r="G4" s="1229" t="s">
        <v>4</v>
      </c>
      <c r="H4" s="1230">
        <f ca="1">TODAY()-1</f>
        <v>46285</v>
      </c>
      <c r="I4" s="1231"/>
    </row>
    <row r="5" spans="2:13" x14ac:dyDescent="0.3">
      <c r="B5" s="1232" t="s">
        <v>5</v>
      </c>
      <c r="C5" s="1233"/>
      <c r="D5" s="1234" t="s">
        <v>120</v>
      </c>
      <c r="E5" s="1234"/>
      <c r="F5" s="1235"/>
      <c r="G5" s="1236"/>
      <c r="H5" s="1237"/>
      <c r="I5" s="1231"/>
    </row>
    <row r="6" spans="2:13" x14ac:dyDescent="0.3">
      <c r="B6" s="1606" t="s">
        <v>6</v>
      </c>
      <c r="C6" s="1607"/>
      <c r="D6" s="1240" t="s">
        <v>121</v>
      </c>
      <c r="E6" s="1240"/>
      <c r="F6" s="1241"/>
      <c r="G6" s="1241"/>
      <c r="H6" s="1242"/>
      <c r="I6" s="1243"/>
    </row>
    <row r="7" spans="2:13" x14ac:dyDescent="0.3">
      <c r="B7" s="1606" t="s">
        <v>7</v>
      </c>
      <c r="C7" s="1607"/>
      <c r="D7" s="1240" t="s">
        <v>8</v>
      </c>
      <c r="E7" s="1240"/>
      <c r="F7" s="1241"/>
      <c r="G7" s="1241"/>
      <c r="H7" s="1244"/>
    </row>
    <row r="8" spans="2:13" ht="30" customHeight="1" x14ac:dyDescent="0.3">
      <c r="B8" s="1621" t="s">
        <v>9</v>
      </c>
      <c r="C8" s="1608"/>
      <c r="D8" s="1608" t="s">
        <v>10</v>
      </c>
      <c r="E8" s="1608"/>
      <c r="F8" s="1608"/>
      <c r="G8" s="1608"/>
      <c r="H8" s="1609"/>
      <c r="I8" s="1245"/>
    </row>
    <row r="9" spans="2:13" x14ac:dyDescent="0.3">
      <c r="B9" s="1606" t="s">
        <v>11</v>
      </c>
      <c r="C9" s="1607"/>
      <c r="D9" s="1240" t="s">
        <v>12</v>
      </c>
      <c r="E9" s="1240"/>
      <c r="F9" s="1241"/>
      <c r="G9" s="1241"/>
      <c r="H9" s="1244"/>
      <c r="I9" s="1245"/>
    </row>
    <row r="10" spans="2:13" x14ac:dyDescent="0.3">
      <c r="B10" s="1606" t="s">
        <v>13</v>
      </c>
      <c r="C10" s="1607"/>
      <c r="D10" s="1608" t="s">
        <v>14</v>
      </c>
      <c r="E10" s="1608"/>
      <c r="F10" s="1608"/>
      <c r="G10" s="1608"/>
      <c r="H10" s="1609"/>
      <c r="I10" s="1245"/>
    </row>
    <row r="11" spans="2:13" x14ac:dyDescent="0.3">
      <c r="B11" s="1238" t="s">
        <v>15</v>
      </c>
      <c r="C11" s="1239"/>
      <c r="D11" s="1239" t="s">
        <v>16</v>
      </c>
      <c r="E11" s="1239"/>
      <c r="F11" s="1246"/>
      <c r="G11" s="1247" t="s">
        <v>17</v>
      </c>
      <c r="H11" s="1248">
        <f>26885400000</f>
        <v>26885400000</v>
      </c>
      <c r="I11" s="1245"/>
    </row>
    <row r="12" spans="2:13" x14ac:dyDescent="0.3">
      <c r="B12" s="1606" t="s">
        <v>18</v>
      </c>
      <c r="C12" s="1607"/>
      <c r="D12" s="1249" t="s">
        <v>19</v>
      </c>
      <c r="E12" s="1249"/>
      <c r="F12" s="1250"/>
      <c r="G12" s="1247" t="s">
        <v>20</v>
      </c>
      <c r="H12" s="1251">
        <f>'Breakup-Summary'!$F$23</f>
        <v>0.7576273182258666</v>
      </c>
      <c r="I12" s="1231"/>
    </row>
    <row r="13" spans="2:13" ht="30" customHeight="1" x14ac:dyDescent="0.3">
      <c r="B13" s="1610" t="s">
        <v>21</v>
      </c>
      <c r="C13" s="1611"/>
      <c r="D13" s="1608" t="s">
        <v>22</v>
      </c>
      <c r="E13" s="1608"/>
      <c r="F13" s="1608"/>
      <c r="G13" s="1608"/>
      <c r="H13" s="1609"/>
      <c r="I13" s="1245"/>
    </row>
    <row r="14" spans="2:13" x14ac:dyDescent="0.3">
      <c r="B14" s="1612" t="s">
        <v>23</v>
      </c>
      <c r="C14" s="1614" t="s">
        <v>24</v>
      </c>
      <c r="D14" s="1615"/>
      <c r="E14" s="1577" t="s">
        <v>25</v>
      </c>
      <c r="F14" s="1618" t="s">
        <v>26</v>
      </c>
      <c r="G14" s="1619"/>
      <c r="H14" s="1620"/>
      <c r="I14" s="1245"/>
    </row>
    <row r="15" spans="2:13" x14ac:dyDescent="0.3">
      <c r="B15" s="1613"/>
      <c r="C15" s="1616"/>
      <c r="D15" s="1617"/>
      <c r="E15" s="1578"/>
      <c r="F15" s="1252" t="s">
        <v>27</v>
      </c>
      <c r="G15" s="1252" t="s">
        <v>28</v>
      </c>
      <c r="H15" s="1252" t="s">
        <v>29</v>
      </c>
      <c r="I15" s="1245"/>
    </row>
    <row r="16" spans="2:13" x14ac:dyDescent="0.3">
      <c r="B16" s="1253" t="s">
        <v>30</v>
      </c>
      <c r="C16" s="1602" t="s">
        <v>31</v>
      </c>
      <c r="D16" s="1603"/>
      <c r="E16" s="1254"/>
      <c r="F16" s="1255"/>
      <c r="G16" s="1255"/>
      <c r="H16" s="1256"/>
      <c r="I16" s="1243"/>
      <c r="M16" s="1257"/>
    </row>
    <row r="17" spans="2:14" x14ac:dyDescent="0.3">
      <c r="B17" s="1258" t="s">
        <v>32</v>
      </c>
      <c r="C17" s="1604" t="s">
        <v>33</v>
      </c>
      <c r="D17" s="1605"/>
      <c r="E17" s="1259" t="s">
        <v>36</v>
      </c>
      <c r="F17" s="1260">
        <f>'Detailed breakup'!$N$531</f>
        <v>20327140948</v>
      </c>
      <c r="G17" s="1260">
        <f>'Detailed breakup'!$P$531</f>
        <v>12995429147</v>
      </c>
      <c r="H17" s="1260">
        <f>F17-G17</f>
        <v>7331711801</v>
      </c>
      <c r="I17" s="1245"/>
      <c r="J17" s="1261"/>
      <c r="K17" s="598"/>
      <c r="L17" s="598"/>
      <c r="N17" s="1224"/>
    </row>
    <row r="18" spans="2:14" x14ac:dyDescent="0.3">
      <c r="B18" s="1262" t="s">
        <v>34</v>
      </c>
      <c r="C18" s="1593" t="s">
        <v>35</v>
      </c>
      <c r="D18" s="1594"/>
      <c r="E18" s="1263" t="s">
        <v>36</v>
      </c>
      <c r="F18" s="1260">
        <f>'Detailed breakup'!N532</f>
        <v>1616348</v>
      </c>
      <c r="G18" s="1260">
        <f>'Detailed breakup'!P532</f>
        <v>1616348</v>
      </c>
      <c r="H18" s="1260">
        <f>'Detailed breakup'!R532</f>
        <v>0</v>
      </c>
      <c r="I18" s="1264"/>
      <c r="J18" s="561"/>
    </row>
    <row r="19" spans="2:14" x14ac:dyDescent="0.3">
      <c r="B19" s="1262" t="s">
        <v>37</v>
      </c>
      <c r="C19" s="1593" t="s">
        <v>38</v>
      </c>
      <c r="D19" s="1594"/>
      <c r="E19" s="1263" t="s">
        <v>36</v>
      </c>
      <c r="F19" s="1260">
        <f>'Price Adj.'!$V$75</f>
        <v>373693103</v>
      </c>
      <c r="G19" s="1260">
        <f>'Price Adj.'!$V$76</f>
        <v>71027937</v>
      </c>
      <c r="H19" s="1260">
        <f>F19-G19</f>
        <v>302665166</v>
      </c>
      <c r="I19" s="1245"/>
      <c r="J19" s="1261"/>
      <c r="K19" s="1261"/>
      <c r="L19" s="1261"/>
      <c r="M19" s="1261"/>
    </row>
    <row r="20" spans="2:14" x14ac:dyDescent="0.3">
      <c r="B20" s="1262" t="s">
        <v>39</v>
      </c>
      <c r="C20" s="1593" t="s">
        <v>40</v>
      </c>
      <c r="D20" s="1594"/>
      <c r="E20" s="1263" t="s">
        <v>36</v>
      </c>
      <c r="F20" s="1260">
        <v>0</v>
      </c>
      <c r="G20" s="1260">
        <v>0</v>
      </c>
      <c r="H20" s="1260">
        <f>F20-G20</f>
        <v>0</v>
      </c>
      <c r="I20" s="1245"/>
      <c r="J20" s="598"/>
      <c r="K20" s="598"/>
      <c r="L20" s="1261"/>
    </row>
    <row r="21" spans="2:14" x14ac:dyDescent="0.3">
      <c r="B21" s="1262" t="s">
        <v>41</v>
      </c>
      <c r="C21" s="1593" t="s">
        <v>42</v>
      </c>
      <c r="D21" s="1594"/>
      <c r="E21" s="1263" t="s">
        <v>36</v>
      </c>
      <c r="F21" s="1260">
        <v>0</v>
      </c>
      <c r="G21" s="1260">
        <v>0</v>
      </c>
      <c r="H21" s="1260">
        <f>F21-G21</f>
        <v>0</v>
      </c>
      <c r="J21" s="1261"/>
      <c r="K21" s="1261"/>
      <c r="L21" s="1261"/>
    </row>
    <row r="22" spans="2:14" x14ac:dyDescent="0.3">
      <c r="B22" s="1265"/>
      <c r="C22" s="1597" t="s">
        <v>99</v>
      </c>
      <c r="D22" s="1598"/>
      <c r="E22" s="1266" t="s">
        <v>36</v>
      </c>
      <c r="F22" s="1267">
        <f>(SUM(F17:F21))</f>
        <v>20702450399</v>
      </c>
      <c r="G22" s="1267">
        <f>(SUM(G17:G21))</f>
        <v>13068073432</v>
      </c>
      <c r="H22" s="1267">
        <f>(SUM(H17:H21))</f>
        <v>7634376967</v>
      </c>
      <c r="I22" s="1245"/>
      <c r="J22" s="1224"/>
      <c r="K22" s="1268"/>
      <c r="M22" s="1269"/>
    </row>
    <row r="23" spans="2:14" x14ac:dyDescent="0.3">
      <c r="B23" s="1253" t="s">
        <v>49</v>
      </c>
      <c r="C23" s="1602" t="s">
        <v>122</v>
      </c>
      <c r="D23" s="1603"/>
      <c r="E23" s="1254"/>
      <c r="F23" s="1270"/>
      <c r="G23" s="1270"/>
      <c r="H23" s="1271"/>
      <c r="I23" s="1245"/>
      <c r="M23" s="1257"/>
    </row>
    <row r="24" spans="2:14" x14ac:dyDescent="0.3">
      <c r="B24" s="1262" t="s">
        <v>32</v>
      </c>
      <c r="C24" s="1593" t="s">
        <v>123</v>
      </c>
      <c r="D24" s="1594"/>
      <c r="E24" s="1263" t="s">
        <v>36</v>
      </c>
      <c r="F24" s="1260">
        <f>G24+H24</f>
        <v>1344270000</v>
      </c>
      <c r="G24" s="1260">
        <f>H11*5%</f>
        <v>1344270000</v>
      </c>
      <c r="H24" s="1260">
        <v>0</v>
      </c>
      <c r="I24" s="1245"/>
      <c r="L24" s="1261"/>
    </row>
    <row r="25" spans="2:14" x14ac:dyDescent="0.3">
      <c r="B25" s="1262" t="s">
        <v>34</v>
      </c>
      <c r="C25" s="1593" t="s">
        <v>124</v>
      </c>
      <c r="D25" s="1594"/>
      <c r="E25" s="1272" t="s">
        <v>36</v>
      </c>
      <c r="F25" s="1260">
        <f>G25+H25</f>
        <v>1344270000</v>
      </c>
      <c r="G25" s="1260">
        <f>H11*5%</f>
        <v>1344270000</v>
      </c>
      <c r="H25" s="1260">
        <v>0</v>
      </c>
      <c r="I25" s="1245"/>
      <c r="M25" s="1261"/>
    </row>
    <row r="26" spans="2:14" x14ac:dyDescent="0.3">
      <c r="B26" s="1262" t="s">
        <v>37</v>
      </c>
      <c r="C26" s="1593" t="s">
        <v>125</v>
      </c>
      <c r="D26" s="1594"/>
      <c r="E26" s="1272" t="s">
        <v>36</v>
      </c>
      <c r="F26" s="1260">
        <f>ROUND((F17+F18)*15%,0)</f>
        <v>3049313594</v>
      </c>
      <c r="G26" s="1260">
        <f>ROUND((G17+G18)*15%,0)</f>
        <v>1949556824</v>
      </c>
      <c r="H26" s="1260">
        <f>F26-G26</f>
        <v>1099756770</v>
      </c>
      <c r="I26" s="1245"/>
      <c r="J26" s="1268"/>
      <c r="M26" s="1261"/>
    </row>
    <row r="27" spans="2:14" x14ac:dyDescent="0.3">
      <c r="B27" s="1273"/>
      <c r="C27" s="1597" t="s">
        <v>126</v>
      </c>
      <c r="D27" s="1598"/>
      <c r="E27" s="1266" t="s">
        <v>36</v>
      </c>
      <c r="F27" s="1267">
        <f>F24+F25-F26</f>
        <v>-360773594</v>
      </c>
      <c r="G27" s="1267">
        <f>G24+G25-G26</f>
        <v>738983176</v>
      </c>
      <c r="H27" s="1267">
        <f>H24+H25-H26</f>
        <v>-1099756770</v>
      </c>
      <c r="I27" s="1245"/>
      <c r="J27" s="1224"/>
      <c r="K27" s="1224"/>
    </row>
    <row r="28" spans="2:14" x14ac:dyDescent="0.3">
      <c r="B28" s="1273"/>
      <c r="C28" s="1597" t="s">
        <v>102</v>
      </c>
      <c r="D28" s="1598"/>
      <c r="E28" s="1266" t="s">
        <v>36</v>
      </c>
      <c r="F28" s="1267">
        <f>(F22+F27)</f>
        <v>20341676805</v>
      </c>
      <c r="G28" s="1267">
        <f>(G22+G27)</f>
        <v>13807056608</v>
      </c>
      <c r="H28" s="1267">
        <f>(H22+H27)</f>
        <v>6534620197</v>
      </c>
      <c r="I28" s="1245"/>
      <c r="J28" s="1224"/>
      <c r="K28" s="1224"/>
    </row>
    <row r="29" spans="2:14" ht="3.6" customHeight="1" x14ac:dyDescent="0.3">
      <c r="B29" s="1274"/>
      <c r="C29" s="1275"/>
      <c r="D29" s="1275"/>
      <c r="E29" s="1276"/>
      <c r="F29" s="1277"/>
      <c r="G29" s="1277"/>
      <c r="H29" s="1278"/>
      <c r="I29" s="1279"/>
      <c r="J29" s="1224"/>
      <c r="K29" s="1224"/>
      <c r="L29" s="1268"/>
    </row>
    <row r="30" spans="2:14" x14ac:dyDescent="0.3">
      <c r="B30" s="1280"/>
      <c r="C30" s="1597" t="s">
        <v>127</v>
      </c>
      <c r="D30" s="1598"/>
      <c r="E30" s="1266" t="s">
        <v>36</v>
      </c>
      <c r="F30" s="1267">
        <f>ROUND((F22+F27)/1.18,0)</f>
        <v>17238709157</v>
      </c>
      <c r="G30" s="1267">
        <f>ROUND((G22+G27)/1.18,0)</f>
        <v>11700895431</v>
      </c>
      <c r="H30" s="1267">
        <f>ROUND((H22+H27)/1.18,0)</f>
        <v>5537813726</v>
      </c>
      <c r="I30" s="1245"/>
      <c r="J30" s="1224"/>
      <c r="K30" s="1224"/>
      <c r="L30" s="1268"/>
    </row>
    <row r="31" spans="2:14" x14ac:dyDescent="0.3">
      <c r="B31" s="1253" t="s">
        <v>60</v>
      </c>
      <c r="C31" s="1602" t="s">
        <v>128</v>
      </c>
      <c r="D31" s="1603"/>
      <c r="E31" s="1254"/>
      <c r="F31" s="1270"/>
      <c r="G31" s="1270"/>
      <c r="H31" s="1271"/>
      <c r="I31" s="1245"/>
    </row>
    <row r="32" spans="2:14" x14ac:dyDescent="0.3">
      <c r="B32" s="1262" t="s">
        <v>32</v>
      </c>
      <c r="C32" s="1593" t="s">
        <v>129</v>
      </c>
      <c r="D32" s="1594"/>
      <c r="E32" s="1263" t="s">
        <v>36</v>
      </c>
      <c r="F32" s="1260">
        <f>ROUND((F22)*6%,0)</f>
        <v>1242147024</v>
      </c>
      <c r="G32" s="1260">
        <f>ROUND((G22*6%),0)</f>
        <v>784084406</v>
      </c>
      <c r="H32" s="1260">
        <f>F32-G32</f>
        <v>458062618</v>
      </c>
      <c r="I32" s="1245"/>
      <c r="L32" s="1261"/>
    </row>
    <row r="33" spans="2:19" x14ac:dyDescent="0.3">
      <c r="B33" s="1281" t="s">
        <v>34</v>
      </c>
      <c r="C33" s="1593" t="s">
        <v>130</v>
      </c>
      <c r="D33" s="1594"/>
      <c r="E33" s="1272" t="s">
        <v>36</v>
      </c>
      <c r="F33" s="1260">
        <f>-'Retention Release'!$G$38</f>
        <v>-605998256</v>
      </c>
      <c r="G33" s="1260">
        <f>-'Retention Release'!$G$39</f>
        <v>-605998256</v>
      </c>
      <c r="H33" s="1260">
        <f>F33-G33</f>
        <v>0</v>
      </c>
      <c r="I33" s="1245"/>
      <c r="J33" s="1224"/>
      <c r="K33" s="1224"/>
    </row>
    <row r="34" spans="2:19" x14ac:dyDescent="0.3">
      <c r="B34" s="1280"/>
      <c r="C34" s="1597" t="s">
        <v>131</v>
      </c>
      <c r="D34" s="1598"/>
      <c r="E34" s="1266" t="s">
        <v>36</v>
      </c>
      <c r="F34" s="1267">
        <f>SUM(F32:F33)</f>
        <v>636148768</v>
      </c>
      <c r="G34" s="1267">
        <f>SUM(G32:G33)</f>
        <v>178086150</v>
      </c>
      <c r="H34" s="1267">
        <f>SUM(H32:H33)</f>
        <v>458062618</v>
      </c>
      <c r="I34" s="1245"/>
      <c r="J34" s="1224"/>
      <c r="K34" s="1224"/>
      <c r="L34" s="1268"/>
    </row>
    <row r="35" spans="2:19" x14ac:dyDescent="0.3">
      <c r="B35" s="1282"/>
      <c r="C35" s="1597" t="s">
        <v>106</v>
      </c>
      <c r="D35" s="1598"/>
      <c r="E35" s="1266" t="s">
        <v>36</v>
      </c>
      <c r="F35" s="1267">
        <f>F28-F34</f>
        <v>19705528037</v>
      </c>
      <c r="G35" s="1267">
        <f>G28-G34</f>
        <v>13628970458</v>
      </c>
      <c r="H35" s="1267">
        <f>H28-H34</f>
        <v>6076557579</v>
      </c>
      <c r="I35" s="1245"/>
      <c r="J35" s="1224"/>
      <c r="K35" s="1224"/>
      <c r="L35" s="1268"/>
    </row>
    <row r="36" spans="2:19" x14ac:dyDescent="0.3">
      <c r="B36" s="1253" t="s">
        <v>68</v>
      </c>
      <c r="C36" s="1602" t="s">
        <v>69</v>
      </c>
      <c r="D36" s="1603"/>
      <c r="E36" s="1254"/>
      <c r="F36" s="1270"/>
      <c r="G36" s="1270"/>
      <c r="H36" s="1271"/>
      <c r="I36" s="1245"/>
    </row>
    <row r="37" spans="2:19" x14ac:dyDescent="0.3">
      <c r="B37" s="1262" t="s">
        <v>32</v>
      </c>
      <c r="C37" s="1593" t="s">
        <v>108</v>
      </c>
      <c r="D37" s="1594"/>
      <c r="E37" s="1283" t="s">
        <v>36</v>
      </c>
      <c r="F37" s="1260">
        <f>ROUND('Withheld-Release'!$M$46,0)</f>
        <v>497964247</v>
      </c>
      <c r="G37" s="1260">
        <f>ROUND('Withheld-Release'!$M$47,0)</f>
        <v>497964247</v>
      </c>
      <c r="H37" s="1260">
        <f>F37-G37</f>
        <v>0</v>
      </c>
      <c r="I37" s="1245"/>
      <c r="M37" s="1261"/>
    </row>
    <row r="38" spans="2:19" x14ac:dyDescent="0.3">
      <c r="B38" s="1281" t="s">
        <v>34</v>
      </c>
      <c r="C38" s="1593" t="s">
        <v>132</v>
      </c>
      <c r="D38" s="1594"/>
      <c r="E38" s="1272" t="s">
        <v>36</v>
      </c>
      <c r="F38" s="1260">
        <f>-ROUND('Withheld-Release'!$R$46,0)</f>
        <v>-497964247</v>
      </c>
      <c r="G38" s="1260">
        <f>-ROUND('Withheld-Release'!R47,0)</f>
        <v>-497964247</v>
      </c>
      <c r="H38" s="1260">
        <f>F38-G38</f>
        <v>0</v>
      </c>
      <c r="I38" s="1245"/>
      <c r="K38" s="1300"/>
      <c r="M38" s="1261"/>
    </row>
    <row r="39" spans="2:19" x14ac:dyDescent="0.3">
      <c r="B39" s="1280"/>
      <c r="C39" s="1597" t="s">
        <v>133</v>
      </c>
      <c r="D39" s="1598"/>
      <c r="E39" s="1266" t="s">
        <v>36</v>
      </c>
      <c r="F39" s="1267">
        <f>SUM(F37:F38)</f>
        <v>0</v>
      </c>
      <c r="G39" s="1267">
        <f>SUM(G37:G38)</f>
        <v>0</v>
      </c>
      <c r="H39" s="1267">
        <f>SUM(H37:H38)</f>
        <v>0</v>
      </c>
      <c r="I39" s="1245"/>
      <c r="J39" s="1224"/>
      <c r="K39" s="1224"/>
      <c r="L39" s="1268"/>
    </row>
    <row r="40" spans="2:19" x14ac:dyDescent="0.3">
      <c r="B40" s="1280"/>
      <c r="C40" s="1597" t="s">
        <v>134</v>
      </c>
      <c r="D40" s="1598"/>
      <c r="E40" s="1266" t="s">
        <v>36</v>
      </c>
      <c r="F40" s="1267">
        <f>F35-F39</f>
        <v>19705528037</v>
      </c>
      <c r="G40" s="1267">
        <f>G35-G39</f>
        <v>13628970458</v>
      </c>
      <c r="H40" s="1267">
        <f>H35-H39</f>
        <v>6076557579</v>
      </c>
      <c r="I40" s="1245"/>
      <c r="J40" s="1268"/>
      <c r="K40" s="1224"/>
      <c r="L40" s="1268"/>
    </row>
    <row r="41" spans="2:19" x14ac:dyDescent="0.3">
      <c r="B41" s="1253" t="s">
        <v>77</v>
      </c>
      <c r="C41" s="1602" t="s">
        <v>78</v>
      </c>
      <c r="D41" s="1603"/>
      <c r="E41" s="1254"/>
      <c r="F41" s="1270"/>
      <c r="G41" s="1270"/>
      <c r="H41" s="1271"/>
      <c r="I41" s="1245"/>
      <c r="J41" s="1224"/>
      <c r="K41" s="1224"/>
    </row>
    <row r="42" spans="2:19" ht="14.4" customHeight="1" x14ac:dyDescent="0.3">
      <c r="B42" s="1284" t="s">
        <v>32</v>
      </c>
      <c r="C42" s="1593" t="s">
        <v>135</v>
      </c>
      <c r="D42" s="1594"/>
      <c r="E42" s="1285" t="s">
        <v>36</v>
      </c>
      <c r="F42" s="1286"/>
      <c r="G42" s="1286"/>
      <c r="H42" s="1286"/>
      <c r="J42" s="1287">
        <f>ROUND((F30*2%),0)</f>
        <v>344774183</v>
      </c>
      <c r="K42" s="1287">
        <v>227561965</v>
      </c>
      <c r="L42" s="1287">
        <f>ROUND((H30*2%),0)</f>
        <v>110756275</v>
      </c>
      <c r="N42" s="1287">
        <f>O42+P42</f>
        <v>338318240</v>
      </c>
      <c r="O42" s="1287">
        <f>K42</f>
        <v>227561965</v>
      </c>
      <c r="P42" s="1287">
        <f>L42</f>
        <v>110756275</v>
      </c>
      <c r="Q42" s="1224"/>
    </row>
    <row r="43" spans="2:19" ht="14.4" customHeight="1" x14ac:dyDescent="0.3">
      <c r="B43" s="1262" t="s">
        <v>34</v>
      </c>
      <c r="C43" s="1593" t="s">
        <v>136</v>
      </c>
      <c r="D43" s="1594"/>
      <c r="E43" s="1272" t="s">
        <v>36</v>
      </c>
      <c r="F43" s="1288"/>
      <c r="G43" s="1288"/>
      <c r="H43" s="1288"/>
      <c r="J43" s="1289">
        <f>(F17+F18)*2%/(1.18*1.02)-R43</f>
        <v>232012489.846793</v>
      </c>
      <c r="K43" s="1289">
        <v>104591554</v>
      </c>
      <c r="L43" s="1289">
        <f>J43-K43</f>
        <v>127420935.846793</v>
      </c>
      <c r="N43" s="1289">
        <f t="shared" ref="N43:N50" si="0">O43+P43</f>
        <v>224621346.34059492</v>
      </c>
      <c r="O43" s="1289">
        <f t="shared" ref="O43:O50" si="1">K43</f>
        <v>104591554</v>
      </c>
      <c r="P43" s="1289">
        <f>L43-Q43</f>
        <v>120029792.34059492</v>
      </c>
      <c r="Q43" s="1224">
        <f>'Royalty Details'!G72</f>
        <v>7391143.5061980784</v>
      </c>
      <c r="R43" s="598">
        <f>'Summary-Royalty'!T12</f>
        <v>105786734.08142237</v>
      </c>
      <c r="S43" s="1300">
        <f>J43+R43</f>
        <v>337799223.92821538</v>
      </c>
    </row>
    <row r="44" spans="2:19" ht="14.4" customHeight="1" x14ac:dyDescent="0.3">
      <c r="B44" s="1262" t="s">
        <v>37</v>
      </c>
      <c r="C44" s="1593" t="s">
        <v>137</v>
      </c>
      <c r="D44" s="1594"/>
      <c r="E44" s="1272" t="s">
        <v>36</v>
      </c>
      <c r="F44" s="1288"/>
      <c r="G44" s="1288"/>
      <c r="H44" s="1288"/>
      <c r="J44" s="1289">
        <f>((F17+F18)*2%/(1.18*1.02))*2.5%</f>
        <v>8444980.5982053857</v>
      </c>
      <c r="K44" s="1289">
        <v>5247793</v>
      </c>
      <c r="L44" s="1289">
        <f t="shared" ref="L44:L47" si="2">J44-K44</f>
        <v>3197187.5982053857</v>
      </c>
      <c r="N44" s="1289">
        <f t="shared" si="0"/>
        <v>8444980.5982053857</v>
      </c>
      <c r="O44" s="1289">
        <f t="shared" si="1"/>
        <v>5247793</v>
      </c>
      <c r="P44" s="1289">
        <f>L44</f>
        <v>3197187.5982053857</v>
      </c>
      <c r="Q44" s="1224"/>
      <c r="R44" s="598">
        <f>'Summary-Royalty'!T13</f>
        <v>281240.3270355612</v>
      </c>
      <c r="S44" s="1300">
        <f t="shared" ref="S44:S47" si="3">J44+R44</f>
        <v>8726220.9252409469</v>
      </c>
    </row>
    <row r="45" spans="2:19" x14ac:dyDescent="0.3">
      <c r="B45" s="1262" t="s">
        <v>39</v>
      </c>
      <c r="C45" s="1593" t="s">
        <v>82</v>
      </c>
      <c r="D45" s="1594"/>
      <c r="E45" s="1272" t="s">
        <v>36</v>
      </c>
      <c r="F45" s="1290"/>
      <c r="G45" s="1290"/>
      <c r="H45" s="1290"/>
      <c r="J45" s="1289">
        <f>(((F17+F18)*2%/(1.18*1.02)))*10%-R45</f>
        <v>23206613.350149553</v>
      </c>
      <c r="K45" s="1289">
        <v>10459157</v>
      </c>
      <c r="L45" s="1289">
        <f t="shared" si="2"/>
        <v>12747456.350149553</v>
      </c>
      <c r="N45" s="1289">
        <f t="shared" si="0"/>
        <v>22462136</v>
      </c>
      <c r="O45" s="1289">
        <f t="shared" si="1"/>
        <v>10459157</v>
      </c>
      <c r="P45" s="1289">
        <f>ROUND(P43*0.1,0)</f>
        <v>12002979</v>
      </c>
      <c r="Q45" s="1224"/>
      <c r="R45" s="598">
        <f>('Summary-Royalty'!$T$14-$R$47)/2</f>
        <v>10573309.04267199</v>
      </c>
      <c r="S45" s="1300">
        <f t="shared" si="3"/>
        <v>33779922.392821543</v>
      </c>
    </row>
    <row r="46" spans="2:19" ht="14.4" customHeight="1" x14ac:dyDescent="0.3">
      <c r="B46" s="1262" t="s">
        <v>41</v>
      </c>
      <c r="C46" s="1593" t="s">
        <v>83</v>
      </c>
      <c r="D46" s="1594"/>
      <c r="E46" s="1272" t="s">
        <v>36</v>
      </c>
      <c r="F46" s="1290"/>
      <c r="G46" s="1290"/>
      <c r="H46" s="1290"/>
      <c r="J46" s="1289">
        <f>(((F17+F18)*2%/(1.18*1.02)))*10%-R46</f>
        <v>23206613.350149553</v>
      </c>
      <c r="K46" s="1289">
        <v>10459157</v>
      </c>
      <c r="L46" s="1289">
        <f t="shared" si="2"/>
        <v>12747456.350149553</v>
      </c>
      <c r="N46" s="1289">
        <f t="shared" si="0"/>
        <v>22462136</v>
      </c>
      <c r="O46" s="1289">
        <f t="shared" si="1"/>
        <v>10459157</v>
      </c>
      <c r="P46" s="1289">
        <f>P45</f>
        <v>12002979</v>
      </c>
      <c r="Q46" s="1224"/>
      <c r="R46" s="598">
        <f>('Summary-Royalty'!$T$14-$R$47)/2</f>
        <v>10573309.04267199</v>
      </c>
      <c r="S46" s="1300">
        <f t="shared" si="3"/>
        <v>33779922.392821543</v>
      </c>
    </row>
    <row r="47" spans="2:19" ht="14.4" customHeight="1" x14ac:dyDescent="0.3">
      <c r="B47" s="1262" t="s">
        <v>84</v>
      </c>
      <c r="C47" s="1593" t="s">
        <v>85</v>
      </c>
      <c r="D47" s="1594"/>
      <c r="E47" s="1272" t="s">
        <v>36</v>
      </c>
      <c r="F47" s="1290"/>
      <c r="G47" s="1290"/>
      <c r="H47" s="1290"/>
      <c r="J47" s="1289">
        <f>(F17+F18-12134718776-1244255)*2%*2%/(1.18*1.02)-R47</f>
        <v>2625233.1322698575</v>
      </c>
      <c r="K47" s="1289">
        <v>97530</v>
      </c>
      <c r="L47" s="1289">
        <f t="shared" si="2"/>
        <v>2527703.1322698575</v>
      </c>
      <c r="N47" s="1289">
        <f t="shared" si="0"/>
        <v>2498126</v>
      </c>
      <c r="O47" s="1289">
        <f t="shared" si="1"/>
        <v>97530</v>
      </c>
      <c r="P47" s="1289">
        <f>ROUND(($P$43*2%),0)</f>
        <v>2400596</v>
      </c>
      <c r="Q47" s="1224"/>
      <c r="R47" s="598">
        <v>97530</v>
      </c>
      <c r="S47" s="1300">
        <f t="shared" si="3"/>
        <v>2722763.1322698575</v>
      </c>
    </row>
    <row r="48" spans="2:19" ht="14.4" customHeight="1" x14ac:dyDescent="0.3">
      <c r="B48" s="1291" t="s">
        <v>86</v>
      </c>
      <c r="C48" s="1593" t="s">
        <v>138</v>
      </c>
      <c r="D48" s="1594"/>
      <c r="E48" s="1292" t="s">
        <v>36</v>
      </c>
      <c r="F48" s="1293"/>
      <c r="G48" s="1293"/>
      <c r="H48" s="1293"/>
      <c r="J48" s="1289">
        <f t="shared" ref="J48:J50" si="4">K48+L48</f>
        <v>169159119</v>
      </c>
      <c r="K48" s="1289">
        <v>113780982</v>
      </c>
      <c r="L48" s="1289">
        <f>ROUND((H30*1%),0)</f>
        <v>55378137</v>
      </c>
      <c r="N48" s="1289">
        <f t="shared" si="0"/>
        <v>169159119</v>
      </c>
      <c r="O48" s="1289">
        <f t="shared" si="1"/>
        <v>113780982</v>
      </c>
      <c r="P48" s="1289">
        <f>L48</f>
        <v>55378137</v>
      </c>
      <c r="Q48" s="1224"/>
    </row>
    <row r="49" spans="2:18" ht="14.4" customHeight="1" x14ac:dyDescent="0.3">
      <c r="B49" s="1291" t="s">
        <v>88</v>
      </c>
      <c r="C49" s="1593" t="s">
        <v>139</v>
      </c>
      <c r="D49" s="1594"/>
      <c r="E49" s="1292" t="s">
        <v>36</v>
      </c>
      <c r="F49" s="1293"/>
      <c r="G49" s="1293"/>
      <c r="H49" s="1293"/>
      <c r="J49" s="1289">
        <f t="shared" si="4"/>
        <v>169159119</v>
      </c>
      <c r="K49" s="1289">
        <v>113780982</v>
      </c>
      <c r="L49" s="1289">
        <f>ROUND((H30*1%),0)</f>
        <v>55378137</v>
      </c>
      <c r="N49" s="1289">
        <f t="shared" si="0"/>
        <v>169159119</v>
      </c>
      <c r="O49" s="1289">
        <f t="shared" si="1"/>
        <v>113780982</v>
      </c>
      <c r="P49" s="1289">
        <f>L49</f>
        <v>55378137</v>
      </c>
      <c r="Q49" s="1224"/>
      <c r="R49" s="598">
        <f>$R$43*10%</f>
        <v>10578673.408142239</v>
      </c>
    </row>
    <row r="50" spans="2:18" x14ac:dyDescent="0.3">
      <c r="B50" s="1291" t="s">
        <v>90</v>
      </c>
      <c r="C50" s="1595" t="s">
        <v>140</v>
      </c>
      <c r="D50" s="1596"/>
      <c r="E50" s="1263" t="s">
        <v>36</v>
      </c>
      <c r="F50" s="1290"/>
      <c r="G50" s="1290"/>
      <c r="H50" s="1290"/>
      <c r="J50" s="1294">
        <f t="shared" si="4"/>
        <v>202668665</v>
      </c>
      <c r="K50" s="1294">
        <v>126324895</v>
      </c>
      <c r="L50" s="1294">
        <f>ROUND(($H$22*1%),0)</f>
        <v>76343770</v>
      </c>
      <c r="N50" s="1294">
        <f t="shared" si="0"/>
        <v>202668665</v>
      </c>
      <c r="O50" s="1294">
        <f t="shared" si="1"/>
        <v>126324895</v>
      </c>
      <c r="P50" s="1294">
        <f>L50</f>
        <v>76343770</v>
      </c>
      <c r="Q50" s="1224"/>
      <c r="R50" s="598">
        <f>$R$43*10%</f>
        <v>10578673.408142239</v>
      </c>
    </row>
    <row r="51" spans="2:18" x14ac:dyDescent="0.3">
      <c r="B51" s="1265"/>
      <c r="C51" s="1597" t="s">
        <v>92</v>
      </c>
      <c r="D51" s="1598"/>
      <c r="E51" s="1266" t="s">
        <v>36</v>
      </c>
      <c r="F51" s="671"/>
      <c r="G51" s="671"/>
      <c r="H51" s="671"/>
      <c r="J51" s="1267">
        <f>SUM(J42:J50)</f>
        <v>1175257016.2775671</v>
      </c>
      <c r="K51" s="1267">
        <f>SUM(K42:K50)</f>
        <v>712304015</v>
      </c>
      <c r="L51" s="1267">
        <f>SUM(L42:L50)</f>
        <v>456497058.27756733</v>
      </c>
      <c r="N51" s="1267">
        <f>SUM(N42:N50)</f>
        <v>1159793867.9388003</v>
      </c>
      <c r="O51" s="1267">
        <f>SUM(O42:O50)</f>
        <v>712304015</v>
      </c>
      <c r="P51" s="1267">
        <f>SUM(P42:P50)</f>
        <v>447489852.93880033</v>
      </c>
      <c r="Q51" s="1224"/>
    </row>
    <row r="52" spans="2:18" x14ac:dyDescent="0.3">
      <c r="B52" s="1295"/>
      <c r="C52" s="1296"/>
      <c r="D52" s="1297" t="s">
        <v>117</v>
      </c>
      <c r="E52" s="1298" t="s">
        <v>36</v>
      </c>
      <c r="F52" s="1299"/>
      <c r="G52" s="1299"/>
      <c r="H52" s="1299"/>
      <c r="J52" s="1267">
        <f>F35-F39-J51</f>
        <v>18530271020.722431</v>
      </c>
      <c r="K52" s="1267">
        <f>G35-G39-K51</f>
        <v>12916666443</v>
      </c>
      <c r="L52" s="1267">
        <f>H35-H39-L51</f>
        <v>5620060520.7224331</v>
      </c>
      <c r="N52" s="1267">
        <f t="shared" ref="N52:O52" si="5">F40-N51</f>
        <v>18545734169.061199</v>
      </c>
      <c r="O52" s="1267">
        <f t="shared" si="5"/>
        <v>12916666443</v>
      </c>
      <c r="P52" s="1267">
        <f>H40-P51</f>
        <v>5629067726.0611992</v>
      </c>
      <c r="Q52" s="1224"/>
    </row>
    <row r="53" spans="2:18" x14ac:dyDescent="0.3">
      <c r="B53" s="1599" t="s">
        <v>94</v>
      </c>
      <c r="C53" s="1600"/>
      <c r="D53" s="1600"/>
      <c r="E53" s="1600"/>
      <c r="F53" s="1600"/>
      <c r="G53" s="1600"/>
      <c r="H53" s="1601"/>
      <c r="I53" s="1243"/>
      <c r="J53" s="1261"/>
      <c r="K53" s="1261"/>
      <c r="L53" s="1268"/>
      <c r="M53" s="1269"/>
    </row>
    <row r="54" spans="2:18" ht="14.85" customHeight="1" x14ac:dyDescent="0.3">
      <c r="K54" s="1224"/>
      <c r="L54" s="1268"/>
      <c r="O54" s="598"/>
    </row>
    <row r="55" spans="2:18" ht="14.85" customHeight="1" x14ac:dyDescent="0.3">
      <c r="N55" s="1287">
        <f>O55+P55</f>
        <v>338318240</v>
      </c>
      <c r="O55" s="1287">
        <v>227561965</v>
      </c>
      <c r="P55" s="1287">
        <f>P42</f>
        <v>110756275</v>
      </c>
    </row>
    <row r="56" spans="2:18" ht="14.85" customHeight="1" x14ac:dyDescent="0.3">
      <c r="C56"/>
      <c r="J56" s="1224"/>
      <c r="K56" s="598"/>
      <c r="L56" s="1224"/>
      <c r="M56" s="1300"/>
      <c r="N56" s="1289">
        <f t="shared" ref="N56:N63" si="6">O56+P56</f>
        <v>225721262</v>
      </c>
      <c r="O56" s="1289">
        <v>104591554</v>
      </c>
      <c r="P56" s="1426">
        <f>ROUND((H17+H18)*2%/(1.18*1.02),0)-700000</f>
        <v>121129708</v>
      </c>
    </row>
    <row r="57" spans="2:18" ht="14.85" customHeight="1" x14ac:dyDescent="0.3">
      <c r="C57" s="711"/>
      <c r="J57" s="1224"/>
      <c r="K57" s="1300"/>
      <c r="L57" s="1224"/>
      <c r="N57" s="1289">
        <f t="shared" si="6"/>
        <v>8293535.7000000002</v>
      </c>
      <c r="O57" s="1289">
        <v>5247793</v>
      </c>
      <c r="P57" s="1289">
        <f>ROUND((H17+H18)*2%/(1.18*1.02),0)*2.5%</f>
        <v>3045742.7</v>
      </c>
    </row>
    <row r="58" spans="2:18" s="1301" customFormat="1" ht="14.85" customHeight="1" x14ac:dyDescent="0.3">
      <c r="E58" s="1302"/>
      <c r="F58" s="1303"/>
      <c r="G58" s="1303"/>
      <c r="H58" s="1304"/>
      <c r="I58" s="1243"/>
      <c r="J58" s="1425"/>
      <c r="K58" s="1300"/>
      <c r="L58" s="1224"/>
      <c r="N58" s="1289">
        <f t="shared" si="6"/>
        <v>22572128</v>
      </c>
      <c r="O58" s="1289">
        <v>10459157</v>
      </c>
      <c r="P58" s="1289">
        <f>ROUND(P56*0.1,0)</f>
        <v>12112971</v>
      </c>
      <c r="R58" s="1008"/>
    </row>
    <row r="59" spans="2:18" s="1301" customFormat="1" ht="14.85" customHeight="1" x14ac:dyDescent="0.3">
      <c r="E59" s="1302"/>
      <c r="F59" s="1303"/>
      <c r="G59" s="1303"/>
      <c r="H59" s="1304"/>
      <c r="I59" s="1243"/>
      <c r="J59" s="1425"/>
      <c r="K59" s="1300"/>
      <c r="L59" s="1224"/>
      <c r="N59" s="1289">
        <f t="shared" si="6"/>
        <v>22572128</v>
      </c>
      <c r="O59" s="1289">
        <v>10459157</v>
      </c>
      <c r="P59" s="1289">
        <f>P58</f>
        <v>12112971</v>
      </c>
      <c r="R59" s="1008"/>
    </row>
    <row r="60" spans="2:18" ht="14.85" customHeight="1" x14ac:dyDescent="0.3">
      <c r="J60" s="1425"/>
      <c r="K60" s="1300"/>
      <c r="L60" s="1224"/>
      <c r="N60" s="1289">
        <f t="shared" si="6"/>
        <v>2520124</v>
      </c>
      <c r="O60" s="1289">
        <v>97530</v>
      </c>
      <c r="P60" s="1289">
        <f>ROUND(($P$56*2%),0)</f>
        <v>2422594</v>
      </c>
    </row>
    <row r="61" spans="2:18" ht="14.85" customHeight="1" x14ac:dyDescent="0.3">
      <c r="J61" s="1425"/>
      <c r="N61" s="1289">
        <f t="shared" si="6"/>
        <v>169159119.25999999</v>
      </c>
      <c r="O61" s="1289">
        <v>113780982</v>
      </c>
      <c r="P61" s="1289">
        <f>H30*1%</f>
        <v>55378137.259999998</v>
      </c>
    </row>
    <row r="62" spans="2:18" ht="14.85" customHeight="1" x14ac:dyDescent="0.3">
      <c r="J62" s="1425"/>
      <c r="N62" s="1289">
        <f t="shared" si="6"/>
        <v>169159119.25999999</v>
      </c>
      <c r="O62" s="1289">
        <v>113780982</v>
      </c>
      <c r="P62" s="1289">
        <f>P61</f>
        <v>55378137.259999998</v>
      </c>
    </row>
    <row r="63" spans="2:18" ht="14.85" customHeight="1" x14ac:dyDescent="0.3">
      <c r="N63" s="1294">
        <f t="shared" si="6"/>
        <v>202668664.67000002</v>
      </c>
      <c r="O63" s="1294">
        <v>126324895</v>
      </c>
      <c r="P63" s="1294">
        <f>H22*1%</f>
        <v>76343769.670000002</v>
      </c>
    </row>
    <row r="64" spans="2:18" ht="14.85" customHeight="1" x14ac:dyDescent="0.3">
      <c r="N64" s="1267">
        <f>SUM(N55:N63)</f>
        <v>1160984320.8900001</v>
      </c>
      <c r="O64" s="1267">
        <f>SUM(O55:O63)</f>
        <v>712304015</v>
      </c>
      <c r="P64" s="1267">
        <f>SUM(P55:P63)</f>
        <v>448680305.88999999</v>
      </c>
    </row>
    <row r="65" spans="14:16" ht="14.85" customHeight="1" x14ac:dyDescent="0.3">
      <c r="N65" s="1267">
        <f>F40-N64</f>
        <v>18544543716.110001</v>
      </c>
      <c r="O65" s="1267">
        <f>G40-O64</f>
        <v>12916666443</v>
      </c>
      <c r="P65" s="1267">
        <f>H40-P64</f>
        <v>5627877273.1099997</v>
      </c>
    </row>
    <row r="66" spans="14:16" ht="14.85" customHeight="1" x14ac:dyDescent="0.3"/>
    <row r="67" spans="14:16" ht="14.85" customHeight="1" x14ac:dyDescent="0.3"/>
    <row r="68" spans="14:16" ht="14.85" customHeight="1" x14ac:dyDescent="0.3"/>
    <row r="69" spans="14:16" ht="14.85" customHeight="1" x14ac:dyDescent="0.3"/>
    <row r="70" spans="14:16" ht="14.85" customHeight="1" x14ac:dyDescent="0.3"/>
    <row r="71" spans="14:16" ht="14.85" customHeight="1" x14ac:dyDescent="0.3"/>
    <row r="72" spans="14:16" ht="14.85" customHeight="1" x14ac:dyDescent="0.3"/>
    <row r="73" spans="14:16" ht="14.85" customHeight="1" x14ac:dyDescent="0.3"/>
    <row r="74" spans="14:16" ht="14.85" customHeight="1" x14ac:dyDescent="0.3"/>
    <row r="75" spans="14:16" ht="14.85" customHeight="1" x14ac:dyDescent="0.3"/>
    <row r="76" spans="14:16" ht="14.85" customHeight="1" x14ac:dyDescent="0.3"/>
    <row r="77" spans="14:16" ht="14.85" customHeight="1" x14ac:dyDescent="0.3"/>
    <row r="78" spans="14:16" ht="14.85" customHeight="1" x14ac:dyDescent="0.3"/>
    <row r="79" spans="14:16" ht="14.85" customHeight="1" x14ac:dyDescent="0.3"/>
    <row r="80" spans="14:16" ht="14.85" customHeight="1" x14ac:dyDescent="0.3"/>
    <row r="81" ht="14.85" customHeight="1" x14ac:dyDescent="0.3"/>
    <row r="82" ht="5.4" customHeight="1" x14ac:dyDescent="0.3"/>
    <row r="91" ht="4.6500000000000004" customHeight="1" x14ac:dyDescent="0.3"/>
  </sheetData>
  <mergeCells count="53">
    <mergeCell ref="B8:C8"/>
    <mergeCell ref="D8:H8"/>
    <mergeCell ref="B2:H2"/>
    <mergeCell ref="B3:H3"/>
    <mergeCell ref="B4:C4"/>
    <mergeCell ref="B6:C6"/>
    <mergeCell ref="B7:C7"/>
    <mergeCell ref="C17:D17"/>
    <mergeCell ref="B9:C9"/>
    <mergeCell ref="B10:C10"/>
    <mergeCell ref="D10:H10"/>
    <mergeCell ref="B12:C12"/>
    <mergeCell ref="B13:C13"/>
    <mergeCell ref="D13:H13"/>
    <mergeCell ref="B14:B15"/>
    <mergeCell ref="C14:D15"/>
    <mergeCell ref="E14:E15"/>
    <mergeCell ref="F14:H14"/>
    <mergeCell ref="C16:D16"/>
    <mergeCell ref="C23:D23"/>
    <mergeCell ref="C24:D24"/>
    <mergeCell ref="C25:D25"/>
    <mergeCell ref="C27:D27"/>
    <mergeCell ref="C28:D28"/>
    <mergeCell ref="C18:D18"/>
    <mergeCell ref="C19:D19"/>
    <mergeCell ref="C20:D20"/>
    <mergeCell ref="C21:D21"/>
    <mergeCell ref="C22:D22"/>
    <mergeCell ref="C36:D36"/>
    <mergeCell ref="C37:D37"/>
    <mergeCell ref="C39:D39"/>
    <mergeCell ref="C41:D41"/>
    <mergeCell ref="C40:D40"/>
    <mergeCell ref="C38:D38"/>
    <mergeCell ref="C31:D31"/>
    <mergeCell ref="C26:D26"/>
    <mergeCell ref="C32:D32"/>
    <mergeCell ref="C34:D34"/>
    <mergeCell ref="C35:D35"/>
    <mergeCell ref="C30:D30"/>
    <mergeCell ref="C33:D33"/>
    <mergeCell ref="C42:D42"/>
    <mergeCell ref="C50:D50"/>
    <mergeCell ref="C51:D51"/>
    <mergeCell ref="B53:H53"/>
    <mergeCell ref="C43:D43"/>
    <mergeCell ref="C44:D44"/>
    <mergeCell ref="C45:D45"/>
    <mergeCell ref="C46:D46"/>
    <mergeCell ref="C48:D48"/>
    <mergeCell ref="C49:D49"/>
    <mergeCell ref="C47:D47"/>
  </mergeCells>
  <printOptions horizontalCentered="1"/>
  <pageMargins left="0.51181102362204722" right="0.31496062992125984" top="0.19685039370078741" bottom="0.19685039370078741" header="0.31496062992125984" footer="0.31496062992125984"/>
  <pageSetup paperSize="9" scale="59" orientation="portrait" r:id="rId1"/>
  <ignoredErrors>
    <ignoredError sqref="H18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D14E-BA76-4576-B47B-1FCB5FA52332}">
  <sheetPr codeName="Sheet4">
    <pageSetUpPr fitToPage="1"/>
  </sheetPr>
  <dimension ref="B1:M80"/>
  <sheetViews>
    <sheetView showGridLines="0" view="pageBreakPreview" topLeftCell="C1" zoomScaleNormal="80" zoomScaleSheetLayoutView="100" workbookViewId="0">
      <selection activeCell="G9" sqref="G9"/>
    </sheetView>
  </sheetViews>
  <sheetFormatPr defaultColWidth="8.88671875" defaultRowHeight="13.8" x14ac:dyDescent="0.3"/>
  <cols>
    <col min="1" max="1" width="1" style="185" customWidth="1"/>
    <col min="2" max="2" width="11.109375" style="185" customWidth="1"/>
    <col min="3" max="3" width="65.5546875" style="185" customWidth="1"/>
    <col min="4" max="4" width="11.88671875" style="185" customWidth="1"/>
    <col min="5" max="5" width="16.88671875" style="185" customWidth="1"/>
    <col min="6" max="6" width="11.88671875" style="185" customWidth="1"/>
    <col min="7" max="7" width="18.109375" style="185" bestFit="1" customWidth="1"/>
    <col min="8" max="8" width="11.88671875" style="185" customWidth="1"/>
    <col min="9" max="9" width="17.88671875" style="185" customWidth="1"/>
    <col min="10" max="10" width="11.88671875" style="185" customWidth="1"/>
    <col min="11" max="11" width="16.88671875" style="185" customWidth="1"/>
    <col min="12" max="12" width="16.88671875" style="978" bestFit="1" customWidth="1"/>
    <col min="13" max="13" width="15" style="185" bestFit="1" customWidth="1"/>
    <col min="14" max="16384" width="8.88671875" style="185"/>
  </cols>
  <sheetData>
    <row r="1" spans="2:13" ht="4.5" customHeight="1" x14ac:dyDescent="0.3"/>
    <row r="2" spans="2:13" ht="57" customHeight="1" x14ac:dyDescent="0.3">
      <c r="B2" s="189"/>
      <c r="C2" s="1630" t="s">
        <v>141</v>
      </c>
      <c r="D2" s="1631"/>
      <c r="E2" s="1631"/>
      <c r="F2" s="1631"/>
      <c r="G2" s="1631"/>
      <c r="H2" s="1631"/>
      <c r="I2" s="1631"/>
      <c r="J2" s="190"/>
      <c r="K2" s="252"/>
    </row>
    <row r="3" spans="2:13" ht="21" x14ac:dyDescent="0.3">
      <c r="B3" s="426" t="s">
        <v>142</v>
      </c>
      <c r="C3" s="549"/>
      <c r="D3" s="426"/>
      <c r="E3" s="426"/>
      <c r="F3" s="426"/>
      <c r="G3" s="426"/>
      <c r="H3" s="426"/>
      <c r="I3" s="426"/>
      <c r="J3" s="426"/>
      <c r="K3" s="426"/>
    </row>
    <row r="4" spans="2:13" s="22" customFormat="1" ht="15.6" customHeight="1" x14ac:dyDescent="0.3">
      <c r="B4" s="1632" t="s">
        <v>143</v>
      </c>
      <c r="C4" s="1634" t="s">
        <v>24</v>
      </c>
      <c r="D4" s="1627" t="s">
        <v>144</v>
      </c>
      <c r="E4" s="1628"/>
      <c r="F4" s="1627" t="s">
        <v>27</v>
      </c>
      <c r="G4" s="1628"/>
      <c r="H4" s="1627" t="s">
        <v>28</v>
      </c>
      <c r="I4" s="1628"/>
      <c r="J4" s="1627" t="s">
        <v>145</v>
      </c>
      <c r="K4" s="1629"/>
      <c r="L4" s="979"/>
    </row>
    <row r="5" spans="2:13" s="22" customFormat="1" ht="31.2" x14ac:dyDescent="0.3">
      <c r="B5" s="1633"/>
      <c r="C5" s="1635"/>
      <c r="D5" s="192" t="s">
        <v>146</v>
      </c>
      <c r="E5" s="193" t="s">
        <v>147</v>
      </c>
      <c r="F5" s="192" t="s">
        <v>146</v>
      </c>
      <c r="G5" s="193" t="s">
        <v>148</v>
      </c>
      <c r="H5" s="192" t="s">
        <v>146</v>
      </c>
      <c r="I5" s="193" t="s">
        <v>148</v>
      </c>
      <c r="J5" s="192" t="s">
        <v>146</v>
      </c>
      <c r="K5" s="567" t="s">
        <v>148</v>
      </c>
      <c r="L5" s="979"/>
    </row>
    <row r="6" spans="2:13" s="22" customFormat="1" ht="7.5" customHeight="1" x14ac:dyDescent="0.3">
      <c r="B6" s="546"/>
      <c r="C6" s="550"/>
      <c r="D6" s="547"/>
      <c r="E6" s="548"/>
      <c r="F6" s="547"/>
      <c r="G6" s="548"/>
      <c r="H6" s="547"/>
      <c r="I6" s="548"/>
      <c r="J6" s="547"/>
      <c r="K6" s="568"/>
      <c r="L6" s="979"/>
    </row>
    <row r="7" spans="2:13" s="22" customFormat="1" ht="15.6" x14ac:dyDescent="0.3">
      <c r="B7" s="551" t="s">
        <v>149</v>
      </c>
      <c r="C7" s="552" t="s">
        <v>150</v>
      </c>
      <c r="D7" s="564">
        <v>2.5000000000000001E-2</v>
      </c>
      <c r="E7" s="553">
        <f>D7*(26885400000-55400000)</f>
        <v>670750000</v>
      </c>
      <c r="F7" s="564">
        <f>G7/$E7*$D7</f>
        <v>1.9109844241520686E-2</v>
      </c>
      <c r="G7" s="1016">
        <f>'Detailed breakup'!N119</f>
        <v>512717121</v>
      </c>
      <c r="H7" s="564">
        <f>I7/$E7*$D7</f>
        <v>1.9109844241520686E-2</v>
      </c>
      <c r="I7" s="1016">
        <f>'Detailed breakup'!P119</f>
        <v>512717121</v>
      </c>
      <c r="J7" s="564">
        <f>K7/$E7*$D7</f>
        <v>0</v>
      </c>
      <c r="K7" s="1016">
        <f>'Detailed breakup'!R119</f>
        <v>0</v>
      </c>
      <c r="L7" s="979"/>
      <c r="M7" s="561"/>
    </row>
    <row r="8" spans="2:13" s="22" customFormat="1" ht="7.5" customHeight="1" x14ac:dyDescent="0.3">
      <c r="B8" s="554"/>
      <c r="C8" s="555"/>
      <c r="D8" s="556"/>
      <c r="E8" s="557"/>
      <c r="F8" s="556"/>
      <c r="G8" s="557"/>
      <c r="H8" s="556"/>
      <c r="I8" s="557"/>
      <c r="J8" s="556"/>
      <c r="K8" s="569"/>
      <c r="L8" s="979"/>
    </row>
    <row r="9" spans="2:13" s="22" customFormat="1" ht="15.6" x14ac:dyDescent="0.3">
      <c r="B9" s="558" t="s">
        <v>151</v>
      </c>
      <c r="C9" s="559" t="s">
        <v>152</v>
      </c>
      <c r="D9" s="565">
        <v>0.03</v>
      </c>
      <c r="E9" s="560">
        <f>D9*(26885400000-55400000)</f>
        <v>804900000</v>
      </c>
      <c r="F9" s="564">
        <f>G9/$E9*$D9</f>
        <v>2.727544125978382E-2</v>
      </c>
      <c r="G9" s="1016">
        <f>'Detailed breakup'!N275</f>
        <v>731800089</v>
      </c>
      <c r="H9" s="564">
        <f>I9/$E9*$D9</f>
        <v>2.7244691241147968E-2</v>
      </c>
      <c r="I9" s="1016">
        <f>'Detailed breakup'!P275</f>
        <v>730975066</v>
      </c>
      <c r="J9" s="564">
        <f>K9/$E9*$D9</f>
        <v>3.0750018635855387E-5</v>
      </c>
      <c r="K9" s="1016">
        <f>'Detailed breakup'!R275</f>
        <v>825023</v>
      </c>
      <c r="L9" s="979"/>
      <c r="M9" s="561"/>
    </row>
    <row r="10" spans="2:13" s="22" customFormat="1" ht="7.5" customHeight="1" x14ac:dyDescent="0.3">
      <c r="B10" s="554"/>
      <c r="C10" s="555"/>
      <c r="D10" s="556"/>
      <c r="E10" s="557"/>
      <c r="F10" s="556"/>
      <c r="G10" s="557"/>
      <c r="H10" s="556"/>
      <c r="I10" s="557"/>
      <c r="J10" s="556"/>
      <c r="K10" s="569"/>
      <c r="L10" s="979"/>
    </row>
    <row r="11" spans="2:13" s="22" customFormat="1" ht="15.6" x14ac:dyDescent="0.3">
      <c r="B11" s="551" t="s">
        <v>153</v>
      </c>
      <c r="C11" s="552" t="s">
        <v>154</v>
      </c>
      <c r="D11" s="566">
        <v>4.4999999999999998E-2</v>
      </c>
      <c r="E11" s="560">
        <f>D11*(26885400000-55400000)</f>
        <v>1207350000</v>
      </c>
      <c r="F11" s="564">
        <f>G11/$E11*$D11</f>
        <v>4.1490000111815133E-2</v>
      </c>
      <c r="G11" s="1016">
        <f>'Detailed breakup'!N313</f>
        <v>1113176703</v>
      </c>
      <c r="H11" s="564">
        <f>I11/$E11*$D11</f>
        <v>4.1490000111815133E-2</v>
      </c>
      <c r="I11" s="1016">
        <f>'Detailed breakup'!P313</f>
        <v>1113176703</v>
      </c>
      <c r="J11" s="564">
        <f>K11/$E11*$D11</f>
        <v>0</v>
      </c>
      <c r="K11" s="1016">
        <f>'Detailed breakup'!R313</f>
        <v>0</v>
      </c>
      <c r="L11" s="979"/>
      <c r="M11" s="561"/>
    </row>
    <row r="12" spans="2:13" s="22" customFormat="1" ht="7.5" customHeight="1" x14ac:dyDescent="0.3">
      <c r="B12" s="554"/>
      <c r="C12" s="555"/>
      <c r="D12" s="556"/>
      <c r="E12" s="557"/>
      <c r="F12" s="556"/>
      <c r="G12" s="557"/>
      <c r="H12" s="556"/>
      <c r="I12" s="557"/>
      <c r="J12" s="556"/>
      <c r="K12" s="569"/>
      <c r="L12" s="979"/>
    </row>
    <row r="13" spans="2:13" s="22" customFormat="1" ht="15.6" x14ac:dyDescent="0.3">
      <c r="B13" s="551" t="s">
        <v>155</v>
      </c>
      <c r="C13" s="552" t="s">
        <v>156</v>
      </c>
      <c r="D13" s="566">
        <v>0.67</v>
      </c>
      <c r="E13" s="562">
        <f>D13*(26885400000-55400000)</f>
        <v>17976100000</v>
      </c>
      <c r="F13" s="564">
        <f>G13/$E13*$D13</f>
        <v>0.53041941129332837</v>
      </c>
      <c r="G13" s="1016">
        <f>'Detailed breakup'!N376</f>
        <v>14231152805</v>
      </c>
      <c r="H13" s="564">
        <f>I13/$E13*$D13</f>
        <v>0.26078233063734624</v>
      </c>
      <c r="I13" s="1016">
        <f>'Detailed breakup'!P376</f>
        <v>6996789931</v>
      </c>
      <c r="J13" s="564">
        <f>K13/$E13*$D13</f>
        <v>0.26963708065598213</v>
      </c>
      <c r="K13" s="1016">
        <f>'Detailed breakup'!R376</f>
        <v>7234362874</v>
      </c>
      <c r="L13" s="979"/>
      <c r="M13" s="561"/>
    </row>
    <row r="14" spans="2:13" s="22" customFormat="1" ht="7.5" customHeight="1" x14ac:dyDescent="0.3">
      <c r="B14" s="554"/>
      <c r="C14" s="555"/>
      <c r="D14" s="556"/>
      <c r="E14" s="557"/>
      <c r="F14" s="556"/>
      <c r="G14" s="557"/>
      <c r="H14" s="556"/>
      <c r="I14" s="557"/>
      <c r="J14" s="556"/>
      <c r="K14" s="569"/>
      <c r="L14" s="979"/>
    </row>
    <row r="15" spans="2:13" s="22" customFormat="1" ht="15.6" x14ac:dyDescent="0.3">
      <c r="B15" s="551" t="s">
        <v>157</v>
      </c>
      <c r="C15" s="552" t="s">
        <v>158</v>
      </c>
      <c r="D15" s="566">
        <v>0.14499999999999999</v>
      </c>
      <c r="E15" s="560">
        <f>D15*(26885400000-55400000)</f>
        <v>3890349999.9999995</v>
      </c>
      <c r="F15" s="564">
        <f>G15/$E15*$D15</f>
        <v>0.10913713630264629</v>
      </c>
      <c r="G15" s="1016">
        <f>'Detailed breakup'!N459</f>
        <v>2928149367</v>
      </c>
      <c r="H15" s="564">
        <f>I15/$E15*$D15</f>
        <v>0.10565219194931048</v>
      </c>
      <c r="I15" s="1016">
        <f>'Detailed breakup'!P459</f>
        <v>2834648310</v>
      </c>
      <c r="J15" s="564">
        <f>K15/$E15*$D15</f>
        <v>3.4849443533358183E-3</v>
      </c>
      <c r="K15" s="1016">
        <f>'Detailed breakup'!R459</f>
        <v>93501057</v>
      </c>
      <c r="L15" s="979"/>
      <c r="M15" s="561"/>
    </row>
    <row r="16" spans="2:13" s="22" customFormat="1" ht="7.5" customHeight="1" x14ac:dyDescent="0.3">
      <c r="B16" s="554"/>
      <c r="C16" s="555"/>
      <c r="D16" s="556"/>
      <c r="E16" s="557"/>
      <c r="F16" s="556"/>
      <c r="G16" s="557"/>
      <c r="H16" s="556"/>
      <c r="I16" s="557"/>
      <c r="J16" s="556"/>
      <c r="K16" s="569"/>
      <c r="L16" s="979"/>
    </row>
    <row r="17" spans="2:13" s="22" customFormat="1" ht="15.6" x14ac:dyDescent="0.3">
      <c r="B17" s="551" t="s">
        <v>159</v>
      </c>
      <c r="C17" s="552" t="s">
        <v>160</v>
      </c>
      <c r="D17" s="566">
        <v>2.5000000000000001E-2</v>
      </c>
      <c r="E17" s="560">
        <f>D17*(26885400000-55400000)</f>
        <v>670750000</v>
      </c>
      <c r="F17" s="564">
        <f>G17/$E17*$D17</f>
        <v>2.2103999999999999E-2</v>
      </c>
      <c r="G17" s="1016">
        <f>'Detailed breakup'!N491</f>
        <v>593050320</v>
      </c>
      <c r="H17" s="564">
        <f>I17/$E17*$D17</f>
        <v>2.2103999999999999E-2</v>
      </c>
      <c r="I17" s="1016">
        <f>'Detailed breakup'!P491</f>
        <v>593050320</v>
      </c>
      <c r="J17" s="564">
        <f>K17/$E17*$D17</f>
        <v>0</v>
      </c>
      <c r="K17" s="1016">
        <f>'Detailed breakup'!R491</f>
        <v>0</v>
      </c>
      <c r="L17" s="979"/>
      <c r="M17" s="561"/>
    </row>
    <row r="18" spans="2:13" s="22" customFormat="1" ht="7.5" customHeight="1" x14ac:dyDescent="0.3">
      <c r="B18" s="554"/>
      <c r="C18" s="555"/>
      <c r="D18" s="556"/>
      <c r="E18" s="557"/>
      <c r="F18" s="556"/>
      <c r="G18" s="557"/>
      <c r="H18" s="556"/>
      <c r="I18" s="557"/>
      <c r="J18" s="556"/>
      <c r="K18" s="569"/>
      <c r="L18" s="979"/>
    </row>
    <row r="19" spans="2:13" s="22" customFormat="1" ht="15.6" x14ac:dyDescent="0.3">
      <c r="B19" s="551" t="s">
        <v>161</v>
      </c>
      <c r="C19" s="552" t="s">
        <v>162</v>
      </c>
      <c r="D19" s="566">
        <v>0.06</v>
      </c>
      <c r="E19" s="560">
        <f>D19*(26885400000-55400000)</f>
        <v>1609800000</v>
      </c>
      <c r="F19" s="564">
        <f>G19/$E19*$D19</f>
        <v>8.09148501677227E-3</v>
      </c>
      <c r="G19" s="1016">
        <f>'Detailed breakup'!N517</f>
        <v>217094543</v>
      </c>
      <c r="H19" s="564">
        <f>I19/$E19*$D19</f>
        <v>7.9788183376816989E-3</v>
      </c>
      <c r="I19" s="1016">
        <f>'Detailed breakup'!P517</f>
        <v>214071696</v>
      </c>
      <c r="J19" s="564">
        <f>K19/$E19*$D19</f>
        <v>1.1266667909057026E-4</v>
      </c>
      <c r="K19" s="1016">
        <f>'Detailed breakup'!R517</f>
        <v>3022847</v>
      </c>
      <c r="L19" s="979"/>
      <c r="M19" s="561"/>
    </row>
    <row r="20" spans="2:13" s="22" customFormat="1" ht="7.5" customHeight="1" x14ac:dyDescent="0.3">
      <c r="B20" s="554"/>
      <c r="C20" s="555"/>
      <c r="D20" s="556"/>
      <c r="E20" s="557"/>
      <c r="F20" s="556"/>
      <c r="G20" s="557"/>
      <c r="H20" s="556"/>
      <c r="I20" s="557"/>
      <c r="J20" s="556"/>
      <c r="K20" s="569"/>
      <c r="L20" s="979"/>
    </row>
    <row r="21" spans="2:13" s="22" customFormat="1" ht="15.6" x14ac:dyDescent="0.3">
      <c r="B21" s="558" t="s">
        <v>163</v>
      </c>
      <c r="C21" s="559" t="s">
        <v>164</v>
      </c>
      <c r="D21" s="564"/>
      <c r="E21" s="560">
        <f>55400000</f>
        <v>55400000</v>
      </c>
      <c r="F21" s="564"/>
      <c r="G21" s="1016">
        <f>'Detailed breakup'!N529</f>
        <v>1616348</v>
      </c>
      <c r="H21" s="564"/>
      <c r="I21" s="1016">
        <f>'Detailed breakup'!P529</f>
        <v>1616348</v>
      </c>
      <c r="J21" s="564"/>
      <c r="K21" s="1016">
        <f>'Detailed breakup'!R529</f>
        <v>0</v>
      </c>
      <c r="L21" s="979"/>
      <c r="M21" s="561"/>
    </row>
    <row r="22" spans="2:13" s="22" customFormat="1" ht="7.5" customHeight="1" x14ac:dyDescent="0.3">
      <c r="B22" s="546"/>
      <c r="C22" s="550"/>
      <c r="D22" s="547"/>
      <c r="E22" s="548"/>
      <c r="F22" s="547"/>
      <c r="G22" s="548"/>
      <c r="H22" s="547"/>
      <c r="I22" s="548"/>
      <c r="J22" s="547"/>
      <c r="K22" s="568"/>
      <c r="L22" s="979"/>
    </row>
    <row r="23" spans="2:13" s="97" customFormat="1" ht="15.6" x14ac:dyDescent="0.3">
      <c r="B23" s="570"/>
      <c r="C23" s="571" t="s">
        <v>165</v>
      </c>
      <c r="D23" s="572">
        <f>SUM(D6:D22)</f>
        <v>1</v>
      </c>
      <c r="E23" s="573">
        <f>SUM(E7:E22)</f>
        <v>26885400000</v>
      </c>
      <c r="F23" s="572">
        <f>SUM(F7:F21)</f>
        <v>0.7576273182258666</v>
      </c>
      <c r="G23" s="1017">
        <f>SUM(G7:G22)</f>
        <v>20328757296</v>
      </c>
      <c r="H23" s="572">
        <f>SUM(H7:H22)</f>
        <v>0.48436187651882223</v>
      </c>
      <c r="I23" s="1017">
        <f>SUM(I7:I22)</f>
        <v>12997045495</v>
      </c>
      <c r="J23" s="572">
        <f>SUM(J7:J21)</f>
        <v>0.27326544170704431</v>
      </c>
      <c r="K23" s="1017">
        <f>SUM(K7:K22)</f>
        <v>7331711801</v>
      </c>
      <c r="L23" s="1008">
        <v>339313902</v>
      </c>
      <c r="M23" s="1182">
        <f>K23-L23</f>
        <v>6992397899</v>
      </c>
    </row>
    <row r="24" spans="2:13" x14ac:dyDescent="0.3">
      <c r="B24" s="241"/>
      <c r="C24" s="241"/>
      <c r="D24" s="241"/>
      <c r="E24" s="241"/>
      <c r="F24" s="241"/>
      <c r="G24" s="241"/>
      <c r="H24" s="241"/>
      <c r="I24" s="241"/>
      <c r="J24" s="241"/>
      <c r="K24" s="370"/>
    </row>
    <row r="25" spans="2:13" x14ac:dyDescent="0.3">
      <c r="E25" s="578">
        <f>E21/10^7</f>
        <v>5.54</v>
      </c>
      <c r="G25" s="697"/>
      <c r="H25" s="563"/>
      <c r="I25" s="697"/>
      <c r="K25" s="368"/>
      <c r="L25" s="578"/>
    </row>
    <row r="26" spans="2:13" x14ac:dyDescent="0.3">
      <c r="G26" s="578"/>
      <c r="K26" s="368">
        <f>K23*0.73</f>
        <v>5352149614.7299995</v>
      </c>
    </row>
    <row r="27" spans="2:13" x14ac:dyDescent="0.3">
      <c r="G27" s="578"/>
      <c r="I27" s="563"/>
      <c r="K27" s="368">
        <f>SUM('Royalty Details'!G55:J58)</f>
        <v>7392224</v>
      </c>
    </row>
    <row r="28" spans="2:13" x14ac:dyDescent="0.3">
      <c r="G28" s="368"/>
      <c r="H28" s="368"/>
      <c r="I28" s="368"/>
      <c r="K28" s="368">
        <v>11700000</v>
      </c>
    </row>
    <row r="30" spans="2:13" x14ac:dyDescent="0.3">
      <c r="G30" s="368"/>
      <c r="K30" s="368">
        <f>SUM(K26:K29)</f>
        <v>5371241838.7299995</v>
      </c>
    </row>
    <row r="73" spans="4:4" x14ac:dyDescent="0.3">
      <c r="D73" s="185" t="s">
        <v>166</v>
      </c>
    </row>
    <row r="74" spans="4:4" x14ac:dyDescent="0.3">
      <c r="D74" s="185" t="s">
        <v>167</v>
      </c>
    </row>
    <row r="75" spans="4:4" x14ac:dyDescent="0.3">
      <c r="D75" s="185" t="s">
        <v>168</v>
      </c>
    </row>
    <row r="76" spans="4:4" x14ac:dyDescent="0.3">
      <c r="D76" s="185" t="s">
        <v>169</v>
      </c>
    </row>
    <row r="77" spans="4:4" x14ac:dyDescent="0.3">
      <c r="D77" s="185" t="s">
        <v>170</v>
      </c>
    </row>
    <row r="78" spans="4:4" x14ac:dyDescent="0.3">
      <c r="D78" s="185" t="s">
        <v>171</v>
      </c>
    </row>
    <row r="79" spans="4:4" x14ac:dyDescent="0.3">
      <c r="D79" s="185" t="s">
        <v>172</v>
      </c>
    </row>
    <row r="80" spans="4:4" x14ac:dyDescent="0.3">
      <c r="D80" s="185" t="s">
        <v>173</v>
      </c>
    </row>
  </sheetData>
  <sortState xmlns:xlrd2="http://schemas.microsoft.com/office/spreadsheetml/2017/richdata2" ref="E30:E72">
    <sortCondition ref="E72"/>
  </sortState>
  <mergeCells count="7">
    <mergeCell ref="F4:G4"/>
    <mergeCell ref="H4:I4"/>
    <mergeCell ref="J4:K4"/>
    <mergeCell ref="C2:I2"/>
    <mergeCell ref="B4:B5"/>
    <mergeCell ref="C4:C5"/>
    <mergeCell ref="D4:E4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71" fitToHeight="0" orientation="landscape" r:id="rId1"/>
  <ignoredErrors>
    <ignoredError sqref="G7 I7 E9:I20 E23 E22:I22 E21 G21 I21 I23 G23 F23 J23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B5CC-1329-44C1-BCBB-E54289374FA2}">
  <sheetPr codeName="Sheet5">
    <pageSetUpPr fitToPage="1"/>
  </sheetPr>
  <dimension ref="B1:AD541"/>
  <sheetViews>
    <sheetView showGridLines="0" view="pageBreakPreview" zoomScale="89" zoomScaleNormal="80" zoomScaleSheetLayoutView="70" workbookViewId="0">
      <pane xSplit="7" ySplit="6" topLeftCell="AH493" activePane="bottomRight" state="frozen"/>
      <selection pane="topRight" activeCell="H1" sqref="H1"/>
      <selection pane="bottomLeft" activeCell="A7" sqref="A7"/>
      <selection pane="bottomRight" activeCell="M507" sqref="M507"/>
    </sheetView>
  </sheetViews>
  <sheetFormatPr defaultColWidth="8.88671875" defaultRowHeight="13.8" x14ac:dyDescent="0.3"/>
  <cols>
    <col min="1" max="1" width="1" style="185" customWidth="1"/>
    <col min="2" max="2" width="10.44140625" style="185" customWidth="1"/>
    <col min="3" max="3" width="12.44140625" style="185" customWidth="1"/>
    <col min="4" max="5" width="12.109375" style="185" customWidth="1"/>
    <col min="6" max="6" width="7.5546875" style="185" customWidth="1"/>
    <col min="7" max="7" width="55.5546875" style="185" customWidth="1"/>
    <col min="8" max="8" width="15.88671875" style="186" bestFit="1" customWidth="1"/>
    <col min="9" max="9" width="12.5546875" style="185" customWidth="1"/>
    <col min="10" max="10" width="12.5546875" style="187" customWidth="1"/>
    <col min="11" max="11" width="17.5546875" style="185" customWidth="1"/>
    <col min="12" max="12" width="17.5546875" style="1018" customWidth="1"/>
    <col min="13" max="13" width="12.5546875" style="188" customWidth="1"/>
    <col min="14" max="14" width="17.5546875" style="185" customWidth="1"/>
    <col min="15" max="15" width="12.5546875" style="188" customWidth="1"/>
    <col min="16" max="16" width="17.5546875" style="185" customWidth="1"/>
    <col min="17" max="17" width="12.5546875" style="188" customWidth="1"/>
    <col min="18" max="18" width="17.5546875" style="185" customWidth="1"/>
    <col min="19" max="19" width="10.88671875" style="188" customWidth="1"/>
    <col min="20" max="20" width="15.5546875" style="188" hidden="1" customWidth="1"/>
    <col min="21" max="21" width="7.88671875" style="185" hidden="1" customWidth="1"/>
    <col min="22" max="22" width="1.88671875" style="185" customWidth="1"/>
    <col min="23" max="23" width="13.88671875" style="697" bestFit="1" customWidth="1"/>
    <col min="24" max="24" width="16.109375" style="185" customWidth="1"/>
    <col min="25" max="25" width="11" style="733" customWidth="1"/>
    <col min="26" max="26" width="12.88671875" style="185" customWidth="1"/>
    <col min="27" max="27" width="15.5546875" style="185" customWidth="1"/>
    <col min="28" max="28" width="14.5546875" style="185" customWidth="1"/>
    <col min="29" max="29" width="11" style="185" customWidth="1"/>
    <col min="30" max="30" width="15.5546875" style="185" bestFit="1" customWidth="1"/>
    <col min="31" max="31" width="11" style="185" bestFit="1" customWidth="1"/>
    <col min="32" max="32" width="12.88671875" style="185" bestFit="1" customWidth="1"/>
    <col min="33" max="16384" width="8.88671875" style="185"/>
  </cols>
  <sheetData>
    <row r="1" spans="2:25" ht="4.5" customHeight="1" x14ac:dyDescent="0.3"/>
    <row r="2" spans="2:25" ht="57" customHeight="1" x14ac:dyDescent="0.3">
      <c r="B2" s="189"/>
      <c r="C2" s="190" t="s">
        <v>141</v>
      </c>
      <c r="D2" s="191"/>
      <c r="E2" s="191"/>
      <c r="F2" s="190"/>
      <c r="G2" s="191"/>
      <c r="H2" s="191"/>
      <c r="I2" s="191"/>
      <c r="J2" s="191"/>
      <c r="K2" s="191"/>
      <c r="L2" s="1019"/>
      <c r="M2" s="249"/>
      <c r="N2" s="250"/>
      <c r="O2" s="938"/>
      <c r="P2" s="191"/>
      <c r="Q2" s="1630"/>
      <c r="R2" s="1664"/>
    </row>
    <row r="3" spans="2:25" ht="21" x14ac:dyDescent="0.3">
      <c r="B3" s="426" t="s">
        <v>174</v>
      </c>
      <c r="C3" s="426"/>
      <c r="D3" s="426"/>
      <c r="E3" s="279"/>
      <c r="F3" s="426"/>
      <c r="G3" s="426"/>
      <c r="H3" s="426"/>
      <c r="I3" s="426"/>
      <c r="J3" s="426"/>
      <c r="K3" s="426"/>
      <c r="L3" s="1020"/>
      <c r="M3" s="934"/>
      <c r="N3" s="426"/>
      <c r="O3" s="934"/>
      <c r="P3" s="426"/>
      <c r="Q3" s="934"/>
      <c r="R3" s="426"/>
    </row>
    <row r="4" spans="2:25" ht="21" x14ac:dyDescent="0.3">
      <c r="B4" s="279"/>
      <c r="C4" s="280"/>
      <c r="D4" s="280"/>
      <c r="E4" s="280"/>
      <c r="F4" s="279"/>
      <c r="G4" s="280"/>
      <c r="H4" s="280"/>
      <c r="I4" s="280"/>
      <c r="J4" s="280"/>
      <c r="K4" s="280"/>
      <c r="L4" s="1021"/>
      <c r="M4" s="935"/>
      <c r="N4" s="281"/>
      <c r="O4" s="939" t="str">
        <f>'Abs. - PMC'!B6</f>
        <v>Period of bill :</v>
      </c>
      <c r="P4" s="426"/>
      <c r="Q4" s="939" t="str">
        <f>'Abs. - PMC'!D6</f>
        <v>1st Jul'26 to 31st Jul'26</v>
      </c>
      <c r="R4" s="426"/>
      <c r="W4" s="186"/>
      <c r="X4" s="241"/>
    </row>
    <row r="5" spans="2:25" s="22" customFormat="1" ht="15.6" x14ac:dyDescent="0.3">
      <c r="B5" s="1632" t="s">
        <v>143</v>
      </c>
      <c r="C5" s="1662" t="s">
        <v>24</v>
      </c>
      <c r="D5" s="1627" t="s">
        <v>144</v>
      </c>
      <c r="E5" s="1628"/>
      <c r="F5" s="1632" t="s">
        <v>175</v>
      </c>
      <c r="G5" s="1662" t="s">
        <v>176</v>
      </c>
      <c r="H5" s="1672" t="s">
        <v>177</v>
      </c>
      <c r="I5" s="1668" t="s">
        <v>178</v>
      </c>
      <c r="J5" s="1670" t="s">
        <v>179</v>
      </c>
      <c r="K5" s="1668" t="s">
        <v>180</v>
      </c>
      <c r="L5" s="1660" t="s">
        <v>181</v>
      </c>
      <c r="M5" s="1683" t="s">
        <v>27</v>
      </c>
      <c r="N5" s="1682"/>
      <c r="O5" s="1681" t="s">
        <v>182</v>
      </c>
      <c r="P5" s="1682"/>
      <c r="Q5" s="1681" t="s">
        <v>29</v>
      </c>
      <c r="R5" s="1682"/>
      <c r="S5" s="501"/>
      <c r="T5" s="1656" t="s">
        <v>183</v>
      </c>
      <c r="U5" s="1657"/>
      <c r="W5" s="598"/>
      <c r="Y5" s="731"/>
    </row>
    <row r="6" spans="2:25" s="22" customFormat="1" ht="31.2" x14ac:dyDescent="0.3">
      <c r="B6" s="1633"/>
      <c r="C6" s="1663"/>
      <c r="D6" s="192" t="s">
        <v>146</v>
      </c>
      <c r="E6" s="193" t="s">
        <v>147</v>
      </c>
      <c r="F6" s="1633"/>
      <c r="G6" s="1663"/>
      <c r="H6" s="1673"/>
      <c r="I6" s="1669"/>
      <c r="J6" s="1671"/>
      <c r="K6" s="1669"/>
      <c r="L6" s="1661"/>
      <c r="M6" s="254" t="s">
        <v>184</v>
      </c>
      <c r="N6" s="258" t="s">
        <v>147</v>
      </c>
      <c r="O6" s="254" t="s">
        <v>184</v>
      </c>
      <c r="P6" s="258" t="s">
        <v>147</v>
      </c>
      <c r="Q6" s="254" t="s">
        <v>184</v>
      </c>
      <c r="R6" s="258" t="s">
        <v>147</v>
      </c>
      <c r="S6" s="501"/>
      <c r="T6" s="431" t="s">
        <v>185</v>
      </c>
      <c r="U6" s="432" t="s">
        <v>186</v>
      </c>
      <c r="W6" s="598"/>
      <c r="Y6" s="731"/>
    </row>
    <row r="7" spans="2:25" s="22" customFormat="1" ht="7.5" customHeight="1" x14ac:dyDescent="0.3">
      <c r="B7" s="2"/>
      <c r="C7" s="152"/>
      <c r="D7" s="194"/>
      <c r="E7" s="3"/>
      <c r="F7" s="195"/>
      <c r="G7" s="4"/>
      <c r="H7" s="196"/>
      <c r="I7" s="197"/>
      <c r="J7" s="198"/>
      <c r="K7" s="199"/>
      <c r="L7" s="1022"/>
      <c r="M7" s="200"/>
      <c r="N7" s="199"/>
      <c r="O7" s="200"/>
      <c r="P7" s="199"/>
      <c r="Q7" s="200"/>
      <c r="R7" s="325"/>
      <c r="S7" s="501"/>
      <c r="T7" s="429"/>
      <c r="U7" s="430"/>
      <c r="W7" s="598"/>
      <c r="Y7" s="731"/>
    </row>
    <row r="8" spans="2:25" s="22" customFormat="1" ht="15.6" customHeight="1" x14ac:dyDescent="0.3">
      <c r="B8" s="1654" t="s">
        <v>149</v>
      </c>
      <c r="C8" s="1651" t="s">
        <v>150</v>
      </c>
      <c r="D8" s="1649">
        <v>2.5000000000000001E-2</v>
      </c>
      <c r="E8" s="1646">
        <f>D8*(26885400000-55400000)</f>
        <v>670750000</v>
      </c>
      <c r="F8" s="26">
        <v>101</v>
      </c>
      <c r="G8" s="6" t="s">
        <v>187</v>
      </c>
      <c r="H8" s="27" t="s">
        <v>188</v>
      </c>
      <c r="I8" s="28">
        <v>0.30499999999999999</v>
      </c>
      <c r="J8" s="29"/>
      <c r="K8" s="30">
        <f>I8*$E$8</f>
        <v>204578750</v>
      </c>
      <c r="L8" s="1023"/>
      <c r="M8" s="255"/>
      <c r="N8" s="922"/>
      <c r="O8" s="255"/>
      <c r="P8" s="922"/>
      <c r="Q8" s="255"/>
      <c r="R8" s="922"/>
      <c r="S8" s="501"/>
      <c r="T8" s="431"/>
      <c r="U8" s="432"/>
      <c r="W8" s="598"/>
      <c r="Y8" s="731"/>
    </row>
    <row r="9" spans="2:25" s="22" customFormat="1" ht="15.6" x14ac:dyDescent="0.3">
      <c r="B9" s="1655"/>
      <c r="C9" s="1652"/>
      <c r="D9" s="1650"/>
      <c r="E9" s="1647"/>
      <c r="F9" s="278" t="s">
        <v>32</v>
      </c>
      <c r="G9" s="7" t="s">
        <v>189</v>
      </c>
      <c r="H9" s="24" t="s">
        <v>190</v>
      </c>
      <c r="I9" s="23">
        <v>0.2</v>
      </c>
      <c r="J9" s="12">
        <v>2</v>
      </c>
      <c r="K9" s="25">
        <f>I9*$K$8</f>
        <v>40915750</v>
      </c>
      <c r="L9" s="947">
        <f>IFERROR(K9/J9,0)</f>
        <v>20457875</v>
      </c>
      <c r="M9" s="91">
        <f>'Schedule 1'!F14</f>
        <v>2</v>
      </c>
      <c r="N9" s="921">
        <f>ROUND(L9*M9,0)</f>
        <v>40915750</v>
      </c>
      <c r="O9" s="91">
        <f>'Schedule 1'!F15</f>
        <v>2</v>
      </c>
      <c r="P9" s="921">
        <v>40915750</v>
      </c>
      <c r="Q9" s="91">
        <f>M9-O9</f>
        <v>0</v>
      </c>
      <c r="R9" s="921">
        <f>N9-P9</f>
        <v>0</v>
      </c>
      <c r="S9" s="501">
        <f>J9-M9</f>
        <v>0</v>
      </c>
      <c r="T9" s="433"/>
      <c r="U9" s="443"/>
      <c r="W9" s="598"/>
      <c r="Y9" s="734"/>
    </row>
    <row r="10" spans="2:25" s="22" customFormat="1" ht="15.6" x14ac:dyDescent="0.3">
      <c r="B10" s="1655"/>
      <c r="C10" s="1652"/>
      <c r="D10" s="1650"/>
      <c r="E10" s="1647"/>
      <c r="F10" s="278" t="s">
        <v>34</v>
      </c>
      <c r="G10" s="7" t="s">
        <v>191</v>
      </c>
      <c r="H10" s="24" t="s">
        <v>190</v>
      </c>
      <c r="I10" s="23">
        <v>0.18</v>
      </c>
      <c r="J10" s="12">
        <v>2</v>
      </c>
      <c r="K10" s="25">
        <f>I10*$K$8</f>
        <v>36824175</v>
      </c>
      <c r="L10" s="947">
        <f>IFERROR(K10/J10,0)</f>
        <v>18412087.5</v>
      </c>
      <c r="M10" s="91">
        <f>'Schedule 1'!F21</f>
        <v>2</v>
      </c>
      <c r="N10" s="921">
        <f>(L10*M10)</f>
        <v>36824175</v>
      </c>
      <c r="O10" s="91">
        <f>'Schedule 1'!F22</f>
        <v>2</v>
      </c>
      <c r="P10" s="921">
        <v>36824175</v>
      </c>
      <c r="Q10" s="91">
        <f>M10-O10</f>
        <v>0</v>
      </c>
      <c r="R10" s="921">
        <f t="shared" ref="R10:R73" si="0">N10-P10</f>
        <v>0</v>
      </c>
      <c r="S10" s="501">
        <f t="shared" ref="S10:S73" si="1">J10-M10</f>
        <v>0</v>
      </c>
      <c r="T10" s="433"/>
      <c r="U10" s="443"/>
      <c r="W10" s="598"/>
      <c r="Y10" s="734"/>
    </row>
    <row r="11" spans="2:25" s="22" customFormat="1" ht="15.6" x14ac:dyDescent="0.3">
      <c r="B11" s="1655"/>
      <c r="C11" s="1652"/>
      <c r="D11" s="1650"/>
      <c r="E11" s="1647"/>
      <c r="F11" s="278" t="s">
        <v>37</v>
      </c>
      <c r="G11" s="7" t="s">
        <v>192</v>
      </c>
      <c r="H11" s="24" t="s">
        <v>190</v>
      </c>
      <c r="I11" s="23">
        <v>0.15</v>
      </c>
      <c r="J11" s="12">
        <v>2</v>
      </c>
      <c r="K11" s="25">
        <f>I11*$K$8</f>
        <v>30686812.5</v>
      </c>
      <c r="L11" s="947">
        <f>IFERROR(K11/J11,0)</f>
        <v>15343406.25</v>
      </c>
      <c r="M11" s="91">
        <f>'Schedule 1'!F28</f>
        <v>2</v>
      </c>
      <c r="N11" s="921">
        <f>ROUND(L11*M11,0)</f>
        <v>30686813</v>
      </c>
      <c r="O11" s="91">
        <f>'Schedule 1'!F29</f>
        <v>2</v>
      </c>
      <c r="P11" s="921">
        <v>30686813</v>
      </c>
      <c r="Q11" s="91">
        <f>M11-O11</f>
        <v>0</v>
      </c>
      <c r="R11" s="921">
        <f t="shared" si="0"/>
        <v>0</v>
      </c>
      <c r="S11" s="501">
        <f t="shared" si="1"/>
        <v>0</v>
      </c>
      <c r="T11" s="433"/>
      <c r="U11" s="443"/>
      <c r="W11" s="598"/>
      <c r="Y11" s="734"/>
    </row>
    <row r="12" spans="2:25" s="22" customFormat="1" ht="15.6" x14ac:dyDescent="0.3">
      <c r="B12" s="1655"/>
      <c r="C12" s="1652"/>
      <c r="D12" s="1650"/>
      <c r="E12" s="1647"/>
      <c r="F12" s="278" t="s">
        <v>39</v>
      </c>
      <c r="G12" s="7" t="s">
        <v>193</v>
      </c>
      <c r="H12" s="24" t="s">
        <v>190</v>
      </c>
      <c r="I12" s="23">
        <v>0.15</v>
      </c>
      <c r="J12" s="12">
        <v>2</v>
      </c>
      <c r="K12" s="25">
        <f>I12*$K$8</f>
        <v>30686812.5</v>
      </c>
      <c r="L12" s="947">
        <f>IFERROR(K12/J12,0)</f>
        <v>15343406.25</v>
      </c>
      <c r="M12" s="91">
        <f>'Schedule 1'!F35</f>
        <v>2</v>
      </c>
      <c r="N12" s="921">
        <f>ROUND(L12*M12,0)</f>
        <v>30686813</v>
      </c>
      <c r="O12" s="91">
        <f>'Schedule 1'!F36</f>
        <v>2</v>
      </c>
      <c r="P12" s="921">
        <v>30686813</v>
      </c>
      <c r="Q12" s="91">
        <f>M12-O12</f>
        <v>0</v>
      </c>
      <c r="R12" s="921">
        <f t="shared" si="0"/>
        <v>0</v>
      </c>
      <c r="S12" s="501">
        <f t="shared" si="1"/>
        <v>0</v>
      </c>
      <c r="T12" s="433"/>
      <c r="U12" s="443"/>
      <c r="W12" s="598"/>
      <c r="Y12" s="734"/>
    </row>
    <row r="13" spans="2:25" s="22" customFormat="1" ht="15.6" x14ac:dyDescent="0.3">
      <c r="B13" s="1655"/>
      <c r="C13" s="1652"/>
      <c r="D13" s="1650"/>
      <c r="E13" s="1647"/>
      <c r="F13" s="278" t="s">
        <v>41</v>
      </c>
      <c r="G13" s="7" t="s">
        <v>194</v>
      </c>
      <c r="H13" s="24" t="s">
        <v>190</v>
      </c>
      <c r="I13" s="23">
        <v>0.18</v>
      </c>
      <c r="J13" s="12">
        <v>2</v>
      </c>
      <c r="K13" s="25">
        <f>I13*$K$8</f>
        <v>36824175</v>
      </c>
      <c r="L13" s="947">
        <f>IFERROR(K13/J13,0)</f>
        <v>18412087.5</v>
      </c>
      <c r="M13" s="91">
        <f>'Schedule 1'!F42</f>
        <v>2</v>
      </c>
      <c r="N13" s="921">
        <f>(L13*M13)</f>
        <v>36824175</v>
      </c>
      <c r="O13" s="91">
        <f>'Schedule 1'!F43</f>
        <v>2</v>
      </c>
      <c r="P13" s="921">
        <v>36824175</v>
      </c>
      <c r="Q13" s="91">
        <f t="shared" ref="Q13:Q28" si="2">M13-O13</f>
        <v>0</v>
      </c>
      <c r="R13" s="921">
        <f t="shared" si="0"/>
        <v>0</v>
      </c>
      <c r="S13" s="501">
        <f t="shared" si="1"/>
        <v>0</v>
      </c>
      <c r="T13" s="433"/>
      <c r="U13" s="443"/>
      <c r="W13" s="598"/>
      <c r="Y13" s="734"/>
    </row>
    <row r="14" spans="2:25" s="22" customFormat="1" ht="15.6" x14ac:dyDescent="0.3">
      <c r="B14" s="1655"/>
      <c r="C14" s="1652"/>
      <c r="D14" s="1650"/>
      <c r="E14" s="1647"/>
      <c r="F14" s="278" t="s">
        <v>84</v>
      </c>
      <c r="G14" s="7" t="s">
        <v>195</v>
      </c>
      <c r="H14" s="24"/>
      <c r="I14" s="23"/>
      <c r="J14" s="12"/>
      <c r="K14" s="25"/>
      <c r="L14" s="947"/>
      <c r="M14" s="91"/>
      <c r="N14" s="921"/>
      <c r="O14" s="91"/>
      <c r="P14" s="921"/>
      <c r="Q14" s="91"/>
      <c r="R14" s="921"/>
      <c r="S14" s="501">
        <f t="shared" si="1"/>
        <v>0</v>
      </c>
      <c r="T14" s="433"/>
      <c r="U14" s="434"/>
      <c r="W14" s="598"/>
      <c r="Y14" s="734"/>
    </row>
    <row r="15" spans="2:25" s="22" customFormat="1" ht="15.6" x14ac:dyDescent="0.3">
      <c r="B15" s="1655"/>
      <c r="C15" s="1652"/>
      <c r="D15" s="1650"/>
      <c r="E15" s="1647"/>
      <c r="F15" s="19" t="s">
        <v>90</v>
      </c>
      <c r="G15" s="395" t="s">
        <v>196</v>
      </c>
      <c r="H15" s="24" t="s">
        <v>190</v>
      </c>
      <c r="I15" s="23">
        <v>0.1</v>
      </c>
      <c r="J15" s="12">
        <v>2</v>
      </c>
      <c r="K15" s="25">
        <f>I15*$K$8</f>
        <v>20457875</v>
      </c>
      <c r="L15" s="947">
        <f>IFERROR(K15/J15,0)</f>
        <v>10228937.5</v>
      </c>
      <c r="M15" s="92">
        <f>'Schedule 1'!F50</f>
        <v>2</v>
      </c>
      <c r="N15" s="921">
        <f>ROUND(L15*M15,0)</f>
        <v>20457875</v>
      </c>
      <c r="O15" s="91">
        <f>'Schedule 1'!F51</f>
        <v>2</v>
      </c>
      <c r="P15" s="921">
        <v>20457875</v>
      </c>
      <c r="Q15" s="92">
        <f t="shared" si="2"/>
        <v>0</v>
      </c>
      <c r="R15" s="921">
        <f t="shared" si="0"/>
        <v>0</v>
      </c>
      <c r="S15" s="501">
        <f t="shared" si="1"/>
        <v>0</v>
      </c>
      <c r="T15" s="433"/>
      <c r="U15" s="443"/>
      <c r="W15" s="598"/>
      <c r="Y15" s="734"/>
    </row>
    <row r="16" spans="2:25" s="22" customFormat="1" ht="15.6" x14ac:dyDescent="0.3">
      <c r="B16" s="1655"/>
      <c r="C16" s="1652"/>
      <c r="D16" s="1650"/>
      <c r="E16" s="1647"/>
      <c r="F16" s="19" t="s">
        <v>197</v>
      </c>
      <c r="G16" s="395" t="s">
        <v>198</v>
      </c>
      <c r="H16" s="24"/>
      <c r="I16" s="23"/>
      <c r="J16" s="12"/>
      <c r="K16" s="25"/>
      <c r="L16" s="947"/>
      <c r="M16" s="92"/>
      <c r="N16" s="921"/>
      <c r="O16" s="91"/>
      <c r="P16" s="921"/>
      <c r="Q16" s="92"/>
      <c r="R16" s="921"/>
      <c r="S16" s="501">
        <f t="shared" si="1"/>
        <v>0</v>
      </c>
      <c r="T16" s="433"/>
      <c r="U16" s="443"/>
      <c r="W16" s="598"/>
      <c r="Y16" s="734"/>
    </row>
    <row r="17" spans="2:25" s="22" customFormat="1" ht="15.6" x14ac:dyDescent="0.3">
      <c r="B17" s="1655"/>
      <c r="C17" s="1652"/>
      <c r="D17" s="1650"/>
      <c r="E17" s="1647"/>
      <c r="F17" s="5">
        <v>1</v>
      </c>
      <c r="G17" s="396" t="s">
        <v>199</v>
      </c>
      <c r="H17" s="24" t="s">
        <v>190</v>
      </c>
      <c r="I17" s="23">
        <v>2.5000000000000001E-3</v>
      </c>
      <c r="J17" s="12">
        <v>8</v>
      </c>
      <c r="K17" s="25">
        <f t="shared" ref="K17:K25" si="3">I17*$K$8</f>
        <v>511446.875</v>
      </c>
      <c r="L17" s="947">
        <f t="shared" ref="L17:L25" si="4">IFERROR(K17/J17,0)</f>
        <v>63930.859375</v>
      </c>
      <c r="M17" s="92">
        <f>'Schedule 1'!F57</f>
        <v>8</v>
      </c>
      <c r="N17" s="921">
        <f t="shared" ref="N17:N25" si="5">ROUND(L17*M17,0)</f>
        <v>511447</v>
      </c>
      <c r="O17" s="91">
        <f>'Schedule 1'!F58</f>
        <v>8</v>
      </c>
      <c r="P17" s="921">
        <v>511447</v>
      </c>
      <c r="Q17" s="92">
        <f t="shared" si="2"/>
        <v>0</v>
      </c>
      <c r="R17" s="921">
        <f t="shared" si="0"/>
        <v>0</v>
      </c>
      <c r="S17" s="501">
        <f t="shared" si="1"/>
        <v>0</v>
      </c>
      <c r="T17" s="433"/>
      <c r="U17" s="443"/>
      <c r="W17" s="598"/>
      <c r="Y17" s="734"/>
    </row>
    <row r="18" spans="2:25" s="22" customFormat="1" ht="15.6" x14ac:dyDescent="0.3">
      <c r="B18" s="1655"/>
      <c r="C18" s="1652"/>
      <c r="D18" s="1650"/>
      <c r="E18" s="1647"/>
      <c r="F18" s="5">
        <v>2</v>
      </c>
      <c r="G18" s="396" t="s">
        <v>200</v>
      </c>
      <c r="H18" s="24" t="s">
        <v>190</v>
      </c>
      <c r="I18" s="23">
        <v>2.5000000000000001E-3</v>
      </c>
      <c r="J18" s="12">
        <v>8</v>
      </c>
      <c r="K18" s="25">
        <f t="shared" si="3"/>
        <v>511446.875</v>
      </c>
      <c r="L18" s="947">
        <f t="shared" si="4"/>
        <v>63930.859375</v>
      </c>
      <c r="M18" s="92">
        <f>'Schedule 1'!F64</f>
        <v>8</v>
      </c>
      <c r="N18" s="921">
        <f t="shared" si="5"/>
        <v>511447</v>
      </c>
      <c r="O18" s="91">
        <f>'Schedule 1'!F65</f>
        <v>8</v>
      </c>
      <c r="P18" s="921">
        <v>511447</v>
      </c>
      <c r="Q18" s="92">
        <f t="shared" si="2"/>
        <v>0</v>
      </c>
      <c r="R18" s="921">
        <f t="shared" si="0"/>
        <v>0</v>
      </c>
      <c r="S18" s="501">
        <f t="shared" si="1"/>
        <v>0</v>
      </c>
      <c r="T18" s="433"/>
      <c r="U18" s="443"/>
      <c r="W18" s="598"/>
      <c r="Y18" s="734"/>
    </row>
    <row r="19" spans="2:25" s="22" customFormat="1" ht="15.6" x14ac:dyDescent="0.3">
      <c r="B19" s="1655"/>
      <c r="C19" s="1652"/>
      <c r="D19" s="1650"/>
      <c r="E19" s="1647"/>
      <c r="F19" s="5">
        <v>3</v>
      </c>
      <c r="G19" s="396" t="s">
        <v>201</v>
      </c>
      <c r="H19" s="24" t="s">
        <v>190</v>
      </c>
      <c r="I19" s="23">
        <v>1.5E-3</v>
      </c>
      <c r="J19" s="12">
        <v>20</v>
      </c>
      <c r="K19" s="25">
        <f t="shared" si="3"/>
        <v>306868.125</v>
      </c>
      <c r="L19" s="947">
        <f t="shared" si="4"/>
        <v>15343.40625</v>
      </c>
      <c r="M19" s="92">
        <f>'Schedule 1'!F68</f>
        <v>20</v>
      </c>
      <c r="N19" s="921">
        <f t="shared" si="5"/>
        <v>306868</v>
      </c>
      <c r="O19" s="91">
        <f>'Schedule 1'!F71</f>
        <v>20</v>
      </c>
      <c r="P19" s="921">
        <v>306868</v>
      </c>
      <c r="Q19" s="92">
        <f t="shared" si="2"/>
        <v>0</v>
      </c>
      <c r="R19" s="921">
        <f t="shared" si="0"/>
        <v>0</v>
      </c>
      <c r="S19" s="501">
        <f t="shared" si="1"/>
        <v>0</v>
      </c>
      <c r="T19" s="433"/>
      <c r="U19" s="443"/>
      <c r="W19" s="598"/>
      <c r="Y19" s="734"/>
    </row>
    <row r="20" spans="2:25" s="22" customFormat="1" ht="15.6" x14ac:dyDescent="0.3">
      <c r="B20" s="1655"/>
      <c r="C20" s="1652"/>
      <c r="D20" s="1650"/>
      <c r="E20" s="1647"/>
      <c r="F20" s="5">
        <v>4</v>
      </c>
      <c r="G20" s="396" t="s">
        <v>202</v>
      </c>
      <c r="H20" s="24" t="s">
        <v>190</v>
      </c>
      <c r="I20" s="23">
        <v>5.0000000000000001E-3</v>
      </c>
      <c r="J20" s="12">
        <v>2</v>
      </c>
      <c r="K20" s="25">
        <f t="shared" si="3"/>
        <v>1022893.75</v>
      </c>
      <c r="L20" s="947">
        <f t="shared" si="4"/>
        <v>511446.875</v>
      </c>
      <c r="M20" s="92">
        <f>'Schedule 1'!F74</f>
        <v>2</v>
      </c>
      <c r="N20" s="921">
        <f t="shared" si="5"/>
        <v>1022894</v>
      </c>
      <c r="O20" s="91">
        <f>'Schedule 1'!F77</f>
        <v>2</v>
      </c>
      <c r="P20" s="921">
        <v>1022894</v>
      </c>
      <c r="Q20" s="92">
        <f t="shared" si="2"/>
        <v>0</v>
      </c>
      <c r="R20" s="921">
        <f t="shared" si="0"/>
        <v>0</v>
      </c>
      <c r="S20" s="501">
        <f t="shared" si="1"/>
        <v>0</v>
      </c>
      <c r="T20" s="433"/>
      <c r="U20" s="443"/>
      <c r="W20" s="598"/>
      <c r="Y20" s="734"/>
    </row>
    <row r="21" spans="2:25" s="22" customFormat="1" ht="15.6" x14ac:dyDescent="0.3">
      <c r="B21" s="1655"/>
      <c r="C21" s="1652"/>
      <c r="D21" s="1650"/>
      <c r="E21" s="1647"/>
      <c r="F21" s="5">
        <v>5</v>
      </c>
      <c r="G21" s="396" t="s">
        <v>203</v>
      </c>
      <c r="H21" s="24" t="s">
        <v>190</v>
      </c>
      <c r="I21" s="23">
        <v>5.0000000000000001E-3</v>
      </c>
      <c r="J21" s="12">
        <v>60</v>
      </c>
      <c r="K21" s="25">
        <f t="shared" si="3"/>
        <v>1022893.75</v>
      </c>
      <c r="L21" s="947">
        <f t="shared" si="4"/>
        <v>17048.229166666668</v>
      </c>
      <c r="M21" s="92">
        <f>'Schedule 1'!F80</f>
        <v>60</v>
      </c>
      <c r="N21" s="921">
        <f t="shared" si="5"/>
        <v>1022894</v>
      </c>
      <c r="O21" s="91">
        <f>'Schedule 1'!F83</f>
        <v>60</v>
      </c>
      <c r="P21" s="921">
        <v>1022894</v>
      </c>
      <c r="Q21" s="92">
        <f t="shared" si="2"/>
        <v>0</v>
      </c>
      <c r="R21" s="921">
        <f t="shared" si="0"/>
        <v>0</v>
      </c>
      <c r="S21" s="501">
        <f t="shared" si="1"/>
        <v>0</v>
      </c>
      <c r="T21" s="433"/>
      <c r="U21" s="443"/>
      <c r="W21" s="598"/>
      <c r="Y21" s="734"/>
    </row>
    <row r="22" spans="2:25" s="22" customFormat="1" ht="15.6" x14ac:dyDescent="0.3">
      <c r="B22" s="1655"/>
      <c r="C22" s="1652"/>
      <c r="D22" s="1650"/>
      <c r="E22" s="1647"/>
      <c r="F22" s="5">
        <v>6</v>
      </c>
      <c r="G22" s="396" t="s">
        <v>204</v>
      </c>
      <c r="H22" s="24" t="s">
        <v>190</v>
      </c>
      <c r="I22" s="23">
        <v>3.0000000000000001E-3</v>
      </c>
      <c r="J22" s="12">
        <v>1</v>
      </c>
      <c r="K22" s="25">
        <f t="shared" si="3"/>
        <v>613736.25</v>
      </c>
      <c r="L22" s="947">
        <f t="shared" si="4"/>
        <v>613736.25</v>
      </c>
      <c r="M22" s="92">
        <f>'Schedule 1'!F86</f>
        <v>1</v>
      </c>
      <c r="N22" s="921">
        <f t="shared" si="5"/>
        <v>613736</v>
      </c>
      <c r="O22" s="91">
        <f>'Schedule 1'!F89</f>
        <v>1</v>
      </c>
      <c r="P22" s="921">
        <v>613736</v>
      </c>
      <c r="Q22" s="92">
        <f t="shared" si="2"/>
        <v>0</v>
      </c>
      <c r="R22" s="921">
        <f t="shared" si="0"/>
        <v>0</v>
      </c>
      <c r="S22" s="501">
        <f t="shared" si="1"/>
        <v>0</v>
      </c>
      <c r="T22" s="433"/>
      <c r="U22" s="434"/>
      <c r="W22" s="598"/>
      <c r="Y22" s="734"/>
    </row>
    <row r="23" spans="2:25" s="22" customFormat="1" ht="15.6" x14ac:dyDescent="0.3">
      <c r="B23" s="1655"/>
      <c r="C23" s="1652"/>
      <c r="D23" s="1650"/>
      <c r="E23" s="1647"/>
      <c r="F23" s="5">
        <v>7</v>
      </c>
      <c r="G23" s="396" t="s">
        <v>205</v>
      </c>
      <c r="H23" s="24" t="s">
        <v>190</v>
      </c>
      <c r="I23" s="23">
        <v>1E-3</v>
      </c>
      <c r="J23" s="12">
        <v>2</v>
      </c>
      <c r="K23" s="25">
        <f t="shared" si="3"/>
        <v>204578.75</v>
      </c>
      <c r="L23" s="947">
        <f t="shared" si="4"/>
        <v>102289.375</v>
      </c>
      <c r="M23" s="92">
        <f>'Schedule 1'!F92</f>
        <v>2</v>
      </c>
      <c r="N23" s="921">
        <f t="shared" si="5"/>
        <v>204579</v>
      </c>
      <c r="O23" s="91">
        <f>'Schedule 1'!F95</f>
        <v>2</v>
      </c>
      <c r="P23" s="921">
        <v>204579</v>
      </c>
      <c r="Q23" s="92">
        <f t="shared" si="2"/>
        <v>0</v>
      </c>
      <c r="R23" s="921">
        <f t="shared" si="0"/>
        <v>0</v>
      </c>
      <c r="S23" s="501">
        <f t="shared" si="1"/>
        <v>0</v>
      </c>
      <c r="T23" s="433"/>
      <c r="U23" s="434"/>
      <c r="W23" s="598"/>
      <c r="Y23" s="734"/>
    </row>
    <row r="24" spans="2:25" s="22" customFormat="1" ht="15.6" x14ac:dyDescent="0.3">
      <c r="B24" s="1655"/>
      <c r="C24" s="1652"/>
      <c r="D24" s="1650"/>
      <c r="E24" s="1647"/>
      <c r="F24" s="5">
        <v>8</v>
      </c>
      <c r="G24" s="396" t="s">
        <v>206</v>
      </c>
      <c r="H24" s="24" t="s">
        <v>190</v>
      </c>
      <c r="I24" s="23">
        <v>2E-3</v>
      </c>
      <c r="J24" s="12">
        <v>10</v>
      </c>
      <c r="K24" s="25">
        <f t="shared" si="3"/>
        <v>409157.5</v>
      </c>
      <c r="L24" s="947">
        <f t="shared" si="4"/>
        <v>40915.75</v>
      </c>
      <c r="M24" s="92">
        <f>'Schedule 1'!F101</f>
        <v>10</v>
      </c>
      <c r="N24" s="921">
        <f t="shared" si="5"/>
        <v>409158</v>
      </c>
      <c r="O24" s="91">
        <f>'Schedule 1'!F102</f>
        <v>10</v>
      </c>
      <c r="P24" s="921">
        <v>409158</v>
      </c>
      <c r="Q24" s="92">
        <f t="shared" si="2"/>
        <v>0</v>
      </c>
      <c r="R24" s="921">
        <f t="shared" si="0"/>
        <v>0</v>
      </c>
      <c r="S24" s="501">
        <f t="shared" si="1"/>
        <v>0</v>
      </c>
      <c r="T24" s="433"/>
      <c r="U24" s="443"/>
      <c r="W24" s="598"/>
      <c r="Y24" s="734"/>
    </row>
    <row r="25" spans="2:25" s="22" customFormat="1" ht="15.6" x14ac:dyDescent="0.3">
      <c r="B25" s="1655"/>
      <c r="C25" s="1652"/>
      <c r="D25" s="1650"/>
      <c r="E25" s="1647"/>
      <c r="F25" s="5">
        <v>9</v>
      </c>
      <c r="G25" s="396" t="s">
        <v>207</v>
      </c>
      <c r="H25" s="24" t="s">
        <v>190</v>
      </c>
      <c r="I25" s="23">
        <v>2.5000000000000001E-3</v>
      </c>
      <c r="J25" s="12">
        <v>2</v>
      </c>
      <c r="K25" s="25">
        <f t="shared" si="3"/>
        <v>511446.875</v>
      </c>
      <c r="L25" s="947">
        <f t="shared" si="4"/>
        <v>255723.4375</v>
      </c>
      <c r="M25" s="92">
        <f>'Schedule 1'!F108</f>
        <v>2</v>
      </c>
      <c r="N25" s="921">
        <f t="shared" si="5"/>
        <v>511447</v>
      </c>
      <c r="O25" s="91">
        <f>'Schedule 1'!F109</f>
        <v>2</v>
      </c>
      <c r="P25" s="921">
        <v>511447</v>
      </c>
      <c r="Q25" s="92">
        <f t="shared" si="2"/>
        <v>0</v>
      </c>
      <c r="R25" s="921">
        <f t="shared" si="0"/>
        <v>0</v>
      </c>
      <c r="S25" s="501">
        <f t="shared" si="1"/>
        <v>0</v>
      </c>
      <c r="T25" s="433"/>
      <c r="U25" s="434"/>
      <c r="W25" s="598"/>
      <c r="Y25" s="734"/>
    </row>
    <row r="26" spans="2:25" s="22" customFormat="1" ht="15.6" x14ac:dyDescent="0.3">
      <c r="B26" s="1655"/>
      <c r="C26" s="1652"/>
      <c r="D26" s="1650"/>
      <c r="E26" s="1647"/>
      <c r="F26" s="19" t="s">
        <v>208</v>
      </c>
      <c r="G26" s="395" t="s">
        <v>209</v>
      </c>
      <c r="H26" s="24"/>
      <c r="I26" s="23"/>
      <c r="J26" s="12"/>
      <c r="K26" s="25"/>
      <c r="L26" s="947"/>
      <c r="M26" s="92"/>
      <c r="N26" s="921"/>
      <c r="O26" s="91"/>
      <c r="P26" s="921"/>
      <c r="Q26" s="92"/>
      <c r="R26" s="921"/>
      <c r="S26" s="501">
        <f t="shared" si="1"/>
        <v>0</v>
      </c>
      <c r="T26" s="433"/>
      <c r="U26" s="434"/>
      <c r="W26" s="598"/>
      <c r="Y26" s="734"/>
    </row>
    <row r="27" spans="2:25" s="22" customFormat="1" ht="15.6" x14ac:dyDescent="0.3">
      <c r="B27" s="1655"/>
      <c r="C27" s="1652"/>
      <c r="D27" s="1650"/>
      <c r="E27" s="1647"/>
      <c r="F27" s="5">
        <v>1</v>
      </c>
      <c r="G27" s="396" t="s">
        <v>210</v>
      </c>
      <c r="H27" s="24" t="s">
        <v>190</v>
      </c>
      <c r="I27" s="23">
        <v>0.01</v>
      </c>
      <c r="J27" s="12">
        <v>6</v>
      </c>
      <c r="K27" s="25">
        <f>I27*$K$8</f>
        <v>2045787.5</v>
      </c>
      <c r="L27" s="947">
        <f>IFERROR(K27/J27,0)</f>
        <v>340964.58333333331</v>
      </c>
      <c r="M27" s="92">
        <f>'Schedule 1'!F114</f>
        <v>6</v>
      </c>
      <c r="N27" s="921">
        <f>ROUND(L27*M27,0)</f>
        <v>2045788</v>
      </c>
      <c r="O27" s="91">
        <f>'Schedule 1'!F115</f>
        <v>6</v>
      </c>
      <c r="P27" s="921">
        <v>2045788</v>
      </c>
      <c r="Q27" s="92">
        <f t="shared" si="2"/>
        <v>0</v>
      </c>
      <c r="R27" s="921">
        <f t="shared" si="0"/>
        <v>0</v>
      </c>
      <c r="S27" s="501">
        <f t="shared" si="1"/>
        <v>0</v>
      </c>
      <c r="T27" s="433"/>
      <c r="U27" s="434"/>
      <c r="W27" s="598"/>
      <c r="Y27" s="734"/>
    </row>
    <row r="28" spans="2:25" s="22" customFormat="1" ht="15.6" x14ac:dyDescent="0.3">
      <c r="B28" s="1655"/>
      <c r="C28" s="1652"/>
      <c r="D28" s="1650"/>
      <c r="E28" s="1647"/>
      <c r="F28" s="5">
        <v>2</v>
      </c>
      <c r="G28" s="396" t="s">
        <v>211</v>
      </c>
      <c r="H28" s="24" t="s">
        <v>190</v>
      </c>
      <c r="I28" s="23">
        <v>5.0000000000000001E-3</v>
      </c>
      <c r="J28" s="12">
        <v>2</v>
      </c>
      <c r="K28" s="25">
        <f>I28*$K$8</f>
        <v>1022893.75</v>
      </c>
      <c r="L28" s="947">
        <f>IFERROR(K28/J28,0)</f>
        <v>511446.875</v>
      </c>
      <c r="M28" s="92">
        <f>'Schedule 1'!F120</f>
        <v>2</v>
      </c>
      <c r="N28" s="921">
        <f>ROUND(L28*M28,0)</f>
        <v>1022894</v>
      </c>
      <c r="O28" s="91">
        <f>'Schedule 1'!F121</f>
        <v>2</v>
      </c>
      <c r="P28" s="921">
        <v>1022894</v>
      </c>
      <c r="Q28" s="92">
        <f t="shared" si="2"/>
        <v>0</v>
      </c>
      <c r="R28" s="921">
        <f t="shared" si="0"/>
        <v>0</v>
      </c>
      <c r="S28" s="501">
        <f t="shared" si="1"/>
        <v>0</v>
      </c>
      <c r="T28" s="433"/>
      <c r="U28" s="434"/>
      <c r="W28" s="598"/>
      <c r="Y28" s="734"/>
    </row>
    <row r="29" spans="2:25" s="22" customFormat="1" ht="31.2" x14ac:dyDescent="0.3">
      <c r="B29" s="1655"/>
      <c r="C29" s="1652"/>
      <c r="D29" s="1650"/>
      <c r="E29" s="1647"/>
      <c r="F29" s="14">
        <f>F8+1</f>
        <v>102</v>
      </c>
      <c r="G29" s="8" t="s">
        <v>212</v>
      </c>
      <c r="H29" s="15" t="s">
        <v>188</v>
      </c>
      <c r="I29" s="16">
        <v>0.27900000000000003</v>
      </c>
      <c r="J29" s="17"/>
      <c r="K29" s="18">
        <f>I29*$E$8</f>
        <v>187139250.00000003</v>
      </c>
      <c r="L29" s="1023"/>
      <c r="M29" s="95"/>
      <c r="N29" s="923"/>
      <c r="O29" s="95"/>
      <c r="P29" s="923"/>
      <c r="Q29" s="95"/>
      <c r="R29" s="923"/>
      <c r="S29" s="501">
        <f t="shared" si="1"/>
        <v>0</v>
      </c>
      <c r="T29" s="435"/>
      <c r="U29" s="436"/>
      <c r="W29" s="598"/>
      <c r="Y29" s="734"/>
    </row>
    <row r="30" spans="2:25" s="22" customFormat="1" ht="15.6" x14ac:dyDescent="0.3">
      <c r="B30" s="1655"/>
      <c r="C30" s="1652"/>
      <c r="D30" s="1650"/>
      <c r="E30" s="1647"/>
      <c r="F30" s="278" t="s">
        <v>32</v>
      </c>
      <c r="G30" s="7" t="s">
        <v>189</v>
      </c>
      <c r="H30" s="24"/>
      <c r="I30" s="23"/>
      <c r="J30" s="12"/>
      <c r="K30" s="25"/>
      <c r="L30" s="947"/>
      <c r="M30" s="91"/>
      <c r="N30" s="921"/>
      <c r="O30" s="91"/>
      <c r="P30" s="921"/>
      <c r="Q30" s="91"/>
      <c r="R30" s="921"/>
      <c r="S30" s="501">
        <f t="shared" si="1"/>
        <v>0</v>
      </c>
      <c r="T30" s="433"/>
      <c r="U30" s="434"/>
      <c r="W30" s="598"/>
      <c r="Y30" s="734"/>
    </row>
    <row r="31" spans="2:25" s="22" customFormat="1" ht="15.6" x14ac:dyDescent="0.3">
      <c r="B31" s="1655"/>
      <c r="C31" s="1652"/>
      <c r="D31" s="1650"/>
      <c r="E31" s="1647"/>
      <c r="F31" s="19" t="s">
        <v>90</v>
      </c>
      <c r="G31" s="395" t="s">
        <v>213</v>
      </c>
      <c r="H31" s="24" t="s">
        <v>190</v>
      </c>
      <c r="I31" s="23">
        <v>0.1</v>
      </c>
      <c r="J31" s="12">
        <v>1</v>
      </c>
      <c r="K31" s="25">
        <f>I31*$K$29</f>
        <v>18713925.000000004</v>
      </c>
      <c r="L31" s="947">
        <f>IFERROR(K31/J31,0)</f>
        <v>18713925.000000004</v>
      </c>
      <c r="M31" s="91">
        <f>'Schedule 1'!F128</f>
        <v>1</v>
      </c>
      <c r="N31" s="921">
        <f>ROUND(L31*M31,0)</f>
        <v>18713925</v>
      </c>
      <c r="O31" s="91">
        <f>'Schedule 1'!F129</f>
        <v>1</v>
      </c>
      <c r="P31" s="921">
        <v>18713925</v>
      </c>
      <c r="Q31" s="91">
        <f>M31-O31</f>
        <v>0</v>
      </c>
      <c r="R31" s="921">
        <f t="shared" si="0"/>
        <v>0</v>
      </c>
      <c r="S31" s="501">
        <f t="shared" si="1"/>
        <v>0</v>
      </c>
      <c r="T31" s="433"/>
      <c r="U31" s="443"/>
      <c r="W31" s="598"/>
      <c r="Y31" s="734"/>
    </row>
    <row r="32" spans="2:25" s="22" customFormat="1" ht="15.6" x14ac:dyDescent="0.3">
      <c r="B32" s="1655"/>
      <c r="C32" s="1652"/>
      <c r="D32" s="1650"/>
      <c r="E32" s="1647"/>
      <c r="F32" s="19" t="s">
        <v>197</v>
      </c>
      <c r="G32" s="395" t="s">
        <v>214</v>
      </c>
      <c r="H32" s="24" t="s">
        <v>190</v>
      </c>
      <c r="I32" s="23">
        <v>0.04</v>
      </c>
      <c r="J32" s="12">
        <v>2</v>
      </c>
      <c r="K32" s="25">
        <f>I32*$K$29</f>
        <v>7485570.0000000009</v>
      </c>
      <c r="L32" s="947">
        <f>IFERROR(K32/J32,0)</f>
        <v>3742785.0000000005</v>
      </c>
      <c r="M32" s="91">
        <f>'Schedule 1'!F135</f>
        <v>2</v>
      </c>
      <c r="N32" s="921">
        <f>ROUND(L32*M32,0)</f>
        <v>7485570</v>
      </c>
      <c r="O32" s="91">
        <f>'Schedule 1'!F136</f>
        <v>2</v>
      </c>
      <c r="P32" s="921">
        <v>7485570</v>
      </c>
      <c r="Q32" s="91">
        <f>M32-O32</f>
        <v>0</v>
      </c>
      <c r="R32" s="921">
        <f t="shared" si="0"/>
        <v>0</v>
      </c>
      <c r="S32" s="501">
        <f t="shared" si="1"/>
        <v>0</v>
      </c>
      <c r="T32" s="433"/>
      <c r="U32" s="443"/>
      <c r="W32" s="598"/>
      <c r="Y32" s="734"/>
    </row>
    <row r="33" spans="2:25" s="22" customFormat="1" ht="15.6" x14ac:dyDescent="0.3">
      <c r="B33" s="1655"/>
      <c r="C33" s="1652"/>
      <c r="D33" s="1650"/>
      <c r="E33" s="1647"/>
      <c r="F33" s="19" t="s">
        <v>208</v>
      </c>
      <c r="G33" s="395" t="s">
        <v>215</v>
      </c>
      <c r="H33" s="24"/>
      <c r="I33" s="23"/>
      <c r="J33" s="12"/>
      <c r="K33" s="25"/>
      <c r="L33" s="947"/>
      <c r="M33" s="91"/>
      <c r="N33" s="921"/>
      <c r="O33" s="91"/>
      <c r="P33" s="921"/>
      <c r="Q33" s="91"/>
      <c r="R33" s="921"/>
      <c r="S33" s="501">
        <f t="shared" si="1"/>
        <v>0</v>
      </c>
      <c r="T33" s="433"/>
      <c r="U33" s="434"/>
      <c r="W33" s="598"/>
      <c r="Y33" s="734"/>
    </row>
    <row r="34" spans="2:25" s="22" customFormat="1" ht="15.6" x14ac:dyDescent="0.3">
      <c r="B34" s="1655"/>
      <c r="C34" s="1652"/>
      <c r="D34" s="1650"/>
      <c r="E34" s="1647"/>
      <c r="F34" s="5">
        <v>1</v>
      </c>
      <c r="G34" s="396" t="s">
        <v>216</v>
      </c>
      <c r="H34" s="24" t="s">
        <v>190</v>
      </c>
      <c r="I34" s="23">
        <v>0.02</v>
      </c>
      <c r="J34" s="12">
        <v>2</v>
      </c>
      <c r="K34" s="25">
        <f>I34*$K$29</f>
        <v>3742785.0000000005</v>
      </c>
      <c r="L34" s="947">
        <f>IFERROR(K34/J34,0)</f>
        <v>1871392.5000000002</v>
      </c>
      <c r="M34" s="91">
        <f>'Schedule 1'!F144</f>
        <v>2</v>
      </c>
      <c r="N34" s="921">
        <f>ROUND(L34*M34,0)</f>
        <v>3742785</v>
      </c>
      <c r="O34" s="91">
        <f>'Schedule 1'!F145</f>
        <v>2</v>
      </c>
      <c r="P34" s="921">
        <v>3742785</v>
      </c>
      <c r="Q34" s="91">
        <f>M34-O34</f>
        <v>0</v>
      </c>
      <c r="R34" s="921">
        <f t="shared" si="0"/>
        <v>0</v>
      </c>
      <c r="S34" s="501">
        <f t="shared" si="1"/>
        <v>0</v>
      </c>
      <c r="T34" s="433"/>
      <c r="U34" s="443"/>
      <c r="W34" s="598"/>
      <c r="Y34" s="734"/>
    </row>
    <row r="35" spans="2:25" s="22" customFormat="1" ht="15.6" x14ac:dyDescent="0.3">
      <c r="B35" s="1655"/>
      <c r="C35" s="1652"/>
      <c r="D35" s="1650"/>
      <c r="E35" s="1647"/>
      <c r="F35" s="5">
        <v>2</v>
      </c>
      <c r="G35" s="396" t="s">
        <v>217</v>
      </c>
      <c r="H35" s="24" t="s">
        <v>190</v>
      </c>
      <c r="I35" s="23">
        <v>0.01</v>
      </c>
      <c r="J35" s="12">
        <v>2</v>
      </c>
      <c r="K35" s="25">
        <f>I35*$K$29</f>
        <v>1871392.5000000002</v>
      </c>
      <c r="L35" s="947">
        <f>IFERROR(K35/J35,0)</f>
        <v>935696.25000000012</v>
      </c>
      <c r="M35" s="91">
        <f>'Schedule 1'!F151</f>
        <v>2</v>
      </c>
      <c r="N35" s="921">
        <f>ROUND(L35*M35,0)</f>
        <v>1871393</v>
      </c>
      <c r="O35" s="91">
        <f>'Schedule 1'!F152</f>
        <v>2</v>
      </c>
      <c r="P35" s="921">
        <v>1871393</v>
      </c>
      <c r="Q35" s="91">
        <f>M35-O35</f>
        <v>0</v>
      </c>
      <c r="R35" s="921">
        <f t="shared" si="0"/>
        <v>0</v>
      </c>
      <c r="S35" s="501">
        <f t="shared" si="1"/>
        <v>0</v>
      </c>
      <c r="T35" s="433"/>
      <c r="U35" s="443"/>
      <c r="W35" s="598"/>
      <c r="Y35" s="734"/>
    </row>
    <row r="36" spans="2:25" s="22" customFormat="1" ht="15.6" x14ac:dyDescent="0.3">
      <c r="B36" s="1655"/>
      <c r="C36" s="1652"/>
      <c r="D36" s="1650"/>
      <c r="E36" s="1647"/>
      <c r="F36" s="278" t="s">
        <v>34</v>
      </c>
      <c r="G36" s="7" t="s">
        <v>191</v>
      </c>
      <c r="H36" s="24"/>
      <c r="I36" s="23"/>
      <c r="J36" s="12"/>
      <c r="K36" s="25"/>
      <c r="L36" s="947"/>
      <c r="M36" s="91"/>
      <c r="N36" s="921"/>
      <c r="O36" s="91"/>
      <c r="P36" s="921"/>
      <c r="Q36" s="91"/>
      <c r="R36" s="921"/>
      <c r="S36" s="501">
        <f t="shared" si="1"/>
        <v>0</v>
      </c>
      <c r="T36" s="433"/>
      <c r="U36" s="434"/>
      <c r="W36" s="598"/>
      <c r="Y36" s="734"/>
    </row>
    <row r="37" spans="2:25" s="22" customFormat="1" ht="15.6" x14ac:dyDescent="0.3">
      <c r="B37" s="1655"/>
      <c r="C37" s="1652"/>
      <c r="D37" s="1650"/>
      <c r="E37" s="1647"/>
      <c r="F37" s="19" t="s">
        <v>90</v>
      </c>
      <c r="G37" s="395" t="s">
        <v>213</v>
      </c>
      <c r="H37" s="24" t="s">
        <v>190</v>
      </c>
      <c r="I37" s="23">
        <v>0.1</v>
      </c>
      <c r="J37" s="12">
        <v>1</v>
      </c>
      <c r="K37" s="25">
        <f>I37*$K$29</f>
        <v>18713925.000000004</v>
      </c>
      <c r="L37" s="947">
        <f>IFERROR(K37/J37,0)</f>
        <v>18713925.000000004</v>
      </c>
      <c r="M37" s="91">
        <f>'Schedule 1'!F157</f>
        <v>1</v>
      </c>
      <c r="N37" s="921">
        <f>ROUND(L37*M37,0)</f>
        <v>18713925</v>
      </c>
      <c r="O37" s="91">
        <f>'Schedule 1'!F158</f>
        <v>1</v>
      </c>
      <c r="P37" s="921">
        <v>18713925</v>
      </c>
      <c r="Q37" s="91">
        <f>M37-O37</f>
        <v>0</v>
      </c>
      <c r="R37" s="921">
        <f t="shared" si="0"/>
        <v>0</v>
      </c>
      <c r="S37" s="501">
        <f t="shared" si="1"/>
        <v>0</v>
      </c>
      <c r="T37" s="433"/>
      <c r="U37" s="443"/>
      <c r="W37" s="598"/>
      <c r="Y37" s="734"/>
    </row>
    <row r="38" spans="2:25" s="22" customFormat="1" ht="15.6" x14ac:dyDescent="0.3">
      <c r="B38" s="1655"/>
      <c r="C38" s="1652"/>
      <c r="D38" s="1650"/>
      <c r="E38" s="1647"/>
      <c r="F38" s="19" t="s">
        <v>197</v>
      </c>
      <c r="G38" s="395" t="s">
        <v>214</v>
      </c>
      <c r="H38" s="24" t="s">
        <v>190</v>
      </c>
      <c r="I38" s="23">
        <v>0.04</v>
      </c>
      <c r="J38" s="12">
        <v>2</v>
      </c>
      <c r="K38" s="25">
        <f>I38*$K$29</f>
        <v>7485570.0000000009</v>
      </c>
      <c r="L38" s="947">
        <f>IFERROR(K38/J38,0)</f>
        <v>3742785.0000000005</v>
      </c>
      <c r="M38" s="91">
        <f>'Schedule 1'!F164</f>
        <v>2</v>
      </c>
      <c r="N38" s="921">
        <f>ROUND(L38*M38,0)</f>
        <v>7485570</v>
      </c>
      <c r="O38" s="91">
        <f>'Schedule 1'!F165</f>
        <v>2</v>
      </c>
      <c r="P38" s="921">
        <v>7485570</v>
      </c>
      <c r="Q38" s="91">
        <f>M38-O38</f>
        <v>0</v>
      </c>
      <c r="R38" s="921">
        <f t="shared" si="0"/>
        <v>0</v>
      </c>
      <c r="S38" s="501">
        <f t="shared" si="1"/>
        <v>0</v>
      </c>
      <c r="T38" s="433"/>
      <c r="U38" s="443"/>
      <c r="W38" s="598"/>
      <c r="Y38" s="734"/>
    </row>
    <row r="39" spans="2:25" s="22" customFormat="1" ht="15.6" x14ac:dyDescent="0.3">
      <c r="B39" s="1655"/>
      <c r="C39" s="1652"/>
      <c r="D39" s="1650"/>
      <c r="E39" s="1647"/>
      <c r="F39" s="19" t="s">
        <v>208</v>
      </c>
      <c r="G39" s="395" t="s">
        <v>215</v>
      </c>
      <c r="H39" s="24"/>
      <c r="I39" s="23"/>
      <c r="J39" s="12"/>
      <c r="K39" s="25"/>
      <c r="L39" s="947"/>
      <c r="M39" s="91"/>
      <c r="N39" s="921"/>
      <c r="O39" s="91"/>
      <c r="P39" s="921"/>
      <c r="Q39" s="91"/>
      <c r="R39" s="921"/>
      <c r="S39" s="501">
        <f t="shared" si="1"/>
        <v>0</v>
      </c>
      <c r="T39" s="433"/>
      <c r="U39" s="434"/>
      <c r="W39" s="598"/>
      <c r="Y39" s="734"/>
    </row>
    <row r="40" spans="2:25" s="22" customFormat="1" ht="15.6" x14ac:dyDescent="0.3">
      <c r="B40" s="1655"/>
      <c r="C40" s="1652"/>
      <c r="D40" s="1650"/>
      <c r="E40" s="1647"/>
      <c r="F40" s="5">
        <v>1</v>
      </c>
      <c r="G40" s="396" t="s">
        <v>216</v>
      </c>
      <c r="H40" s="24" t="s">
        <v>190</v>
      </c>
      <c r="I40" s="23">
        <v>0.02</v>
      </c>
      <c r="J40" s="12">
        <v>2</v>
      </c>
      <c r="K40" s="25">
        <f>I40*$K$29</f>
        <v>3742785.0000000005</v>
      </c>
      <c r="L40" s="947">
        <f>IFERROR(K40/J40,0)</f>
        <v>1871392.5000000002</v>
      </c>
      <c r="M40" s="91">
        <f>'Schedule 1'!F172</f>
        <v>2</v>
      </c>
      <c r="N40" s="921">
        <f>ROUND(L40*M40,0)</f>
        <v>3742785</v>
      </c>
      <c r="O40" s="91">
        <f>'Schedule 1'!F173</f>
        <v>2</v>
      </c>
      <c r="P40" s="921">
        <v>3742785</v>
      </c>
      <c r="Q40" s="91">
        <f>M40-O40</f>
        <v>0</v>
      </c>
      <c r="R40" s="921">
        <f t="shared" si="0"/>
        <v>0</v>
      </c>
      <c r="S40" s="501">
        <f t="shared" si="1"/>
        <v>0</v>
      </c>
      <c r="T40" s="433"/>
      <c r="U40" s="443"/>
      <c r="W40" s="598"/>
      <c r="Y40" s="734"/>
    </row>
    <row r="41" spans="2:25" s="22" customFormat="1" ht="15.6" x14ac:dyDescent="0.3">
      <c r="B41" s="1655"/>
      <c r="C41" s="1652"/>
      <c r="D41" s="1650"/>
      <c r="E41" s="1647"/>
      <c r="F41" s="5">
        <v>2</v>
      </c>
      <c r="G41" s="396" t="s">
        <v>217</v>
      </c>
      <c r="H41" s="24" t="s">
        <v>190</v>
      </c>
      <c r="I41" s="23">
        <v>0.01</v>
      </c>
      <c r="J41" s="12">
        <v>2</v>
      </c>
      <c r="K41" s="25">
        <f>I41*$K$29</f>
        <v>1871392.5000000002</v>
      </c>
      <c r="L41" s="947">
        <f>IFERROR(K41/J41,0)</f>
        <v>935696.25000000012</v>
      </c>
      <c r="M41" s="91">
        <f>'Schedule 1'!F180</f>
        <v>2</v>
      </c>
      <c r="N41" s="921">
        <f>ROUND(L41*M41,0)</f>
        <v>1871393</v>
      </c>
      <c r="O41" s="91">
        <f>'Schedule 1'!F181</f>
        <v>2</v>
      </c>
      <c r="P41" s="921">
        <v>1871393</v>
      </c>
      <c r="Q41" s="91">
        <f>M41-O41</f>
        <v>0</v>
      </c>
      <c r="R41" s="921">
        <f t="shared" si="0"/>
        <v>0</v>
      </c>
      <c r="S41" s="501">
        <f t="shared" si="1"/>
        <v>0</v>
      </c>
      <c r="T41" s="433"/>
      <c r="U41" s="443"/>
      <c r="W41" s="598"/>
      <c r="Y41" s="734"/>
    </row>
    <row r="42" spans="2:25" s="22" customFormat="1" ht="15.6" x14ac:dyDescent="0.3">
      <c r="B42" s="1655"/>
      <c r="C42" s="1652"/>
      <c r="D42" s="1650"/>
      <c r="E42" s="1647"/>
      <c r="F42" s="278" t="s">
        <v>37</v>
      </c>
      <c r="G42" s="7" t="s">
        <v>192</v>
      </c>
      <c r="H42" s="24"/>
      <c r="I42" s="23"/>
      <c r="J42" s="12"/>
      <c r="K42" s="25"/>
      <c r="L42" s="947"/>
      <c r="M42" s="91"/>
      <c r="N42" s="921"/>
      <c r="O42" s="91"/>
      <c r="P42" s="921"/>
      <c r="Q42" s="91"/>
      <c r="R42" s="921"/>
      <c r="S42" s="501">
        <f t="shared" si="1"/>
        <v>0</v>
      </c>
      <c r="T42" s="433"/>
      <c r="U42" s="434"/>
      <c r="W42" s="598"/>
      <c r="Y42" s="734"/>
    </row>
    <row r="43" spans="2:25" s="22" customFormat="1" ht="15.6" x14ac:dyDescent="0.3">
      <c r="B43" s="1655"/>
      <c r="C43" s="1652"/>
      <c r="D43" s="1650"/>
      <c r="E43" s="1647"/>
      <c r="F43" s="19" t="s">
        <v>90</v>
      </c>
      <c r="G43" s="395" t="s">
        <v>213</v>
      </c>
      <c r="H43" s="24" t="s">
        <v>190</v>
      </c>
      <c r="I43" s="23">
        <v>0.1</v>
      </c>
      <c r="J43" s="12">
        <v>1</v>
      </c>
      <c r="K43" s="25">
        <f>I43*$K$29</f>
        <v>18713925.000000004</v>
      </c>
      <c r="L43" s="947">
        <f>IFERROR(K43/J43,0)</f>
        <v>18713925.000000004</v>
      </c>
      <c r="M43" s="91">
        <f>'Schedule 1'!F186</f>
        <v>1</v>
      </c>
      <c r="N43" s="921">
        <f>ROUND(L43*M43,0)</f>
        <v>18713925</v>
      </c>
      <c r="O43" s="91">
        <f>'Schedule 1'!F187</f>
        <v>1</v>
      </c>
      <c r="P43" s="921">
        <v>18713925</v>
      </c>
      <c r="Q43" s="91">
        <f>M43-O43</f>
        <v>0</v>
      </c>
      <c r="R43" s="921">
        <f t="shared" si="0"/>
        <v>0</v>
      </c>
      <c r="S43" s="501">
        <f t="shared" si="1"/>
        <v>0</v>
      </c>
      <c r="T43" s="433"/>
      <c r="U43" s="443"/>
      <c r="W43" s="598"/>
      <c r="Y43" s="734"/>
    </row>
    <row r="44" spans="2:25" s="22" customFormat="1" ht="15.6" x14ac:dyDescent="0.3">
      <c r="B44" s="1655"/>
      <c r="C44" s="1652"/>
      <c r="D44" s="1650"/>
      <c r="E44" s="1647"/>
      <c r="F44" s="19" t="s">
        <v>197</v>
      </c>
      <c r="G44" s="395" t="s">
        <v>214</v>
      </c>
      <c r="H44" s="24" t="s">
        <v>190</v>
      </c>
      <c r="I44" s="23">
        <v>0.04</v>
      </c>
      <c r="J44" s="12">
        <v>2</v>
      </c>
      <c r="K44" s="25">
        <f>I44*$K$29</f>
        <v>7485570.0000000009</v>
      </c>
      <c r="L44" s="947">
        <f>IFERROR(K44/J44,0)</f>
        <v>3742785.0000000005</v>
      </c>
      <c r="M44" s="91">
        <f>'Schedule 1'!F193</f>
        <v>2</v>
      </c>
      <c r="N44" s="921">
        <f>ROUND(L44*M44,0)</f>
        <v>7485570</v>
      </c>
      <c r="O44" s="91">
        <f>'Schedule 1'!F194</f>
        <v>2</v>
      </c>
      <c r="P44" s="921">
        <v>7485570</v>
      </c>
      <c r="Q44" s="91">
        <f>M44-O44</f>
        <v>0</v>
      </c>
      <c r="R44" s="921">
        <f t="shared" si="0"/>
        <v>0</v>
      </c>
      <c r="S44" s="501">
        <f t="shared" si="1"/>
        <v>0</v>
      </c>
      <c r="T44" s="433"/>
      <c r="U44" s="443"/>
      <c r="W44" s="598"/>
      <c r="Y44" s="734"/>
    </row>
    <row r="45" spans="2:25" s="22" customFormat="1" ht="15.6" x14ac:dyDescent="0.3">
      <c r="B45" s="1655"/>
      <c r="C45" s="1652"/>
      <c r="D45" s="1650"/>
      <c r="E45" s="1647"/>
      <c r="F45" s="19" t="s">
        <v>208</v>
      </c>
      <c r="G45" s="395" t="s">
        <v>215</v>
      </c>
      <c r="H45" s="24"/>
      <c r="I45" s="23"/>
      <c r="J45" s="12"/>
      <c r="K45" s="25"/>
      <c r="L45" s="947"/>
      <c r="M45" s="91"/>
      <c r="N45" s="921"/>
      <c r="O45" s="91"/>
      <c r="P45" s="921"/>
      <c r="Q45" s="91"/>
      <c r="R45" s="921"/>
      <c r="S45" s="501">
        <f t="shared" si="1"/>
        <v>0</v>
      </c>
      <c r="T45" s="433"/>
      <c r="U45" s="434"/>
      <c r="W45" s="598"/>
      <c r="Y45" s="734"/>
    </row>
    <row r="46" spans="2:25" s="22" customFormat="1" ht="15.6" x14ac:dyDescent="0.3">
      <c r="B46" s="1655"/>
      <c r="C46" s="1652"/>
      <c r="D46" s="1650"/>
      <c r="E46" s="1647"/>
      <c r="F46" s="5">
        <v>1</v>
      </c>
      <c r="G46" s="396" t="s">
        <v>216</v>
      </c>
      <c r="H46" s="24" t="s">
        <v>190</v>
      </c>
      <c r="I46" s="23">
        <v>0.02</v>
      </c>
      <c r="J46" s="12">
        <v>2</v>
      </c>
      <c r="K46" s="25">
        <f>I46*$K$29</f>
        <v>3742785.0000000005</v>
      </c>
      <c r="L46" s="947">
        <f>IFERROR(K46/J46,0)</f>
        <v>1871392.5000000002</v>
      </c>
      <c r="M46" s="92">
        <f>'Schedule 1'!F201</f>
        <v>2</v>
      </c>
      <c r="N46" s="921">
        <f>ROUND(L46*M46,0)</f>
        <v>3742785</v>
      </c>
      <c r="O46" s="91">
        <f>'Schedule 1'!F202</f>
        <v>2</v>
      </c>
      <c r="P46" s="921">
        <v>3742785</v>
      </c>
      <c r="Q46" s="91">
        <f>M46-O46</f>
        <v>0</v>
      </c>
      <c r="R46" s="921">
        <f t="shared" si="0"/>
        <v>0</v>
      </c>
      <c r="S46" s="501">
        <f t="shared" si="1"/>
        <v>0</v>
      </c>
      <c r="T46" s="433"/>
      <c r="U46" s="434"/>
      <c r="W46" s="598"/>
      <c r="Y46" s="734"/>
    </row>
    <row r="47" spans="2:25" s="22" customFormat="1" ht="15.6" x14ac:dyDescent="0.3">
      <c r="B47" s="1655"/>
      <c r="C47" s="1652"/>
      <c r="D47" s="1650"/>
      <c r="E47" s="1647"/>
      <c r="F47" s="5">
        <v>2</v>
      </c>
      <c r="G47" s="396" t="s">
        <v>217</v>
      </c>
      <c r="H47" s="24" t="s">
        <v>190</v>
      </c>
      <c r="I47" s="23">
        <v>0.01</v>
      </c>
      <c r="J47" s="12">
        <v>2</v>
      </c>
      <c r="K47" s="25">
        <f>I47*$K$29</f>
        <v>1871392.5000000002</v>
      </c>
      <c r="L47" s="947">
        <f>IFERROR(K47/J47,0)</f>
        <v>935696.25000000012</v>
      </c>
      <c r="M47" s="91">
        <f>'Schedule 1'!F208</f>
        <v>2</v>
      </c>
      <c r="N47" s="921">
        <f>ROUND(L47*M47,0)</f>
        <v>1871393</v>
      </c>
      <c r="O47" s="91">
        <f>'Schedule 1'!F209</f>
        <v>2</v>
      </c>
      <c r="P47" s="921">
        <v>1871393</v>
      </c>
      <c r="Q47" s="91">
        <f>M47-O47</f>
        <v>0</v>
      </c>
      <c r="R47" s="921">
        <f t="shared" si="0"/>
        <v>0</v>
      </c>
      <c r="S47" s="501">
        <f t="shared" si="1"/>
        <v>0</v>
      </c>
      <c r="T47" s="433"/>
      <c r="U47" s="443"/>
      <c r="W47" s="598"/>
      <c r="Y47" s="734"/>
    </row>
    <row r="48" spans="2:25" s="22" customFormat="1" ht="15.6" x14ac:dyDescent="0.3">
      <c r="B48" s="1655"/>
      <c r="C48" s="1652"/>
      <c r="D48" s="1650"/>
      <c r="E48" s="1647"/>
      <c r="F48" s="278" t="s">
        <v>39</v>
      </c>
      <c r="G48" s="7" t="s">
        <v>193</v>
      </c>
      <c r="H48" s="24"/>
      <c r="I48" s="23"/>
      <c r="J48" s="12"/>
      <c r="K48" s="25"/>
      <c r="L48" s="947"/>
      <c r="M48" s="91"/>
      <c r="N48" s="921"/>
      <c r="O48" s="91"/>
      <c r="P48" s="921"/>
      <c r="Q48" s="91"/>
      <c r="R48" s="921"/>
      <c r="S48" s="501">
        <f t="shared" si="1"/>
        <v>0</v>
      </c>
      <c r="T48" s="433"/>
      <c r="U48" s="434"/>
      <c r="W48" s="598"/>
      <c r="Y48" s="734"/>
    </row>
    <row r="49" spans="2:25" s="22" customFormat="1" ht="15.6" x14ac:dyDescent="0.3">
      <c r="B49" s="1655"/>
      <c r="C49" s="1652"/>
      <c r="D49" s="1650"/>
      <c r="E49" s="1647"/>
      <c r="F49" s="19" t="s">
        <v>90</v>
      </c>
      <c r="G49" s="395" t="s">
        <v>213</v>
      </c>
      <c r="H49" s="24" t="s">
        <v>190</v>
      </c>
      <c r="I49" s="23">
        <v>0.09</v>
      </c>
      <c r="J49" s="12">
        <v>1</v>
      </c>
      <c r="K49" s="25">
        <f>I49*$K$29</f>
        <v>16842532.500000004</v>
      </c>
      <c r="L49" s="947">
        <f>IFERROR(K49/J49,0)</f>
        <v>16842532.500000004</v>
      </c>
      <c r="M49" s="91">
        <f>'Schedule 1'!F214</f>
        <v>1</v>
      </c>
      <c r="N49" s="921">
        <f>ROUND(L49*M49,0)</f>
        <v>16842533</v>
      </c>
      <c r="O49" s="91">
        <f>'Schedule 1'!F215</f>
        <v>1</v>
      </c>
      <c r="P49" s="921">
        <v>16842533</v>
      </c>
      <c r="Q49" s="91">
        <f>M49-O49</f>
        <v>0</v>
      </c>
      <c r="R49" s="921">
        <f t="shared" si="0"/>
        <v>0</v>
      </c>
      <c r="S49" s="501">
        <f t="shared" si="1"/>
        <v>0</v>
      </c>
      <c r="T49" s="433"/>
      <c r="U49" s="443"/>
      <c r="W49" s="598"/>
      <c r="Y49" s="734"/>
    </row>
    <row r="50" spans="2:25" s="22" customFormat="1" ht="15.6" x14ac:dyDescent="0.3">
      <c r="B50" s="1655"/>
      <c r="C50" s="1652"/>
      <c r="D50" s="1650"/>
      <c r="E50" s="1647"/>
      <c r="F50" s="19" t="s">
        <v>197</v>
      </c>
      <c r="G50" s="395" t="s">
        <v>214</v>
      </c>
      <c r="H50" s="24" t="s">
        <v>190</v>
      </c>
      <c r="I50" s="23">
        <v>0.04</v>
      </c>
      <c r="J50" s="12">
        <v>2</v>
      </c>
      <c r="K50" s="25">
        <f>I50*$K$29</f>
        <v>7485570.0000000009</v>
      </c>
      <c r="L50" s="947">
        <f>IFERROR(K50/J50,0)</f>
        <v>3742785.0000000005</v>
      </c>
      <c r="M50" s="91">
        <f>'Schedule 1'!F221</f>
        <v>2</v>
      </c>
      <c r="N50" s="921">
        <f>ROUND(L50*M50,0)</f>
        <v>7485570</v>
      </c>
      <c r="O50" s="91">
        <f>'Schedule 1'!F222</f>
        <v>2</v>
      </c>
      <c r="P50" s="921">
        <v>7485570</v>
      </c>
      <c r="Q50" s="91">
        <f>M50-O50</f>
        <v>0</v>
      </c>
      <c r="R50" s="921">
        <f t="shared" si="0"/>
        <v>0</v>
      </c>
      <c r="S50" s="501">
        <f t="shared" si="1"/>
        <v>0</v>
      </c>
      <c r="T50" s="433"/>
      <c r="U50" s="443"/>
      <c r="W50" s="598"/>
      <c r="Y50" s="734"/>
    </row>
    <row r="51" spans="2:25" s="22" customFormat="1" ht="15.6" x14ac:dyDescent="0.3">
      <c r="B51" s="1655"/>
      <c r="C51" s="1652"/>
      <c r="D51" s="1650"/>
      <c r="E51" s="1647"/>
      <c r="F51" s="19" t="s">
        <v>208</v>
      </c>
      <c r="G51" s="395" t="s">
        <v>215</v>
      </c>
      <c r="H51" s="24"/>
      <c r="I51" s="23"/>
      <c r="J51" s="12"/>
      <c r="K51" s="25"/>
      <c r="L51" s="947"/>
      <c r="M51" s="91"/>
      <c r="N51" s="921"/>
      <c r="O51" s="91"/>
      <c r="P51" s="921"/>
      <c r="Q51" s="91"/>
      <c r="R51" s="921"/>
      <c r="S51" s="501">
        <f t="shared" si="1"/>
        <v>0</v>
      </c>
      <c r="T51" s="433"/>
      <c r="U51" s="434"/>
      <c r="W51" s="598"/>
      <c r="Y51" s="734"/>
    </row>
    <row r="52" spans="2:25" s="22" customFormat="1" ht="15.6" x14ac:dyDescent="0.3">
      <c r="B52" s="1655"/>
      <c r="C52" s="1652"/>
      <c r="D52" s="1650"/>
      <c r="E52" s="1647"/>
      <c r="F52" s="5">
        <v>1</v>
      </c>
      <c r="G52" s="396" t="s">
        <v>216</v>
      </c>
      <c r="H52" s="24" t="s">
        <v>190</v>
      </c>
      <c r="I52" s="23">
        <v>0.02</v>
      </c>
      <c r="J52" s="12">
        <v>2</v>
      </c>
      <c r="K52" s="25">
        <f>I52*$K$29</f>
        <v>3742785.0000000005</v>
      </c>
      <c r="L52" s="947">
        <f>IFERROR(K52/J52,0)</f>
        <v>1871392.5000000002</v>
      </c>
      <c r="M52" s="92">
        <f>'Schedule 1'!F228</f>
        <v>2</v>
      </c>
      <c r="N52" s="921">
        <f>ROUND(L52*M52,0)</f>
        <v>3742785</v>
      </c>
      <c r="O52" s="91">
        <f>'Schedule 1'!F229</f>
        <v>2</v>
      </c>
      <c r="P52" s="921">
        <v>3742785</v>
      </c>
      <c r="Q52" s="91">
        <f>M52-O52</f>
        <v>0</v>
      </c>
      <c r="R52" s="921">
        <f t="shared" si="0"/>
        <v>0</v>
      </c>
      <c r="S52" s="501">
        <f t="shared" si="1"/>
        <v>0</v>
      </c>
      <c r="T52" s="433"/>
      <c r="U52" s="434"/>
      <c r="W52" s="598"/>
      <c r="Y52" s="734"/>
    </row>
    <row r="53" spans="2:25" s="22" customFormat="1" ht="15.6" x14ac:dyDescent="0.3">
      <c r="B53" s="1655"/>
      <c r="C53" s="1652"/>
      <c r="D53" s="1650"/>
      <c r="E53" s="1647"/>
      <c r="F53" s="5">
        <v>2</v>
      </c>
      <c r="G53" s="396" t="s">
        <v>217</v>
      </c>
      <c r="H53" s="24" t="s">
        <v>190</v>
      </c>
      <c r="I53" s="23">
        <v>0.01</v>
      </c>
      <c r="J53" s="12">
        <v>2</v>
      </c>
      <c r="K53" s="25">
        <f>I53*$K$29</f>
        <v>1871392.5000000002</v>
      </c>
      <c r="L53" s="947">
        <f>IFERROR(K53/J53,0)</f>
        <v>935696.25000000012</v>
      </c>
      <c r="M53" s="92">
        <f>'Schedule 1'!F235</f>
        <v>2</v>
      </c>
      <c r="N53" s="921">
        <f>ROUND(L53*M53,0)</f>
        <v>1871393</v>
      </c>
      <c r="O53" s="91">
        <f>'Schedule 1'!F236</f>
        <v>2</v>
      </c>
      <c r="P53" s="921">
        <v>1871393</v>
      </c>
      <c r="Q53" s="92">
        <f>M53-O53</f>
        <v>0</v>
      </c>
      <c r="R53" s="921">
        <f t="shared" si="0"/>
        <v>0</v>
      </c>
      <c r="S53" s="501">
        <f t="shared" si="1"/>
        <v>0</v>
      </c>
      <c r="T53" s="433"/>
      <c r="U53" s="434"/>
      <c r="W53" s="598"/>
      <c r="Y53" s="734"/>
    </row>
    <row r="54" spans="2:25" s="22" customFormat="1" ht="15.6" x14ac:dyDescent="0.3">
      <c r="B54" s="1655"/>
      <c r="C54" s="1652"/>
      <c r="D54" s="1650"/>
      <c r="E54" s="1647"/>
      <c r="F54" s="278" t="s">
        <v>41</v>
      </c>
      <c r="G54" s="7" t="s">
        <v>194</v>
      </c>
      <c r="H54" s="24"/>
      <c r="I54" s="23"/>
      <c r="J54" s="12"/>
      <c r="K54" s="25"/>
      <c r="L54" s="947"/>
      <c r="M54" s="91"/>
      <c r="N54" s="921"/>
      <c r="O54" s="91"/>
      <c r="P54" s="921"/>
      <c r="Q54" s="91"/>
      <c r="R54" s="921"/>
      <c r="S54" s="501">
        <f t="shared" si="1"/>
        <v>0</v>
      </c>
      <c r="T54" s="433"/>
      <c r="U54" s="434"/>
      <c r="W54" s="598"/>
      <c r="Y54" s="734"/>
    </row>
    <row r="55" spans="2:25" s="22" customFormat="1" ht="15.6" x14ac:dyDescent="0.3">
      <c r="B55" s="1655"/>
      <c r="C55" s="1652"/>
      <c r="D55" s="1650"/>
      <c r="E55" s="1647"/>
      <c r="F55" s="19" t="s">
        <v>90</v>
      </c>
      <c r="G55" s="395" t="s">
        <v>213</v>
      </c>
      <c r="H55" s="24" t="s">
        <v>190</v>
      </c>
      <c r="I55" s="23">
        <v>0.09</v>
      </c>
      <c r="J55" s="12">
        <v>1</v>
      </c>
      <c r="K55" s="25">
        <f>I55*$K$29</f>
        <v>16842532.500000004</v>
      </c>
      <c r="L55" s="947">
        <f>IFERROR(K55/J55,0)</f>
        <v>16842532.500000004</v>
      </c>
      <c r="M55" s="91">
        <f>'Schedule 1'!F241</f>
        <v>1</v>
      </c>
      <c r="N55" s="921">
        <f>ROUND(L55*M55,0)</f>
        <v>16842533</v>
      </c>
      <c r="O55" s="91">
        <f>'Schedule 1'!F242</f>
        <v>1</v>
      </c>
      <c r="P55" s="921">
        <v>16842533</v>
      </c>
      <c r="Q55" s="91">
        <f>M55-O55</f>
        <v>0</v>
      </c>
      <c r="R55" s="921">
        <f t="shared" si="0"/>
        <v>0</v>
      </c>
      <c r="S55" s="501">
        <f t="shared" si="1"/>
        <v>0</v>
      </c>
      <c r="T55" s="433"/>
      <c r="U55" s="443"/>
      <c r="W55" s="598"/>
      <c r="Y55" s="734"/>
    </row>
    <row r="56" spans="2:25" s="22" customFormat="1" ht="15.6" x14ac:dyDescent="0.3">
      <c r="B56" s="1655"/>
      <c r="C56" s="1652"/>
      <c r="D56" s="1650"/>
      <c r="E56" s="1647"/>
      <c r="F56" s="19" t="s">
        <v>197</v>
      </c>
      <c r="G56" s="395" t="s">
        <v>214</v>
      </c>
      <c r="H56" s="24" t="s">
        <v>190</v>
      </c>
      <c r="I56" s="23">
        <v>0.03</v>
      </c>
      <c r="J56" s="12">
        <v>2</v>
      </c>
      <c r="K56" s="25">
        <f>I56*$K$29</f>
        <v>5614177.5000000009</v>
      </c>
      <c r="L56" s="947">
        <f>IFERROR(K56/J56,0)</f>
        <v>2807088.7500000005</v>
      </c>
      <c r="M56" s="91">
        <f>'Schedule 1'!F248</f>
        <v>2</v>
      </c>
      <c r="N56" s="921">
        <f>ROUND(L56*M56,0)</f>
        <v>5614178</v>
      </c>
      <c r="O56" s="91">
        <f>'Schedule 1'!F249</f>
        <v>2</v>
      </c>
      <c r="P56" s="921">
        <v>5614178</v>
      </c>
      <c r="Q56" s="91">
        <f>M56-O56</f>
        <v>0</v>
      </c>
      <c r="R56" s="921">
        <f>N56-P56</f>
        <v>0</v>
      </c>
      <c r="S56" s="501">
        <f t="shared" si="1"/>
        <v>0</v>
      </c>
      <c r="T56" s="433"/>
      <c r="U56" s="443"/>
      <c r="W56" s="598"/>
      <c r="Y56" s="734"/>
    </row>
    <row r="57" spans="2:25" s="22" customFormat="1" ht="15.6" x14ac:dyDescent="0.3">
      <c r="B57" s="1655"/>
      <c r="C57" s="1652"/>
      <c r="D57" s="1650"/>
      <c r="E57" s="1647"/>
      <c r="F57" s="19" t="s">
        <v>208</v>
      </c>
      <c r="G57" s="395" t="s">
        <v>215</v>
      </c>
      <c r="H57" s="24"/>
      <c r="I57" s="23"/>
      <c r="J57" s="12"/>
      <c r="K57" s="25"/>
      <c r="L57" s="947"/>
      <c r="M57" s="91"/>
      <c r="N57" s="921"/>
      <c r="O57" s="91"/>
      <c r="P57" s="921"/>
      <c r="Q57" s="91"/>
      <c r="R57" s="921"/>
      <c r="S57" s="501">
        <f t="shared" si="1"/>
        <v>0</v>
      </c>
      <c r="T57" s="433"/>
      <c r="U57" s="434"/>
      <c r="W57" s="598"/>
      <c r="Y57" s="734"/>
    </row>
    <row r="58" spans="2:25" s="22" customFormat="1" ht="15.6" x14ac:dyDescent="0.3">
      <c r="B58" s="1655"/>
      <c r="C58" s="1652"/>
      <c r="D58" s="1650"/>
      <c r="E58" s="1647"/>
      <c r="F58" s="5">
        <v>1</v>
      </c>
      <c r="G58" s="396" t="s">
        <v>216</v>
      </c>
      <c r="H58" s="24" t="s">
        <v>190</v>
      </c>
      <c r="I58" s="23">
        <v>0.02</v>
      </c>
      <c r="J58" s="12">
        <v>2</v>
      </c>
      <c r="K58" s="25">
        <f>I58*$K$29</f>
        <v>3742785.0000000005</v>
      </c>
      <c r="L58" s="947">
        <f>IFERROR(K58/J58,0)</f>
        <v>1871392.5000000002</v>
      </c>
      <c r="M58" s="92">
        <f>'Schedule 1'!F255</f>
        <v>2</v>
      </c>
      <c r="N58" s="921">
        <f>ROUND(L58*M58,0)</f>
        <v>3742785</v>
      </c>
      <c r="O58" s="91">
        <f>'Schedule 1'!F256</f>
        <v>2</v>
      </c>
      <c r="P58" s="921">
        <v>3742785</v>
      </c>
      <c r="Q58" s="91">
        <f t="shared" ref="Q58:Q97" si="6">M58-O58</f>
        <v>0</v>
      </c>
      <c r="R58" s="921">
        <f t="shared" si="0"/>
        <v>0</v>
      </c>
      <c r="S58" s="501">
        <f t="shared" si="1"/>
        <v>0</v>
      </c>
      <c r="T58" s="433"/>
      <c r="U58" s="434"/>
      <c r="W58" s="598"/>
      <c r="Y58" s="734"/>
    </row>
    <row r="59" spans="2:25" s="22" customFormat="1" ht="15.6" x14ac:dyDescent="0.3">
      <c r="B59" s="1655"/>
      <c r="C59" s="1652"/>
      <c r="D59" s="1650"/>
      <c r="E59" s="1647"/>
      <c r="F59" s="5">
        <v>2</v>
      </c>
      <c r="G59" s="396" t="s">
        <v>217</v>
      </c>
      <c r="H59" s="24" t="s">
        <v>190</v>
      </c>
      <c r="I59" s="23">
        <v>0.01</v>
      </c>
      <c r="J59" s="12">
        <v>2</v>
      </c>
      <c r="K59" s="25">
        <f>I59*$K$29</f>
        <v>1871392.5000000002</v>
      </c>
      <c r="L59" s="947">
        <f>IFERROR(K59/J59,0)</f>
        <v>935696.25000000012</v>
      </c>
      <c r="M59" s="91">
        <f>'Schedule 1'!F262</f>
        <v>2</v>
      </c>
      <c r="N59" s="921">
        <f>ROUND(L59*M59,0)</f>
        <v>1871393</v>
      </c>
      <c r="O59" s="91">
        <f>'Schedule 1'!F263</f>
        <v>2</v>
      </c>
      <c r="P59" s="921">
        <v>1871393</v>
      </c>
      <c r="Q59" s="91">
        <f t="shared" si="6"/>
        <v>0</v>
      </c>
      <c r="R59" s="921">
        <f t="shared" si="0"/>
        <v>0</v>
      </c>
      <c r="S59" s="501">
        <f t="shared" si="1"/>
        <v>0</v>
      </c>
      <c r="T59" s="433"/>
      <c r="U59" s="443"/>
      <c r="W59" s="598"/>
      <c r="Y59" s="734"/>
    </row>
    <row r="60" spans="2:25" s="22" customFormat="1" ht="15.6" x14ac:dyDescent="0.3">
      <c r="B60" s="1655"/>
      <c r="C60" s="1652"/>
      <c r="D60" s="1650"/>
      <c r="E60" s="1647"/>
      <c r="F60" s="424" t="s">
        <v>84</v>
      </c>
      <c r="G60" s="7" t="s">
        <v>195</v>
      </c>
      <c r="H60" s="24"/>
      <c r="I60" s="23"/>
      <c r="J60" s="12"/>
      <c r="K60" s="25"/>
      <c r="L60" s="947"/>
      <c r="M60" s="91"/>
      <c r="N60" s="921"/>
      <c r="O60" s="91"/>
      <c r="P60" s="921"/>
      <c r="Q60" s="91"/>
      <c r="R60" s="921"/>
      <c r="S60" s="501">
        <f t="shared" si="1"/>
        <v>0</v>
      </c>
      <c r="T60" s="433"/>
      <c r="U60" s="434"/>
      <c r="W60" s="598"/>
      <c r="Y60" s="734"/>
    </row>
    <row r="61" spans="2:25" s="22" customFormat="1" ht="15.6" x14ac:dyDescent="0.3">
      <c r="B61" s="1655"/>
      <c r="C61" s="1652"/>
      <c r="D61" s="1650"/>
      <c r="E61" s="1647"/>
      <c r="F61" s="19" t="s">
        <v>90</v>
      </c>
      <c r="G61" s="395" t="s">
        <v>213</v>
      </c>
      <c r="H61" s="24" t="s">
        <v>190</v>
      </c>
      <c r="I61" s="23">
        <v>0.08</v>
      </c>
      <c r="J61" s="12">
        <v>1</v>
      </c>
      <c r="K61" s="25">
        <f>I61*$K$29</f>
        <v>14971140.000000002</v>
      </c>
      <c r="L61" s="947">
        <f>IFERROR(K61/J61,0)</f>
        <v>14971140.000000002</v>
      </c>
      <c r="M61" s="92">
        <f>'Schedule 1'!F268</f>
        <v>1</v>
      </c>
      <c r="N61" s="921">
        <f>ROUND(L61*M61,0)</f>
        <v>14971140</v>
      </c>
      <c r="O61" s="91">
        <f>'Schedule 1'!F269</f>
        <v>1</v>
      </c>
      <c r="P61" s="921">
        <v>14971140</v>
      </c>
      <c r="Q61" s="91">
        <f t="shared" si="6"/>
        <v>0</v>
      </c>
      <c r="R61" s="921">
        <f t="shared" si="0"/>
        <v>0</v>
      </c>
      <c r="S61" s="501">
        <f t="shared" si="1"/>
        <v>0</v>
      </c>
      <c r="T61" s="433"/>
      <c r="U61" s="434"/>
      <c r="W61" s="598"/>
      <c r="Y61" s="734"/>
    </row>
    <row r="62" spans="2:25" s="22" customFormat="1" ht="15.6" x14ac:dyDescent="0.3">
      <c r="B62" s="1655"/>
      <c r="C62" s="1652"/>
      <c r="D62" s="1650"/>
      <c r="E62" s="1647"/>
      <c r="F62" s="19" t="s">
        <v>197</v>
      </c>
      <c r="G62" s="395" t="s">
        <v>214</v>
      </c>
      <c r="H62" s="24"/>
      <c r="I62" s="23"/>
      <c r="J62" s="12"/>
      <c r="K62" s="25"/>
      <c r="L62" s="947"/>
      <c r="M62" s="92"/>
      <c r="N62" s="921"/>
      <c r="O62" s="91"/>
      <c r="P62" s="921"/>
      <c r="Q62" s="91"/>
      <c r="R62" s="921"/>
      <c r="S62" s="501">
        <f t="shared" si="1"/>
        <v>0</v>
      </c>
      <c r="T62" s="433"/>
      <c r="U62" s="434"/>
      <c r="W62" s="598"/>
      <c r="Y62" s="734"/>
    </row>
    <row r="63" spans="2:25" s="22" customFormat="1" ht="15.6" x14ac:dyDescent="0.3">
      <c r="B63" s="1655"/>
      <c r="C63" s="1652"/>
      <c r="D63" s="1650"/>
      <c r="E63" s="1647"/>
      <c r="F63" s="5">
        <v>1</v>
      </c>
      <c r="G63" s="396" t="s">
        <v>218</v>
      </c>
      <c r="H63" s="24" t="s">
        <v>190</v>
      </c>
      <c r="I63" s="23">
        <v>0.02</v>
      </c>
      <c r="J63" s="12">
        <v>2</v>
      </c>
      <c r="K63" s="25">
        <f>I63*$K$29</f>
        <v>3742785.0000000005</v>
      </c>
      <c r="L63" s="947">
        <f>IFERROR(K63/J63,0)</f>
        <v>1871392.5000000002</v>
      </c>
      <c r="M63" s="92">
        <f>'Schedule 1'!F275</f>
        <v>2</v>
      </c>
      <c r="N63" s="921">
        <f>ROUND(L63*M63,0)</f>
        <v>3742785</v>
      </c>
      <c r="O63" s="91">
        <f>'Schedule 1'!F276</f>
        <v>2</v>
      </c>
      <c r="P63" s="921">
        <v>3742785</v>
      </c>
      <c r="Q63" s="91">
        <f>M63-O63</f>
        <v>0</v>
      </c>
      <c r="R63" s="921">
        <f>N63-P63</f>
        <v>0</v>
      </c>
      <c r="S63" s="501">
        <f t="shared" si="1"/>
        <v>0</v>
      </c>
      <c r="T63" s="433"/>
      <c r="U63" s="443"/>
      <c r="W63" s="598"/>
      <c r="Y63" s="734"/>
    </row>
    <row r="64" spans="2:25" s="22" customFormat="1" ht="15.6" x14ac:dyDescent="0.3">
      <c r="B64" s="1655"/>
      <c r="C64" s="1652"/>
      <c r="D64" s="1650"/>
      <c r="E64" s="1647"/>
      <c r="F64" s="5">
        <v>2</v>
      </c>
      <c r="G64" s="396" t="s">
        <v>219</v>
      </c>
      <c r="H64" s="24" t="s">
        <v>190</v>
      </c>
      <c r="I64" s="23">
        <v>0.04</v>
      </c>
      <c r="J64" s="12">
        <v>2</v>
      </c>
      <c r="K64" s="25">
        <f>I64*$K$29</f>
        <v>7485570.0000000009</v>
      </c>
      <c r="L64" s="947">
        <f>IFERROR(K64/J64,0)</f>
        <v>3742785.0000000005</v>
      </c>
      <c r="M64" s="92">
        <f>'Schedule 1'!F282</f>
        <v>2</v>
      </c>
      <c r="N64" s="921">
        <f>ROUND(L64*M64,0)</f>
        <v>7485570</v>
      </c>
      <c r="O64" s="91">
        <f>'Schedule 1'!F283</f>
        <v>2</v>
      </c>
      <c r="P64" s="921">
        <v>7485570</v>
      </c>
      <c r="Q64" s="91">
        <f t="shared" si="6"/>
        <v>0</v>
      </c>
      <c r="R64" s="921">
        <f t="shared" si="0"/>
        <v>0</v>
      </c>
      <c r="S64" s="501">
        <f t="shared" si="1"/>
        <v>0</v>
      </c>
      <c r="T64" s="433"/>
      <c r="U64" s="434"/>
      <c r="W64" s="598"/>
      <c r="Y64" s="734"/>
    </row>
    <row r="65" spans="2:25" s="22" customFormat="1" ht="15.6" x14ac:dyDescent="0.3">
      <c r="B65" s="1655"/>
      <c r="C65" s="1652"/>
      <c r="D65" s="1650"/>
      <c r="E65" s="1647"/>
      <c r="F65" s="19" t="s">
        <v>208</v>
      </c>
      <c r="G65" s="395" t="s">
        <v>215</v>
      </c>
      <c r="H65" s="24"/>
      <c r="I65" s="23"/>
      <c r="J65" s="12"/>
      <c r="K65" s="25"/>
      <c r="L65" s="947"/>
      <c r="M65" s="92"/>
      <c r="N65" s="921"/>
      <c r="O65" s="91"/>
      <c r="P65" s="921"/>
      <c r="Q65" s="91"/>
      <c r="R65" s="921"/>
      <c r="S65" s="501">
        <f t="shared" si="1"/>
        <v>0</v>
      </c>
      <c r="T65" s="433"/>
      <c r="U65" s="434"/>
      <c r="W65" s="598"/>
      <c r="Y65" s="734"/>
    </row>
    <row r="66" spans="2:25" s="22" customFormat="1" ht="15.6" x14ac:dyDescent="0.3">
      <c r="B66" s="1655"/>
      <c r="C66" s="1652"/>
      <c r="D66" s="1650"/>
      <c r="E66" s="1647"/>
      <c r="F66" s="5">
        <v>1</v>
      </c>
      <c r="G66" s="396" t="s">
        <v>216</v>
      </c>
      <c r="H66" s="24" t="s">
        <v>190</v>
      </c>
      <c r="I66" s="23">
        <v>0.02</v>
      </c>
      <c r="J66" s="12">
        <v>2</v>
      </c>
      <c r="K66" s="25">
        <f>I66*$K$29</f>
        <v>3742785.0000000005</v>
      </c>
      <c r="L66" s="947">
        <f>IFERROR(K66/J66,0)</f>
        <v>1871392.5000000002</v>
      </c>
      <c r="M66" s="92">
        <f>'Schedule 1'!F289</f>
        <v>2</v>
      </c>
      <c r="N66" s="921">
        <f>ROUND(L66*M66,0)</f>
        <v>3742785</v>
      </c>
      <c r="O66" s="91">
        <f>'Schedule 1'!F290</f>
        <v>2</v>
      </c>
      <c r="P66" s="921">
        <v>3742785</v>
      </c>
      <c r="Q66" s="91">
        <f t="shared" si="6"/>
        <v>0</v>
      </c>
      <c r="R66" s="921">
        <f t="shared" si="0"/>
        <v>0</v>
      </c>
      <c r="S66" s="501">
        <f t="shared" si="1"/>
        <v>0</v>
      </c>
      <c r="T66" s="433"/>
      <c r="U66" s="434"/>
      <c r="W66" s="598"/>
      <c r="Y66" s="734"/>
    </row>
    <row r="67" spans="2:25" s="22" customFormat="1" ht="15.6" x14ac:dyDescent="0.3">
      <c r="B67" s="1655"/>
      <c r="C67" s="1652"/>
      <c r="D67" s="1650"/>
      <c r="E67" s="1647"/>
      <c r="F67" s="5">
        <v>2</v>
      </c>
      <c r="G67" s="396" t="s">
        <v>217</v>
      </c>
      <c r="H67" s="24" t="s">
        <v>190</v>
      </c>
      <c r="I67" s="23">
        <v>0.02</v>
      </c>
      <c r="J67" s="12">
        <v>2</v>
      </c>
      <c r="K67" s="25">
        <f>I67*$K$29</f>
        <v>3742785.0000000005</v>
      </c>
      <c r="L67" s="947">
        <f>IFERROR(K67/J67,0)</f>
        <v>1871392.5000000002</v>
      </c>
      <c r="M67" s="92">
        <f>'Schedule 1'!F296</f>
        <v>2</v>
      </c>
      <c r="N67" s="921">
        <f>ROUND(L67*M67,0)</f>
        <v>3742785</v>
      </c>
      <c r="O67" s="91">
        <f>'Schedule 1'!F297</f>
        <v>2</v>
      </c>
      <c r="P67" s="921">
        <v>3742785</v>
      </c>
      <c r="Q67" s="91">
        <f t="shared" si="6"/>
        <v>0</v>
      </c>
      <c r="R67" s="921">
        <f t="shared" si="0"/>
        <v>0</v>
      </c>
      <c r="S67" s="501">
        <f t="shared" si="1"/>
        <v>0</v>
      </c>
      <c r="T67" s="433"/>
      <c r="U67" s="434"/>
      <c r="W67" s="598"/>
      <c r="Y67" s="734"/>
    </row>
    <row r="68" spans="2:25" s="22" customFormat="1" ht="31.2" x14ac:dyDescent="0.3">
      <c r="B68" s="1655"/>
      <c r="C68" s="1652"/>
      <c r="D68" s="1650"/>
      <c r="E68" s="1647"/>
      <c r="F68" s="14">
        <f>F29+1</f>
        <v>103</v>
      </c>
      <c r="G68" s="8" t="s">
        <v>220</v>
      </c>
      <c r="H68" s="15" t="s">
        <v>188</v>
      </c>
      <c r="I68" s="16">
        <v>0.123</v>
      </c>
      <c r="J68" s="17"/>
      <c r="K68" s="18">
        <f>I68*$E$8</f>
        <v>82502250</v>
      </c>
      <c r="L68" s="1023"/>
      <c r="M68" s="95"/>
      <c r="N68" s="923"/>
      <c r="O68" s="95"/>
      <c r="P68" s="923"/>
      <c r="Q68" s="95"/>
      <c r="R68" s="923"/>
      <c r="S68" s="501">
        <f t="shared" si="1"/>
        <v>0</v>
      </c>
      <c r="T68" s="435"/>
      <c r="U68" s="436"/>
      <c r="W68" s="598"/>
      <c r="Y68" s="734"/>
    </row>
    <row r="69" spans="2:25" s="22" customFormat="1" ht="15.6" x14ac:dyDescent="0.3">
      <c r="B69" s="1655"/>
      <c r="C69" s="1652"/>
      <c r="D69" s="1650"/>
      <c r="E69" s="1647"/>
      <c r="F69" s="278" t="s">
        <v>32</v>
      </c>
      <c r="G69" s="10" t="s">
        <v>221</v>
      </c>
      <c r="H69" s="11" t="s">
        <v>222</v>
      </c>
      <c r="I69" s="13">
        <v>0.35</v>
      </c>
      <c r="J69" s="20">
        <v>16</v>
      </c>
      <c r="K69" s="25">
        <f>I69*$K$68</f>
        <v>28875787.5</v>
      </c>
      <c r="L69" s="947">
        <f>IFERROR(K69/J69,0)</f>
        <v>1804736.71875</v>
      </c>
      <c r="M69" s="92">
        <f>'Schedule 1'!F318</f>
        <v>8</v>
      </c>
      <c r="N69" s="921">
        <f>ROUND(L69*M69,0)</f>
        <v>14437894</v>
      </c>
      <c r="O69" s="91">
        <f>'Schedule 1'!F319</f>
        <v>8</v>
      </c>
      <c r="P69" s="921">
        <v>14437894</v>
      </c>
      <c r="Q69" s="91">
        <f t="shared" si="6"/>
        <v>0</v>
      </c>
      <c r="R69" s="924">
        <f t="shared" si="0"/>
        <v>0</v>
      </c>
      <c r="S69" s="501">
        <f t="shared" si="1"/>
        <v>8</v>
      </c>
      <c r="T69" s="380">
        <f>L69</f>
        <v>1804736.71875</v>
      </c>
      <c r="U69" s="434"/>
      <c r="W69" s="598"/>
      <c r="X69" s="394"/>
      <c r="Y69" s="734"/>
    </row>
    <row r="70" spans="2:25" s="22" customFormat="1" ht="15.6" x14ac:dyDescent="0.3">
      <c r="B70" s="1655"/>
      <c r="C70" s="1652"/>
      <c r="D70" s="1650"/>
      <c r="E70" s="1647"/>
      <c r="F70" s="278" t="s">
        <v>34</v>
      </c>
      <c r="G70" s="10" t="s">
        <v>223</v>
      </c>
      <c r="H70" s="11"/>
      <c r="I70" s="13"/>
      <c r="J70" s="20"/>
      <c r="K70" s="25"/>
      <c r="L70" s="947"/>
      <c r="M70" s="92"/>
      <c r="N70" s="921"/>
      <c r="O70" s="92"/>
      <c r="P70" s="921"/>
      <c r="Q70" s="92"/>
      <c r="R70" s="924"/>
      <c r="S70" s="501">
        <f t="shared" si="1"/>
        <v>0</v>
      </c>
      <c r="T70" s="437"/>
      <c r="U70" s="434"/>
      <c r="W70" s="598"/>
      <c r="X70" s="394"/>
      <c r="Y70" s="734"/>
    </row>
    <row r="71" spans="2:25" s="22" customFormat="1" ht="15.6" x14ac:dyDescent="0.3">
      <c r="B71" s="1655"/>
      <c r="C71" s="1652"/>
      <c r="D71" s="1650"/>
      <c r="E71" s="1647"/>
      <c r="F71" s="19" t="s">
        <v>90</v>
      </c>
      <c r="G71" s="9" t="s">
        <v>224</v>
      </c>
      <c r="H71" s="11" t="s">
        <v>225</v>
      </c>
      <c r="I71" s="13">
        <v>0.2</v>
      </c>
      <c r="J71" s="20">
        <v>96</v>
      </c>
      <c r="K71" s="25">
        <f t="shared" ref="K71:K76" si="7">I71*$K$68</f>
        <v>16500450</v>
      </c>
      <c r="L71" s="947">
        <f t="shared" ref="L71:L76" si="8">IFERROR(K71/J71,0)</f>
        <v>171879.6875</v>
      </c>
      <c r="M71" s="92">
        <f>'Schedule 1'!F331</f>
        <v>48</v>
      </c>
      <c r="N71" s="921">
        <f t="shared" ref="N71:N76" si="9">ROUND(L71*M71,0)</f>
        <v>8250225</v>
      </c>
      <c r="O71" s="91">
        <f>'Schedule 1'!F332</f>
        <v>48</v>
      </c>
      <c r="P71" s="921">
        <v>8250225</v>
      </c>
      <c r="Q71" s="91">
        <f t="shared" si="6"/>
        <v>0</v>
      </c>
      <c r="R71" s="924">
        <f t="shared" si="0"/>
        <v>0</v>
      </c>
      <c r="S71" s="501">
        <f t="shared" si="1"/>
        <v>48</v>
      </c>
      <c r="T71" s="379">
        <f>L71*6</f>
        <v>1031278.125</v>
      </c>
      <c r="U71" s="434"/>
      <c r="W71" s="598"/>
      <c r="X71" s="394"/>
      <c r="Y71" s="734"/>
    </row>
    <row r="72" spans="2:25" s="22" customFormat="1" ht="15.6" x14ac:dyDescent="0.3">
      <c r="B72" s="1655"/>
      <c r="C72" s="1652"/>
      <c r="D72" s="1650"/>
      <c r="E72" s="1647"/>
      <c r="F72" s="19" t="s">
        <v>197</v>
      </c>
      <c r="G72" s="9" t="s">
        <v>226</v>
      </c>
      <c r="H72" s="11" t="s">
        <v>225</v>
      </c>
      <c r="I72" s="13">
        <v>0.03</v>
      </c>
      <c r="J72" s="20">
        <v>32</v>
      </c>
      <c r="K72" s="25">
        <f t="shared" si="7"/>
        <v>2475067.5</v>
      </c>
      <c r="L72" s="947">
        <f t="shared" si="8"/>
        <v>77345.859375</v>
      </c>
      <c r="M72" s="92">
        <f>'Schedule 1'!F344</f>
        <v>16</v>
      </c>
      <c r="N72" s="921">
        <f t="shared" si="9"/>
        <v>1237534</v>
      </c>
      <c r="O72" s="91">
        <f>'Schedule 1'!F345</f>
        <v>16</v>
      </c>
      <c r="P72" s="921">
        <v>1237534</v>
      </c>
      <c r="Q72" s="91">
        <f t="shared" si="6"/>
        <v>0</v>
      </c>
      <c r="R72" s="924">
        <f t="shared" si="0"/>
        <v>0</v>
      </c>
      <c r="S72" s="501">
        <f t="shared" si="1"/>
        <v>16</v>
      </c>
      <c r="T72" s="379">
        <f>L72*2</f>
        <v>154691.71875</v>
      </c>
      <c r="U72" s="434"/>
      <c r="W72" s="598"/>
      <c r="X72" s="394"/>
      <c r="Y72" s="734"/>
    </row>
    <row r="73" spans="2:25" s="22" customFormat="1" ht="15.6" x14ac:dyDescent="0.3">
      <c r="B73" s="1655"/>
      <c r="C73" s="1652"/>
      <c r="D73" s="1650"/>
      <c r="E73" s="1647"/>
      <c r="F73" s="19" t="s">
        <v>208</v>
      </c>
      <c r="G73" s="9" t="s">
        <v>227</v>
      </c>
      <c r="H73" s="11" t="s">
        <v>225</v>
      </c>
      <c r="I73" s="13">
        <v>0.02</v>
      </c>
      <c r="J73" s="20">
        <v>16</v>
      </c>
      <c r="K73" s="25">
        <f t="shared" si="7"/>
        <v>1650045</v>
      </c>
      <c r="L73" s="947">
        <f t="shared" si="8"/>
        <v>103127.8125</v>
      </c>
      <c r="M73" s="92">
        <f>'Schedule 1'!F357</f>
        <v>8</v>
      </c>
      <c r="N73" s="921">
        <f t="shared" si="9"/>
        <v>825023</v>
      </c>
      <c r="O73" s="91">
        <f>'Schedule 1'!F358</f>
        <v>8</v>
      </c>
      <c r="P73" s="921">
        <v>825023</v>
      </c>
      <c r="Q73" s="91">
        <f t="shared" si="6"/>
        <v>0</v>
      </c>
      <c r="R73" s="924">
        <f t="shared" si="0"/>
        <v>0</v>
      </c>
      <c r="S73" s="501">
        <f t="shared" si="1"/>
        <v>8</v>
      </c>
      <c r="T73" s="379">
        <f>L73*1</f>
        <v>103127.8125</v>
      </c>
      <c r="U73" s="434"/>
      <c r="W73" s="598"/>
      <c r="X73" s="394"/>
      <c r="Y73" s="734"/>
    </row>
    <row r="74" spans="2:25" s="22" customFormat="1" ht="15.6" x14ac:dyDescent="0.3">
      <c r="B74" s="1655"/>
      <c r="C74" s="1652"/>
      <c r="D74" s="1650"/>
      <c r="E74" s="1647"/>
      <c r="F74" s="278" t="s">
        <v>37</v>
      </c>
      <c r="G74" s="10" t="s">
        <v>228</v>
      </c>
      <c r="H74" s="11" t="s">
        <v>222</v>
      </c>
      <c r="I74" s="13">
        <v>0.15</v>
      </c>
      <c r="J74" s="20">
        <v>16</v>
      </c>
      <c r="K74" s="25">
        <f t="shared" si="7"/>
        <v>12375337.5</v>
      </c>
      <c r="L74" s="947">
        <f t="shared" si="8"/>
        <v>773458.59375</v>
      </c>
      <c r="M74" s="92">
        <f>'Schedule 1'!F370</f>
        <v>8</v>
      </c>
      <c r="N74" s="921">
        <f t="shared" si="9"/>
        <v>6187669</v>
      </c>
      <c r="O74" s="91">
        <f>'Schedule 1'!F371</f>
        <v>8</v>
      </c>
      <c r="P74" s="921">
        <v>6187669</v>
      </c>
      <c r="Q74" s="91">
        <f t="shared" si="6"/>
        <v>0</v>
      </c>
      <c r="R74" s="924">
        <f t="shared" ref="R74:R118" si="10">N74-P74</f>
        <v>0</v>
      </c>
      <c r="S74" s="501">
        <f t="shared" ref="S74:S135" si="11">J74-M74</f>
        <v>8</v>
      </c>
      <c r="T74" s="380">
        <f>L74</f>
        <v>773458.59375</v>
      </c>
      <c r="U74" s="434"/>
      <c r="W74" s="598"/>
      <c r="X74" s="394"/>
      <c r="Y74" s="734"/>
    </row>
    <row r="75" spans="2:25" s="22" customFormat="1" ht="15.6" x14ac:dyDescent="0.3">
      <c r="B75" s="1655"/>
      <c r="C75" s="1652"/>
      <c r="D75" s="1650"/>
      <c r="E75" s="1647"/>
      <c r="F75" s="278" t="s">
        <v>39</v>
      </c>
      <c r="G75" s="10" t="s">
        <v>229</v>
      </c>
      <c r="H75" s="11" t="s">
        <v>222</v>
      </c>
      <c r="I75" s="13">
        <v>0.15</v>
      </c>
      <c r="J75" s="20">
        <v>16</v>
      </c>
      <c r="K75" s="25">
        <f t="shared" si="7"/>
        <v>12375337.5</v>
      </c>
      <c r="L75" s="947">
        <f t="shared" si="8"/>
        <v>773458.59375</v>
      </c>
      <c r="M75" s="92">
        <f>'Schedule 1'!F391</f>
        <v>8</v>
      </c>
      <c r="N75" s="921">
        <f t="shared" si="9"/>
        <v>6187669</v>
      </c>
      <c r="O75" s="91">
        <f>'Schedule 1'!F392</f>
        <v>8</v>
      </c>
      <c r="P75" s="921">
        <v>6187669</v>
      </c>
      <c r="Q75" s="91">
        <f t="shared" si="6"/>
        <v>0</v>
      </c>
      <c r="R75" s="924">
        <f t="shared" si="10"/>
        <v>0</v>
      </c>
      <c r="S75" s="501">
        <f t="shared" si="11"/>
        <v>8</v>
      </c>
      <c r="T75" s="380">
        <f>L75</f>
        <v>773458.59375</v>
      </c>
      <c r="U75" s="434"/>
      <c r="W75" s="598"/>
      <c r="X75" s="394"/>
      <c r="Y75" s="734"/>
    </row>
    <row r="76" spans="2:25" s="22" customFormat="1" ht="15.6" x14ac:dyDescent="0.3">
      <c r="B76" s="1655"/>
      <c r="C76" s="1652"/>
      <c r="D76" s="1650"/>
      <c r="E76" s="1647"/>
      <c r="F76" s="278" t="s">
        <v>41</v>
      </c>
      <c r="G76" s="10" t="s">
        <v>215</v>
      </c>
      <c r="H76" s="11" t="s">
        <v>222</v>
      </c>
      <c r="I76" s="13">
        <v>0.1</v>
      </c>
      <c r="J76" s="20">
        <v>16</v>
      </c>
      <c r="K76" s="25">
        <f t="shared" si="7"/>
        <v>8250225</v>
      </c>
      <c r="L76" s="947">
        <f t="shared" si="8"/>
        <v>515639.0625</v>
      </c>
      <c r="M76" s="92">
        <f>'Schedule 1'!F412</f>
        <v>8</v>
      </c>
      <c r="N76" s="921">
        <f t="shared" si="9"/>
        <v>4125113</v>
      </c>
      <c r="O76" s="91">
        <f>'Schedule 1'!F413</f>
        <v>8</v>
      </c>
      <c r="P76" s="921">
        <v>4125113</v>
      </c>
      <c r="Q76" s="91">
        <f t="shared" si="6"/>
        <v>0</v>
      </c>
      <c r="R76" s="924">
        <f t="shared" si="10"/>
        <v>0</v>
      </c>
      <c r="S76" s="501">
        <f t="shared" si="11"/>
        <v>8</v>
      </c>
      <c r="T76" s="380">
        <f>L76</f>
        <v>515639.0625</v>
      </c>
      <c r="U76" s="434"/>
      <c r="W76" s="598"/>
      <c r="X76" s="394"/>
      <c r="Y76" s="734"/>
    </row>
    <row r="77" spans="2:25" s="22" customFormat="1" ht="15.6" x14ac:dyDescent="0.3">
      <c r="B77" s="1655"/>
      <c r="C77" s="1652"/>
      <c r="D77" s="1650"/>
      <c r="E77" s="1647"/>
      <c r="F77" s="14">
        <f>F68+1</f>
        <v>104</v>
      </c>
      <c r="G77" s="8" t="s">
        <v>230</v>
      </c>
      <c r="H77" s="15" t="s">
        <v>188</v>
      </c>
      <c r="I77" s="16">
        <v>0.22500000000000001</v>
      </c>
      <c r="J77" s="17"/>
      <c r="K77" s="18">
        <f>I77*$E$8</f>
        <v>150918750</v>
      </c>
      <c r="L77" s="1023"/>
      <c r="M77" s="95"/>
      <c r="N77" s="923"/>
      <c r="O77" s="95"/>
      <c r="P77" s="923"/>
      <c r="Q77" s="95"/>
      <c r="R77" s="923"/>
      <c r="S77" s="501">
        <f t="shared" si="11"/>
        <v>0</v>
      </c>
      <c r="T77" s="435"/>
      <c r="U77" s="436"/>
      <c r="W77" s="598"/>
      <c r="Y77" s="734"/>
    </row>
    <row r="78" spans="2:25" s="22" customFormat="1" ht="91.35" customHeight="1" x14ac:dyDescent="0.3">
      <c r="B78" s="1655"/>
      <c r="C78" s="1652"/>
      <c r="D78" s="1650"/>
      <c r="E78" s="1647"/>
      <c r="F78" s="278" t="s">
        <v>32</v>
      </c>
      <c r="G78" s="10" t="s">
        <v>231</v>
      </c>
      <c r="H78" s="11" t="s">
        <v>232</v>
      </c>
      <c r="I78" s="13">
        <v>7.3499999999999996E-2</v>
      </c>
      <c r="J78" s="20">
        <v>8</v>
      </c>
      <c r="K78" s="25">
        <f>I78*$K$77</f>
        <v>11092528.125</v>
      </c>
      <c r="L78" s="947">
        <f>IFERROR(K78/J78,0)</f>
        <v>1386566.015625</v>
      </c>
      <c r="M78" s="91">
        <f>'Schedule 1'!$F$422</f>
        <v>4</v>
      </c>
      <c r="N78" s="921">
        <f>ROUND(L78*M78,0)</f>
        <v>5546264</v>
      </c>
      <c r="O78" s="91">
        <f>'Schedule 1'!$F$423</f>
        <v>4</v>
      </c>
      <c r="P78" s="921">
        <v>5546264</v>
      </c>
      <c r="Q78" s="91">
        <f t="shared" si="6"/>
        <v>0</v>
      </c>
      <c r="R78" s="921">
        <f t="shared" si="10"/>
        <v>0</v>
      </c>
      <c r="S78" s="501">
        <f t="shared" si="11"/>
        <v>4</v>
      </c>
      <c r="T78" s="380">
        <f>L78</f>
        <v>1386566.015625</v>
      </c>
      <c r="U78" s="434"/>
      <c r="W78" s="598"/>
      <c r="Y78" s="734"/>
    </row>
    <row r="79" spans="2:25" s="22" customFormat="1" ht="46.8" x14ac:dyDescent="0.3">
      <c r="B79" s="1655"/>
      <c r="C79" s="1652"/>
      <c r="D79" s="1650"/>
      <c r="E79" s="1647"/>
      <c r="F79" s="278" t="s">
        <v>34</v>
      </c>
      <c r="G79" s="52" t="s">
        <v>233</v>
      </c>
      <c r="H79" s="11"/>
      <c r="I79" s="13"/>
      <c r="J79" s="51"/>
      <c r="K79" s="25"/>
      <c r="L79" s="947"/>
      <c r="M79" s="93"/>
      <c r="N79" s="921"/>
      <c r="O79" s="93"/>
      <c r="P79" s="921"/>
      <c r="Q79" s="93"/>
      <c r="R79" s="921"/>
      <c r="S79" s="501">
        <f t="shared" si="11"/>
        <v>0</v>
      </c>
      <c r="T79" s="437"/>
      <c r="U79" s="434"/>
      <c r="W79" s="598"/>
      <c r="Y79" s="734"/>
    </row>
    <row r="80" spans="2:25" s="22" customFormat="1" ht="15.6" x14ac:dyDescent="0.3">
      <c r="B80" s="1655"/>
      <c r="C80" s="1652"/>
      <c r="D80" s="1650"/>
      <c r="E80" s="1647"/>
      <c r="F80" s="19" t="s">
        <v>90</v>
      </c>
      <c r="G80" s="52" t="s">
        <v>234</v>
      </c>
      <c r="H80" s="50" t="s">
        <v>235</v>
      </c>
      <c r="I80" s="13">
        <v>0.03</v>
      </c>
      <c r="J80" s="51">
        <v>24</v>
      </c>
      <c r="K80" s="25">
        <f t="shared" ref="K80:K86" si="12">I80*$K$77</f>
        <v>4527562.5</v>
      </c>
      <c r="L80" s="947">
        <f t="shared" ref="L80:L86" si="13">IFERROR(K80/J80,0)</f>
        <v>188648.4375</v>
      </c>
      <c r="M80" s="92">
        <f>'Schedule 1'!F451</f>
        <v>12</v>
      </c>
      <c r="N80" s="921">
        <f>ROUND(L80*M80,0)</f>
        <v>2263781</v>
      </c>
      <c r="O80" s="91">
        <f>'Schedule 1'!$F$452</f>
        <v>12</v>
      </c>
      <c r="P80" s="921">
        <v>2263781</v>
      </c>
      <c r="Q80" s="91">
        <f t="shared" si="6"/>
        <v>0</v>
      </c>
      <c r="R80" s="921">
        <f t="shared" si="10"/>
        <v>0</v>
      </c>
      <c r="S80" s="501">
        <f t="shared" si="11"/>
        <v>12</v>
      </c>
      <c r="T80" s="380">
        <f t="shared" ref="T80:T86" si="14">L80</f>
        <v>188648.4375</v>
      </c>
      <c r="U80" s="434"/>
      <c r="W80" s="598"/>
      <c r="Y80" s="734"/>
    </row>
    <row r="81" spans="2:25" s="22" customFormat="1" ht="15.6" x14ac:dyDescent="0.3">
      <c r="B81" s="1655"/>
      <c r="C81" s="1652"/>
      <c r="D81" s="1650"/>
      <c r="E81" s="1647"/>
      <c r="F81" s="19" t="s">
        <v>197</v>
      </c>
      <c r="G81" s="52" t="s">
        <v>236</v>
      </c>
      <c r="H81" s="50" t="s">
        <v>235</v>
      </c>
      <c r="I81" s="13">
        <v>0.03</v>
      </c>
      <c r="J81" s="51">
        <v>24</v>
      </c>
      <c r="K81" s="25">
        <f t="shared" si="12"/>
        <v>4527562.5</v>
      </c>
      <c r="L81" s="947">
        <f t="shared" si="13"/>
        <v>188648.4375</v>
      </c>
      <c r="M81" s="92">
        <f>'Schedule 1'!F480</f>
        <v>12</v>
      </c>
      <c r="N81" s="921">
        <f>ROUND(L81*M81,0)</f>
        <v>2263781</v>
      </c>
      <c r="O81" s="91">
        <f>'Schedule 1'!$F$481</f>
        <v>12</v>
      </c>
      <c r="P81" s="921">
        <v>2263781</v>
      </c>
      <c r="Q81" s="91">
        <f t="shared" si="6"/>
        <v>0</v>
      </c>
      <c r="R81" s="921">
        <f t="shared" si="10"/>
        <v>0</v>
      </c>
      <c r="S81" s="501">
        <f t="shared" si="11"/>
        <v>12</v>
      </c>
      <c r="T81" s="380">
        <f t="shared" si="14"/>
        <v>188648.4375</v>
      </c>
      <c r="U81" s="434"/>
      <c r="W81" s="598"/>
      <c r="Y81" s="734"/>
    </row>
    <row r="82" spans="2:25" s="22" customFormat="1" ht="15.6" x14ac:dyDescent="0.3">
      <c r="B82" s="1655"/>
      <c r="C82" s="1652"/>
      <c r="D82" s="1650"/>
      <c r="E82" s="1647"/>
      <c r="F82" s="19" t="s">
        <v>208</v>
      </c>
      <c r="G82" s="52" t="s">
        <v>237</v>
      </c>
      <c r="H82" s="50" t="s">
        <v>235</v>
      </c>
      <c r="I82" s="13">
        <v>0.03</v>
      </c>
      <c r="J82" s="51">
        <v>24</v>
      </c>
      <c r="K82" s="25">
        <f t="shared" si="12"/>
        <v>4527562.5</v>
      </c>
      <c r="L82" s="947">
        <f t="shared" si="13"/>
        <v>188648.4375</v>
      </c>
      <c r="M82" s="92">
        <f>'Schedule 1'!F509</f>
        <v>12</v>
      </c>
      <c r="N82" s="921">
        <f>ROUND(L82*M82,0)</f>
        <v>2263781</v>
      </c>
      <c r="O82" s="91">
        <f>'Schedule 1'!F510</f>
        <v>12</v>
      </c>
      <c r="P82" s="921">
        <v>2263781</v>
      </c>
      <c r="Q82" s="91">
        <f t="shared" si="6"/>
        <v>0</v>
      </c>
      <c r="R82" s="921">
        <f t="shared" si="10"/>
        <v>0</v>
      </c>
      <c r="S82" s="501">
        <f t="shared" si="11"/>
        <v>12</v>
      </c>
      <c r="T82" s="380">
        <f t="shared" si="14"/>
        <v>188648.4375</v>
      </c>
      <c r="U82" s="434"/>
      <c r="W82" s="598"/>
      <c r="Y82" s="734"/>
    </row>
    <row r="83" spans="2:25" s="22" customFormat="1" ht="15.6" x14ac:dyDescent="0.3">
      <c r="B83" s="1655"/>
      <c r="C83" s="1652"/>
      <c r="D83" s="1650"/>
      <c r="E83" s="1647"/>
      <c r="F83" s="19" t="s">
        <v>238</v>
      </c>
      <c r="G83" s="52" t="s">
        <v>239</v>
      </c>
      <c r="H83" s="50" t="s">
        <v>232</v>
      </c>
      <c r="I83" s="13">
        <v>0.03</v>
      </c>
      <c r="J83" s="51">
        <v>8</v>
      </c>
      <c r="K83" s="25">
        <f t="shared" si="12"/>
        <v>4527562.5</v>
      </c>
      <c r="L83" s="947">
        <f t="shared" si="13"/>
        <v>565945.3125</v>
      </c>
      <c r="M83" s="91">
        <f>'Schedule 1'!$F$522</f>
        <v>4</v>
      </c>
      <c r="N83" s="921">
        <f t="shared" ref="N83:N90" si="15">ROUND(L83*M83,0)</f>
        <v>2263781</v>
      </c>
      <c r="O83" s="91">
        <f>'Schedule 1'!$F$523</f>
        <v>4</v>
      </c>
      <c r="P83" s="921">
        <v>2263781</v>
      </c>
      <c r="Q83" s="91">
        <f t="shared" si="6"/>
        <v>0</v>
      </c>
      <c r="R83" s="921">
        <f t="shared" si="10"/>
        <v>0</v>
      </c>
      <c r="S83" s="501">
        <f t="shared" si="11"/>
        <v>4</v>
      </c>
      <c r="T83" s="380">
        <f t="shared" si="14"/>
        <v>565945.3125</v>
      </c>
      <c r="U83" s="434"/>
      <c r="W83" s="598"/>
      <c r="Y83" s="734"/>
    </row>
    <row r="84" spans="2:25" s="22" customFormat="1" ht="31.2" x14ac:dyDescent="0.3">
      <c r="B84" s="1655"/>
      <c r="C84" s="1652"/>
      <c r="D84" s="1650"/>
      <c r="E84" s="1647"/>
      <c r="F84" s="19" t="s">
        <v>240</v>
      </c>
      <c r="G84" s="52" t="s">
        <v>241</v>
      </c>
      <c r="H84" s="50" t="s">
        <v>232</v>
      </c>
      <c r="I84" s="13">
        <v>0.06</v>
      </c>
      <c r="J84" s="51">
        <v>8</v>
      </c>
      <c r="K84" s="25">
        <f t="shared" si="12"/>
        <v>9055125</v>
      </c>
      <c r="L84" s="947">
        <f t="shared" si="13"/>
        <v>1131890.625</v>
      </c>
      <c r="M84" s="91">
        <f>'Schedule 1'!$F$531</f>
        <v>4</v>
      </c>
      <c r="N84" s="921">
        <f t="shared" si="15"/>
        <v>4527563</v>
      </c>
      <c r="O84" s="91">
        <f>'Schedule 1'!$F$532</f>
        <v>4</v>
      </c>
      <c r="P84" s="921">
        <v>4527563</v>
      </c>
      <c r="Q84" s="91">
        <f t="shared" si="6"/>
        <v>0</v>
      </c>
      <c r="R84" s="921">
        <f t="shared" si="10"/>
        <v>0</v>
      </c>
      <c r="S84" s="501">
        <f t="shared" si="11"/>
        <v>4</v>
      </c>
      <c r="T84" s="380">
        <f t="shared" si="14"/>
        <v>1131890.625</v>
      </c>
      <c r="U84" s="434"/>
      <c r="W84" s="598"/>
      <c r="Y84" s="734"/>
    </row>
    <row r="85" spans="2:25" s="22" customFormat="1" ht="93.6" x14ac:dyDescent="0.3">
      <c r="B85" s="1655"/>
      <c r="C85" s="1652"/>
      <c r="D85" s="1650"/>
      <c r="E85" s="1647"/>
      <c r="F85" s="278" t="s">
        <v>37</v>
      </c>
      <c r="G85" s="52" t="s">
        <v>242</v>
      </c>
      <c r="H85" s="50" t="s">
        <v>232</v>
      </c>
      <c r="I85" s="13">
        <v>0.1</v>
      </c>
      <c r="J85" s="51">
        <v>8</v>
      </c>
      <c r="K85" s="25">
        <f t="shared" si="12"/>
        <v>15091875</v>
      </c>
      <c r="L85" s="947">
        <f t="shared" si="13"/>
        <v>1886484.375</v>
      </c>
      <c r="M85" s="91">
        <f>'Schedule 1'!$F$540</f>
        <v>4</v>
      </c>
      <c r="N85" s="921">
        <f t="shared" si="15"/>
        <v>7545938</v>
      </c>
      <c r="O85" s="91">
        <f>'Schedule 1'!$F$541</f>
        <v>4</v>
      </c>
      <c r="P85" s="921">
        <v>7545938</v>
      </c>
      <c r="Q85" s="91">
        <f t="shared" si="6"/>
        <v>0</v>
      </c>
      <c r="R85" s="921">
        <f t="shared" si="10"/>
        <v>0</v>
      </c>
      <c r="S85" s="501">
        <f t="shared" si="11"/>
        <v>4</v>
      </c>
      <c r="T85" s="380">
        <f t="shared" si="14"/>
        <v>1886484.375</v>
      </c>
      <c r="U85" s="434"/>
      <c r="W85" s="598"/>
      <c r="Y85" s="734"/>
    </row>
    <row r="86" spans="2:25" s="22" customFormat="1" ht="97.35" customHeight="1" x14ac:dyDescent="0.3">
      <c r="B86" s="1655"/>
      <c r="C86" s="1652"/>
      <c r="D86" s="1650"/>
      <c r="E86" s="1647"/>
      <c r="F86" s="278" t="s">
        <v>39</v>
      </c>
      <c r="G86" s="10" t="s">
        <v>243</v>
      </c>
      <c r="H86" s="50" t="s">
        <v>232</v>
      </c>
      <c r="I86" s="13">
        <v>0.1</v>
      </c>
      <c r="J86" s="51">
        <v>8</v>
      </c>
      <c r="K86" s="25">
        <f t="shared" si="12"/>
        <v>15091875</v>
      </c>
      <c r="L86" s="947">
        <f t="shared" si="13"/>
        <v>1886484.375</v>
      </c>
      <c r="M86" s="91">
        <f>'Schedule 1'!$F$549</f>
        <v>4</v>
      </c>
      <c r="N86" s="921">
        <f t="shared" si="15"/>
        <v>7545938</v>
      </c>
      <c r="O86" s="91">
        <f>'Schedule 1'!$F$550</f>
        <v>4</v>
      </c>
      <c r="P86" s="921">
        <v>7545938</v>
      </c>
      <c r="Q86" s="91">
        <f t="shared" si="6"/>
        <v>0</v>
      </c>
      <c r="R86" s="921">
        <f t="shared" si="10"/>
        <v>0</v>
      </c>
      <c r="S86" s="501">
        <f t="shared" si="11"/>
        <v>4</v>
      </c>
      <c r="T86" s="380">
        <f t="shared" si="14"/>
        <v>1886484.375</v>
      </c>
      <c r="U86" s="434"/>
      <c r="W86" s="598"/>
      <c r="Y86" s="734"/>
    </row>
    <row r="87" spans="2:25" s="22" customFormat="1" ht="15.6" x14ac:dyDescent="0.3">
      <c r="B87" s="1655"/>
      <c r="C87" s="1652"/>
      <c r="D87" s="1650"/>
      <c r="E87" s="1647"/>
      <c r="F87" s="278" t="s">
        <v>41</v>
      </c>
      <c r="G87" s="52" t="s">
        <v>244</v>
      </c>
      <c r="H87" s="50"/>
      <c r="I87" s="13"/>
      <c r="J87" s="51"/>
      <c r="K87" s="25"/>
      <c r="L87" s="947"/>
      <c r="M87" s="93"/>
      <c r="N87" s="921"/>
      <c r="O87" s="93"/>
      <c r="P87" s="921"/>
      <c r="Q87" s="93"/>
      <c r="R87" s="921"/>
      <c r="S87" s="501">
        <f t="shared" si="11"/>
        <v>0</v>
      </c>
      <c r="T87" s="437"/>
      <c r="U87" s="434"/>
      <c r="W87" s="598"/>
      <c r="Y87" s="734"/>
    </row>
    <row r="88" spans="2:25" s="22" customFormat="1" ht="15.6" x14ac:dyDescent="0.3">
      <c r="B88" s="1655"/>
      <c r="C88" s="1652"/>
      <c r="D88" s="1650"/>
      <c r="E88" s="1647"/>
      <c r="F88" s="19" t="s">
        <v>90</v>
      </c>
      <c r="G88" s="53" t="s">
        <v>245</v>
      </c>
      <c r="H88" s="50" t="s">
        <v>190</v>
      </c>
      <c r="I88" s="13">
        <v>0.05</v>
      </c>
      <c r="J88" s="51">
        <v>30</v>
      </c>
      <c r="K88" s="25">
        <f>I88*$K$77</f>
        <v>7545937.5</v>
      </c>
      <c r="L88" s="947">
        <f>IFERROR(K88/J88,0)</f>
        <v>251531.25</v>
      </c>
      <c r="M88" s="91">
        <f>'Schedule 1'!$F$556</f>
        <v>30</v>
      </c>
      <c r="N88" s="921">
        <f t="shared" si="15"/>
        <v>7545938</v>
      </c>
      <c r="O88" s="91">
        <f>'Schedule 1'!$F$557</f>
        <v>30</v>
      </c>
      <c r="P88" s="921">
        <v>7545938</v>
      </c>
      <c r="Q88" s="91">
        <f t="shared" si="6"/>
        <v>0</v>
      </c>
      <c r="R88" s="924">
        <f t="shared" si="10"/>
        <v>0</v>
      </c>
      <c r="S88" s="501">
        <f t="shared" si="11"/>
        <v>0</v>
      </c>
      <c r="T88" s="433"/>
      <c r="U88" s="434"/>
      <c r="W88" s="598"/>
      <c r="Y88" s="734"/>
    </row>
    <row r="89" spans="2:25" s="22" customFormat="1" ht="15.6" x14ac:dyDescent="0.3">
      <c r="B89" s="1655"/>
      <c r="C89" s="1652"/>
      <c r="D89" s="1650"/>
      <c r="E89" s="1647"/>
      <c r="F89" s="19" t="s">
        <v>197</v>
      </c>
      <c r="G89" s="53" t="s">
        <v>246</v>
      </c>
      <c r="H89" s="50" t="s">
        <v>222</v>
      </c>
      <c r="I89" s="13">
        <v>0.05</v>
      </c>
      <c r="J89" s="51">
        <v>16</v>
      </c>
      <c r="K89" s="25">
        <f>I89*$K$77</f>
        <v>7545937.5</v>
      </c>
      <c r="L89" s="947">
        <f>IFERROR(K89/J89,0)</f>
        <v>471621.09375</v>
      </c>
      <c r="M89" s="91">
        <f>'Schedule 1'!$F$568</f>
        <v>8</v>
      </c>
      <c r="N89" s="921">
        <f t="shared" si="15"/>
        <v>3772969</v>
      </c>
      <c r="O89" s="91">
        <f>'Schedule 1'!$F$569</f>
        <v>8</v>
      </c>
      <c r="P89" s="921">
        <v>3772969</v>
      </c>
      <c r="Q89" s="91">
        <f t="shared" si="6"/>
        <v>0</v>
      </c>
      <c r="R89" s="921">
        <f t="shared" si="10"/>
        <v>0</v>
      </c>
      <c r="S89" s="501">
        <f t="shared" si="11"/>
        <v>8</v>
      </c>
      <c r="T89" s="380">
        <f>30*6*L89</f>
        <v>84891796.875</v>
      </c>
      <c r="U89" s="434"/>
      <c r="W89" s="598"/>
      <c r="Y89" s="734"/>
    </row>
    <row r="90" spans="2:25" s="22" customFormat="1" ht="28.65" customHeight="1" x14ac:dyDescent="0.3">
      <c r="B90" s="1655"/>
      <c r="C90" s="1652"/>
      <c r="D90" s="1650"/>
      <c r="E90" s="1647"/>
      <c r="F90" s="278" t="s">
        <v>84</v>
      </c>
      <c r="G90" s="52" t="s">
        <v>247</v>
      </c>
      <c r="H90" s="50" t="s">
        <v>188</v>
      </c>
      <c r="I90" s="13">
        <v>6.6500000000000004E-2</v>
      </c>
      <c r="J90" s="51">
        <v>1</v>
      </c>
      <c r="K90" s="25">
        <f>I90*$K$77</f>
        <v>10036096.875</v>
      </c>
      <c r="L90" s="947">
        <f>IFERROR(K90/J90,0)</f>
        <v>10036096.875</v>
      </c>
      <c r="M90" s="93">
        <v>0</v>
      </c>
      <c r="N90" s="921">
        <f t="shared" si="15"/>
        <v>0</v>
      </c>
      <c r="O90" s="93">
        <v>0</v>
      </c>
      <c r="P90" s="921">
        <v>0</v>
      </c>
      <c r="Q90" s="91">
        <f t="shared" si="6"/>
        <v>0</v>
      </c>
      <c r="R90" s="921">
        <f t="shared" si="10"/>
        <v>0</v>
      </c>
      <c r="S90" s="501">
        <f t="shared" si="11"/>
        <v>1</v>
      </c>
      <c r="T90" s="437"/>
      <c r="U90" s="434"/>
      <c r="W90" s="598"/>
      <c r="Y90" s="734"/>
    </row>
    <row r="91" spans="2:25" s="22" customFormat="1" ht="46.8" x14ac:dyDescent="0.3">
      <c r="B91" s="1655"/>
      <c r="C91" s="1652"/>
      <c r="D91" s="1650"/>
      <c r="E91" s="1647"/>
      <c r="F91" s="278" t="s">
        <v>86</v>
      </c>
      <c r="G91" s="52" t="s">
        <v>248</v>
      </c>
      <c r="H91" s="50"/>
      <c r="I91" s="54"/>
      <c r="J91" s="51"/>
      <c r="K91" s="55"/>
      <c r="L91" s="1024"/>
      <c r="M91" s="93"/>
      <c r="N91" s="925"/>
      <c r="O91" s="93"/>
      <c r="P91" s="925"/>
      <c r="Q91" s="93"/>
      <c r="R91" s="925"/>
      <c r="S91" s="501">
        <f t="shared" si="11"/>
        <v>0</v>
      </c>
      <c r="T91" s="437"/>
      <c r="U91" s="434"/>
      <c r="W91" s="598"/>
      <c r="Y91" s="734"/>
    </row>
    <row r="92" spans="2:25" s="22" customFormat="1" ht="15.6" x14ac:dyDescent="0.3">
      <c r="B92" s="1655"/>
      <c r="C92" s="1652"/>
      <c r="D92" s="1650"/>
      <c r="E92" s="1647"/>
      <c r="F92" s="19" t="s">
        <v>90</v>
      </c>
      <c r="G92" s="53" t="s">
        <v>249</v>
      </c>
      <c r="H92" s="50" t="s">
        <v>222</v>
      </c>
      <c r="I92" s="54">
        <v>0.03</v>
      </c>
      <c r="J92" s="51">
        <v>16</v>
      </c>
      <c r="K92" s="21">
        <f t="shared" ref="K92:K97" si="16">I92*$K$77</f>
        <v>4527562.5</v>
      </c>
      <c r="L92" s="1146">
        <f t="shared" ref="L92:L97" si="17">IFERROR(K92/J92,0)</f>
        <v>282972.65625</v>
      </c>
      <c r="M92" s="92">
        <f>'Schedule 1'!F581</f>
        <v>8</v>
      </c>
      <c r="N92" s="924">
        <f t="shared" ref="N92:N97" si="18">ROUND(L92*M92,0)</f>
        <v>2263781</v>
      </c>
      <c r="O92" s="92">
        <f>'Schedule 1'!F582</f>
        <v>8</v>
      </c>
      <c r="P92" s="924">
        <v>2263781</v>
      </c>
      <c r="Q92" s="92">
        <f t="shared" si="6"/>
        <v>0</v>
      </c>
      <c r="R92" s="924">
        <f t="shared" si="10"/>
        <v>0</v>
      </c>
      <c r="S92" s="1147">
        <f t="shared" si="11"/>
        <v>8</v>
      </c>
      <c r="T92" s="1144">
        <f t="shared" ref="T92:T97" si="19">L92</f>
        <v>282972.65625</v>
      </c>
      <c r="U92" s="1145"/>
      <c r="W92" s="1149"/>
      <c r="Y92" s="734"/>
    </row>
    <row r="93" spans="2:25" s="22" customFormat="1" ht="15.6" x14ac:dyDescent="0.3">
      <c r="B93" s="1655"/>
      <c r="C93" s="1652"/>
      <c r="D93" s="1650"/>
      <c r="E93" s="1647"/>
      <c r="F93" s="19" t="s">
        <v>197</v>
      </c>
      <c r="G93" s="53" t="s">
        <v>250</v>
      </c>
      <c r="H93" s="50" t="s">
        <v>222</v>
      </c>
      <c r="I93" s="54">
        <v>0.05</v>
      </c>
      <c r="J93" s="51">
        <v>16</v>
      </c>
      <c r="K93" s="21">
        <f t="shared" si="16"/>
        <v>7545937.5</v>
      </c>
      <c r="L93" s="1146">
        <f t="shared" si="17"/>
        <v>471621.09375</v>
      </c>
      <c r="M93" s="92">
        <f>'Schedule 1'!F594</f>
        <v>8</v>
      </c>
      <c r="N93" s="924">
        <f t="shared" si="18"/>
        <v>3772969</v>
      </c>
      <c r="O93" s="92">
        <f>'Schedule 1'!F595</f>
        <v>8</v>
      </c>
      <c r="P93" s="924">
        <v>3772969</v>
      </c>
      <c r="Q93" s="92">
        <f t="shared" si="6"/>
        <v>0</v>
      </c>
      <c r="R93" s="924">
        <f t="shared" si="10"/>
        <v>0</v>
      </c>
      <c r="S93" s="1147">
        <f t="shared" si="11"/>
        <v>8</v>
      </c>
      <c r="T93" s="1144">
        <f t="shared" si="19"/>
        <v>471621.09375</v>
      </c>
      <c r="U93" s="1145"/>
      <c r="W93" s="1149"/>
      <c r="Y93" s="734"/>
    </row>
    <row r="94" spans="2:25" s="22" customFormat="1" ht="15.6" x14ac:dyDescent="0.3">
      <c r="B94" s="1655"/>
      <c r="C94" s="1652"/>
      <c r="D94" s="1650"/>
      <c r="E94" s="1647"/>
      <c r="F94" s="19" t="s">
        <v>208</v>
      </c>
      <c r="G94" s="53" t="s">
        <v>251</v>
      </c>
      <c r="H94" s="50" t="s">
        <v>222</v>
      </c>
      <c r="I94" s="54">
        <v>0.03</v>
      </c>
      <c r="J94" s="51">
        <v>16</v>
      </c>
      <c r="K94" s="21">
        <f t="shared" si="16"/>
        <v>4527562.5</v>
      </c>
      <c r="L94" s="1146">
        <f t="shared" si="17"/>
        <v>282972.65625</v>
      </c>
      <c r="M94" s="92">
        <f>'Schedule 1'!F607</f>
        <v>8</v>
      </c>
      <c r="N94" s="924">
        <f t="shared" si="18"/>
        <v>2263781</v>
      </c>
      <c r="O94" s="92">
        <f>'Schedule 1'!F608</f>
        <v>8</v>
      </c>
      <c r="P94" s="924">
        <v>2263781</v>
      </c>
      <c r="Q94" s="92">
        <f t="shared" si="6"/>
        <v>0</v>
      </c>
      <c r="R94" s="924">
        <f t="shared" si="10"/>
        <v>0</v>
      </c>
      <c r="S94" s="1147">
        <f t="shared" si="11"/>
        <v>8</v>
      </c>
      <c r="T94" s="1144">
        <f t="shared" si="19"/>
        <v>282972.65625</v>
      </c>
      <c r="U94" s="1145"/>
      <c r="W94" s="1149"/>
      <c r="Y94" s="734"/>
    </row>
    <row r="95" spans="2:25" s="22" customFormat="1" ht="15.6" x14ac:dyDescent="0.3">
      <c r="B95" s="1655"/>
      <c r="C95" s="1652"/>
      <c r="D95" s="1650"/>
      <c r="E95" s="1647"/>
      <c r="F95" s="19" t="s">
        <v>238</v>
      </c>
      <c r="G95" s="53" t="s">
        <v>252</v>
      </c>
      <c r="H95" s="50" t="s">
        <v>222</v>
      </c>
      <c r="I95" s="54">
        <v>0.03</v>
      </c>
      <c r="J95" s="51">
        <v>16</v>
      </c>
      <c r="K95" s="21">
        <f t="shared" si="16"/>
        <v>4527562.5</v>
      </c>
      <c r="L95" s="1146">
        <f t="shared" si="17"/>
        <v>282972.65625</v>
      </c>
      <c r="M95" s="92">
        <f>'Schedule 1'!F620</f>
        <v>8</v>
      </c>
      <c r="N95" s="924">
        <f t="shared" si="18"/>
        <v>2263781</v>
      </c>
      <c r="O95" s="92">
        <f>'Schedule 1'!F621</f>
        <v>8</v>
      </c>
      <c r="P95" s="924">
        <v>2263781</v>
      </c>
      <c r="Q95" s="92">
        <f t="shared" si="6"/>
        <v>0</v>
      </c>
      <c r="R95" s="924">
        <f t="shared" si="10"/>
        <v>0</v>
      </c>
      <c r="S95" s="1147">
        <f t="shared" si="11"/>
        <v>8</v>
      </c>
      <c r="T95" s="1144">
        <f t="shared" si="19"/>
        <v>282972.65625</v>
      </c>
      <c r="U95" s="1145"/>
      <c r="W95" s="1149"/>
      <c r="Y95" s="734"/>
    </row>
    <row r="96" spans="2:25" s="22" customFormat="1" ht="15.6" x14ac:dyDescent="0.3">
      <c r="B96" s="1655"/>
      <c r="C96" s="1652"/>
      <c r="D96" s="1650"/>
      <c r="E96" s="1647"/>
      <c r="F96" s="19" t="s">
        <v>240</v>
      </c>
      <c r="G96" s="53" t="s">
        <v>253</v>
      </c>
      <c r="H96" s="50" t="s">
        <v>222</v>
      </c>
      <c r="I96" s="54">
        <v>0.03</v>
      </c>
      <c r="J96" s="51">
        <v>16</v>
      </c>
      <c r="K96" s="21">
        <f t="shared" si="16"/>
        <v>4527562.5</v>
      </c>
      <c r="L96" s="1146">
        <f t="shared" si="17"/>
        <v>282972.65625</v>
      </c>
      <c r="M96" s="92">
        <f>'Schedule 1'!F633</f>
        <v>8</v>
      </c>
      <c r="N96" s="924">
        <f t="shared" si="18"/>
        <v>2263781</v>
      </c>
      <c r="O96" s="92">
        <f>'Schedule 1'!F634</f>
        <v>8</v>
      </c>
      <c r="P96" s="924">
        <v>2263781</v>
      </c>
      <c r="Q96" s="92">
        <f t="shared" si="6"/>
        <v>0</v>
      </c>
      <c r="R96" s="924">
        <f t="shared" si="10"/>
        <v>0</v>
      </c>
      <c r="S96" s="1147">
        <f t="shared" si="11"/>
        <v>8</v>
      </c>
      <c r="T96" s="1144">
        <f t="shared" si="19"/>
        <v>282972.65625</v>
      </c>
      <c r="U96" s="1145"/>
      <c r="W96" s="1149"/>
      <c r="Y96" s="734"/>
    </row>
    <row r="97" spans="2:25" s="22" customFormat="1" ht="15.6" x14ac:dyDescent="0.3">
      <c r="B97" s="1655"/>
      <c r="C97" s="1652"/>
      <c r="D97" s="1650"/>
      <c r="E97" s="1647"/>
      <c r="F97" s="19" t="s">
        <v>254</v>
      </c>
      <c r="G97" s="53" t="s">
        <v>255</v>
      </c>
      <c r="H97" s="50" t="s">
        <v>222</v>
      </c>
      <c r="I97" s="54">
        <v>0.01</v>
      </c>
      <c r="J97" s="51">
        <v>16</v>
      </c>
      <c r="K97" s="21">
        <f t="shared" si="16"/>
        <v>1509187.5</v>
      </c>
      <c r="L97" s="1146">
        <f t="shared" si="17"/>
        <v>94324.21875</v>
      </c>
      <c r="M97" s="92">
        <f>'Schedule 1'!F646</f>
        <v>8</v>
      </c>
      <c r="N97" s="924">
        <f t="shared" si="18"/>
        <v>754594</v>
      </c>
      <c r="O97" s="92">
        <f>'Schedule 1'!F647</f>
        <v>8</v>
      </c>
      <c r="P97" s="924">
        <v>754594</v>
      </c>
      <c r="Q97" s="92">
        <f t="shared" si="6"/>
        <v>0</v>
      </c>
      <c r="R97" s="924">
        <f t="shared" si="10"/>
        <v>0</v>
      </c>
      <c r="S97" s="1147">
        <f t="shared" si="11"/>
        <v>8</v>
      </c>
      <c r="T97" s="1144">
        <f t="shared" si="19"/>
        <v>94324.21875</v>
      </c>
      <c r="U97" s="1145"/>
      <c r="W97" s="1149"/>
      <c r="Y97" s="734"/>
    </row>
    <row r="98" spans="2:25" s="22" customFormat="1" ht="46.35" customHeight="1" x14ac:dyDescent="0.3">
      <c r="B98" s="1655"/>
      <c r="C98" s="1652"/>
      <c r="D98" s="1650"/>
      <c r="E98" s="1647"/>
      <c r="F98" s="278" t="s">
        <v>88</v>
      </c>
      <c r="G98" s="52" t="s">
        <v>256</v>
      </c>
      <c r="H98" s="50"/>
      <c r="I98" s="54"/>
      <c r="J98" s="51"/>
      <c r="K98" s="55"/>
      <c r="L98" s="1024"/>
      <c r="M98" s="93"/>
      <c r="N98" s="925"/>
      <c r="O98" s="93"/>
      <c r="P98" s="925"/>
      <c r="Q98" s="93"/>
      <c r="R98" s="925"/>
      <c r="S98" s="501">
        <f t="shared" si="11"/>
        <v>0</v>
      </c>
      <c r="T98" s="437"/>
      <c r="U98" s="434"/>
      <c r="W98" s="598"/>
      <c r="Y98" s="734"/>
    </row>
    <row r="99" spans="2:25" s="22" customFormat="1" ht="15.6" x14ac:dyDescent="0.3">
      <c r="B99" s="1655"/>
      <c r="C99" s="1652"/>
      <c r="D99" s="1650"/>
      <c r="E99" s="1647"/>
      <c r="F99" s="19" t="s">
        <v>90</v>
      </c>
      <c r="G99" s="53" t="s">
        <v>257</v>
      </c>
      <c r="H99" s="50"/>
      <c r="I99" s="54"/>
      <c r="J99" s="51"/>
      <c r="K99" s="25"/>
      <c r="L99" s="947"/>
      <c r="M99" s="93"/>
      <c r="N99" s="921"/>
      <c r="O99" s="93"/>
      <c r="P99" s="921"/>
      <c r="Q99" s="93"/>
      <c r="R99" s="921"/>
      <c r="S99" s="501">
        <f t="shared" si="11"/>
        <v>0</v>
      </c>
      <c r="T99" s="437"/>
      <c r="U99" s="434"/>
      <c r="W99" s="598"/>
      <c r="Y99" s="734"/>
    </row>
    <row r="100" spans="2:25" s="22" customFormat="1" ht="15.6" x14ac:dyDescent="0.3">
      <c r="B100" s="1655"/>
      <c r="C100" s="1652"/>
      <c r="D100" s="1650"/>
      <c r="E100" s="1647"/>
      <c r="F100" s="5">
        <v>1</v>
      </c>
      <c r="G100" s="56" t="s">
        <v>258</v>
      </c>
      <c r="H100" s="50" t="s">
        <v>190</v>
      </c>
      <c r="I100" s="54">
        <v>0.03</v>
      </c>
      <c r="J100" s="51">
        <v>3</v>
      </c>
      <c r="K100" s="25">
        <f>I100*$K$77</f>
        <v>4527562.5</v>
      </c>
      <c r="L100" s="947">
        <f>IFERROR(K100/J100,0)</f>
        <v>1509187.5</v>
      </c>
      <c r="M100" s="91">
        <f>'Schedule 1'!$F$654</f>
        <v>3</v>
      </c>
      <c r="N100" s="921">
        <f>ROUND(L100*M100,0)</f>
        <v>4527563</v>
      </c>
      <c r="O100" s="91">
        <f>'Schedule 1'!$F$655</f>
        <v>3</v>
      </c>
      <c r="P100" s="921">
        <v>4527563</v>
      </c>
      <c r="Q100" s="91">
        <f>M100-O100</f>
        <v>0</v>
      </c>
      <c r="R100" s="921">
        <f t="shared" si="10"/>
        <v>0</v>
      </c>
      <c r="S100" s="501">
        <f t="shared" si="11"/>
        <v>0</v>
      </c>
      <c r="T100" s="433"/>
      <c r="U100" s="434"/>
      <c r="W100" s="598"/>
      <c r="Y100" s="734"/>
    </row>
    <row r="101" spans="2:25" s="22" customFormat="1" ht="15.6" x14ac:dyDescent="0.3">
      <c r="B101" s="1655"/>
      <c r="C101" s="1652"/>
      <c r="D101" s="1650"/>
      <c r="E101" s="1647"/>
      <c r="F101" s="5">
        <v>2</v>
      </c>
      <c r="G101" s="56" t="s">
        <v>259</v>
      </c>
      <c r="H101" s="50" t="s">
        <v>222</v>
      </c>
      <c r="I101" s="54">
        <v>0.01</v>
      </c>
      <c r="J101" s="51">
        <v>15</v>
      </c>
      <c r="K101" s="25">
        <f>I101*$K$77</f>
        <v>1509187.5</v>
      </c>
      <c r="L101" s="947">
        <f>IFERROR(K101/J101,0)</f>
        <v>100612.5</v>
      </c>
      <c r="M101" s="91">
        <f>'Schedule 1'!$F$673</f>
        <v>7</v>
      </c>
      <c r="N101" s="921">
        <f>ROUND(L101*M101,0)</f>
        <v>704288</v>
      </c>
      <c r="O101" s="91">
        <f>'Schedule 1'!$F$674</f>
        <v>7</v>
      </c>
      <c r="P101" s="921">
        <v>704288</v>
      </c>
      <c r="Q101" s="91">
        <f>M101-O101</f>
        <v>0</v>
      </c>
      <c r="R101" s="921">
        <f t="shared" si="10"/>
        <v>0</v>
      </c>
      <c r="S101" s="501">
        <f t="shared" si="11"/>
        <v>8</v>
      </c>
      <c r="T101" s="380">
        <f>4*L101</f>
        <v>402450</v>
      </c>
      <c r="U101" s="434"/>
      <c r="W101" s="598"/>
      <c r="Y101" s="734"/>
    </row>
    <row r="102" spans="2:25" s="22" customFormat="1" ht="15.6" x14ac:dyDescent="0.3">
      <c r="B102" s="1655"/>
      <c r="C102" s="1652"/>
      <c r="D102" s="1650"/>
      <c r="E102" s="1647"/>
      <c r="F102" s="19" t="s">
        <v>197</v>
      </c>
      <c r="G102" s="53" t="s">
        <v>260</v>
      </c>
      <c r="H102" s="50"/>
      <c r="I102" s="54"/>
      <c r="J102" s="51"/>
      <c r="K102" s="25"/>
      <c r="L102" s="947"/>
      <c r="M102" s="93"/>
      <c r="N102" s="921"/>
      <c r="O102" s="93"/>
      <c r="P102" s="921"/>
      <c r="Q102" s="93"/>
      <c r="R102" s="921"/>
      <c r="S102" s="501">
        <f t="shared" si="11"/>
        <v>0</v>
      </c>
      <c r="T102" s="437"/>
      <c r="U102" s="434"/>
      <c r="W102" s="598"/>
      <c r="Y102" s="734"/>
    </row>
    <row r="103" spans="2:25" s="22" customFormat="1" ht="15.6" x14ac:dyDescent="0.3">
      <c r="B103" s="1655"/>
      <c r="C103" s="1652"/>
      <c r="D103" s="1650"/>
      <c r="E103" s="1647"/>
      <c r="F103" s="5">
        <v>1</v>
      </c>
      <c r="G103" s="56" t="s">
        <v>258</v>
      </c>
      <c r="H103" s="50" t="s">
        <v>190</v>
      </c>
      <c r="I103" s="54">
        <v>0.03</v>
      </c>
      <c r="J103" s="51">
        <v>4</v>
      </c>
      <c r="K103" s="25">
        <f>I103*$K$77</f>
        <v>4527562.5</v>
      </c>
      <c r="L103" s="947">
        <f>IFERROR(K103/J103,0)</f>
        <v>1131890.625</v>
      </c>
      <c r="M103" s="91">
        <f>'Schedule 1'!F680</f>
        <v>4</v>
      </c>
      <c r="N103" s="921">
        <f>ROUND(L103*M103,0)</f>
        <v>4527563</v>
      </c>
      <c r="O103" s="91">
        <f>'Schedule 1'!$F$681</f>
        <v>4</v>
      </c>
      <c r="P103" s="921">
        <v>4527563</v>
      </c>
      <c r="Q103" s="91">
        <f>M103-O103</f>
        <v>0</v>
      </c>
      <c r="R103" s="921">
        <f t="shared" si="10"/>
        <v>0</v>
      </c>
      <c r="S103" s="501">
        <f t="shared" si="11"/>
        <v>0</v>
      </c>
      <c r="T103" s="433"/>
      <c r="U103" s="434"/>
      <c r="W103" s="598"/>
      <c r="Y103" s="734"/>
    </row>
    <row r="104" spans="2:25" s="22" customFormat="1" ht="15.6" x14ac:dyDescent="0.3">
      <c r="B104" s="1655"/>
      <c r="C104" s="1652"/>
      <c r="D104" s="1650"/>
      <c r="E104" s="1647"/>
      <c r="F104" s="5">
        <v>2</v>
      </c>
      <c r="G104" s="56" t="s">
        <v>259</v>
      </c>
      <c r="H104" s="50" t="s">
        <v>222</v>
      </c>
      <c r="I104" s="54">
        <v>0.01</v>
      </c>
      <c r="J104" s="51">
        <v>10</v>
      </c>
      <c r="K104" s="25">
        <f>I104*$K$77</f>
        <v>1509187.5</v>
      </c>
      <c r="L104" s="947">
        <f>IFERROR(K104/J104,0)</f>
        <v>150918.75</v>
      </c>
      <c r="M104" s="91">
        <f>'Schedule 1'!$F$689</f>
        <v>2</v>
      </c>
      <c r="N104" s="921">
        <f>ROUND(L104*M104,0)</f>
        <v>301838</v>
      </c>
      <c r="O104" s="91">
        <f>'Schedule 1'!$F$690</f>
        <v>2</v>
      </c>
      <c r="P104" s="921">
        <v>301838</v>
      </c>
      <c r="Q104" s="91">
        <f>M104-O104</f>
        <v>0</v>
      </c>
      <c r="R104" s="921">
        <f t="shared" si="10"/>
        <v>0</v>
      </c>
      <c r="S104" s="501">
        <f t="shared" si="11"/>
        <v>8</v>
      </c>
      <c r="T104" s="433"/>
      <c r="U104" s="434"/>
      <c r="W104" s="598"/>
      <c r="Y104" s="734"/>
    </row>
    <row r="105" spans="2:25" s="22" customFormat="1" ht="15.6" x14ac:dyDescent="0.3">
      <c r="B105" s="1655"/>
      <c r="C105" s="1652"/>
      <c r="D105" s="1650"/>
      <c r="E105" s="1647"/>
      <c r="F105" s="19" t="s">
        <v>208</v>
      </c>
      <c r="G105" s="53" t="s">
        <v>261</v>
      </c>
      <c r="H105" s="50"/>
      <c r="I105" s="54"/>
      <c r="J105" s="51"/>
      <c r="K105" s="25"/>
      <c r="L105" s="947"/>
      <c r="M105" s="93"/>
      <c r="N105" s="921"/>
      <c r="O105" s="93"/>
      <c r="P105" s="921"/>
      <c r="Q105" s="93"/>
      <c r="R105" s="921"/>
      <c r="S105" s="501">
        <f t="shared" si="11"/>
        <v>0</v>
      </c>
      <c r="T105" s="437"/>
      <c r="U105" s="434"/>
      <c r="W105" s="598"/>
      <c r="Y105" s="734"/>
    </row>
    <row r="106" spans="2:25" s="22" customFormat="1" ht="15.6" x14ac:dyDescent="0.3">
      <c r="B106" s="1655"/>
      <c r="C106" s="1652"/>
      <c r="D106" s="1650"/>
      <c r="E106" s="1647"/>
      <c r="F106" s="5">
        <v>1</v>
      </c>
      <c r="G106" s="56" t="s">
        <v>258</v>
      </c>
      <c r="H106" s="50" t="s">
        <v>190</v>
      </c>
      <c r="I106" s="54">
        <v>0.03</v>
      </c>
      <c r="J106" s="51">
        <v>4</v>
      </c>
      <c r="K106" s="25">
        <f>I106*$K$77</f>
        <v>4527562.5</v>
      </c>
      <c r="L106" s="947">
        <f>IFERROR(K106/J106,0)</f>
        <v>1131890.625</v>
      </c>
      <c r="M106" s="91">
        <f>'Schedule 1'!$F$696</f>
        <v>4</v>
      </c>
      <c r="N106" s="921">
        <f>ROUND(L106*M106,0)</f>
        <v>4527563</v>
      </c>
      <c r="O106" s="91">
        <f>'Schedule 1'!$F$697</f>
        <v>4</v>
      </c>
      <c r="P106" s="921">
        <v>4527563</v>
      </c>
      <c r="Q106" s="91">
        <f>M106-O106</f>
        <v>0</v>
      </c>
      <c r="R106" s="921">
        <f t="shared" si="10"/>
        <v>0</v>
      </c>
      <c r="S106" s="501">
        <f t="shared" si="11"/>
        <v>0</v>
      </c>
      <c r="T106" s="433"/>
      <c r="U106" s="434"/>
      <c r="W106" s="598"/>
      <c r="Y106" s="734"/>
    </row>
    <row r="107" spans="2:25" s="22" customFormat="1" ht="15.6" x14ac:dyDescent="0.3">
      <c r="B107" s="1655"/>
      <c r="C107" s="1652"/>
      <c r="D107" s="1650"/>
      <c r="E107" s="1647"/>
      <c r="F107" s="5">
        <v>2</v>
      </c>
      <c r="G107" s="56" t="s">
        <v>259</v>
      </c>
      <c r="H107" s="50" t="s">
        <v>222</v>
      </c>
      <c r="I107" s="54">
        <v>0.01</v>
      </c>
      <c r="J107" s="51">
        <v>12</v>
      </c>
      <c r="K107" s="21">
        <f>I107*$K$77</f>
        <v>1509187.5</v>
      </c>
      <c r="L107" s="1146">
        <f>IFERROR(K107/J107,0)</f>
        <v>125765.625</v>
      </c>
      <c r="M107" s="92">
        <f>'Schedule 1'!$F$713</f>
        <v>6</v>
      </c>
      <c r="N107" s="924">
        <f>ROUND(L107*M107,0)</f>
        <v>754594</v>
      </c>
      <c r="O107" s="92">
        <f>'Schedule 1'!$F$714</f>
        <v>6</v>
      </c>
      <c r="P107" s="924">
        <v>754594</v>
      </c>
      <c r="Q107" s="92">
        <f>M107-O107</f>
        <v>0</v>
      </c>
      <c r="R107" s="924">
        <f t="shared" si="10"/>
        <v>0</v>
      </c>
      <c r="S107" s="1147">
        <f t="shared" si="11"/>
        <v>6</v>
      </c>
      <c r="T107" s="1148">
        <f>N107</f>
        <v>754594</v>
      </c>
      <c r="U107" s="442"/>
      <c r="W107" s="1149"/>
      <c r="Y107" s="734"/>
    </row>
    <row r="108" spans="2:25" s="22" customFormat="1" ht="15.6" x14ac:dyDescent="0.3">
      <c r="B108" s="1655"/>
      <c r="C108" s="1652"/>
      <c r="D108" s="1650"/>
      <c r="E108" s="1647"/>
      <c r="F108" s="19" t="s">
        <v>238</v>
      </c>
      <c r="G108" s="53" t="s">
        <v>262</v>
      </c>
      <c r="H108" s="50"/>
      <c r="I108" s="54"/>
      <c r="J108" s="51"/>
      <c r="K108" s="25"/>
      <c r="L108" s="947"/>
      <c r="M108" s="93"/>
      <c r="N108" s="921"/>
      <c r="O108" s="93"/>
      <c r="P108" s="921"/>
      <c r="Q108" s="93"/>
      <c r="R108" s="921"/>
      <c r="S108" s="501">
        <f t="shared" si="11"/>
        <v>0</v>
      </c>
      <c r="T108" s="437"/>
      <c r="U108" s="434"/>
      <c r="W108" s="598"/>
      <c r="Y108" s="734"/>
    </row>
    <row r="109" spans="2:25" s="22" customFormat="1" ht="15.6" x14ac:dyDescent="0.3">
      <c r="B109" s="1655"/>
      <c r="C109" s="1652"/>
      <c r="D109" s="1650"/>
      <c r="E109" s="1647"/>
      <c r="F109" s="5">
        <v>1</v>
      </c>
      <c r="G109" s="56" t="s">
        <v>258</v>
      </c>
      <c r="H109" s="50" t="s">
        <v>190</v>
      </c>
      <c r="I109" s="54">
        <v>0.03</v>
      </c>
      <c r="J109" s="51">
        <v>2</v>
      </c>
      <c r="K109" s="25">
        <f>I109*$K$77</f>
        <v>4527562.5</v>
      </c>
      <c r="L109" s="947">
        <f>IFERROR(K109/J109,0)</f>
        <v>2263781.25</v>
      </c>
      <c r="M109" s="91">
        <v>0</v>
      </c>
      <c r="N109" s="921">
        <f>ROUND(L109*M109,0)</f>
        <v>0</v>
      </c>
      <c r="O109" s="91">
        <v>0</v>
      </c>
      <c r="P109" s="921">
        <v>0</v>
      </c>
      <c r="Q109" s="91">
        <f>M109-O109</f>
        <v>0</v>
      </c>
      <c r="R109" s="921">
        <f t="shared" si="10"/>
        <v>0</v>
      </c>
      <c r="S109" s="501">
        <f t="shared" si="11"/>
        <v>2</v>
      </c>
      <c r="T109" s="433"/>
      <c r="U109" s="434"/>
      <c r="W109" s="598"/>
      <c r="Y109" s="734"/>
    </row>
    <row r="110" spans="2:25" s="22" customFormat="1" ht="15.6" x14ac:dyDescent="0.3">
      <c r="B110" s="1655"/>
      <c r="C110" s="1652"/>
      <c r="D110" s="1650"/>
      <c r="E110" s="1647"/>
      <c r="F110" s="5">
        <v>2</v>
      </c>
      <c r="G110" s="56" t="s">
        <v>259</v>
      </c>
      <c r="H110" s="50" t="s">
        <v>222</v>
      </c>
      <c r="I110" s="54">
        <v>0.01</v>
      </c>
      <c r="J110" s="51">
        <v>4</v>
      </c>
      <c r="K110" s="25">
        <f>I110*$K$77</f>
        <v>1509187.5</v>
      </c>
      <c r="L110" s="947">
        <f>IFERROR(K110/J110,0)</f>
        <v>377296.875</v>
      </c>
      <c r="M110" s="91">
        <v>0</v>
      </c>
      <c r="N110" s="921">
        <f>ROUND(L110*M110,0)</f>
        <v>0</v>
      </c>
      <c r="O110" s="91">
        <v>0</v>
      </c>
      <c r="P110" s="921">
        <v>0</v>
      </c>
      <c r="Q110" s="91">
        <f>M110-O110</f>
        <v>0</v>
      </c>
      <c r="R110" s="921">
        <f t="shared" si="10"/>
        <v>0</v>
      </c>
      <c r="S110" s="501">
        <f t="shared" si="11"/>
        <v>4</v>
      </c>
      <c r="T110" s="433"/>
      <c r="U110" s="434"/>
      <c r="W110" s="598"/>
      <c r="Y110" s="734"/>
    </row>
    <row r="111" spans="2:25" s="22" customFormat="1" ht="15.6" x14ac:dyDescent="0.3">
      <c r="B111" s="1655"/>
      <c r="C111" s="1652"/>
      <c r="D111" s="1650"/>
      <c r="E111" s="1647"/>
      <c r="F111" s="19" t="s">
        <v>240</v>
      </c>
      <c r="G111" s="53" t="s">
        <v>263</v>
      </c>
      <c r="H111" s="50"/>
      <c r="I111" s="54"/>
      <c r="J111" s="51"/>
      <c r="K111" s="25"/>
      <c r="L111" s="947"/>
      <c r="M111" s="93"/>
      <c r="N111" s="921"/>
      <c r="O111" s="93"/>
      <c r="P111" s="921"/>
      <c r="Q111" s="93"/>
      <c r="R111" s="921"/>
      <c r="S111" s="501">
        <f t="shared" si="11"/>
        <v>0</v>
      </c>
      <c r="T111" s="437"/>
      <c r="U111" s="434"/>
      <c r="W111" s="598"/>
      <c r="Y111" s="734"/>
    </row>
    <row r="112" spans="2:25" s="22" customFormat="1" ht="15.6" x14ac:dyDescent="0.3">
      <c r="B112" s="1655"/>
      <c r="C112" s="1652"/>
      <c r="D112" s="1650"/>
      <c r="E112" s="1647"/>
      <c r="F112" s="5">
        <v>1</v>
      </c>
      <c r="G112" s="56" t="s">
        <v>258</v>
      </c>
      <c r="H112" s="50" t="s">
        <v>190</v>
      </c>
      <c r="I112" s="54">
        <v>0.03</v>
      </c>
      <c r="J112" s="51">
        <v>250</v>
      </c>
      <c r="K112" s="25">
        <f>I112*$K$77</f>
        <v>4527562.5</v>
      </c>
      <c r="L112" s="947">
        <f>IFERROR(K112/J112,0)</f>
        <v>18110.25</v>
      </c>
      <c r="M112" s="92">
        <f>'Schedule 1'!F725</f>
        <v>250</v>
      </c>
      <c r="N112" s="921">
        <f>ROUND(L112*M112,0)</f>
        <v>4527563</v>
      </c>
      <c r="O112" s="91">
        <f>'Schedule 1'!F726</f>
        <v>250</v>
      </c>
      <c r="P112" s="921">
        <v>4527563</v>
      </c>
      <c r="Q112" s="91">
        <f t="shared" ref="Q112:Q118" si="20">M112-O112</f>
        <v>0</v>
      </c>
      <c r="R112" s="921">
        <f t="shared" si="10"/>
        <v>0</v>
      </c>
      <c r="S112" s="501">
        <f t="shared" si="11"/>
        <v>0</v>
      </c>
      <c r="T112" s="433"/>
      <c r="U112" s="434"/>
      <c r="W112" s="598"/>
      <c r="Y112" s="734"/>
    </row>
    <row r="113" spans="2:25" s="22" customFormat="1" ht="15.6" x14ac:dyDescent="0.3">
      <c r="B113" s="1655"/>
      <c r="C113" s="1652"/>
      <c r="D113" s="1650"/>
      <c r="E113" s="1647"/>
      <c r="F113" s="5">
        <v>2</v>
      </c>
      <c r="G113" s="56" t="s">
        <v>259</v>
      </c>
      <c r="H113" s="50" t="s">
        <v>222</v>
      </c>
      <c r="I113" s="54">
        <v>0.01</v>
      </c>
      <c r="J113" s="51">
        <v>16</v>
      </c>
      <c r="K113" s="21">
        <f>I113*$K$77</f>
        <v>1509187.5</v>
      </c>
      <c r="L113" s="1146">
        <f>IFERROR(K113/J113,0)</f>
        <v>94324.21875</v>
      </c>
      <c r="M113" s="92">
        <f>'Schedule 1'!F745</f>
        <v>8</v>
      </c>
      <c r="N113" s="924">
        <f>ROUND(L113*M113,0)</f>
        <v>754594</v>
      </c>
      <c r="O113" s="92">
        <f>'Schedule 1'!F746</f>
        <v>8</v>
      </c>
      <c r="P113" s="924">
        <v>754594</v>
      </c>
      <c r="Q113" s="92">
        <f t="shared" si="20"/>
        <v>0</v>
      </c>
      <c r="R113" s="924">
        <f t="shared" si="10"/>
        <v>0</v>
      </c>
      <c r="S113" s="1147">
        <f t="shared" si="11"/>
        <v>8</v>
      </c>
      <c r="T113" s="1144">
        <f>L113</f>
        <v>94324.21875</v>
      </c>
      <c r="U113" s="1145"/>
      <c r="W113" s="1149"/>
      <c r="Y113" s="734"/>
    </row>
    <row r="114" spans="2:25" s="22" customFormat="1" ht="31.2" x14ac:dyDescent="0.3">
      <c r="B114" s="1655"/>
      <c r="C114" s="1652"/>
      <c r="D114" s="1650"/>
      <c r="E114" s="1647"/>
      <c r="F114" s="201">
        <f>F77+1</f>
        <v>105</v>
      </c>
      <c r="G114" s="202" t="s">
        <v>264</v>
      </c>
      <c r="H114" s="203" t="s">
        <v>188</v>
      </c>
      <c r="I114" s="204">
        <v>6.8000000000000005E-2</v>
      </c>
      <c r="J114" s="205"/>
      <c r="K114" s="206">
        <f>I114*$E$8</f>
        <v>45611000</v>
      </c>
      <c r="L114" s="1025"/>
      <c r="M114" s="207"/>
      <c r="N114" s="926"/>
      <c r="O114" s="207"/>
      <c r="P114" s="926"/>
      <c r="Q114" s="207"/>
      <c r="R114" s="926"/>
      <c r="S114" s="501">
        <f t="shared" si="11"/>
        <v>0</v>
      </c>
      <c r="T114" s="435"/>
      <c r="U114" s="436"/>
      <c r="W114" s="598"/>
      <c r="Y114" s="734"/>
    </row>
    <row r="115" spans="2:25" s="22" customFormat="1" ht="15.6" x14ac:dyDescent="0.3">
      <c r="B115" s="1655"/>
      <c r="C115" s="1652"/>
      <c r="D115" s="1650"/>
      <c r="E115" s="1647"/>
      <c r="F115" s="277" t="s">
        <v>32</v>
      </c>
      <c r="G115" s="10" t="s">
        <v>221</v>
      </c>
      <c r="H115" s="11" t="s">
        <v>190</v>
      </c>
      <c r="I115" s="13">
        <v>0.35</v>
      </c>
      <c r="J115" s="20">
        <v>2</v>
      </c>
      <c r="K115" s="25">
        <f>I115*$K$114</f>
        <v>15963849.999999998</v>
      </c>
      <c r="L115" s="947">
        <f>IFERROR(K115/J115,0)</f>
        <v>7981924.9999999991</v>
      </c>
      <c r="M115" s="91">
        <v>0</v>
      </c>
      <c r="N115" s="921">
        <f>ROUND(L115*M115,0)</f>
        <v>0</v>
      </c>
      <c r="O115" s="91">
        <v>0</v>
      </c>
      <c r="P115" s="921">
        <v>0</v>
      </c>
      <c r="Q115" s="91">
        <f t="shared" si="20"/>
        <v>0</v>
      </c>
      <c r="R115" s="921">
        <f t="shared" si="10"/>
        <v>0</v>
      </c>
      <c r="S115" s="501">
        <f t="shared" si="11"/>
        <v>2</v>
      </c>
      <c r="T115" s="433"/>
      <c r="U115" s="434"/>
      <c r="W115" s="598"/>
      <c r="Y115" s="734"/>
    </row>
    <row r="116" spans="2:25" s="22" customFormat="1" ht="15.6" x14ac:dyDescent="0.3">
      <c r="B116" s="1655"/>
      <c r="C116" s="1652"/>
      <c r="D116" s="1650"/>
      <c r="E116" s="1647"/>
      <c r="F116" s="277" t="s">
        <v>34</v>
      </c>
      <c r="G116" s="10" t="s">
        <v>228</v>
      </c>
      <c r="H116" s="11" t="s">
        <v>190</v>
      </c>
      <c r="I116" s="13">
        <v>0.2</v>
      </c>
      <c r="J116" s="20">
        <v>1</v>
      </c>
      <c r="K116" s="25">
        <f>I116*$K$114</f>
        <v>9122200</v>
      </c>
      <c r="L116" s="947">
        <f>IFERROR(K116/J116,0)</f>
        <v>9122200</v>
      </c>
      <c r="M116" s="91">
        <v>0</v>
      </c>
      <c r="N116" s="921">
        <f>ROUND(L116*M116,0)</f>
        <v>0</v>
      </c>
      <c r="O116" s="91">
        <v>0</v>
      </c>
      <c r="P116" s="921">
        <v>0</v>
      </c>
      <c r="Q116" s="91">
        <f t="shared" si="20"/>
        <v>0</v>
      </c>
      <c r="R116" s="921">
        <f t="shared" si="10"/>
        <v>0</v>
      </c>
      <c r="S116" s="501">
        <f t="shared" si="11"/>
        <v>1</v>
      </c>
      <c r="T116" s="433"/>
      <c r="U116" s="434"/>
      <c r="W116" s="598"/>
      <c r="Y116" s="734"/>
    </row>
    <row r="117" spans="2:25" s="22" customFormat="1" ht="15.6" x14ac:dyDescent="0.3">
      <c r="B117" s="1655"/>
      <c r="C117" s="1652"/>
      <c r="D117" s="1650"/>
      <c r="E117" s="1647"/>
      <c r="F117" s="277" t="s">
        <v>37</v>
      </c>
      <c r="G117" s="10" t="s">
        <v>229</v>
      </c>
      <c r="H117" s="11" t="s">
        <v>190</v>
      </c>
      <c r="I117" s="13">
        <v>0.2</v>
      </c>
      <c r="J117" s="20">
        <v>2</v>
      </c>
      <c r="K117" s="25">
        <f>I117*$K$114</f>
        <v>9122200</v>
      </c>
      <c r="L117" s="947">
        <f>IFERROR(K117/J117,0)</f>
        <v>4561100</v>
      </c>
      <c r="M117" s="91">
        <v>0</v>
      </c>
      <c r="N117" s="921">
        <f>ROUND(L117*M117,0)</f>
        <v>0</v>
      </c>
      <c r="O117" s="91">
        <v>0</v>
      </c>
      <c r="P117" s="921">
        <v>0</v>
      </c>
      <c r="Q117" s="91">
        <f t="shared" si="20"/>
        <v>0</v>
      </c>
      <c r="R117" s="921">
        <f t="shared" si="10"/>
        <v>0</v>
      </c>
      <c r="S117" s="501">
        <f t="shared" si="11"/>
        <v>2</v>
      </c>
      <c r="T117" s="433"/>
      <c r="U117" s="434"/>
      <c r="W117" s="598"/>
      <c r="Y117" s="734"/>
    </row>
    <row r="118" spans="2:25" s="22" customFormat="1" ht="15.6" x14ac:dyDescent="0.3">
      <c r="B118" s="1655"/>
      <c r="C118" s="1652"/>
      <c r="D118" s="1650"/>
      <c r="E118" s="1648"/>
      <c r="F118" s="277" t="s">
        <v>39</v>
      </c>
      <c r="G118" s="397" t="s">
        <v>215</v>
      </c>
      <c r="H118" s="208" t="s">
        <v>190</v>
      </c>
      <c r="I118" s="209">
        <v>0.25</v>
      </c>
      <c r="J118" s="210">
        <v>2</v>
      </c>
      <c r="K118" s="55">
        <f>I118*$K$114</f>
        <v>11402750</v>
      </c>
      <c r="L118" s="1026">
        <f>IFERROR(K118/J118,0)</f>
        <v>5701375</v>
      </c>
      <c r="M118" s="91">
        <v>0</v>
      </c>
      <c r="N118" s="921">
        <f>ROUND(L118*M118,0)</f>
        <v>0</v>
      </c>
      <c r="O118" s="98">
        <v>0</v>
      </c>
      <c r="P118" s="921">
        <v>0</v>
      </c>
      <c r="Q118" s="91">
        <f t="shared" si="20"/>
        <v>0</v>
      </c>
      <c r="R118" s="925">
        <f t="shared" si="10"/>
        <v>0</v>
      </c>
      <c r="S118" s="501">
        <f t="shared" si="11"/>
        <v>2</v>
      </c>
      <c r="T118" s="433"/>
      <c r="U118" s="434"/>
      <c r="W118" s="598"/>
      <c r="Y118" s="734"/>
    </row>
    <row r="119" spans="2:25" s="97" customFormat="1" ht="15.6" x14ac:dyDescent="0.3">
      <c r="B119" s="211" t="s">
        <v>150</v>
      </c>
      <c r="C119" s="212"/>
      <c r="D119" s="212"/>
      <c r="E119" s="212"/>
      <c r="F119" s="213"/>
      <c r="G119" s="103"/>
      <c r="H119" s="214"/>
      <c r="I119" s="215"/>
      <c r="J119" s="216"/>
      <c r="K119" s="217"/>
      <c r="L119" s="1027"/>
      <c r="M119" s="218"/>
      <c r="N119" s="927">
        <f>SUM(N9:N118)-N77</f>
        <v>512717121</v>
      </c>
      <c r="O119" s="218"/>
      <c r="P119" s="927">
        <f>SUM(P9:P118)-P77</f>
        <v>512717121</v>
      </c>
      <c r="Q119" s="218"/>
      <c r="R119" s="927">
        <f>SUM(R9:R118)-R77</f>
        <v>0</v>
      </c>
      <c r="S119" s="501">
        <f t="shared" si="11"/>
        <v>0</v>
      </c>
      <c r="T119" s="438"/>
      <c r="U119" s="439"/>
      <c r="W119" s="1008"/>
      <c r="Y119" s="734"/>
    </row>
    <row r="120" spans="2:25" s="22" customFormat="1" ht="7.5" customHeight="1" x14ac:dyDescent="0.3">
      <c r="B120" s="2"/>
      <c r="C120" s="152"/>
      <c r="D120" s="194"/>
      <c r="E120" s="3"/>
      <c r="F120" s="195"/>
      <c r="G120" s="4"/>
      <c r="H120" s="196"/>
      <c r="I120" s="197"/>
      <c r="J120" s="198"/>
      <c r="K120" s="199"/>
      <c r="L120" s="1022"/>
      <c r="M120" s="200"/>
      <c r="N120" s="928"/>
      <c r="O120" s="200"/>
      <c r="P120" s="928"/>
      <c r="Q120" s="200"/>
      <c r="R120" s="929"/>
      <c r="S120" s="501">
        <f t="shared" si="11"/>
        <v>0</v>
      </c>
      <c r="T120" s="440"/>
      <c r="U120" s="441"/>
      <c r="W120" s="598"/>
      <c r="Y120" s="734"/>
    </row>
    <row r="121" spans="2:25" s="22" customFormat="1" ht="31.2" x14ac:dyDescent="0.3">
      <c r="B121" s="1658" t="s">
        <v>151</v>
      </c>
      <c r="C121" s="1680" t="s">
        <v>152</v>
      </c>
      <c r="D121" s="1677">
        <v>0.03</v>
      </c>
      <c r="E121" s="1674">
        <f>D121*(26885400000-55400000)</f>
        <v>804900000</v>
      </c>
      <c r="F121" s="26">
        <v>201</v>
      </c>
      <c r="G121" s="6" t="s">
        <v>265</v>
      </c>
      <c r="H121" s="27" t="s">
        <v>188</v>
      </c>
      <c r="I121" s="28">
        <v>4.8000000000000001E-2</v>
      </c>
      <c r="J121" s="29"/>
      <c r="K121" s="30">
        <f>I121*$E$121</f>
        <v>38635200</v>
      </c>
      <c r="L121" s="1028"/>
      <c r="M121" s="94"/>
      <c r="N121" s="922"/>
      <c r="O121" s="94"/>
      <c r="P121" s="922"/>
      <c r="Q121" s="94"/>
      <c r="R121" s="922"/>
      <c r="S121" s="501">
        <f t="shared" si="11"/>
        <v>0</v>
      </c>
      <c r="T121" s="435"/>
      <c r="U121" s="436"/>
      <c r="W121" s="598"/>
      <c r="Y121" s="734"/>
    </row>
    <row r="122" spans="2:25" s="22" customFormat="1" ht="15.6" x14ac:dyDescent="0.3">
      <c r="B122" s="1658"/>
      <c r="C122" s="1680"/>
      <c r="D122" s="1678"/>
      <c r="E122" s="1675"/>
      <c r="F122" s="277" t="s">
        <v>32</v>
      </c>
      <c r="G122" s="7" t="s">
        <v>266</v>
      </c>
      <c r="H122" s="24" t="s">
        <v>267</v>
      </c>
      <c r="I122" s="13">
        <v>0.3</v>
      </c>
      <c r="J122" s="12">
        <v>12.21</v>
      </c>
      <c r="K122" s="25">
        <f>I122*$K$121</f>
        <v>11590560</v>
      </c>
      <c r="L122" s="947">
        <f>IFERROR(K122/J122,0)</f>
        <v>949267.81326781318</v>
      </c>
      <c r="M122" s="91">
        <f>'Schedule 2'!F11</f>
        <v>12.21</v>
      </c>
      <c r="N122" s="921">
        <f>ROUND(L122*M122,0)</f>
        <v>11590560</v>
      </c>
      <c r="O122" s="91">
        <f>'Schedule 2'!F12</f>
        <v>12.21</v>
      </c>
      <c r="P122" s="921">
        <v>11590560</v>
      </c>
      <c r="Q122" s="91">
        <f>M122-O122</f>
        <v>0</v>
      </c>
      <c r="R122" s="921">
        <f t="shared" ref="R122:R184" si="21">N122-P122</f>
        <v>0</v>
      </c>
      <c r="S122" s="501">
        <f t="shared" si="11"/>
        <v>0</v>
      </c>
      <c r="T122" s="433"/>
      <c r="U122" s="443"/>
      <c r="W122" s="598"/>
      <c r="Y122" s="734"/>
    </row>
    <row r="123" spans="2:25" s="22" customFormat="1" ht="15.6" x14ac:dyDescent="0.3">
      <c r="B123" s="1658"/>
      <c r="C123" s="1680"/>
      <c r="D123" s="1678"/>
      <c r="E123" s="1675"/>
      <c r="F123" s="277" t="s">
        <v>34</v>
      </c>
      <c r="G123" s="7" t="s">
        <v>268</v>
      </c>
      <c r="H123" s="24" t="s">
        <v>267</v>
      </c>
      <c r="I123" s="13">
        <v>0.4</v>
      </c>
      <c r="J123" s="12">
        <v>12.21</v>
      </c>
      <c r="K123" s="25">
        <f>I123*$K$121</f>
        <v>15454080</v>
      </c>
      <c r="L123" s="947">
        <f>IFERROR(K123/J123,0)</f>
        <v>1265690.4176904175</v>
      </c>
      <c r="M123" s="91">
        <f>'Schedule 2'!F17</f>
        <v>12.21</v>
      </c>
      <c r="N123" s="921">
        <f>ROUND(L123*M123,0)</f>
        <v>15454080</v>
      </c>
      <c r="O123" s="91">
        <f>'Schedule 2'!F18</f>
        <v>12.21</v>
      </c>
      <c r="P123" s="921">
        <v>15454080</v>
      </c>
      <c r="Q123" s="91">
        <f>M123-O123</f>
        <v>0</v>
      </c>
      <c r="R123" s="921">
        <f t="shared" si="21"/>
        <v>0</v>
      </c>
      <c r="S123" s="501">
        <f t="shared" si="11"/>
        <v>0</v>
      </c>
      <c r="T123" s="433"/>
      <c r="U123" s="443"/>
      <c r="W123" s="598"/>
      <c r="Y123" s="734"/>
    </row>
    <row r="124" spans="2:25" s="22" customFormat="1" ht="15.6" x14ac:dyDescent="0.3">
      <c r="B124" s="1658"/>
      <c r="C124" s="1680"/>
      <c r="D124" s="1678"/>
      <c r="E124" s="1675"/>
      <c r="F124" s="277" t="s">
        <v>37</v>
      </c>
      <c r="G124" s="7" t="s">
        <v>269</v>
      </c>
      <c r="H124" s="24" t="s">
        <v>267</v>
      </c>
      <c r="I124" s="13">
        <v>0.2</v>
      </c>
      <c r="J124" s="12">
        <v>12.21</v>
      </c>
      <c r="K124" s="25">
        <f>I124*$K$121</f>
        <v>7727040</v>
      </c>
      <c r="L124" s="947">
        <f>IFERROR(K124/J124,0)</f>
        <v>632845.20884520875</v>
      </c>
      <c r="M124" s="91">
        <f>'Schedule 2'!F24</f>
        <v>12.21</v>
      </c>
      <c r="N124" s="921">
        <f>ROUND(L124*M124,0)</f>
        <v>7727040</v>
      </c>
      <c r="O124" s="91">
        <f>'Schedule 2'!F25</f>
        <v>12.21</v>
      </c>
      <c r="P124" s="921">
        <v>7727040</v>
      </c>
      <c r="Q124" s="91">
        <f>M124-O124</f>
        <v>0</v>
      </c>
      <c r="R124" s="921">
        <f t="shared" si="21"/>
        <v>0</v>
      </c>
      <c r="S124" s="501">
        <f t="shared" si="11"/>
        <v>0</v>
      </c>
      <c r="T124" s="433"/>
      <c r="U124" s="443"/>
      <c r="W124" s="598"/>
      <c r="Y124" s="734"/>
    </row>
    <row r="125" spans="2:25" s="22" customFormat="1" ht="15.6" x14ac:dyDescent="0.3">
      <c r="B125" s="1658"/>
      <c r="C125" s="1680"/>
      <c r="D125" s="1678"/>
      <c r="E125" s="1675"/>
      <c r="F125" s="277" t="s">
        <v>39</v>
      </c>
      <c r="G125" s="7" t="s">
        <v>270</v>
      </c>
      <c r="H125" s="24" t="s">
        <v>190</v>
      </c>
      <c r="I125" s="13">
        <v>0.1</v>
      </c>
      <c r="J125" s="12">
        <v>5</v>
      </c>
      <c r="K125" s="25">
        <f>I125*$K$121</f>
        <v>3863520</v>
      </c>
      <c r="L125" s="947">
        <f>IFERROR(K125/J125,0)</f>
        <v>772704</v>
      </c>
      <c r="M125" s="92">
        <f>'Schedule 2'!F31</f>
        <v>5</v>
      </c>
      <c r="N125" s="921">
        <f>ROUND(L125*M125,0)</f>
        <v>3863520</v>
      </c>
      <c r="O125" s="91">
        <f>'Schedule 2'!F32</f>
        <v>5</v>
      </c>
      <c r="P125" s="921">
        <v>3863520</v>
      </c>
      <c r="Q125" s="91">
        <f>M125-O125</f>
        <v>0</v>
      </c>
      <c r="R125" s="921">
        <f t="shared" si="21"/>
        <v>0</v>
      </c>
      <c r="S125" s="501">
        <f t="shared" si="11"/>
        <v>0</v>
      </c>
      <c r="T125" s="433"/>
      <c r="U125" s="443"/>
      <c r="W125" s="598"/>
      <c r="Y125" s="734"/>
    </row>
    <row r="126" spans="2:25" s="22" customFormat="1" ht="30.6" customHeight="1" x14ac:dyDescent="0.3">
      <c r="B126" s="1658"/>
      <c r="C126" s="1680"/>
      <c r="D126" s="1678"/>
      <c r="E126" s="1675"/>
      <c r="F126" s="14">
        <f>F121+1</f>
        <v>202</v>
      </c>
      <c r="G126" s="8" t="s">
        <v>271</v>
      </c>
      <c r="H126" s="15" t="s">
        <v>188</v>
      </c>
      <c r="I126" s="16">
        <v>9.8000000000000004E-2</v>
      </c>
      <c r="J126" s="17"/>
      <c r="K126" s="18">
        <f>I126*$E$121</f>
        <v>78880200</v>
      </c>
      <c r="L126" s="1029"/>
      <c r="M126" s="95"/>
      <c r="N126" s="923"/>
      <c r="O126" s="95"/>
      <c r="P126" s="923"/>
      <c r="Q126" s="95"/>
      <c r="R126" s="923"/>
      <c r="S126" s="501">
        <f t="shared" si="11"/>
        <v>0</v>
      </c>
      <c r="T126" s="435"/>
      <c r="U126" s="436"/>
      <c r="W126" s="598"/>
      <c r="Y126" s="734"/>
    </row>
    <row r="127" spans="2:25" s="22" customFormat="1" ht="15.6" customHeight="1" x14ac:dyDescent="0.3">
      <c r="B127" s="1658"/>
      <c r="C127" s="1680"/>
      <c r="D127" s="1678"/>
      <c r="E127" s="1675"/>
      <c r="F127" s="278" t="s">
        <v>32</v>
      </c>
      <c r="G127" s="7" t="s">
        <v>272</v>
      </c>
      <c r="H127" s="24"/>
      <c r="I127" s="13"/>
      <c r="J127" s="12"/>
      <c r="K127" s="25"/>
      <c r="L127" s="947"/>
      <c r="M127" s="91"/>
      <c r="N127" s="921"/>
      <c r="O127" s="91"/>
      <c r="P127" s="921"/>
      <c r="Q127" s="91"/>
      <c r="R127" s="921"/>
      <c r="S127" s="501">
        <f t="shared" si="11"/>
        <v>0</v>
      </c>
      <c r="T127" s="433"/>
      <c r="U127" s="434"/>
      <c r="W127" s="598"/>
      <c r="Y127" s="734"/>
    </row>
    <row r="128" spans="2:25" s="22" customFormat="1" ht="15.6" x14ac:dyDescent="0.3">
      <c r="B128" s="1658"/>
      <c r="C128" s="1680"/>
      <c r="D128" s="1678"/>
      <c r="E128" s="1675"/>
      <c r="F128" s="19" t="s">
        <v>90</v>
      </c>
      <c r="G128" s="9" t="s">
        <v>273</v>
      </c>
      <c r="H128" s="24" t="s">
        <v>267</v>
      </c>
      <c r="I128" s="13">
        <v>0.3</v>
      </c>
      <c r="J128" s="12">
        <v>12.21</v>
      </c>
      <c r="K128" s="25">
        <f>I128*$K$126</f>
        <v>23664060</v>
      </c>
      <c r="L128" s="947">
        <f>IFERROR(K128/J128,0)</f>
        <v>1938088.4520884519</v>
      </c>
      <c r="M128" s="91">
        <f>'Schedule 2'!F38</f>
        <v>12.21</v>
      </c>
      <c r="N128" s="921">
        <f>ROUND(L128*M128,0)</f>
        <v>23664060</v>
      </c>
      <c r="O128" s="91">
        <f>'Schedule 2'!F39</f>
        <v>12.21</v>
      </c>
      <c r="P128" s="921">
        <v>23664060</v>
      </c>
      <c r="Q128" s="91">
        <f t="shared" ref="Q128:Q134" si="22">M128-O128</f>
        <v>0</v>
      </c>
      <c r="R128" s="921">
        <f t="shared" si="21"/>
        <v>0</v>
      </c>
      <c r="S128" s="501">
        <f t="shared" si="11"/>
        <v>0</v>
      </c>
      <c r="T128" s="433"/>
      <c r="U128" s="443"/>
      <c r="W128" s="598"/>
      <c r="Y128" s="734"/>
    </row>
    <row r="129" spans="2:25" s="22" customFormat="1" ht="15.6" x14ac:dyDescent="0.3">
      <c r="B129" s="1658"/>
      <c r="C129" s="1680"/>
      <c r="D129" s="1678"/>
      <c r="E129" s="1675"/>
      <c r="F129" s="19" t="s">
        <v>197</v>
      </c>
      <c r="G129" s="9" t="s">
        <v>274</v>
      </c>
      <c r="H129" s="24" t="s">
        <v>267</v>
      </c>
      <c r="I129" s="13">
        <v>7.4999999999999997E-2</v>
      </c>
      <c r="J129" s="12">
        <v>12.21</v>
      </c>
      <c r="K129" s="25">
        <f>I129*$K$126</f>
        <v>5916015</v>
      </c>
      <c r="L129" s="947">
        <f>IFERROR(K129/J129,0)</f>
        <v>484522.11302211299</v>
      </c>
      <c r="M129" s="92">
        <f>'Schedule 2'!F44</f>
        <v>12.21</v>
      </c>
      <c r="N129" s="921">
        <f>ROUND(L129*M129,0)</f>
        <v>5916015</v>
      </c>
      <c r="O129" s="91">
        <f>'Schedule 2'!F45</f>
        <v>12.21</v>
      </c>
      <c r="P129" s="921">
        <v>5916015</v>
      </c>
      <c r="Q129" s="91">
        <f t="shared" si="22"/>
        <v>0</v>
      </c>
      <c r="R129" s="921">
        <f t="shared" si="21"/>
        <v>0</v>
      </c>
      <c r="S129" s="501">
        <f t="shared" si="11"/>
        <v>0</v>
      </c>
      <c r="T129" s="433"/>
      <c r="U129" s="434"/>
      <c r="W129" s="598"/>
      <c r="Y129" s="734"/>
    </row>
    <row r="130" spans="2:25" s="22" customFormat="1" ht="15.6" x14ac:dyDescent="0.3">
      <c r="B130" s="1658"/>
      <c r="C130" s="1680"/>
      <c r="D130" s="1678"/>
      <c r="E130" s="1675"/>
      <c r="F130" s="278" t="s">
        <v>34</v>
      </c>
      <c r="G130" s="7" t="s">
        <v>275</v>
      </c>
      <c r="H130" s="24"/>
      <c r="I130" s="13"/>
      <c r="J130" s="12"/>
      <c r="K130" s="25"/>
      <c r="L130" s="947"/>
      <c r="M130" s="91"/>
      <c r="N130" s="921"/>
      <c r="O130" s="91"/>
      <c r="P130" s="921"/>
      <c r="Q130" s="91"/>
      <c r="R130" s="921"/>
      <c r="S130" s="501">
        <f t="shared" si="11"/>
        <v>0</v>
      </c>
      <c r="T130" s="433"/>
      <c r="U130" s="434"/>
      <c r="W130" s="598"/>
      <c r="Y130" s="734"/>
    </row>
    <row r="131" spans="2:25" s="22" customFormat="1" ht="15.6" x14ac:dyDescent="0.3">
      <c r="B131" s="1658"/>
      <c r="C131" s="1680"/>
      <c r="D131" s="1678"/>
      <c r="E131" s="1675"/>
      <c r="F131" s="19" t="s">
        <v>90</v>
      </c>
      <c r="G131" s="9" t="s">
        <v>273</v>
      </c>
      <c r="H131" s="24" t="s">
        <v>190</v>
      </c>
      <c r="I131" s="13">
        <v>0.3</v>
      </c>
      <c r="J131" s="12">
        <v>96</v>
      </c>
      <c r="K131" s="25">
        <f>I131*$K$126</f>
        <v>23664060</v>
      </c>
      <c r="L131" s="947">
        <f>IFERROR(K131/J131,0)</f>
        <v>246500.625</v>
      </c>
      <c r="M131" s="91">
        <f>'Schedule 2'!F71</f>
        <v>96</v>
      </c>
      <c r="N131" s="921">
        <f>ROUND(L131*M131,0)</f>
        <v>23664060</v>
      </c>
      <c r="O131" s="91">
        <f>'Schedule 2'!F72</f>
        <v>96</v>
      </c>
      <c r="P131" s="921">
        <v>23664060</v>
      </c>
      <c r="Q131" s="91">
        <f t="shared" si="22"/>
        <v>0</v>
      </c>
      <c r="R131" s="921">
        <f t="shared" si="21"/>
        <v>0</v>
      </c>
      <c r="S131" s="501">
        <f t="shared" si="11"/>
        <v>0</v>
      </c>
      <c r="T131" s="433"/>
      <c r="U131" s="443"/>
      <c r="W131" s="598"/>
      <c r="Y131" s="734"/>
    </row>
    <row r="132" spans="2:25" s="22" customFormat="1" ht="15.6" x14ac:dyDescent="0.3">
      <c r="B132" s="1658"/>
      <c r="C132" s="1680"/>
      <c r="D132" s="1678"/>
      <c r="E132" s="1675"/>
      <c r="F132" s="19" t="s">
        <v>197</v>
      </c>
      <c r="G132" s="9" t="s">
        <v>274</v>
      </c>
      <c r="H132" s="24" t="s">
        <v>190</v>
      </c>
      <c r="I132" s="13">
        <v>7.4999999999999997E-2</v>
      </c>
      <c r="J132" s="12">
        <v>96</v>
      </c>
      <c r="K132" s="25">
        <f>I132*$K$126</f>
        <v>5916015</v>
      </c>
      <c r="L132" s="947">
        <f>IFERROR(K132/J132,0)</f>
        <v>61625.15625</v>
      </c>
      <c r="M132" s="92">
        <f>'Schedule 2'!F89</f>
        <v>96</v>
      </c>
      <c r="N132" s="921">
        <f>ROUND(L132*M132,0)</f>
        <v>5916015</v>
      </c>
      <c r="O132" s="91">
        <f>'Schedule 2'!F90</f>
        <v>96</v>
      </c>
      <c r="P132" s="921">
        <v>5916015</v>
      </c>
      <c r="Q132" s="91">
        <f t="shared" si="22"/>
        <v>0</v>
      </c>
      <c r="R132" s="924">
        <f t="shared" si="21"/>
        <v>0</v>
      </c>
      <c r="S132" s="501">
        <f t="shared" si="11"/>
        <v>0</v>
      </c>
      <c r="T132" s="433"/>
      <c r="U132" s="434"/>
      <c r="W132" s="598"/>
      <c r="Y132" s="734"/>
    </row>
    <row r="133" spans="2:25" s="22" customFormat="1" ht="15.6" x14ac:dyDescent="0.3">
      <c r="B133" s="1658"/>
      <c r="C133" s="1680"/>
      <c r="D133" s="1678"/>
      <c r="E133" s="1675"/>
      <c r="F133" s="278" t="s">
        <v>37</v>
      </c>
      <c r="G133" s="7" t="s">
        <v>276</v>
      </c>
      <c r="H133" s="24"/>
      <c r="I133" s="13"/>
      <c r="J133" s="12"/>
      <c r="K133" s="25"/>
      <c r="L133" s="947"/>
      <c r="M133" s="91"/>
      <c r="N133" s="921"/>
      <c r="O133" s="91"/>
      <c r="P133" s="921"/>
      <c r="Q133" s="91"/>
      <c r="R133" s="921"/>
      <c r="S133" s="501">
        <f t="shared" si="11"/>
        <v>0</v>
      </c>
      <c r="T133" s="433"/>
      <c r="U133" s="434"/>
      <c r="W133" s="598"/>
      <c r="Y133" s="734"/>
    </row>
    <row r="134" spans="2:25" s="22" customFormat="1" ht="15.6" x14ac:dyDescent="0.3">
      <c r="B134" s="1658"/>
      <c r="C134" s="1680"/>
      <c r="D134" s="1678"/>
      <c r="E134" s="1675"/>
      <c r="F134" s="19" t="s">
        <v>90</v>
      </c>
      <c r="G134" s="9" t="s">
        <v>273</v>
      </c>
      <c r="H134" s="24" t="s">
        <v>188</v>
      </c>
      <c r="I134" s="13">
        <v>0.25</v>
      </c>
      <c r="J134" s="12">
        <v>1</v>
      </c>
      <c r="K134" s="25">
        <f>I134*$K$126</f>
        <v>19720050</v>
      </c>
      <c r="L134" s="947">
        <f>IFERROR(K134/J134,0)</f>
        <v>19720050</v>
      </c>
      <c r="M134" s="92">
        <f>'Schedule 2'!F95</f>
        <v>1</v>
      </c>
      <c r="N134" s="921">
        <f>ROUND(L134*M134,0)</f>
        <v>19720050</v>
      </c>
      <c r="O134" s="91">
        <f>'Schedule 2'!F96</f>
        <v>1</v>
      </c>
      <c r="P134" s="921">
        <v>19720050</v>
      </c>
      <c r="Q134" s="91">
        <f t="shared" si="22"/>
        <v>0</v>
      </c>
      <c r="R134" s="921">
        <f t="shared" si="21"/>
        <v>0</v>
      </c>
      <c r="S134" s="501">
        <f t="shared" si="11"/>
        <v>0</v>
      </c>
      <c r="T134" s="433"/>
      <c r="U134" s="434"/>
      <c r="W134" s="598"/>
      <c r="Y134" s="734"/>
    </row>
    <row r="135" spans="2:25" s="22" customFormat="1" ht="46.8" x14ac:dyDescent="0.3">
      <c r="B135" s="1658"/>
      <c r="C135" s="1680"/>
      <c r="D135" s="1678"/>
      <c r="E135" s="1675"/>
      <c r="F135" s="14">
        <f>F126+1</f>
        <v>203</v>
      </c>
      <c r="G135" s="8" t="s">
        <v>277</v>
      </c>
      <c r="H135" s="15" t="s">
        <v>188</v>
      </c>
      <c r="I135" s="16">
        <v>0.29399999999999998</v>
      </c>
      <c r="J135" s="17"/>
      <c r="K135" s="18">
        <f>I135*$E$121</f>
        <v>236640600</v>
      </c>
      <c r="L135" s="1029"/>
      <c r="M135" s="95"/>
      <c r="N135" s="923"/>
      <c r="O135" s="95"/>
      <c r="P135" s="923"/>
      <c r="Q135" s="95"/>
      <c r="R135" s="923"/>
      <c r="S135" s="501">
        <f t="shared" si="11"/>
        <v>0</v>
      </c>
      <c r="T135" s="435"/>
      <c r="U135" s="436"/>
      <c r="W135" s="598"/>
      <c r="Y135" s="734"/>
    </row>
    <row r="136" spans="2:25" s="22" customFormat="1" ht="15.6" x14ac:dyDescent="0.3">
      <c r="B136" s="1658"/>
      <c r="C136" s="1680"/>
      <c r="D136" s="1678"/>
      <c r="E136" s="1675"/>
      <c r="F136" s="278" t="s">
        <v>32</v>
      </c>
      <c r="G136" s="10" t="s">
        <v>278</v>
      </c>
      <c r="H136" s="11"/>
      <c r="I136" s="37"/>
      <c r="J136" s="20"/>
      <c r="K136" s="21"/>
      <c r="L136" s="1030"/>
      <c r="M136" s="92"/>
      <c r="N136" s="924"/>
      <c r="O136" s="92"/>
      <c r="P136" s="924"/>
      <c r="Q136" s="92"/>
      <c r="R136" s="924"/>
      <c r="S136" s="501">
        <f t="shared" ref="S136:S199" si="23">J136-M136</f>
        <v>0</v>
      </c>
      <c r="T136" s="437"/>
      <c r="U136" s="442"/>
      <c r="W136" s="598"/>
      <c r="Y136" s="734"/>
    </row>
    <row r="137" spans="2:25" s="22" customFormat="1" ht="15.6" x14ac:dyDescent="0.3">
      <c r="B137" s="1658"/>
      <c r="C137" s="1680"/>
      <c r="D137" s="1678"/>
      <c r="E137" s="1675"/>
      <c r="F137" s="19" t="s">
        <v>90</v>
      </c>
      <c r="G137" s="9" t="s">
        <v>279</v>
      </c>
      <c r="H137" s="24" t="s">
        <v>267</v>
      </c>
      <c r="I137" s="23">
        <v>0.04</v>
      </c>
      <c r="J137" s="12">
        <v>7.3140000000000009</v>
      </c>
      <c r="K137" s="25">
        <f>I137*$K$135</f>
        <v>9465624</v>
      </c>
      <c r="L137" s="947">
        <f>IFERROR(K137/J137,0)</f>
        <v>1294178.8351107463</v>
      </c>
      <c r="M137" s="92">
        <f>'Schedule 2'!F102</f>
        <v>7.3140000000000001</v>
      </c>
      <c r="N137" s="921">
        <f>ROUND(L137*M137,0)</f>
        <v>9465624</v>
      </c>
      <c r="O137" s="91">
        <f>'Schedule 2'!F103</f>
        <v>7.3140000000000001</v>
      </c>
      <c r="P137" s="921">
        <v>9465624</v>
      </c>
      <c r="Q137" s="91">
        <f>M137-O137</f>
        <v>0</v>
      </c>
      <c r="R137" s="921">
        <f t="shared" si="21"/>
        <v>0</v>
      </c>
      <c r="S137" s="501">
        <f t="shared" si="23"/>
        <v>0</v>
      </c>
      <c r="T137" s="433"/>
      <c r="U137" s="434"/>
      <c r="W137" s="598"/>
      <c r="Y137" s="734"/>
    </row>
    <row r="138" spans="2:25" s="22" customFormat="1" ht="15.6" x14ac:dyDescent="0.3">
      <c r="B138" s="1658"/>
      <c r="C138" s="1680"/>
      <c r="D138" s="1678"/>
      <c r="E138" s="1675"/>
      <c r="F138" s="19" t="s">
        <v>197</v>
      </c>
      <c r="G138" s="9" t="s">
        <v>280</v>
      </c>
      <c r="H138" s="24" t="s">
        <v>267</v>
      </c>
      <c r="I138" s="23">
        <v>0.06</v>
      </c>
      <c r="J138" s="12">
        <v>7.3140000000000009</v>
      </c>
      <c r="K138" s="25">
        <f>I138*$K$135</f>
        <v>14198436</v>
      </c>
      <c r="L138" s="947">
        <f>IFERROR(K138/J138,0)</f>
        <v>1941268.2526661195</v>
      </c>
      <c r="M138" s="92">
        <f>'Schedule 2'!F109</f>
        <v>7.3140000000000001</v>
      </c>
      <c r="N138" s="921">
        <f>ROUND(L138*M138,0)</f>
        <v>14198436</v>
      </c>
      <c r="O138" s="91">
        <f>'Schedule 2'!F110</f>
        <v>7.3140000000000001</v>
      </c>
      <c r="P138" s="921">
        <v>14198436</v>
      </c>
      <c r="Q138" s="91">
        <f>M138-O138</f>
        <v>0</v>
      </c>
      <c r="R138" s="921">
        <f>N138-P138</f>
        <v>0</v>
      </c>
      <c r="S138" s="501">
        <f t="shared" si="23"/>
        <v>0</v>
      </c>
      <c r="T138" s="433"/>
      <c r="U138" s="434"/>
      <c r="W138" s="598"/>
      <c r="Y138" s="734"/>
    </row>
    <row r="139" spans="2:25" s="22" customFormat="1" ht="15.6" x14ac:dyDescent="0.3">
      <c r="B139" s="1658"/>
      <c r="C139" s="1680"/>
      <c r="D139" s="1678"/>
      <c r="E139" s="1675"/>
      <c r="F139" s="278" t="s">
        <v>34</v>
      </c>
      <c r="G139" s="10" t="s">
        <v>281</v>
      </c>
      <c r="H139" s="11"/>
      <c r="I139" s="37"/>
      <c r="J139" s="20"/>
      <c r="K139" s="21"/>
      <c r="L139" s="1030"/>
      <c r="M139" s="92"/>
      <c r="N139" s="924"/>
      <c r="O139" s="92"/>
      <c r="P139" s="924"/>
      <c r="Q139" s="92"/>
      <c r="R139" s="924"/>
      <c r="S139" s="501">
        <f t="shared" si="23"/>
        <v>0</v>
      </c>
      <c r="T139" s="437"/>
      <c r="U139" s="442"/>
      <c r="W139" s="598"/>
      <c r="Y139" s="734"/>
    </row>
    <row r="140" spans="2:25" s="22" customFormat="1" ht="15.6" x14ac:dyDescent="0.3">
      <c r="B140" s="1658"/>
      <c r="C140" s="1680"/>
      <c r="D140" s="1678"/>
      <c r="E140" s="1675"/>
      <c r="F140" s="19" t="s">
        <v>90</v>
      </c>
      <c r="G140" s="9" t="s">
        <v>279</v>
      </c>
      <c r="H140" s="24" t="s">
        <v>267</v>
      </c>
      <c r="I140" s="23">
        <v>2.5000000000000001E-2</v>
      </c>
      <c r="J140" s="12">
        <v>5.2</v>
      </c>
      <c r="K140" s="25">
        <f>I140*$K$135</f>
        <v>5916015</v>
      </c>
      <c r="L140" s="947">
        <f>IFERROR(K140/J140,0)</f>
        <v>1137695.1923076923</v>
      </c>
      <c r="M140" s="91">
        <f>'Schedule 2'!$F$115</f>
        <v>5.2</v>
      </c>
      <c r="N140" s="921">
        <f>ROUND(L140*M140,0)</f>
        <v>5916015</v>
      </c>
      <c r="O140" s="91">
        <f>'Schedule 2'!$F$116</f>
        <v>5.2</v>
      </c>
      <c r="P140" s="921">
        <v>5916015</v>
      </c>
      <c r="Q140" s="91">
        <f>M140-O140</f>
        <v>0</v>
      </c>
      <c r="R140" s="921">
        <f t="shared" si="21"/>
        <v>0</v>
      </c>
      <c r="S140" s="501">
        <f t="shared" si="23"/>
        <v>0</v>
      </c>
      <c r="T140" s="433"/>
      <c r="U140" s="434"/>
      <c r="W140" s="598"/>
      <c r="Y140" s="734"/>
    </row>
    <row r="141" spans="2:25" s="22" customFormat="1" ht="15.6" x14ac:dyDescent="0.3">
      <c r="B141" s="1658"/>
      <c r="C141" s="1680"/>
      <c r="D141" s="1678"/>
      <c r="E141" s="1675"/>
      <c r="F141" s="19" t="s">
        <v>197</v>
      </c>
      <c r="G141" s="9" t="s">
        <v>280</v>
      </c>
      <c r="H141" s="11" t="s">
        <v>267</v>
      </c>
      <c r="I141" s="13">
        <v>3.5000000000000003E-2</v>
      </c>
      <c r="J141" s="20">
        <v>5.2</v>
      </c>
      <c r="K141" s="21">
        <f>I141*$K$135</f>
        <v>8282421.0000000009</v>
      </c>
      <c r="L141" s="1146">
        <f>IFERROR(K141/J141,0)</f>
        <v>1592773.2692307692</v>
      </c>
      <c r="M141" s="92">
        <f>'Schedule 2'!F122</f>
        <v>5.2</v>
      </c>
      <c r="N141" s="924">
        <f>ROUND(L141*M141,0)</f>
        <v>8282421</v>
      </c>
      <c r="O141" s="92">
        <f>'Schedule 2'!$F$123</f>
        <v>5.2</v>
      </c>
      <c r="P141" s="924">
        <v>8282421</v>
      </c>
      <c r="Q141" s="92">
        <f>M141-O141</f>
        <v>0</v>
      </c>
      <c r="R141" s="924">
        <f t="shared" si="21"/>
        <v>0</v>
      </c>
      <c r="S141" s="1147">
        <f t="shared" si="23"/>
        <v>0</v>
      </c>
      <c r="T141" s="437"/>
      <c r="U141" s="442"/>
      <c r="W141" s="1149"/>
      <c r="Y141" s="734"/>
    </row>
    <row r="142" spans="2:25" s="22" customFormat="1" ht="15.6" x14ac:dyDescent="0.3">
      <c r="B142" s="1658"/>
      <c r="C142" s="1680"/>
      <c r="D142" s="1678"/>
      <c r="E142" s="1675"/>
      <c r="F142" s="278" t="s">
        <v>37</v>
      </c>
      <c r="G142" s="10" t="s">
        <v>282</v>
      </c>
      <c r="H142" s="11"/>
      <c r="I142" s="37"/>
      <c r="J142" s="20"/>
      <c r="K142" s="21"/>
      <c r="L142" s="1030"/>
      <c r="M142" s="92"/>
      <c r="N142" s="924"/>
      <c r="O142" s="92"/>
      <c r="P142" s="924"/>
      <c r="Q142" s="92"/>
      <c r="R142" s="924"/>
      <c r="S142" s="501">
        <f t="shared" si="23"/>
        <v>0</v>
      </c>
      <c r="T142" s="437"/>
      <c r="U142" s="442"/>
      <c r="W142" s="598"/>
      <c r="Y142" s="734"/>
    </row>
    <row r="143" spans="2:25" s="22" customFormat="1" ht="15.6" x14ac:dyDescent="0.3">
      <c r="B143" s="1658"/>
      <c r="C143" s="1680"/>
      <c r="D143" s="1678"/>
      <c r="E143" s="1675"/>
      <c r="F143" s="19" t="s">
        <v>90</v>
      </c>
      <c r="G143" s="9" t="s">
        <v>279</v>
      </c>
      <c r="H143" s="24" t="s">
        <v>267</v>
      </c>
      <c r="I143" s="23">
        <v>2.5000000000000001E-2</v>
      </c>
      <c r="J143" s="12">
        <v>0.8</v>
      </c>
      <c r="K143" s="25">
        <f>I143*$K$135</f>
        <v>5916015</v>
      </c>
      <c r="L143" s="947">
        <f>IFERROR(K143/J143,0)</f>
        <v>7395018.75</v>
      </c>
      <c r="M143" s="91">
        <f>'Schedule 2'!$F$128</f>
        <v>0.68</v>
      </c>
      <c r="N143" s="921">
        <f>ROUND(L143*M143,0)</f>
        <v>5028613</v>
      </c>
      <c r="O143" s="91">
        <f>'Schedule 2'!$F$129</f>
        <v>0.68</v>
      </c>
      <c r="P143" s="921">
        <v>5028613</v>
      </c>
      <c r="Q143" s="91">
        <f>M143-O143</f>
        <v>0</v>
      </c>
      <c r="R143" s="921">
        <f t="shared" si="21"/>
        <v>0</v>
      </c>
      <c r="S143" s="501">
        <f t="shared" si="23"/>
        <v>0.12</v>
      </c>
      <c r="T143" s="433"/>
      <c r="U143" s="434"/>
      <c r="W143" s="598"/>
      <c r="Y143" s="734"/>
    </row>
    <row r="144" spans="2:25" s="22" customFormat="1" ht="15.6" x14ac:dyDescent="0.3">
      <c r="B144" s="1658"/>
      <c r="C144" s="1680"/>
      <c r="D144" s="1678"/>
      <c r="E144" s="1675"/>
      <c r="F144" s="19" t="s">
        <v>197</v>
      </c>
      <c r="G144" s="9" t="s">
        <v>280</v>
      </c>
      <c r="H144" s="24" t="s">
        <v>267</v>
      </c>
      <c r="I144" s="23">
        <v>3.5000000000000003E-2</v>
      </c>
      <c r="J144" s="12">
        <v>0.8</v>
      </c>
      <c r="K144" s="25">
        <f>I144*$K$135</f>
        <v>8282421.0000000009</v>
      </c>
      <c r="L144" s="947">
        <f>IFERROR(K144/J144,0)</f>
        <v>10353026.25</v>
      </c>
      <c r="M144" s="91">
        <f>'Schedule 2'!$F$134</f>
        <v>0.68</v>
      </c>
      <c r="N144" s="921">
        <f>ROUND(L144*M144,0)</f>
        <v>7040058</v>
      </c>
      <c r="O144" s="91">
        <f>'Schedule 2'!$F$135</f>
        <v>0.68</v>
      </c>
      <c r="P144" s="921">
        <v>7040058</v>
      </c>
      <c r="Q144" s="583">
        <f>M144-O144</f>
        <v>0</v>
      </c>
      <c r="R144" s="921">
        <f t="shared" si="21"/>
        <v>0</v>
      </c>
      <c r="S144" s="501">
        <f t="shared" si="23"/>
        <v>0.12</v>
      </c>
      <c r="T144" s="433"/>
      <c r="U144" s="434"/>
      <c r="W144" s="598"/>
      <c r="Y144" s="734"/>
    </row>
    <row r="145" spans="2:25" s="22" customFormat="1" ht="15.6" x14ac:dyDescent="0.3">
      <c r="B145" s="1658"/>
      <c r="C145" s="1680"/>
      <c r="D145" s="1678"/>
      <c r="E145" s="1675"/>
      <c r="F145" s="278" t="s">
        <v>39</v>
      </c>
      <c r="G145" s="10" t="s">
        <v>283</v>
      </c>
      <c r="H145" s="11"/>
      <c r="I145" s="37"/>
      <c r="J145" s="12"/>
      <c r="K145" s="21"/>
      <c r="L145" s="1030"/>
      <c r="M145" s="91"/>
      <c r="N145" s="924"/>
      <c r="O145" s="91"/>
      <c r="P145" s="924"/>
      <c r="Q145" s="91"/>
      <c r="R145" s="924"/>
      <c r="S145" s="501">
        <f t="shared" si="23"/>
        <v>0</v>
      </c>
      <c r="T145" s="433"/>
      <c r="U145" s="442"/>
      <c r="W145" s="598"/>
      <c r="Y145" s="734"/>
    </row>
    <row r="146" spans="2:25" s="22" customFormat="1" ht="15.6" x14ac:dyDescent="0.3">
      <c r="B146" s="1658"/>
      <c r="C146" s="1680"/>
      <c r="D146" s="1678"/>
      <c r="E146" s="1675"/>
      <c r="F146" s="19" t="s">
        <v>90</v>
      </c>
      <c r="G146" s="9" t="s">
        <v>279</v>
      </c>
      <c r="H146" s="11" t="s">
        <v>190</v>
      </c>
      <c r="I146" s="23">
        <v>0.04</v>
      </c>
      <c r="J146" s="12">
        <v>2</v>
      </c>
      <c r="K146" s="25">
        <f>I146*$K$135</f>
        <v>9465624</v>
      </c>
      <c r="L146" s="947">
        <f>IFERROR(K146/J146,0)</f>
        <v>4732812</v>
      </c>
      <c r="M146" s="92">
        <f>'Schedule 2'!F140</f>
        <v>2</v>
      </c>
      <c r="N146" s="921">
        <f>ROUND(L146*M146,0)</f>
        <v>9465624</v>
      </c>
      <c r="O146" s="91">
        <f>'Schedule 2'!F141</f>
        <v>2</v>
      </c>
      <c r="P146" s="921">
        <v>9465624</v>
      </c>
      <c r="Q146" s="91">
        <f>M146-O146</f>
        <v>0</v>
      </c>
      <c r="R146" s="924">
        <f t="shared" si="21"/>
        <v>0</v>
      </c>
      <c r="S146" s="501">
        <f t="shared" si="23"/>
        <v>0</v>
      </c>
      <c r="T146" s="433"/>
      <c r="U146" s="434"/>
      <c r="W146" s="598"/>
      <c r="Y146" s="734"/>
    </row>
    <row r="147" spans="2:25" s="22" customFormat="1" ht="15.6" x14ac:dyDescent="0.3">
      <c r="B147" s="1658"/>
      <c r="C147" s="1680"/>
      <c r="D147" s="1678"/>
      <c r="E147" s="1675"/>
      <c r="F147" s="19" t="s">
        <v>197</v>
      </c>
      <c r="G147" s="9" t="s">
        <v>280</v>
      </c>
      <c r="H147" s="11" t="s">
        <v>190</v>
      </c>
      <c r="I147" s="23">
        <v>0.06</v>
      </c>
      <c r="J147" s="12">
        <v>2</v>
      </c>
      <c r="K147" s="25">
        <f>I147*$K$135</f>
        <v>14198436</v>
      </c>
      <c r="L147" s="947">
        <f>IFERROR(K147/J147,0)</f>
        <v>7099218</v>
      </c>
      <c r="M147" s="92">
        <f>'Schedule 2'!$F$146</f>
        <v>2</v>
      </c>
      <c r="N147" s="921">
        <f>ROUND(L147*M147,0)</f>
        <v>14198436</v>
      </c>
      <c r="O147" s="91">
        <f>'Schedule 2'!$F$147</f>
        <v>2</v>
      </c>
      <c r="P147" s="921">
        <v>14198436</v>
      </c>
      <c r="Q147" s="91">
        <f>M147-O147</f>
        <v>0</v>
      </c>
      <c r="R147" s="924">
        <f>N147-P147</f>
        <v>0</v>
      </c>
      <c r="S147" s="501">
        <f t="shared" si="23"/>
        <v>0</v>
      </c>
      <c r="T147" s="433"/>
      <c r="U147" s="434"/>
      <c r="W147" s="598"/>
      <c r="Y147" s="734"/>
    </row>
    <row r="148" spans="2:25" s="22" customFormat="1" ht="15.6" x14ac:dyDescent="0.3">
      <c r="B148" s="1658"/>
      <c r="C148" s="1680"/>
      <c r="D148" s="1678"/>
      <c r="E148" s="1675"/>
      <c r="F148" s="278" t="s">
        <v>41</v>
      </c>
      <c r="G148" s="10" t="s">
        <v>284</v>
      </c>
      <c r="H148" s="11"/>
      <c r="I148" s="37"/>
      <c r="J148" s="12"/>
      <c r="K148" s="21"/>
      <c r="L148" s="1030"/>
      <c r="M148" s="92"/>
      <c r="N148" s="924"/>
      <c r="O148" s="91"/>
      <c r="P148" s="924"/>
      <c r="Q148" s="91"/>
      <c r="R148" s="924"/>
      <c r="S148" s="501">
        <f t="shared" si="23"/>
        <v>0</v>
      </c>
      <c r="T148" s="433"/>
      <c r="U148" s="442"/>
      <c r="W148" s="598"/>
      <c r="Y148" s="734"/>
    </row>
    <row r="149" spans="2:25" s="22" customFormat="1" ht="15.6" x14ac:dyDescent="0.3">
      <c r="B149" s="1658"/>
      <c r="C149" s="1680"/>
      <c r="D149" s="1678"/>
      <c r="E149" s="1675"/>
      <c r="F149" s="19" t="s">
        <v>90</v>
      </c>
      <c r="G149" s="9" t="s">
        <v>279</v>
      </c>
      <c r="H149" s="11" t="s">
        <v>190</v>
      </c>
      <c r="I149" s="23">
        <v>0.04</v>
      </c>
      <c r="J149" s="12">
        <v>2</v>
      </c>
      <c r="K149" s="25">
        <f>I149*$K$135</f>
        <v>9465624</v>
      </c>
      <c r="L149" s="947">
        <f>IFERROR(K149/J149,0)</f>
        <v>4732812</v>
      </c>
      <c r="M149" s="92">
        <f>'Schedule 2'!F152</f>
        <v>2</v>
      </c>
      <c r="N149" s="921">
        <f>ROUND(L149*M149,0)</f>
        <v>9465624</v>
      </c>
      <c r="O149" s="91">
        <f>'Schedule 2'!F153</f>
        <v>2</v>
      </c>
      <c r="P149" s="921">
        <v>9465624</v>
      </c>
      <c r="Q149" s="91">
        <f>M149-O149</f>
        <v>0</v>
      </c>
      <c r="R149" s="924">
        <f t="shared" si="21"/>
        <v>0</v>
      </c>
      <c r="S149" s="501">
        <f t="shared" si="23"/>
        <v>0</v>
      </c>
      <c r="T149" s="433"/>
      <c r="U149" s="434"/>
      <c r="W149" s="598"/>
      <c r="Y149" s="734"/>
    </row>
    <row r="150" spans="2:25" s="22" customFormat="1" ht="15.6" x14ac:dyDescent="0.3">
      <c r="B150" s="1658"/>
      <c r="C150" s="1680"/>
      <c r="D150" s="1678"/>
      <c r="E150" s="1675"/>
      <c r="F150" s="19" t="s">
        <v>197</v>
      </c>
      <c r="G150" s="9" t="s">
        <v>280</v>
      </c>
      <c r="H150" s="11" t="s">
        <v>190</v>
      </c>
      <c r="I150" s="23">
        <v>0.06</v>
      </c>
      <c r="J150" s="12">
        <v>2</v>
      </c>
      <c r="K150" s="25">
        <f>I150*$K$135</f>
        <v>14198436</v>
      </c>
      <c r="L150" s="947">
        <f>IFERROR(K150/J150,0)</f>
        <v>7099218</v>
      </c>
      <c r="M150" s="92">
        <f>'Schedule 2'!$F$157</f>
        <v>2</v>
      </c>
      <c r="N150" s="921">
        <f>ROUND(L150*M150,0)</f>
        <v>14198436</v>
      </c>
      <c r="O150" s="91">
        <f>'Schedule 2'!$F$158</f>
        <v>2</v>
      </c>
      <c r="P150" s="921">
        <v>14198436</v>
      </c>
      <c r="Q150" s="91">
        <f>M150-O150</f>
        <v>0</v>
      </c>
      <c r="R150" s="924">
        <f>N150-P150</f>
        <v>0</v>
      </c>
      <c r="S150" s="501">
        <f t="shared" si="23"/>
        <v>0</v>
      </c>
      <c r="T150" s="433"/>
      <c r="U150" s="434"/>
      <c r="W150" s="598"/>
      <c r="Y150" s="734"/>
    </row>
    <row r="151" spans="2:25" s="22" customFormat="1" ht="15.6" x14ac:dyDescent="0.3">
      <c r="B151" s="1658"/>
      <c r="C151" s="1680"/>
      <c r="D151" s="1678"/>
      <c r="E151" s="1675"/>
      <c r="F151" s="278" t="s">
        <v>84</v>
      </c>
      <c r="G151" s="10" t="s">
        <v>285</v>
      </c>
      <c r="H151" s="11"/>
      <c r="I151" s="37"/>
      <c r="J151" s="12"/>
      <c r="K151" s="21"/>
      <c r="L151" s="1030"/>
      <c r="M151" s="92"/>
      <c r="N151" s="924"/>
      <c r="O151" s="91"/>
      <c r="P151" s="924"/>
      <c r="Q151" s="91"/>
      <c r="R151" s="924"/>
      <c r="S151" s="501">
        <f t="shared" si="23"/>
        <v>0</v>
      </c>
      <c r="T151" s="433"/>
      <c r="U151" s="442"/>
      <c r="W151" s="598"/>
      <c r="Y151" s="734"/>
    </row>
    <row r="152" spans="2:25" s="22" customFormat="1" ht="15.6" x14ac:dyDescent="0.3">
      <c r="B152" s="1658"/>
      <c r="C152" s="1680"/>
      <c r="D152" s="1678"/>
      <c r="E152" s="1675"/>
      <c r="F152" s="19" t="s">
        <v>90</v>
      </c>
      <c r="G152" s="9" t="s">
        <v>279</v>
      </c>
      <c r="H152" s="11" t="s">
        <v>190</v>
      </c>
      <c r="I152" s="23">
        <v>0.02</v>
      </c>
      <c r="J152" s="12">
        <v>3</v>
      </c>
      <c r="K152" s="25">
        <f>I152*$K$135</f>
        <v>4732812</v>
      </c>
      <c r="L152" s="947">
        <f>IFERROR(K152/J152,0)</f>
        <v>1577604</v>
      </c>
      <c r="M152" s="92">
        <f>'Schedule 2'!F165</f>
        <v>3</v>
      </c>
      <c r="N152" s="921">
        <f>ROUND(L152*M152,0)</f>
        <v>4732812</v>
      </c>
      <c r="O152" s="91">
        <f>'Schedule 2'!F166</f>
        <v>3</v>
      </c>
      <c r="P152" s="921">
        <v>4732812</v>
      </c>
      <c r="Q152" s="91">
        <f>M152-O152</f>
        <v>0</v>
      </c>
      <c r="R152" s="924">
        <f>N152-P152</f>
        <v>0</v>
      </c>
      <c r="S152" s="501">
        <f t="shared" si="23"/>
        <v>0</v>
      </c>
      <c r="T152" s="433"/>
      <c r="U152" s="434"/>
      <c r="W152" s="598"/>
      <c r="Y152" s="734"/>
    </row>
    <row r="153" spans="2:25" s="22" customFormat="1" ht="15.6" x14ac:dyDescent="0.3">
      <c r="B153" s="1658"/>
      <c r="C153" s="1680"/>
      <c r="D153" s="1678"/>
      <c r="E153" s="1675"/>
      <c r="F153" s="19" t="s">
        <v>197</v>
      </c>
      <c r="G153" s="9" t="s">
        <v>280</v>
      </c>
      <c r="H153" s="11" t="s">
        <v>190</v>
      </c>
      <c r="I153" s="23">
        <v>0.04</v>
      </c>
      <c r="J153" s="12">
        <v>3</v>
      </c>
      <c r="K153" s="25">
        <f>I153*$K$135</f>
        <v>9465624</v>
      </c>
      <c r="L153" s="947">
        <f>IFERROR(K153/J153,0)</f>
        <v>3155208</v>
      </c>
      <c r="M153" s="92">
        <f>'Schedule 2'!$F$171</f>
        <v>3</v>
      </c>
      <c r="N153" s="921">
        <f>ROUND(L153*M153,0)</f>
        <v>9465624</v>
      </c>
      <c r="O153" s="91">
        <f>'Schedule 2'!$F$172</f>
        <v>3</v>
      </c>
      <c r="P153" s="921">
        <v>9465624</v>
      </c>
      <c r="Q153" s="91">
        <f>M153-O153</f>
        <v>0</v>
      </c>
      <c r="R153" s="921">
        <f t="shared" si="21"/>
        <v>0</v>
      </c>
      <c r="S153" s="501">
        <f t="shared" si="23"/>
        <v>0</v>
      </c>
      <c r="T153" s="433"/>
      <c r="U153" s="434"/>
      <c r="W153" s="598"/>
      <c r="Y153" s="734"/>
    </row>
    <row r="154" spans="2:25" s="22" customFormat="1" ht="15.6" x14ac:dyDescent="0.3">
      <c r="B154" s="1658"/>
      <c r="C154" s="1680"/>
      <c r="D154" s="1678"/>
      <c r="E154" s="1675"/>
      <c r="F154" s="278" t="s">
        <v>86</v>
      </c>
      <c r="G154" s="10" t="s">
        <v>286</v>
      </c>
      <c r="H154" s="11"/>
      <c r="I154" s="37"/>
      <c r="J154" s="12"/>
      <c r="K154" s="21"/>
      <c r="L154" s="1030"/>
      <c r="M154" s="92"/>
      <c r="N154" s="924"/>
      <c r="O154" s="91"/>
      <c r="P154" s="924"/>
      <c r="Q154" s="91"/>
      <c r="R154" s="924"/>
      <c r="S154" s="501">
        <f t="shared" si="23"/>
        <v>0</v>
      </c>
      <c r="T154" s="433"/>
      <c r="U154" s="442"/>
      <c r="W154" s="598"/>
      <c r="Y154" s="734"/>
    </row>
    <row r="155" spans="2:25" s="22" customFormat="1" ht="15.6" x14ac:dyDescent="0.3">
      <c r="B155" s="1658"/>
      <c r="C155" s="1680"/>
      <c r="D155" s="1678"/>
      <c r="E155" s="1675"/>
      <c r="F155" s="19" t="s">
        <v>90</v>
      </c>
      <c r="G155" s="9" t="s">
        <v>279</v>
      </c>
      <c r="H155" s="11" t="s">
        <v>190</v>
      </c>
      <c r="I155" s="23">
        <v>0.01</v>
      </c>
      <c r="J155" s="12">
        <v>18</v>
      </c>
      <c r="K155" s="25">
        <f>I155*$K$135</f>
        <v>2366406</v>
      </c>
      <c r="L155" s="947">
        <f>IFERROR(K155/J155,0)</f>
        <v>131467</v>
      </c>
      <c r="M155" s="92">
        <f>'Schedule 2'!F181</f>
        <v>18</v>
      </c>
      <c r="N155" s="921">
        <f>ROUND(L155*M155,0)</f>
        <v>2366406</v>
      </c>
      <c r="O155" s="91">
        <f>'Schedule 2'!F182</f>
        <v>18</v>
      </c>
      <c r="P155" s="921">
        <v>2366406</v>
      </c>
      <c r="Q155" s="91">
        <f>M155-O155</f>
        <v>0</v>
      </c>
      <c r="R155" s="921">
        <f>N155-P155</f>
        <v>0</v>
      </c>
      <c r="S155" s="501">
        <f t="shared" si="23"/>
        <v>0</v>
      </c>
      <c r="T155" s="433"/>
      <c r="U155" s="434"/>
      <c r="W155" s="598"/>
      <c r="Y155" s="734"/>
    </row>
    <row r="156" spans="2:25" s="22" customFormat="1" ht="15.6" x14ac:dyDescent="0.3">
      <c r="B156" s="1658"/>
      <c r="C156" s="1680"/>
      <c r="D156" s="1678"/>
      <c r="E156" s="1675"/>
      <c r="F156" s="19" t="s">
        <v>197</v>
      </c>
      <c r="G156" s="9" t="s">
        <v>280</v>
      </c>
      <c r="H156" s="11" t="s">
        <v>190</v>
      </c>
      <c r="I156" s="23">
        <v>0.03</v>
      </c>
      <c r="J156" s="12">
        <v>18</v>
      </c>
      <c r="K156" s="25">
        <f>I156*$K$135</f>
        <v>7099218</v>
      </c>
      <c r="L156" s="947">
        <f>IFERROR(K156/J156,0)</f>
        <v>394401</v>
      </c>
      <c r="M156" s="92">
        <f>'Schedule 2'!$F$189</f>
        <v>18</v>
      </c>
      <c r="N156" s="921">
        <f>ROUND(L156*M156,0)</f>
        <v>7099218</v>
      </c>
      <c r="O156" s="91">
        <f>'Schedule 2'!$F$190</f>
        <v>18</v>
      </c>
      <c r="P156" s="921">
        <v>7099218</v>
      </c>
      <c r="Q156" s="91">
        <f>M156-O156</f>
        <v>0</v>
      </c>
      <c r="R156" s="921">
        <f>N156-P156</f>
        <v>0</v>
      </c>
      <c r="S156" s="501">
        <f t="shared" si="23"/>
        <v>0</v>
      </c>
      <c r="T156" s="433"/>
      <c r="U156" s="434"/>
      <c r="W156" s="598"/>
      <c r="Y156" s="734"/>
    </row>
    <row r="157" spans="2:25" s="22" customFormat="1" ht="15.6" x14ac:dyDescent="0.3">
      <c r="B157" s="1658"/>
      <c r="C157" s="1680"/>
      <c r="D157" s="1678"/>
      <c r="E157" s="1675"/>
      <c r="F157" s="278" t="s">
        <v>88</v>
      </c>
      <c r="G157" s="10" t="s">
        <v>287</v>
      </c>
      <c r="H157" s="11"/>
      <c r="I157" s="37"/>
      <c r="J157" s="12"/>
      <c r="K157" s="21"/>
      <c r="L157" s="1030"/>
      <c r="M157" s="91"/>
      <c r="N157" s="924"/>
      <c r="O157" s="91"/>
      <c r="P157" s="924"/>
      <c r="Q157" s="91"/>
      <c r="R157" s="924"/>
      <c r="S157" s="501">
        <f t="shared" si="23"/>
        <v>0</v>
      </c>
      <c r="T157" s="433"/>
      <c r="U157" s="442"/>
      <c r="W157" s="598"/>
      <c r="Y157" s="734"/>
    </row>
    <row r="158" spans="2:25" s="22" customFormat="1" ht="15.6" x14ac:dyDescent="0.3">
      <c r="B158" s="1658"/>
      <c r="C158" s="1680"/>
      <c r="D158" s="1678"/>
      <c r="E158" s="1675"/>
      <c r="F158" s="19" t="s">
        <v>90</v>
      </c>
      <c r="G158" s="9" t="s">
        <v>279</v>
      </c>
      <c r="H158" s="11" t="s">
        <v>190</v>
      </c>
      <c r="I158" s="23">
        <v>0.15</v>
      </c>
      <c r="J158" s="12">
        <v>1</v>
      </c>
      <c r="K158" s="25">
        <f>I158*$K$135</f>
        <v>35496090</v>
      </c>
      <c r="L158" s="947">
        <f>IFERROR(K158/J158,0)</f>
        <v>35496090</v>
      </c>
      <c r="M158" s="91">
        <f>'Schedule 2'!F195</f>
        <v>1</v>
      </c>
      <c r="N158" s="921">
        <f>ROUND(L158*M158,0)</f>
        <v>35496090</v>
      </c>
      <c r="O158" s="91">
        <f>'Schedule 2'!F196</f>
        <v>1</v>
      </c>
      <c r="P158" s="921">
        <v>35496090</v>
      </c>
      <c r="Q158" s="91">
        <f>M158-O158</f>
        <v>0</v>
      </c>
      <c r="R158" s="921">
        <f t="shared" si="21"/>
        <v>0</v>
      </c>
      <c r="S158" s="501">
        <f t="shared" si="23"/>
        <v>0</v>
      </c>
      <c r="T158" s="433"/>
      <c r="U158" s="443"/>
      <c r="W158" s="598"/>
      <c r="Y158" s="734"/>
    </row>
    <row r="159" spans="2:25" s="22" customFormat="1" ht="15.6" x14ac:dyDescent="0.3">
      <c r="B159" s="1658"/>
      <c r="C159" s="1680"/>
      <c r="D159" s="1678"/>
      <c r="E159" s="1675"/>
      <c r="F159" s="19" t="s">
        <v>197</v>
      </c>
      <c r="G159" s="9" t="s">
        <v>280</v>
      </c>
      <c r="H159" s="11" t="s">
        <v>190</v>
      </c>
      <c r="I159" s="23">
        <v>0.22</v>
      </c>
      <c r="J159" s="12">
        <v>1</v>
      </c>
      <c r="K159" s="25">
        <f>I159*$K$135</f>
        <v>52060932</v>
      </c>
      <c r="L159" s="947">
        <f>IFERROR(K159/J159,0)</f>
        <v>52060932</v>
      </c>
      <c r="M159" s="92">
        <f>'Schedule 2'!F201</f>
        <v>1</v>
      </c>
      <c r="N159" s="921">
        <f>ROUND(L159*M159,0)</f>
        <v>52060932</v>
      </c>
      <c r="O159" s="91">
        <f>'Schedule 2'!F202</f>
        <v>1</v>
      </c>
      <c r="P159" s="921">
        <v>52060932</v>
      </c>
      <c r="Q159" s="91">
        <f>M159-O159</f>
        <v>0</v>
      </c>
      <c r="R159" s="921">
        <f t="shared" si="21"/>
        <v>0</v>
      </c>
      <c r="S159" s="501">
        <f t="shared" si="23"/>
        <v>0</v>
      </c>
      <c r="T159" s="433"/>
      <c r="U159" s="434"/>
      <c r="W159" s="598"/>
      <c r="Y159" s="734"/>
    </row>
    <row r="160" spans="2:25" s="22" customFormat="1" ht="15.6" x14ac:dyDescent="0.3">
      <c r="B160" s="1658"/>
      <c r="C160" s="1680"/>
      <c r="D160" s="1678"/>
      <c r="E160" s="1675"/>
      <c r="F160" s="278" t="s">
        <v>90</v>
      </c>
      <c r="G160" s="10" t="s">
        <v>288</v>
      </c>
      <c r="H160" s="11"/>
      <c r="I160" s="37"/>
      <c r="J160" s="12"/>
      <c r="K160" s="21"/>
      <c r="L160" s="1030"/>
      <c r="M160" s="91"/>
      <c r="N160" s="924"/>
      <c r="O160" s="91"/>
      <c r="P160" s="924"/>
      <c r="Q160" s="91"/>
      <c r="R160" s="924"/>
      <c r="S160" s="501">
        <f t="shared" si="23"/>
        <v>0</v>
      </c>
      <c r="T160" s="433"/>
      <c r="U160" s="442"/>
      <c r="W160" s="598"/>
      <c r="Y160" s="734"/>
    </row>
    <row r="161" spans="2:25" s="22" customFormat="1" ht="15.6" x14ac:dyDescent="0.3">
      <c r="B161" s="1658"/>
      <c r="C161" s="1680"/>
      <c r="D161" s="1678"/>
      <c r="E161" s="1675"/>
      <c r="F161" s="19" t="s">
        <v>90</v>
      </c>
      <c r="G161" s="9" t="s">
        <v>289</v>
      </c>
      <c r="H161" s="11"/>
      <c r="I161" s="23"/>
      <c r="J161" s="12"/>
      <c r="K161" s="25"/>
      <c r="L161" s="947"/>
      <c r="M161" s="91"/>
      <c r="N161" s="921"/>
      <c r="O161" s="91"/>
      <c r="P161" s="921"/>
      <c r="Q161" s="91"/>
      <c r="R161" s="921"/>
      <c r="S161" s="501">
        <f t="shared" si="23"/>
        <v>0</v>
      </c>
      <c r="T161" s="433"/>
      <c r="U161" s="434"/>
      <c r="W161" s="598"/>
      <c r="Y161" s="734"/>
    </row>
    <row r="162" spans="2:25" s="22" customFormat="1" ht="15.6" x14ac:dyDescent="0.3">
      <c r="B162" s="1658"/>
      <c r="C162" s="1680"/>
      <c r="D162" s="1678"/>
      <c r="E162" s="1675"/>
      <c r="F162" s="5">
        <v>1</v>
      </c>
      <c r="G162" s="57" t="s">
        <v>279</v>
      </c>
      <c r="H162" s="11" t="s">
        <v>188</v>
      </c>
      <c r="I162" s="23">
        <v>5.0000000000000001E-3</v>
      </c>
      <c r="J162" s="12">
        <v>1</v>
      </c>
      <c r="K162" s="25">
        <f>I162*$K$135</f>
        <v>1183203</v>
      </c>
      <c r="L162" s="947">
        <f>IFERROR(K162/J162,0)</f>
        <v>1183203</v>
      </c>
      <c r="M162" s="91">
        <f>'Schedule 2'!F207</f>
        <v>1</v>
      </c>
      <c r="N162" s="921">
        <f>ROUND(L162*M162,0)</f>
        <v>1183203</v>
      </c>
      <c r="O162" s="91">
        <f>'Schedule 2'!F208</f>
        <v>1</v>
      </c>
      <c r="P162" s="921">
        <v>1183203</v>
      </c>
      <c r="Q162" s="91">
        <f>M162-O162</f>
        <v>0</v>
      </c>
      <c r="R162" s="921">
        <f t="shared" si="21"/>
        <v>0</v>
      </c>
      <c r="S162" s="501">
        <f t="shared" si="23"/>
        <v>0</v>
      </c>
      <c r="T162" s="433"/>
      <c r="U162" s="443"/>
      <c r="W162" s="598"/>
      <c r="Y162" s="734"/>
    </row>
    <row r="163" spans="2:25" s="22" customFormat="1" ht="15.6" x14ac:dyDescent="0.3">
      <c r="B163" s="1658"/>
      <c r="C163" s="1680"/>
      <c r="D163" s="1678"/>
      <c r="E163" s="1675"/>
      <c r="F163" s="5">
        <v>2</v>
      </c>
      <c r="G163" s="57" t="s">
        <v>280</v>
      </c>
      <c r="H163" s="11" t="s">
        <v>188</v>
      </c>
      <c r="I163" s="23">
        <v>5.0000000000000001E-3</v>
      </c>
      <c r="J163" s="12">
        <v>1</v>
      </c>
      <c r="K163" s="25">
        <f>I163*$K$135</f>
        <v>1183203</v>
      </c>
      <c r="L163" s="947">
        <f>IFERROR(K163/J163,0)</f>
        <v>1183203</v>
      </c>
      <c r="M163" s="92">
        <f>'Schedule 2'!F213</f>
        <v>1</v>
      </c>
      <c r="N163" s="921">
        <f>ROUND(L163*M163,0)</f>
        <v>1183203</v>
      </c>
      <c r="O163" s="91">
        <f>'Schedule 2'!F214</f>
        <v>1</v>
      </c>
      <c r="P163" s="921">
        <v>1183203</v>
      </c>
      <c r="Q163" s="91">
        <f>M163-O163</f>
        <v>0</v>
      </c>
      <c r="R163" s="921">
        <f t="shared" si="21"/>
        <v>0</v>
      </c>
      <c r="S163" s="501">
        <f t="shared" si="23"/>
        <v>0</v>
      </c>
      <c r="T163" s="433"/>
      <c r="U163" s="434"/>
      <c r="W163" s="598"/>
      <c r="Y163" s="734"/>
    </row>
    <row r="164" spans="2:25" s="22" customFormat="1" ht="15.6" x14ac:dyDescent="0.3">
      <c r="B164" s="1658"/>
      <c r="C164" s="1680"/>
      <c r="D164" s="1678"/>
      <c r="E164" s="1675"/>
      <c r="F164" s="19" t="s">
        <v>197</v>
      </c>
      <c r="G164" s="9" t="s">
        <v>290</v>
      </c>
      <c r="H164" s="11"/>
      <c r="I164" s="23"/>
      <c r="J164" s="12"/>
      <c r="K164" s="25"/>
      <c r="L164" s="947"/>
      <c r="M164" s="91"/>
      <c r="N164" s="921"/>
      <c r="O164" s="91"/>
      <c r="P164" s="921"/>
      <c r="Q164" s="91"/>
      <c r="R164" s="921"/>
      <c r="S164" s="501">
        <f t="shared" si="23"/>
        <v>0</v>
      </c>
      <c r="T164" s="433"/>
      <c r="U164" s="434"/>
      <c r="W164" s="598"/>
      <c r="Y164" s="734"/>
    </row>
    <row r="165" spans="2:25" s="22" customFormat="1" ht="15.6" x14ac:dyDescent="0.3">
      <c r="B165" s="1658"/>
      <c r="C165" s="1680"/>
      <c r="D165" s="1678"/>
      <c r="E165" s="1675"/>
      <c r="F165" s="5">
        <v>1</v>
      </c>
      <c r="G165" s="57" t="s">
        <v>279</v>
      </c>
      <c r="H165" s="11" t="s">
        <v>188</v>
      </c>
      <c r="I165" s="23">
        <v>5.0000000000000001E-3</v>
      </c>
      <c r="J165" s="12">
        <v>1</v>
      </c>
      <c r="K165" s="25">
        <f>I165*$K$135</f>
        <v>1183203</v>
      </c>
      <c r="L165" s="947">
        <f t="shared" ref="L165:L190" si="24">IFERROR(K165/J165,0)</f>
        <v>1183203</v>
      </c>
      <c r="M165" s="91">
        <f>'Schedule 2'!F219</f>
        <v>1</v>
      </c>
      <c r="N165" s="921">
        <f>ROUND(L165*M165,0)</f>
        <v>1183203</v>
      </c>
      <c r="O165" s="91">
        <f>'Schedule 2'!F220</f>
        <v>1</v>
      </c>
      <c r="P165" s="921">
        <v>1183203</v>
      </c>
      <c r="Q165" s="91">
        <f>M165-O165</f>
        <v>0</v>
      </c>
      <c r="R165" s="921">
        <f t="shared" si="21"/>
        <v>0</v>
      </c>
      <c r="S165" s="501">
        <f t="shared" si="23"/>
        <v>0</v>
      </c>
      <c r="T165" s="433"/>
      <c r="U165" s="443"/>
      <c r="W165" s="598"/>
      <c r="Y165" s="734"/>
    </row>
    <row r="166" spans="2:25" s="22" customFormat="1" ht="15.6" x14ac:dyDescent="0.3">
      <c r="B166" s="1658"/>
      <c r="C166" s="1680"/>
      <c r="D166" s="1678"/>
      <c r="E166" s="1675"/>
      <c r="F166" s="5">
        <v>2</v>
      </c>
      <c r="G166" s="57" t="s">
        <v>280</v>
      </c>
      <c r="H166" s="11" t="s">
        <v>188</v>
      </c>
      <c r="I166" s="23">
        <v>5.0000000000000001E-3</v>
      </c>
      <c r="J166" s="12">
        <v>1</v>
      </c>
      <c r="K166" s="25">
        <f>I166*$K$135</f>
        <v>1183203</v>
      </c>
      <c r="L166" s="947">
        <f t="shared" si="24"/>
        <v>1183203</v>
      </c>
      <c r="M166" s="91">
        <f>'Schedule 2'!F232</f>
        <v>1</v>
      </c>
      <c r="N166" s="921">
        <f>ROUND(L166*M166,0)</f>
        <v>1183203</v>
      </c>
      <c r="O166" s="91">
        <f>'Schedule 2'!F233</f>
        <v>1</v>
      </c>
      <c r="P166" s="921">
        <v>1183203</v>
      </c>
      <c r="Q166" s="91">
        <f>M166-O166</f>
        <v>0</v>
      </c>
      <c r="R166" s="921">
        <f t="shared" si="21"/>
        <v>0</v>
      </c>
      <c r="S166" s="501">
        <f t="shared" si="23"/>
        <v>0</v>
      </c>
      <c r="T166" s="433"/>
      <c r="U166" s="443"/>
      <c r="W166" s="598"/>
      <c r="Y166" s="734"/>
    </row>
    <row r="167" spans="2:25" s="22" customFormat="1" ht="15.6" x14ac:dyDescent="0.3">
      <c r="B167" s="1658"/>
      <c r="C167" s="1680"/>
      <c r="D167" s="1678"/>
      <c r="E167" s="1675"/>
      <c r="F167" s="19" t="s">
        <v>208</v>
      </c>
      <c r="G167" s="9" t="s">
        <v>291</v>
      </c>
      <c r="H167" s="11"/>
      <c r="I167" s="23"/>
      <c r="J167" s="12"/>
      <c r="K167" s="25"/>
      <c r="L167" s="947"/>
      <c r="M167" s="91"/>
      <c r="N167" s="921"/>
      <c r="O167" s="91"/>
      <c r="P167" s="921"/>
      <c r="Q167" s="91"/>
      <c r="R167" s="921"/>
      <c r="S167" s="501">
        <f t="shared" si="23"/>
        <v>0</v>
      </c>
      <c r="T167" s="433"/>
      <c r="U167" s="434"/>
      <c r="W167" s="598"/>
      <c r="Y167" s="734"/>
    </row>
    <row r="168" spans="2:25" s="22" customFormat="1" ht="15.6" x14ac:dyDescent="0.3">
      <c r="B168" s="1658"/>
      <c r="C168" s="1680"/>
      <c r="D168" s="1678"/>
      <c r="E168" s="1675"/>
      <c r="F168" s="5">
        <v>1</v>
      </c>
      <c r="G168" s="57" t="s">
        <v>279</v>
      </c>
      <c r="H168" s="11" t="s">
        <v>190</v>
      </c>
      <c r="I168" s="23">
        <v>5.0000000000000001E-3</v>
      </c>
      <c r="J168" s="12">
        <v>2</v>
      </c>
      <c r="K168" s="25">
        <f>I168*$K$135</f>
        <v>1183203</v>
      </c>
      <c r="L168" s="947">
        <f>IFERROR(K168/J168,0)</f>
        <v>591601.5</v>
      </c>
      <c r="M168" s="91">
        <f>'Schedule 2'!$F$226</f>
        <v>2</v>
      </c>
      <c r="N168" s="921">
        <f>ROUND(L168*M168,0)</f>
        <v>1183203</v>
      </c>
      <c r="O168" s="91">
        <f>'Schedule 2'!$F$227</f>
        <v>2</v>
      </c>
      <c r="P168" s="921">
        <v>1183203</v>
      </c>
      <c r="Q168" s="91">
        <f>M168-O168</f>
        <v>0</v>
      </c>
      <c r="R168" s="924">
        <f t="shared" si="21"/>
        <v>0</v>
      </c>
      <c r="S168" s="501">
        <f t="shared" si="23"/>
        <v>0</v>
      </c>
      <c r="T168" s="433"/>
      <c r="U168" s="434"/>
      <c r="W168" s="598"/>
      <c r="X168" s="394"/>
      <c r="Y168" s="734"/>
    </row>
    <row r="169" spans="2:25" s="22" customFormat="1" ht="15.6" x14ac:dyDescent="0.3">
      <c r="B169" s="1658"/>
      <c r="C169" s="1680"/>
      <c r="D169" s="1678"/>
      <c r="E169" s="1675"/>
      <c r="F169" s="5">
        <v>2</v>
      </c>
      <c r="G169" s="57" t="s">
        <v>280</v>
      </c>
      <c r="H169" s="11" t="s">
        <v>190</v>
      </c>
      <c r="I169" s="23">
        <v>5.0000000000000001E-3</v>
      </c>
      <c r="J169" s="12">
        <v>2</v>
      </c>
      <c r="K169" s="25">
        <f>I169*$K$135</f>
        <v>1183203</v>
      </c>
      <c r="L169" s="947">
        <f>IFERROR(K169/J169,0)</f>
        <v>591601.5</v>
      </c>
      <c r="M169" s="91">
        <v>0</v>
      </c>
      <c r="N169" s="921">
        <f>ROUND(L169*M169,0)</f>
        <v>0</v>
      </c>
      <c r="O169" s="91">
        <v>0</v>
      </c>
      <c r="P169" s="921">
        <v>0</v>
      </c>
      <c r="Q169" s="91">
        <f>M169-O169</f>
        <v>0</v>
      </c>
      <c r="R169" s="921">
        <f t="shared" si="21"/>
        <v>0</v>
      </c>
      <c r="S169" s="501">
        <f t="shared" si="23"/>
        <v>2</v>
      </c>
      <c r="T169" s="433"/>
      <c r="U169" s="434"/>
      <c r="W169" s="598"/>
      <c r="Y169" s="734"/>
    </row>
    <row r="170" spans="2:25" s="22" customFormat="1" ht="15.6" x14ac:dyDescent="0.3">
      <c r="B170" s="1658"/>
      <c r="C170" s="1680"/>
      <c r="D170" s="1678"/>
      <c r="E170" s="1675"/>
      <c r="F170" s="19" t="s">
        <v>238</v>
      </c>
      <c r="G170" s="9" t="s">
        <v>215</v>
      </c>
      <c r="H170" s="11"/>
      <c r="I170" s="23"/>
      <c r="J170" s="12"/>
      <c r="K170" s="25"/>
      <c r="L170" s="947"/>
      <c r="M170" s="91"/>
      <c r="N170" s="921"/>
      <c r="O170" s="91"/>
      <c r="P170" s="921"/>
      <c r="Q170" s="91"/>
      <c r="R170" s="921"/>
      <c r="S170" s="501">
        <f t="shared" si="23"/>
        <v>0</v>
      </c>
      <c r="T170" s="433"/>
      <c r="U170" s="434"/>
      <c r="W170" s="598"/>
      <c r="Y170" s="734"/>
    </row>
    <row r="171" spans="2:25" s="22" customFormat="1" ht="15.6" x14ac:dyDescent="0.3">
      <c r="B171" s="1658"/>
      <c r="C171" s="1680"/>
      <c r="D171" s="1678"/>
      <c r="E171" s="1675"/>
      <c r="F171" s="5">
        <v>1</v>
      </c>
      <c r="G171" s="57" t="s">
        <v>279</v>
      </c>
      <c r="H171" s="11" t="s">
        <v>188</v>
      </c>
      <c r="I171" s="23">
        <v>5.0000000000000001E-3</v>
      </c>
      <c r="J171" s="12">
        <v>1</v>
      </c>
      <c r="K171" s="25">
        <f>I171*$K$135</f>
        <v>1183203</v>
      </c>
      <c r="L171" s="947">
        <f t="shared" si="24"/>
        <v>1183203</v>
      </c>
      <c r="M171" s="91">
        <f>'Schedule 2'!F238</f>
        <v>1</v>
      </c>
      <c r="N171" s="921">
        <f>ROUND(L171*M171,0)</f>
        <v>1183203</v>
      </c>
      <c r="O171" s="91">
        <f>'Schedule 2'!F239</f>
        <v>1</v>
      </c>
      <c r="P171" s="921">
        <v>1183203</v>
      </c>
      <c r="Q171" s="91">
        <f>M171-O171</f>
        <v>0</v>
      </c>
      <c r="R171" s="921">
        <f t="shared" si="21"/>
        <v>0</v>
      </c>
      <c r="S171" s="501">
        <f t="shared" si="23"/>
        <v>0</v>
      </c>
      <c r="T171" s="433"/>
      <c r="U171" s="443"/>
      <c r="W171" s="598"/>
      <c r="Y171" s="734"/>
    </row>
    <row r="172" spans="2:25" s="22" customFormat="1" ht="15.6" x14ac:dyDescent="0.3">
      <c r="B172" s="1658"/>
      <c r="C172" s="1680"/>
      <c r="D172" s="1678"/>
      <c r="E172" s="1675"/>
      <c r="F172" s="5">
        <v>2</v>
      </c>
      <c r="G172" s="57" t="s">
        <v>280</v>
      </c>
      <c r="H172" s="11" t="s">
        <v>188</v>
      </c>
      <c r="I172" s="23">
        <v>5.0000000000000001E-3</v>
      </c>
      <c r="J172" s="12">
        <v>1</v>
      </c>
      <c r="K172" s="25">
        <f>I172*$K$135</f>
        <v>1183203</v>
      </c>
      <c r="L172" s="947">
        <f t="shared" si="24"/>
        <v>1183203</v>
      </c>
      <c r="M172" s="91">
        <f>'Schedule 2'!F244</f>
        <v>1</v>
      </c>
      <c r="N172" s="921">
        <f>ROUND(L172*M172,0)</f>
        <v>1183203</v>
      </c>
      <c r="O172" s="91">
        <f>'Schedule 2'!F245</f>
        <v>1</v>
      </c>
      <c r="P172" s="921">
        <v>1183203</v>
      </c>
      <c r="Q172" s="91">
        <f>M172-O172</f>
        <v>0</v>
      </c>
      <c r="R172" s="921">
        <f t="shared" si="21"/>
        <v>0</v>
      </c>
      <c r="S172" s="501">
        <f t="shared" si="23"/>
        <v>0</v>
      </c>
      <c r="T172" s="433"/>
      <c r="U172" s="443"/>
      <c r="W172" s="598"/>
      <c r="Y172" s="734"/>
    </row>
    <row r="173" spans="2:25" s="22" customFormat="1" ht="15.6" x14ac:dyDescent="0.3">
      <c r="B173" s="1658"/>
      <c r="C173" s="1680"/>
      <c r="D173" s="1678"/>
      <c r="E173" s="1675"/>
      <c r="F173" s="19" t="s">
        <v>240</v>
      </c>
      <c r="G173" s="9" t="s">
        <v>213</v>
      </c>
      <c r="H173" s="11"/>
      <c r="I173" s="23"/>
      <c r="J173" s="12"/>
      <c r="K173" s="25"/>
      <c r="L173" s="947"/>
      <c r="M173" s="91"/>
      <c r="N173" s="921"/>
      <c r="O173" s="91"/>
      <c r="P173" s="921"/>
      <c r="Q173" s="91"/>
      <c r="R173" s="921"/>
      <c r="S173" s="501">
        <f t="shared" si="23"/>
        <v>0</v>
      </c>
      <c r="T173" s="433"/>
      <c r="U173" s="434"/>
      <c r="W173" s="598"/>
      <c r="Y173" s="734"/>
    </row>
    <row r="174" spans="2:25" s="22" customFormat="1" ht="15.6" x14ac:dyDescent="0.3">
      <c r="B174" s="1658"/>
      <c r="C174" s="1680"/>
      <c r="D174" s="1678"/>
      <c r="E174" s="1675"/>
      <c r="F174" s="5">
        <v>1</v>
      </c>
      <c r="G174" s="57" t="s">
        <v>279</v>
      </c>
      <c r="H174" s="11" t="s">
        <v>188</v>
      </c>
      <c r="I174" s="23">
        <v>5.0000000000000001E-3</v>
      </c>
      <c r="J174" s="12">
        <v>1</v>
      </c>
      <c r="K174" s="25">
        <f>I174*$K$135</f>
        <v>1183203</v>
      </c>
      <c r="L174" s="947">
        <f t="shared" si="24"/>
        <v>1183203</v>
      </c>
      <c r="M174" s="91">
        <f>'Schedule 2'!F251</f>
        <v>1</v>
      </c>
      <c r="N174" s="921">
        <f>ROUND(L174*M174,0)</f>
        <v>1183203</v>
      </c>
      <c r="O174" s="91">
        <f>'Schedule 2'!F252</f>
        <v>1</v>
      </c>
      <c r="P174" s="921">
        <v>1183203</v>
      </c>
      <c r="Q174" s="91">
        <f>M174-O174</f>
        <v>0</v>
      </c>
      <c r="R174" s="921">
        <f t="shared" si="21"/>
        <v>0</v>
      </c>
      <c r="S174" s="501">
        <f t="shared" si="23"/>
        <v>0</v>
      </c>
      <c r="T174" s="433"/>
      <c r="U174" s="443"/>
      <c r="W174" s="598"/>
      <c r="Y174" s="734"/>
    </row>
    <row r="175" spans="2:25" s="22" customFormat="1" ht="15.6" x14ac:dyDescent="0.3">
      <c r="B175" s="1658"/>
      <c r="C175" s="1680"/>
      <c r="D175" s="1678"/>
      <c r="E175" s="1675"/>
      <c r="F175" s="5">
        <v>2</v>
      </c>
      <c r="G175" s="57" t="s">
        <v>280</v>
      </c>
      <c r="H175" s="11" t="s">
        <v>188</v>
      </c>
      <c r="I175" s="23">
        <v>5.0000000000000001E-3</v>
      </c>
      <c r="J175" s="12">
        <v>1</v>
      </c>
      <c r="K175" s="25">
        <f>I175*$K$135</f>
        <v>1183203</v>
      </c>
      <c r="L175" s="947">
        <f t="shared" si="24"/>
        <v>1183203</v>
      </c>
      <c r="M175" s="91">
        <f>'Schedule 2'!F257</f>
        <v>1</v>
      </c>
      <c r="N175" s="921">
        <f>ROUND(L175*M175,0)</f>
        <v>1183203</v>
      </c>
      <c r="O175" s="91">
        <f>'Schedule 2'!F258</f>
        <v>1</v>
      </c>
      <c r="P175" s="921">
        <v>1183203</v>
      </c>
      <c r="Q175" s="91">
        <f>M175-O175</f>
        <v>0</v>
      </c>
      <c r="R175" s="921">
        <f t="shared" si="21"/>
        <v>0</v>
      </c>
      <c r="S175" s="501">
        <f t="shared" si="23"/>
        <v>0</v>
      </c>
      <c r="T175" s="433"/>
      <c r="U175" s="443"/>
      <c r="W175" s="598"/>
      <c r="Y175" s="734"/>
    </row>
    <row r="176" spans="2:25" s="22" customFormat="1" ht="15.6" x14ac:dyDescent="0.3">
      <c r="B176" s="1658"/>
      <c r="C176" s="1680"/>
      <c r="D176" s="1678"/>
      <c r="E176" s="1675"/>
      <c r="F176" s="19" t="s">
        <v>254</v>
      </c>
      <c r="G176" s="9" t="s">
        <v>214</v>
      </c>
      <c r="H176" s="11"/>
      <c r="I176" s="23"/>
      <c r="J176" s="12"/>
      <c r="K176" s="25"/>
      <c r="L176" s="947"/>
      <c r="M176" s="91"/>
      <c r="N176" s="921"/>
      <c r="O176" s="91"/>
      <c r="P176" s="921"/>
      <c r="Q176" s="91"/>
      <c r="R176" s="921"/>
      <c r="S176" s="501">
        <f t="shared" si="23"/>
        <v>0</v>
      </c>
      <c r="T176" s="433"/>
      <c r="U176" s="434"/>
      <c r="W176" s="598"/>
      <c r="Y176" s="734"/>
    </row>
    <row r="177" spans="2:25" s="22" customFormat="1" ht="15.6" x14ac:dyDescent="0.3">
      <c r="B177" s="1658"/>
      <c r="C177" s="1680"/>
      <c r="D177" s="1678"/>
      <c r="E177" s="1675"/>
      <c r="F177" s="5">
        <v>1</v>
      </c>
      <c r="G177" s="57" t="s">
        <v>279</v>
      </c>
      <c r="H177" s="11" t="s">
        <v>188</v>
      </c>
      <c r="I177" s="23">
        <v>5.0000000000000001E-3</v>
      </c>
      <c r="J177" s="12">
        <v>1</v>
      </c>
      <c r="K177" s="25">
        <f>I177*$K$135</f>
        <v>1183203</v>
      </c>
      <c r="L177" s="947">
        <f t="shared" si="24"/>
        <v>1183203</v>
      </c>
      <c r="M177" s="91">
        <f>'Schedule 2'!F263</f>
        <v>1</v>
      </c>
      <c r="N177" s="921">
        <f>ROUND(L177*M177,0)</f>
        <v>1183203</v>
      </c>
      <c r="O177" s="91">
        <f>'Schedule 2'!F264</f>
        <v>1</v>
      </c>
      <c r="P177" s="921">
        <v>1183203</v>
      </c>
      <c r="Q177" s="91">
        <f>M177-O177</f>
        <v>0</v>
      </c>
      <c r="R177" s="921">
        <f t="shared" si="21"/>
        <v>0</v>
      </c>
      <c r="S177" s="501">
        <f t="shared" si="23"/>
        <v>0</v>
      </c>
      <c r="T177" s="433"/>
      <c r="U177" s="443"/>
      <c r="W177" s="598"/>
      <c r="Y177" s="734"/>
    </row>
    <row r="178" spans="2:25" s="22" customFormat="1" ht="15.6" x14ac:dyDescent="0.3">
      <c r="B178" s="1658"/>
      <c r="C178" s="1680"/>
      <c r="D178" s="1678"/>
      <c r="E178" s="1675"/>
      <c r="F178" s="5">
        <v>2</v>
      </c>
      <c r="G178" s="57" t="s">
        <v>280</v>
      </c>
      <c r="H178" s="11" t="s">
        <v>188</v>
      </c>
      <c r="I178" s="23">
        <v>5.0000000000000001E-3</v>
      </c>
      <c r="J178" s="12">
        <v>1</v>
      </c>
      <c r="K178" s="25">
        <f>I178*$K$135</f>
        <v>1183203</v>
      </c>
      <c r="L178" s="947">
        <f t="shared" si="24"/>
        <v>1183203</v>
      </c>
      <c r="M178" s="91">
        <f>'Schedule 2'!F269</f>
        <v>1</v>
      </c>
      <c r="N178" s="921">
        <f>ROUND(L178*M178,0)</f>
        <v>1183203</v>
      </c>
      <c r="O178" s="91">
        <f>'Schedule 2'!F270</f>
        <v>1</v>
      </c>
      <c r="P178" s="921">
        <v>1183203</v>
      </c>
      <c r="Q178" s="91">
        <f>M178-O178</f>
        <v>0</v>
      </c>
      <c r="R178" s="921">
        <f t="shared" si="21"/>
        <v>0</v>
      </c>
      <c r="S178" s="501">
        <f t="shared" si="23"/>
        <v>0</v>
      </c>
      <c r="T178" s="433"/>
      <c r="U178" s="443"/>
      <c r="W178" s="598"/>
      <c r="Y178" s="734"/>
    </row>
    <row r="179" spans="2:25" s="22" customFormat="1" ht="15.6" x14ac:dyDescent="0.3">
      <c r="B179" s="1658"/>
      <c r="C179" s="1680"/>
      <c r="D179" s="1678"/>
      <c r="E179" s="1675"/>
      <c r="F179" s="19" t="s">
        <v>292</v>
      </c>
      <c r="G179" s="9" t="s">
        <v>293</v>
      </c>
      <c r="H179" s="11"/>
      <c r="I179" s="23"/>
      <c r="J179" s="12"/>
      <c r="K179" s="25"/>
      <c r="L179" s="947"/>
      <c r="M179" s="91"/>
      <c r="N179" s="921"/>
      <c r="O179" s="91"/>
      <c r="P179" s="921"/>
      <c r="Q179" s="91"/>
      <c r="R179" s="921"/>
      <c r="S179" s="501">
        <f t="shared" si="23"/>
        <v>0</v>
      </c>
      <c r="T179" s="433"/>
      <c r="U179" s="434"/>
      <c r="W179" s="598"/>
      <c r="Y179" s="734"/>
    </row>
    <row r="180" spans="2:25" s="22" customFormat="1" ht="15.6" x14ac:dyDescent="0.3">
      <c r="B180" s="1658"/>
      <c r="C180" s="1680"/>
      <c r="D180" s="1678"/>
      <c r="E180" s="1675"/>
      <c r="F180" s="5">
        <v>1</v>
      </c>
      <c r="G180" s="57" t="s">
        <v>279</v>
      </c>
      <c r="H180" s="11" t="s">
        <v>188</v>
      </c>
      <c r="I180" s="23">
        <v>5.0000000000000001E-3</v>
      </c>
      <c r="J180" s="12">
        <v>1</v>
      </c>
      <c r="K180" s="25">
        <f>I180*$K$135</f>
        <v>1183203</v>
      </c>
      <c r="L180" s="947">
        <f t="shared" si="24"/>
        <v>1183203</v>
      </c>
      <c r="M180" s="91">
        <f>'Schedule 2'!$F$275</f>
        <v>1</v>
      </c>
      <c r="N180" s="921">
        <f>ROUND(L180*M180,0)</f>
        <v>1183203</v>
      </c>
      <c r="O180" s="91">
        <f>'Schedule 2'!$F$276</f>
        <v>1</v>
      </c>
      <c r="P180" s="921">
        <v>1183203</v>
      </c>
      <c r="Q180" s="91">
        <f>M180-O180</f>
        <v>0</v>
      </c>
      <c r="R180" s="921">
        <f t="shared" si="21"/>
        <v>0</v>
      </c>
      <c r="S180" s="501">
        <f t="shared" si="23"/>
        <v>0</v>
      </c>
      <c r="T180" s="433"/>
      <c r="U180" s="434"/>
      <c r="W180" s="598"/>
      <c r="Y180" s="734"/>
    </row>
    <row r="181" spans="2:25" s="22" customFormat="1" ht="15.6" x14ac:dyDescent="0.3">
      <c r="B181" s="1658"/>
      <c r="C181" s="1680"/>
      <c r="D181" s="1678"/>
      <c r="E181" s="1675"/>
      <c r="F181" s="5">
        <v>2</v>
      </c>
      <c r="G181" s="57" t="s">
        <v>280</v>
      </c>
      <c r="H181" s="11" t="s">
        <v>188</v>
      </c>
      <c r="I181" s="23">
        <v>5.0000000000000001E-3</v>
      </c>
      <c r="J181" s="12">
        <v>1</v>
      </c>
      <c r="K181" s="25">
        <f>I181*$K$135</f>
        <v>1183203</v>
      </c>
      <c r="L181" s="947">
        <f t="shared" si="24"/>
        <v>1183203</v>
      </c>
      <c r="M181" s="91">
        <v>0</v>
      </c>
      <c r="N181" s="921">
        <f>ROUND(L181*M181,0)</f>
        <v>0</v>
      </c>
      <c r="O181" s="91">
        <v>0</v>
      </c>
      <c r="P181" s="921">
        <v>0</v>
      </c>
      <c r="Q181" s="91">
        <f>M181-O181</f>
        <v>0</v>
      </c>
      <c r="R181" s="921">
        <f t="shared" si="21"/>
        <v>0</v>
      </c>
      <c r="S181" s="501">
        <f t="shared" si="23"/>
        <v>1</v>
      </c>
      <c r="T181" s="433"/>
      <c r="U181" s="434"/>
      <c r="W181" s="598"/>
      <c r="Y181" s="734"/>
    </row>
    <row r="182" spans="2:25" s="22" customFormat="1" ht="15.6" x14ac:dyDescent="0.3">
      <c r="B182" s="1658"/>
      <c r="C182" s="1680"/>
      <c r="D182" s="1678"/>
      <c r="E182" s="1675"/>
      <c r="F182" s="19" t="s">
        <v>294</v>
      </c>
      <c r="G182" s="9" t="s">
        <v>295</v>
      </c>
      <c r="H182" s="11"/>
      <c r="I182" s="23"/>
      <c r="J182" s="12"/>
      <c r="K182" s="25"/>
      <c r="L182" s="947"/>
      <c r="M182" s="91"/>
      <c r="N182" s="921"/>
      <c r="O182" s="91"/>
      <c r="P182" s="921"/>
      <c r="Q182" s="91"/>
      <c r="R182" s="921"/>
      <c r="S182" s="501">
        <f t="shared" si="23"/>
        <v>0</v>
      </c>
      <c r="T182" s="433"/>
      <c r="U182" s="434"/>
      <c r="W182" s="598"/>
      <c r="Y182" s="734"/>
    </row>
    <row r="183" spans="2:25" s="22" customFormat="1" ht="15.6" x14ac:dyDescent="0.3">
      <c r="B183" s="1658"/>
      <c r="C183" s="1680"/>
      <c r="D183" s="1678"/>
      <c r="E183" s="1675"/>
      <c r="F183" s="5">
        <v>1</v>
      </c>
      <c r="G183" s="57" t="s">
        <v>279</v>
      </c>
      <c r="H183" s="11" t="s">
        <v>188</v>
      </c>
      <c r="I183" s="23">
        <v>5.0000000000000001E-3</v>
      </c>
      <c r="J183" s="12">
        <v>1</v>
      </c>
      <c r="K183" s="25">
        <f>I183*$K$135</f>
        <v>1183203</v>
      </c>
      <c r="L183" s="947">
        <f t="shared" si="24"/>
        <v>1183203</v>
      </c>
      <c r="M183" s="91">
        <f>'Schedule 2'!$F$281</f>
        <v>1</v>
      </c>
      <c r="N183" s="921">
        <f>ROUND(L183*M183,0)</f>
        <v>1183203</v>
      </c>
      <c r="O183" s="91">
        <f>'Schedule 2'!$F$282</f>
        <v>1</v>
      </c>
      <c r="P183" s="921">
        <v>1183203</v>
      </c>
      <c r="Q183" s="91">
        <f>M183-O183</f>
        <v>0</v>
      </c>
      <c r="R183" s="921">
        <f t="shared" si="21"/>
        <v>0</v>
      </c>
      <c r="S183" s="501">
        <f t="shared" si="23"/>
        <v>0</v>
      </c>
      <c r="T183" s="433"/>
      <c r="U183" s="434"/>
      <c r="W183" s="598"/>
      <c r="Y183" s="734"/>
    </row>
    <row r="184" spans="2:25" s="22" customFormat="1" ht="15.6" x14ac:dyDescent="0.3">
      <c r="B184" s="1658"/>
      <c r="C184" s="1680"/>
      <c r="D184" s="1678"/>
      <c r="E184" s="1675"/>
      <c r="F184" s="5">
        <v>2</v>
      </c>
      <c r="G184" s="57" t="s">
        <v>280</v>
      </c>
      <c r="H184" s="11" t="s">
        <v>188</v>
      </c>
      <c r="I184" s="23">
        <v>5.0000000000000001E-3</v>
      </c>
      <c r="J184" s="12">
        <v>1</v>
      </c>
      <c r="K184" s="25">
        <f>I184*$K$135</f>
        <v>1183203</v>
      </c>
      <c r="L184" s="947">
        <f t="shared" si="24"/>
        <v>1183203</v>
      </c>
      <c r="M184" s="91">
        <f>'Schedule 2'!$F$287</f>
        <v>1</v>
      </c>
      <c r="N184" s="921">
        <f>ROUND(L184*M184,0)</f>
        <v>1183203</v>
      </c>
      <c r="O184" s="91">
        <f>'Schedule 2'!$F$288</f>
        <v>1</v>
      </c>
      <c r="P184" s="921">
        <v>1183203</v>
      </c>
      <c r="Q184" s="91">
        <f>M184-O184</f>
        <v>0</v>
      </c>
      <c r="R184" s="921">
        <f t="shared" si="21"/>
        <v>0</v>
      </c>
      <c r="S184" s="501">
        <f t="shared" si="23"/>
        <v>0</v>
      </c>
      <c r="T184" s="433"/>
      <c r="U184" s="434"/>
      <c r="W184" s="598"/>
      <c r="Y184" s="734"/>
    </row>
    <row r="185" spans="2:25" s="22" customFormat="1" ht="15.6" x14ac:dyDescent="0.3">
      <c r="B185" s="1658"/>
      <c r="C185" s="1680"/>
      <c r="D185" s="1678"/>
      <c r="E185" s="1675"/>
      <c r="F185" s="19" t="s">
        <v>296</v>
      </c>
      <c r="G185" s="9" t="s">
        <v>297</v>
      </c>
      <c r="H185" s="11"/>
      <c r="I185" s="23"/>
      <c r="J185" s="12"/>
      <c r="K185" s="25"/>
      <c r="L185" s="947"/>
      <c r="M185" s="91"/>
      <c r="N185" s="921"/>
      <c r="O185" s="91"/>
      <c r="P185" s="921"/>
      <c r="Q185" s="91"/>
      <c r="R185" s="921"/>
      <c r="S185" s="501">
        <f t="shared" si="23"/>
        <v>0</v>
      </c>
      <c r="T185" s="433"/>
      <c r="U185" s="434"/>
      <c r="W185" s="598"/>
      <c r="Y185" s="734"/>
    </row>
    <row r="186" spans="2:25" s="22" customFormat="1" ht="15.6" x14ac:dyDescent="0.3">
      <c r="B186" s="1658"/>
      <c r="C186" s="1680"/>
      <c r="D186" s="1678"/>
      <c r="E186" s="1675"/>
      <c r="F186" s="5">
        <v>1</v>
      </c>
      <c r="G186" s="57" t="s">
        <v>279</v>
      </c>
      <c r="H186" s="11" t="s">
        <v>188</v>
      </c>
      <c r="I186" s="23">
        <v>5.0000000000000001E-3</v>
      </c>
      <c r="J186" s="12">
        <v>1</v>
      </c>
      <c r="K186" s="25">
        <f>I186*$K$135</f>
        <v>1183203</v>
      </c>
      <c r="L186" s="947">
        <f t="shared" si="24"/>
        <v>1183203</v>
      </c>
      <c r="M186" s="91">
        <f>'Schedule 2'!$F$293</f>
        <v>1</v>
      </c>
      <c r="N186" s="921">
        <f>ROUND(L186*M186,0)</f>
        <v>1183203</v>
      </c>
      <c r="O186" s="91">
        <f>'Schedule 2'!$F$294</f>
        <v>1</v>
      </c>
      <c r="P186" s="921">
        <v>1183203</v>
      </c>
      <c r="Q186" s="91">
        <f>M186-O186</f>
        <v>0</v>
      </c>
      <c r="R186" s="921">
        <f t="shared" ref="R186:R252" si="25">N186-P186</f>
        <v>0</v>
      </c>
      <c r="S186" s="501">
        <f t="shared" si="23"/>
        <v>0</v>
      </c>
      <c r="T186" s="433"/>
      <c r="U186" s="434"/>
      <c r="W186" s="598"/>
      <c r="Y186" s="734"/>
    </row>
    <row r="187" spans="2:25" s="22" customFormat="1" ht="15.6" x14ac:dyDescent="0.3">
      <c r="B187" s="1658"/>
      <c r="C187" s="1680"/>
      <c r="D187" s="1678"/>
      <c r="E187" s="1675"/>
      <c r="F187" s="5">
        <v>2</v>
      </c>
      <c r="G187" s="57" t="s">
        <v>280</v>
      </c>
      <c r="H187" s="11" t="s">
        <v>188</v>
      </c>
      <c r="I187" s="23">
        <v>5.0000000000000001E-3</v>
      </c>
      <c r="J187" s="12">
        <v>1</v>
      </c>
      <c r="K187" s="25">
        <f>I187*$K$135</f>
        <v>1183203</v>
      </c>
      <c r="L187" s="947">
        <f t="shared" si="24"/>
        <v>1183203</v>
      </c>
      <c r="M187" s="91">
        <f>'Schedule 2'!$F$299</f>
        <v>1</v>
      </c>
      <c r="N187" s="921">
        <f>ROUND(L187*M187,0)</f>
        <v>1183203</v>
      </c>
      <c r="O187" s="91">
        <f>'Schedule 2'!$F$300</f>
        <v>1</v>
      </c>
      <c r="P187" s="921">
        <v>1183203</v>
      </c>
      <c r="Q187" s="91">
        <f>M187-O187</f>
        <v>0</v>
      </c>
      <c r="R187" s="921">
        <f t="shared" si="25"/>
        <v>0</v>
      </c>
      <c r="S187" s="501">
        <f t="shared" si="23"/>
        <v>0</v>
      </c>
      <c r="T187" s="433"/>
      <c r="U187" s="434"/>
      <c r="W187" s="598"/>
      <c r="Y187" s="734"/>
    </row>
    <row r="188" spans="2:25" s="22" customFormat="1" ht="15.6" x14ac:dyDescent="0.3">
      <c r="B188" s="1658"/>
      <c r="C188" s="1680"/>
      <c r="D188" s="1678"/>
      <c r="E188" s="1675"/>
      <c r="F188" s="19" t="s">
        <v>298</v>
      </c>
      <c r="G188" s="9" t="s">
        <v>299</v>
      </c>
      <c r="H188" s="11"/>
      <c r="I188" s="23"/>
      <c r="J188" s="12"/>
      <c r="K188" s="25"/>
      <c r="L188" s="947"/>
      <c r="M188" s="91"/>
      <c r="N188" s="921"/>
      <c r="O188" s="91"/>
      <c r="P188" s="921"/>
      <c r="Q188" s="91"/>
      <c r="R188" s="921"/>
      <c r="S188" s="501">
        <f t="shared" si="23"/>
        <v>0</v>
      </c>
      <c r="T188" s="433"/>
      <c r="U188" s="434"/>
      <c r="W188" s="598"/>
      <c r="Y188" s="734"/>
    </row>
    <row r="189" spans="2:25" s="22" customFormat="1" ht="15.6" x14ac:dyDescent="0.3">
      <c r="B189" s="1658"/>
      <c r="C189" s="1680"/>
      <c r="D189" s="1678"/>
      <c r="E189" s="1675"/>
      <c r="F189" s="5">
        <v>1</v>
      </c>
      <c r="G189" s="57" t="s">
        <v>279</v>
      </c>
      <c r="H189" s="11" t="s">
        <v>188</v>
      </c>
      <c r="I189" s="23">
        <v>5.0000000000000001E-3</v>
      </c>
      <c r="J189" s="12">
        <v>1</v>
      </c>
      <c r="K189" s="25">
        <f>I189*$K$135</f>
        <v>1183203</v>
      </c>
      <c r="L189" s="947">
        <f t="shared" si="24"/>
        <v>1183203</v>
      </c>
      <c r="M189" s="91">
        <v>0</v>
      </c>
      <c r="N189" s="921">
        <f>ROUND(L189*M189,0)</f>
        <v>0</v>
      </c>
      <c r="O189" s="91">
        <v>0</v>
      </c>
      <c r="P189" s="921">
        <v>0</v>
      </c>
      <c r="Q189" s="91">
        <f>M189-O189</f>
        <v>0</v>
      </c>
      <c r="R189" s="921">
        <f t="shared" si="25"/>
        <v>0</v>
      </c>
      <c r="S189" s="501">
        <f t="shared" si="23"/>
        <v>1</v>
      </c>
      <c r="T189" s="433"/>
      <c r="U189" s="434"/>
      <c r="W189" s="598"/>
      <c r="Y189" s="734"/>
    </row>
    <row r="190" spans="2:25" s="22" customFormat="1" ht="15.6" x14ac:dyDescent="0.3">
      <c r="B190" s="1658"/>
      <c r="C190" s="1680"/>
      <c r="D190" s="1678"/>
      <c r="E190" s="1675"/>
      <c r="F190" s="5">
        <v>2</v>
      </c>
      <c r="G190" s="57" t="s">
        <v>280</v>
      </c>
      <c r="H190" s="11" t="s">
        <v>188</v>
      </c>
      <c r="I190" s="23">
        <v>5.0000000000000001E-3</v>
      </c>
      <c r="J190" s="12">
        <v>1</v>
      </c>
      <c r="K190" s="25">
        <f>I190*$K$135</f>
        <v>1183203</v>
      </c>
      <c r="L190" s="947">
        <f t="shared" si="24"/>
        <v>1183203</v>
      </c>
      <c r="M190" s="91">
        <v>0</v>
      </c>
      <c r="N190" s="921">
        <f>ROUND(L190*M190,0)</f>
        <v>0</v>
      </c>
      <c r="O190" s="91">
        <v>0</v>
      </c>
      <c r="P190" s="921">
        <v>0</v>
      </c>
      <c r="Q190" s="91">
        <f>M190-O190</f>
        <v>0</v>
      </c>
      <c r="R190" s="921">
        <f t="shared" si="25"/>
        <v>0</v>
      </c>
      <c r="S190" s="501">
        <f t="shared" si="23"/>
        <v>1</v>
      </c>
      <c r="T190" s="433"/>
      <c r="U190" s="434"/>
      <c r="W190" s="598"/>
      <c r="Y190" s="734"/>
    </row>
    <row r="191" spans="2:25" s="22" customFormat="1" ht="15.6" x14ac:dyDescent="0.3">
      <c r="B191" s="1658"/>
      <c r="C191" s="1680"/>
      <c r="D191" s="1678"/>
      <c r="E191" s="1675"/>
      <c r="F191" s="19" t="s">
        <v>300</v>
      </c>
      <c r="G191" s="9" t="s">
        <v>301</v>
      </c>
      <c r="H191" s="11"/>
      <c r="I191" s="23"/>
      <c r="J191" s="12"/>
      <c r="K191" s="25"/>
      <c r="L191" s="947"/>
      <c r="M191" s="91"/>
      <c r="N191" s="921"/>
      <c r="O191" s="91"/>
      <c r="P191" s="921"/>
      <c r="Q191" s="91"/>
      <c r="R191" s="921"/>
      <c r="S191" s="501">
        <f t="shared" si="23"/>
        <v>0</v>
      </c>
      <c r="T191" s="433"/>
      <c r="U191" s="434"/>
      <c r="W191" s="598"/>
      <c r="Y191" s="734"/>
    </row>
    <row r="192" spans="2:25" s="22" customFormat="1" ht="15.6" x14ac:dyDescent="0.3">
      <c r="B192" s="1658"/>
      <c r="C192" s="1680"/>
      <c r="D192" s="1678"/>
      <c r="E192" s="1675"/>
      <c r="F192" s="5">
        <v>1</v>
      </c>
      <c r="G192" s="57" t="s">
        <v>279</v>
      </c>
      <c r="H192" s="11" t="s">
        <v>188</v>
      </c>
      <c r="I192" s="23">
        <v>5.0000000000000001E-3</v>
      </c>
      <c r="J192" s="12">
        <v>1</v>
      </c>
      <c r="K192" s="25">
        <f>I192*$K$135</f>
        <v>1183203</v>
      </c>
      <c r="L192" s="947">
        <f>IFERROR(K192/J192,0)</f>
        <v>1183203</v>
      </c>
      <c r="M192" s="91">
        <f>'Schedule 2'!$F$305</f>
        <v>1</v>
      </c>
      <c r="N192" s="921">
        <f>ROUND(L192*M192,0)</f>
        <v>1183203</v>
      </c>
      <c r="O192" s="91">
        <f>'Schedule 2'!$F$306</f>
        <v>1</v>
      </c>
      <c r="P192" s="921">
        <v>1183203</v>
      </c>
      <c r="Q192" s="91">
        <f>M192-O192</f>
        <v>0</v>
      </c>
      <c r="R192" s="921">
        <f>N192-P192</f>
        <v>0</v>
      </c>
      <c r="S192" s="501">
        <f t="shared" si="23"/>
        <v>0</v>
      </c>
      <c r="T192" s="433"/>
      <c r="U192" s="434"/>
      <c r="W192" s="598"/>
      <c r="Y192" s="734"/>
    </row>
    <row r="193" spans="2:25" s="22" customFormat="1" ht="15.6" x14ac:dyDescent="0.3">
      <c r="B193" s="1658"/>
      <c r="C193" s="1680"/>
      <c r="D193" s="1678"/>
      <c r="E193" s="1675"/>
      <c r="F193" s="5">
        <v>2</v>
      </c>
      <c r="G193" s="57" t="s">
        <v>280</v>
      </c>
      <c r="H193" s="11" t="s">
        <v>188</v>
      </c>
      <c r="I193" s="23">
        <v>5.0000000000000001E-3</v>
      </c>
      <c r="J193" s="12">
        <v>1</v>
      </c>
      <c r="K193" s="25">
        <f>I193*$K$135</f>
        <v>1183203</v>
      </c>
      <c r="L193" s="947">
        <f>IFERROR(K193/J193,0)</f>
        <v>1183203</v>
      </c>
      <c r="M193" s="91">
        <f>'Schedule 2'!$F$311</f>
        <v>1</v>
      </c>
      <c r="N193" s="921">
        <f>ROUND(L193*M193,0)</f>
        <v>1183203</v>
      </c>
      <c r="O193" s="91">
        <f>'Schedule 2'!$F$312</f>
        <v>1</v>
      </c>
      <c r="P193" s="921">
        <v>1183203</v>
      </c>
      <c r="Q193" s="91">
        <f>M193-O193</f>
        <v>0</v>
      </c>
      <c r="R193" s="921">
        <f>N193-P193</f>
        <v>0</v>
      </c>
      <c r="S193" s="501">
        <f t="shared" si="23"/>
        <v>0</v>
      </c>
      <c r="T193" s="433"/>
      <c r="U193" s="434"/>
      <c r="W193" s="598"/>
      <c r="Y193" s="734"/>
    </row>
    <row r="194" spans="2:25" s="22" customFormat="1" ht="46.8" x14ac:dyDescent="0.3">
      <c r="B194" s="1658"/>
      <c r="C194" s="1680"/>
      <c r="D194" s="1678"/>
      <c r="E194" s="1675"/>
      <c r="F194" s="14">
        <f>F135+1</f>
        <v>204</v>
      </c>
      <c r="G194" s="8" t="s">
        <v>302</v>
      </c>
      <c r="H194" s="15" t="s">
        <v>188</v>
      </c>
      <c r="I194" s="16">
        <v>0.41</v>
      </c>
      <c r="J194" s="17"/>
      <c r="K194" s="18">
        <f>I194*$E$121</f>
        <v>330009000</v>
      </c>
      <c r="L194" s="1029"/>
      <c r="M194" s="95"/>
      <c r="N194" s="923"/>
      <c r="O194" s="95"/>
      <c r="P194" s="923"/>
      <c r="Q194" s="95"/>
      <c r="R194" s="923"/>
      <c r="S194" s="501">
        <f t="shared" si="23"/>
        <v>0</v>
      </c>
      <c r="T194" s="435"/>
      <c r="U194" s="436"/>
      <c r="W194" s="598"/>
      <c r="Y194" s="734"/>
    </row>
    <row r="195" spans="2:25" s="22" customFormat="1" ht="15.6" x14ac:dyDescent="0.3">
      <c r="B195" s="1658"/>
      <c r="C195" s="1680"/>
      <c r="D195" s="1678"/>
      <c r="E195" s="1675"/>
      <c r="F195" s="278" t="s">
        <v>32</v>
      </c>
      <c r="G195" s="10" t="s">
        <v>303</v>
      </c>
      <c r="H195" s="11"/>
      <c r="I195" s="37"/>
      <c r="J195" s="20"/>
      <c r="K195" s="21"/>
      <c r="L195" s="1030"/>
      <c r="M195" s="92"/>
      <c r="N195" s="924"/>
      <c r="O195" s="92"/>
      <c r="P195" s="924"/>
      <c r="Q195" s="92"/>
      <c r="R195" s="924"/>
      <c r="S195" s="501">
        <f t="shared" si="23"/>
        <v>0</v>
      </c>
      <c r="T195" s="437"/>
      <c r="U195" s="442"/>
      <c r="W195" s="598"/>
      <c r="Y195" s="734"/>
    </row>
    <row r="196" spans="2:25" s="22" customFormat="1" ht="15.6" x14ac:dyDescent="0.3">
      <c r="B196" s="1658"/>
      <c r="C196" s="1680"/>
      <c r="D196" s="1678"/>
      <c r="E196" s="1675"/>
      <c r="F196" s="19" t="s">
        <v>90</v>
      </c>
      <c r="G196" s="9" t="s">
        <v>279</v>
      </c>
      <c r="H196" s="24" t="s">
        <v>267</v>
      </c>
      <c r="I196" s="23">
        <v>0.02</v>
      </c>
      <c r="J196" s="12">
        <v>7.3140000000000009</v>
      </c>
      <c r="K196" s="25">
        <f>I196*$K$194</f>
        <v>6600180</v>
      </c>
      <c r="L196" s="947">
        <f>IFERROR(K196/J196,0)</f>
        <v>902403.60951599665</v>
      </c>
      <c r="M196" s="91">
        <f>'Schedule 2'!$F$318</f>
        <v>7.3140000000000001</v>
      </c>
      <c r="N196" s="921">
        <f>ROUND(L196*M196,0)</f>
        <v>6600180</v>
      </c>
      <c r="O196" s="91">
        <f>'Schedule 2'!$F$319</f>
        <v>7.3140000000000001</v>
      </c>
      <c r="P196" s="921">
        <v>6600180</v>
      </c>
      <c r="Q196" s="91">
        <f>M196-O196</f>
        <v>0</v>
      </c>
      <c r="R196" s="921">
        <f t="shared" si="25"/>
        <v>0</v>
      </c>
      <c r="S196" s="501">
        <f t="shared" si="23"/>
        <v>0</v>
      </c>
      <c r="T196" s="433"/>
      <c r="U196" s="434"/>
      <c r="W196" s="598"/>
      <c r="Y196" s="734"/>
    </row>
    <row r="197" spans="2:25" s="22" customFormat="1" ht="15.6" x14ac:dyDescent="0.3">
      <c r="B197" s="1658"/>
      <c r="C197" s="1680"/>
      <c r="D197" s="1678"/>
      <c r="E197" s="1675"/>
      <c r="F197" s="19" t="s">
        <v>197</v>
      </c>
      <c r="G197" s="9" t="s">
        <v>280</v>
      </c>
      <c r="H197" s="24" t="s">
        <v>267</v>
      </c>
      <c r="I197" s="23">
        <v>0.02</v>
      </c>
      <c r="J197" s="12">
        <v>7.3140000000000009</v>
      </c>
      <c r="K197" s="25">
        <f>I197*$K$194</f>
        <v>6600180</v>
      </c>
      <c r="L197" s="947">
        <f>IFERROR(K197/J197,0)</f>
        <v>902403.60951599665</v>
      </c>
      <c r="M197" s="91">
        <f>'Schedule 2'!$F$324</f>
        <v>7.3140000000000001</v>
      </c>
      <c r="N197" s="921">
        <f>ROUND(L197*M197,0)</f>
        <v>6600180</v>
      </c>
      <c r="O197" s="91">
        <f>'Schedule 2'!$F$325</f>
        <v>7.3140000000000001</v>
      </c>
      <c r="P197" s="921">
        <v>6600180</v>
      </c>
      <c r="Q197" s="92">
        <f>M197-O197</f>
        <v>0</v>
      </c>
      <c r="R197" s="924">
        <f t="shared" si="25"/>
        <v>0</v>
      </c>
      <c r="S197" s="501">
        <f t="shared" si="23"/>
        <v>0</v>
      </c>
      <c r="T197" s="433"/>
      <c r="U197" s="434"/>
      <c r="W197" s="598"/>
      <c r="Y197" s="734"/>
    </row>
    <row r="198" spans="2:25" s="22" customFormat="1" ht="15.6" x14ac:dyDescent="0.3">
      <c r="B198" s="1658"/>
      <c r="C198" s="1680"/>
      <c r="D198" s="1678"/>
      <c r="E198" s="1675"/>
      <c r="F198" s="19" t="s">
        <v>208</v>
      </c>
      <c r="G198" s="9" t="s">
        <v>304</v>
      </c>
      <c r="H198" s="24" t="s">
        <v>267</v>
      </c>
      <c r="I198" s="23">
        <v>0.01</v>
      </c>
      <c r="J198" s="12">
        <v>7.3140000000000009</v>
      </c>
      <c r="K198" s="25">
        <f>I198*$K$194</f>
        <v>3300090</v>
      </c>
      <c r="L198" s="947">
        <f>IFERROR(K198/J198,0)</f>
        <v>451201.80475799832</v>
      </c>
      <c r="M198" s="91">
        <f>'Schedule 2'!$F$330</f>
        <v>7.3140000000000001</v>
      </c>
      <c r="N198" s="921">
        <f>ROUND(L198*M198,0)</f>
        <v>3300090</v>
      </c>
      <c r="O198" s="91">
        <f>'Schedule 2'!$F$331</f>
        <v>7.3140000000000001</v>
      </c>
      <c r="P198" s="921">
        <v>3300090</v>
      </c>
      <c r="Q198" s="91">
        <f>M198-O198</f>
        <v>0</v>
      </c>
      <c r="R198" s="921">
        <f t="shared" si="25"/>
        <v>0</v>
      </c>
      <c r="S198" s="501">
        <f t="shared" si="23"/>
        <v>0</v>
      </c>
      <c r="T198" s="433"/>
      <c r="U198" s="434"/>
      <c r="W198" s="598"/>
      <c r="Y198" s="734"/>
    </row>
    <row r="199" spans="2:25" s="22" customFormat="1" ht="15.6" x14ac:dyDescent="0.3">
      <c r="B199" s="1658"/>
      <c r="C199" s="1680"/>
      <c r="D199" s="1678"/>
      <c r="E199" s="1675"/>
      <c r="F199" s="278" t="s">
        <v>34</v>
      </c>
      <c r="G199" s="10" t="s">
        <v>305</v>
      </c>
      <c r="H199" s="11"/>
      <c r="I199" s="37"/>
      <c r="J199" s="20"/>
      <c r="K199" s="21"/>
      <c r="L199" s="1030"/>
      <c r="M199" s="92"/>
      <c r="N199" s="924"/>
      <c r="O199" s="92"/>
      <c r="P199" s="924"/>
      <c r="Q199" s="92"/>
      <c r="R199" s="924"/>
      <c r="S199" s="501">
        <f t="shared" si="23"/>
        <v>0</v>
      </c>
      <c r="T199" s="437"/>
      <c r="U199" s="442"/>
      <c r="W199" s="598"/>
      <c r="Y199" s="734"/>
    </row>
    <row r="200" spans="2:25" s="22" customFormat="1" ht="15.6" x14ac:dyDescent="0.3">
      <c r="B200" s="1658"/>
      <c r="C200" s="1680"/>
      <c r="D200" s="1678"/>
      <c r="E200" s="1675"/>
      <c r="F200" s="19" t="s">
        <v>90</v>
      </c>
      <c r="G200" s="9" t="s">
        <v>279</v>
      </c>
      <c r="H200" s="24" t="s">
        <v>267</v>
      </c>
      <c r="I200" s="23">
        <v>0.02</v>
      </c>
      <c r="J200" s="12">
        <v>5.2</v>
      </c>
      <c r="K200" s="25">
        <f>I200*$K$194</f>
        <v>6600180</v>
      </c>
      <c r="L200" s="947">
        <f>IFERROR(K200/J200,0)</f>
        <v>1269265.3846153845</v>
      </c>
      <c r="M200" s="91">
        <f>'Schedule 2'!$F$336</f>
        <v>5.2</v>
      </c>
      <c r="N200" s="921">
        <f>ROUND(L200*M200,0)</f>
        <v>6600180</v>
      </c>
      <c r="O200" s="91">
        <f>'Schedule 2'!$F$337</f>
        <v>5.2</v>
      </c>
      <c r="P200" s="921">
        <v>6600180</v>
      </c>
      <c r="Q200" s="92">
        <f>M200-O200</f>
        <v>0</v>
      </c>
      <c r="R200" s="921">
        <f t="shared" si="25"/>
        <v>0</v>
      </c>
      <c r="S200" s="501">
        <f t="shared" ref="S200:S269" si="26">J200-M200</f>
        <v>0</v>
      </c>
      <c r="T200" s="433"/>
      <c r="U200" s="434"/>
      <c r="W200" s="598"/>
      <c r="Y200" s="734"/>
    </row>
    <row r="201" spans="2:25" s="22" customFormat="1" ht="15.6" x14ac:dyDescent="0.3">
      <c r="B201" s="1658"/>
      <c r="C201" s="1680"/>
      <c r="D201" s="1678"/>
      <c r="E201" s="1675"/>
      <c r="F201" s="19" t="s">
        <v>197</v>
      </c>
      <c r="G201" s="9" t="s">
        <v>280</v>
      </c>
      <c r="H201" s="11" t="s">
        <v>267</v>
      </c>
      <c r="I201" s="13">
        <v>0.02</v>
      </c>
      <c r="J201" s="20">
        <v>5.2</v>
      </c>
      <c r="K201" s="21">
        <f>I201*$K$194</f>
        <v>6600180</v>
      </c>
      <c r="L201" s="1146">
        <f>IFERROR(K201/J201,0)</f>
        <v>1269265.3846153845</v>
      </c>
      <c r="M201" s="92">
        <f>'Schedule 2'!F343</f>
        <v>5.2</v>
      </c>
      <c r="N201" s="924">
        <f>ROUND(L201*M201,0)</f>
        <v>6600180</v>
      </c>
      <c r="O201" s="92">
        <f>'Schedule 2'!$F$344</f>
        <v>5.2</v>
      </c>
      <c r="P201" s="924">
        <v>6600180</v>
      </c>
      <c r="Q201" s="92">
        <f>M201-O201</f>
        <v>0</v>
      </c>
      <c r="R201" s="924">
        <f t="shared" si="25"/>
        <v>0</v>
      </c>
      <c r="S201" s="1147">
        <f t="shared" si="26"/>
        <v>0</v>
      </c>
      <c r="T201" s="437"/>
      <c r="U201" s="442"/>
      <c r="W201" s="1149"/>
      <c r="Y201" s="734"/>
    </row>
    <row r="202" spans="2:25" s="22" customFormat="1" ht="15.6" x14ac:dyDescent="0.3">
      <c r="B202" s="1658"/>
      <c r="C202" s="1680"/>
      <c r="D202" s="1678"/>
      <c r="E202" s="1675"/>
      <c r="F202" s="19" t="s">
        <v>208</v>
      </c>
      <c r="G202" s="9" t="s">
        <v>304</v>
      </c>
      <c r="H202" s="24" t="s">
        <v>267</v>
      </c>
      <c r="I202" s="23">
        <v>0.01</v>
      </c>
      <c r="J202" s="12">
        <v>5.2</v>
      </c>
      <c r="K202" s="25">
        <f>I202*$K$194</f>
        <v>3300090</v>
      </c>
      <c r="L202" s="947">
        <f>IFERROR(K202/J202,0)</f>
        <v>634632.69230769225</v>
      </c>
      <c r="M202" s="91">
        <v>0</v>
      </c>
      <c r="N202" s="921">
        <f>ROUND(L202*M202,0)</f>
        <v>0</v>
      </c>
      <c r="O202" s="91">
        <v>0</v>
      </c>
      <c r="P202" s="921">
        <v>0</v>
      </c>
      <c r="Q202" s="92">
        <f>M202-O202</f>
        <v>0</v>
      </c>
      <c r="R202" s="921">
        <f t="shared" si="25"/>
        <v>0</v>
      </c>
      <c r="S202" s="501">
        <f t="shared" si="26"/>
        <v>5.2</v>
      </c>
      <c r="T202" s="433"/>
      <c r="U202" s="434"/>
      <c r="W202" s="598"/>
      <c r="Y202" s="734"/>
    </row>
    <row r="203" spans="2:25" s="22" customFormat="1" ht="15.6" x14ac:dyDescent="0.3">
      <c r="B203" s="1658"/>
      <c r="C203" s="1680"/>
      <c r="D203" s="1678"/>
      <c r="E203" s="1675"/>
      <c r="F203" s="278" t="s">
        <v>37</v>
      </c>
      <c r="G203" s="10" t="s">
        <v>306</v>
      </c>
      <c r="H203" s="11"/>
      <c r="I203" s="37"/>
      <c r="J203" s="20"/>
      <c r="K203" s="21"/>
      <c r="L203" s="1030"/>
      <c r="M203" s="92"/>
      <c r="N203" s="924"/>
      <c r="O203" s="92"/>
      <c r="P203" s="924"/>
      <c r="Q203" s="92"/>
      <c r="R203" s="924"/>
      <c r="S203" s="501">
        <f t="shared" si="26"/>
        <v>0</v>
      </c>
      <c r="T203" s="437"/>
      <c r="U203" s="442"/>
      <c r="W203" s="598"/>
      <c r="Y203" s="734"/>
    </row>
    <row r="204" spans="2:25" s="22" customFormat="1" ht="15.6" x14ac:dyDescent="0.3">
      <c r="B204" s="1658"/>
      <c r="C204" s="1680"/>
      <c r="D204" s="1678"/>
      <c r="E204" s="1675"/>
      <c r="F204" s="19" t="s">
        <v>90</v>
      </c>
      <c r="G204" s="9" t="s">
        <v>279</v>
      </c>
      <c r="H204" s="11" t="s">
        <v>267</v>
      </c>
      <c r="I204" s="13">
        <v>0.01</v>
      </c>
      <c r="J204" s="20">
        <v>0.8</v>
      </c>
      <c r="K204" s="21">
        <f>I204*$K$194</f>
        <v>3300090</v>
      </c>
      <c r="L204" s="1146">
        <f>IFERROR(K204/J204,0)</f>
        <v>4125112.5</v>
      </c>
      <c r="M204" s="92">
        <f>'Schedule 2'!$F$351</f>
        <v>0.65</v>
      </c>
      <c r="N204" s="924">
        <f>ROUND(L204*M204,0)</f>
        <v>2681323</v>
      </c>
      <c r="O204" s="92">
        <f>'Schedule 2'!$F$352</f>
        <v>0.65</v>
      </c>
      <c r="P204" s="924">
        <v>2681323</v>
      </c>
      <c r="Q204" s="92">
        <f>M204-O204</f>
        <v>0</v>
      </c>
      <c r="R204" s="924">
        <f t="shared" si="25"/>
        <v>0</v>
      </c>
      <c r="S204" s="1147">
        <f t="shared" si="26"/>
        <v>0.15000000000000002</v>
      </c>
      <c r="T204" s="437"/>
      <c r="U204" s="442"/>
      <c r="W204" s="1149"/>
      <c r="Y204" s="734"/>
    </row>
    <row r="205" spans="2:25" s="22" customFormat="1" ht="15.6" x14ac:dyDescent="0.3">
      <c r="B205" s="1658"/>
      <c r="C205" s="1680"/>
      <c r="D205" s="1678"/>
      <c r="E205" s="1675"/>
      <c r="F205" s="19" t="s">
        <v>197</v>
      </c>
      <c r="G205" s="9" t="s">
        <v>280</v>
      </c>
      <c r="H205" s="11" t="s">
        <v>267</v>
      </c>
      <c r="I205" s="13">
        <v>0.01</v>
      </c>
      <c r="J205" s="20">
        <v>0.8</v>
      </c>
      <c r="K205" s="21">
        <f>I205*$K$194</f>
        <v>3300090</v>
      </c>
      <c r="L205" s="1146">
        <f>IFERROR(K205/J205,0)</f>
        <v>4125112.5</v>
      </c>
      <c r="M205" s="92">
        <f>'Schedule 2'!$F$359</f>
        <v>0.65</v>
      </c>
      <c r="N205" s="924">
        <f>ROUND(L205*M205,0)</f>
        <v>2681323</v>
      </c>
      <c r="O205" s="92">
        <f>'Schedule 2'!$F$360</f>
        <v>0.65</v>
      </c>
      <c r="P205" s="924">
        <v>2681323</v>
      </c>
      <c r="Q205" s="92">
        <f>M205-O205</f>
        <v>0</v>
      </c>
      <c r="R205" s="924">
        <f t="shared" si="25"/>
        <v>0</v>
      </c>
      <c r="S205" s="1147">
        <f t="shared" si="26"/>
        <v>0.15000000000000002</v>
      </c>
      <c r="T205" s="437"/>
      <c r="U205" s="442"/>
      <c r="W205" s="1149"/>
      <c r="Y205" s="734"/>
    </row>
    <row r="206" spans="2:25" s="22" customFormat="1" ht="15.6" x14ac:dyDescent="0.3">
      <c r="B206" s="1658"/>
      <c r="C206" s="1680"/>
      <c r="D206" s="1678"/>
      <c r="E206" s="1675"/>
      <c r="F206" s="19" t="s">
        <v>208</v>
      </c>
      <c r="G206" s="9" t="s">
        <v>304</v>
      </c>
      <c r="H206" s="24" t="s">
        <v>267</v>
      </c>
      <c r="I206" s="23">
        <v>5.0000000000000001E-3</v>
      </c>
      <c r="J206" s="12">
        <v>0.8</v>
      </c>
      <c r="K206" s="25">
        <f>I206*$K$194</f>
        <v>1650045</v>
      </c>
      <c r="L206" s="947">
        <f>IFERROR(K206/J206,0)</f>
        <v>2062556.25</v>
      </c>
      <c r="M206" s="91">
        <f>'Schedule 2'!$F$365</f>
        <v>0.23</v>
      </c>
      <c r="N206" s="921">
        <f>ROUND(L206*M206,0)</f>
        <v>474388</v>
      </c>
      <c r="O206" s="91">
        <f>'Schedule 2'!$F$366</f>
        <v>0.23</v>
      </c>
      <c r="P206" s="921">
        <v>474388</v>
      </c>
      <c r="Q206" s="92">
        <f>M206-O206</f>
        <v>0</v>
      </c>
      <c r="R206" s="921">
        <f t="shared" si="25"/>
        <v>0</v>
      </c>
      <c r="S206" s="501">
        <f t="shared" si="26"/>
        <v>0.57000000000000006</v>
      </c>
      <c r="T206" s="433"/>
      <c r="U206" s="434"/>
      <c r="W206" s="598"/>
      <c r="Y206" s="734"/>
    </row>
    <row r="207" spans="2:25" s="22" customFormat="1" ht="15.6" x14ac:dyDescent="0.3">
      <c r="B207" s="1658"/>
      <c r="C207" s="1680"/>
      <c r="D207" s="1678"/>
      <c r="E207" s="1675"/>
      <c r="F207" s="278" t="s">
        <v>39</v>
      </c>
      <c r="G207" s="10" t="s">
        <v>307</v>
      </c>
      <c r="H207" s="11"/>
      <c r="I207" s="37"/>
      <c r="J207" s="12"/>
      <c r="K207" s="21"/>
      <c r="L207" s="1030"/>
      <c r="M207" s="91"/>
      <c r="N207" s="924"/>
      <c r="O207" s="91"/>
      <c r="P207" s="924"/>
      <c r="Q207" s="92"/>
      <c r="R207" s="924"/>
      <c r="S207" s="501">
        <f t="shared" si="26"/>
        <v>0</v>
      </c>
      <c r="T207" s="433"/>
      <c r="U207" s="442"/>
      <c r="W207" s="598"/>
      <c r="Y207" s="734"/>
    </row>
    <row r="208" spans="2:25" s="22" customFormat="1" ht="15.6" x14ac:dyDescent="0.3">
      <c r="B208" s="1658"/>
      <c r="C208" s="1680"/>
      <c r="D208" s="1678"/>
      <c r="E208" s="1675"/>
      <c r="F208" s="19" t="s">
        <v>90</v>
      </c>
      <c r="G208" s="9" t="s">
        <v>308</v>
      </c>
      <c r="H208" s="11"/>
      <c r="I208" s="37"/>
      <c r="J208" s="12"/>
      <c r="K208" s="21"/>
      <c r="L208" s="1030"/>
      <c r="M208" s="91"/>
      <c r="N208" s="924"/>
      <c r="O208" s="91"/>
      <c r="P208" s="924"/>
      <c r="Q208" s="92"/>
      <c r="R208" s="924"/>
      <c r="S208" s="501">
        <f t="shared" si="26"/>
        <v>0</v>
      </c>
      <c r="T208" s="433"/>
      <c r="U208" s="442"/>
      <c r="W208" s="598"/>
      <c r="Y208" s="734"/>
    </row>
    <row r="209" spans="2:25" s="22" customFormat="1" ht="15.6" x14ac:dyDescent="0.3">
      <c r="B209" s="1658"/>
      <c r="C209" s="1680"/>
      <c r="D209" s="1678"/>
      <c r="E209" s="1675"/>
      <c r="F209" s="5">
        <v>1</v>
      </c>
      <c r="G209" s="57" t="s">
        <v>279</v>
      </c>
      <c r="H209" s="11" t="s">
        <v>190</v>
      </c>
      <c r="I209" s="23">
        <v>0.02</v>
      </c>
      <c r="J209" s="12">
        <v>2</v>
      </c>
      <c r="K209" s="25">
        <f>I209*$K$194</f>
        <v>6600180</v>
      </c>
      <c r="L209" s="947">
        <f>IFERROR(K209/J209,0)</f>
        <v>3300090</v>
      </c>
      <c r="M209" s="91">
        <f>'Schedule 2'!$F$373</f>
        <v>2</v>
      </c>
      <c r="N209" s="921">
        <f>ROUND(L209*M209,0)</f>
        <v>6600180</v>
      </c>
      <c r="O209" s="91">
        <f>'Schedule 2'!$F$374</f>
        <v>2</v>
      </c>
      <c r="P209" s="921">
        <v>6600180</v>
      </c>
      <c r="Q209" s="92">
        <f>M209-O209</f>
        <v>0</v>
      </c>
      <c r="R209" s="921">
        <f t="shared" si="25"/>
        <v>0</v>
      </c>
      <c r="S209" s="501">
        <f t="shared" si="26"/>
        <v>0</v>
      </c>
      <c r="T209" s="433"/>
      <c r="U209" s="434"/>
      <c r="W209" s="598"/>
      <c r="X209" s="394"/>
      <c r="Y209" s="734"/>
    </row>
    <row r="210" spans="2:25" s="22" customFormat="1" ht="15.6" x14ac:dyDescent="0.3">
      <c r="B210" s="1658"/>
      <c r="C210" s="1680"/>
      <c r="D210" s="1678"/>
      <c r="E210" s="1675"/>
      <c r="F210" s="5">
        <v>2</v>
      </c>
      <c r="G210" s="57" t="s">
        <v>280</v>
      </c>
      <c r="H210" s="11" t="s">
        <v>190</v>
      </c>
      <c r="I210" s="23">
        <v>0.03</v>
      </c>
      <c r="J210" s="12">
        <v>2</v>
      </c>
      <c r="K210" s="25">
        <f>I210*$K$194</f>
        <v>9900270</v>
      </c>
      <c r="L210" s="947">
        <f>IFERROR(K210/J210,0)</f>
        <v>4950135</v>
      </c>
      <c r="M210" s="91">
        <f>'Schedule 2'!$F$382</f>
        <v>2</v>
      </c>
      <c r="N210" s="921">
        <f>ROUND(L210*M210,0)</f>
        <v>9900270</v>
      </c>
      <c r="O210" s="91">
        <f>'Schedule 2'!$F$383</f>
        <v>2</v>
      </c>
      <c r="P210" s="921">
        <v>9900270</v>
      </c>
      <c r="Q210" s="92">
        <f>M210-O210</f>
        <v>0</v>
      </c>
      <c r="R210" s="924">
        <f t="shared" si="25"/>
        <v>0</v>
      </c>
      <c r="S210" s="501">
        <f t="shared" si="26"/>
        <v>0</v>
      </c>
      <c r="T210" s="379"/>
      <c r="U210" s="434"/>
      <c r="W210" s="598"/>
      <c r="Y210" s="734"/>
    </row>
    <row r="211" spans="2:25" s="22" customFormat="1" ht="15.6" x14ac:dyDescent="0.3">
      <c r="B211" s="1658"/>
      <c r="C211" s="1680"/>
      <c r="D211" s="1678"/>
      <c r="E211" s="1675"/>
      <c r="F211" s="5">
        <v>3</v>
      </c>
      <c r="G211" s="57" t="s">
        <v>304</v>
      </c>
      <c r="H211" s="11" t="s">
        <v>190</v>
      </c>
      <c r="I211" s="23">
        <v>0.02</v>
      </c>
      <c r="J211" s="12">
        <v>2</v>
      </c>
      <c r="K211" s="25">
        <f>I211*$K$194</f>
        <v>6600180</v>
      </c>
      <c r="L211" s="947">
        <f>IFERROR(K211/J211,0)</f>
        <v>3300090</v>
      </c>
      <c r="M211" s="92">
        <f>'Schedule 2'!$F$391</f>
        <v>2</v>
      </c>
      <c r="N211" s="921">
        <f>ROUND(L211*M211,0)</f>
        <v>6600180</v>
      </c>
      <c r="O211" s="91">
        <f>'Schedule 2'!$F$392</f>
        <v>2</v>
      </c>
      <c r="P211" s="921">
        <v>6600180</v>
      </c>
      <c r="Q211" s="92">
        <f>M211-O211</f>
        <v>0</v>
      </c>
      <c r="R211" s="924">
        <f t="shared" si="25"/>
        <v>0</v>
      </c>
      <c r="S211" s="501">
        <f t="shared" si="26"/>
        <v>0</v>
      </c>
      <c r="T211" s="433"/>
      <c r="U211" s="434"/>
      <c r="W211" s="598"/>
      <c r="Y211" s="734"/>
    </row>
    <row r="212" spans="2:25" s="22" customFormat="1" ht="15.6" x14ac:dyDescent="0.3">
      <c r="B212" s="1658"/>
      <c r="C212" s="1680"/>
      <c r="D212" s="1678"/>
      <c r="E212" s="1675"/>
      <c r="F212" s="19" t="s">
        <v>197</v>
      </c>
      <c r="G212" s="9" t="s">
        <v>309</v>
      </c>
      <c r="H212" s="11"/>
      <c r="I212" s="37"/>
      <c r="J212" s="12"/>
      <c r="K212" s="21"/>
      <c r="L212" s="1030"/>
      <c r="M212" s="91"/>
      <c r="N212" s="924"/>
      <c r="O212" s="91"/>
      <c r="P212" s="924"/>
      <c r="Q212" s="92"/>
      <c r="R212" s="924"/>
      <c r="S212" s="501">
        <f t="shared" si="26"/>
        <v>0</v>
      </c>
      <c r="T212" s="433"/>
      <c r="U212" s="442"/>
      <c r="W212" s="598"/>
      <c r="Y212" s="734"/>
    </row>
    <row r="213" spans="2:25" s="22" customFormat="1" ht="15.6" x14ac:dyDescent="0.3">
      <c r="B213" s="1658"/>
      <c r="C213" s="1680"/>
      <c r="D213" s="1678"/>
      <c r="E213" s="1675"/>
      <c r="F213" s="5">
        <v>1</v>
      </c>
      <c r="G213" s="57" t="s">
        <v>279</v>
      </c>
      <c r="H213" s="11" t="s">
        <v>190</v>
      </c>
      <c r="I213" s="23">
        <v>0.02</v>
      </c>
      <c r="J213" s="12">
        <v>2</v>
      </c>
      <c r="K213" s="25">
        <f>I213*$K$194</f>
        <v>6600180</v>
      </c>
      <c r="L213" s="947">
        <f>IFERROR(K213/J213,0)</f>
        <v>3300090</v>
      </c>
      <c r="M213" s="91">
        <f>'Schedule 2'!F399</f>
        <v>2</v>
      </c>
      <c r="N213" s="921">
        <f>ROUND(L213*M213,0)</f>
        <v>6600180</v>
      </c>
      <c r="O213" s="91">
        <f>'Schedule 2'!F400</f>
        <v>2</v>
      </c>
      <c r="P213" s="921">
        <v>6600180</v>
      </c>
      <c r="Q213" s="92">
        <f>M213-O213</f>
        <v>0</v>
      </c>
      <c r="R213" s="924">
        <f t="shared" si="25"/>
        <v>0</v>
      </c>
      <c r="S213" s="501">
        <f t="shared" si="26"/>
        <v>0</v>
      </c>
      <c r="T213" s="433"/>
      <c r="U213" s="434"/>
      <c r="W213" s="598"/>
      <c r="X213" s="394"/>
      <c r="Y213" s="734"/>
    </row>
    <row r="214" spans="2:25" s="22" customFormat="1" ht="15.6" x14ac:dyDescent="0.3">
      <c r="B214" s="1658"/>
      <c r="C214" s="1680"/>
      <c r="D214" s="1678"/>
      <c r="E214" s="1675"/>
      <c r="F214" s="5">
        <v>2</v>
      </c>
      <c r="G214" s="57" t="s">
        <v>280</v>
      </c>
      <c r="H214" s="11" t="s">
        <v>190</v>
      </c>
      <c r="I214" s="23">
        <v>0.03</v>
      </c>
      <c r="J214" s="12">
        <v>2</v>
      </c>
      <c r="K214" s="25">
        <f>I214*$K$194</f>
        <v>9900270</v>
      </c>
      <c r="L214" s="947">
        <f>IFERROR(K214/J214,0)</f>
        <v>4950135</v>
      </c>
      <c r="M214" s="91">
        <f>'Schedule 2'!$F$411</f>
        <v>2</v>
      </c>
      <c r="N214" s="921">
        <f>ROUND(L214*M214,0)</f>
        <v>9900270</v>
      </c>
      <c r="O214" s="91">
        <f>'Schedule 2'!$F$412</f>
        <v>2</v>
      </c>
      <c r="P214" s="921">
        <v>9900270</v>
      </c>
      <c r="Q214" s="92">
        <f>M214-O214</f>
        <v>0</v>
      </c>
      <c r="R214" s="924">
        <f t="shared" si="25"/>
        <v>0</v>
      </c>
      <c r="S214" s="501">
        <f t="shared" si="26"/>
        <v>0</v>
      </c>
      <c r="T214" s="433"/>
      <c r="U214" s="434"/>
      <c r="W214" s="598"/>
      <c r="Y214" s="734"/>
    </row>
    <row r="215" spans="2:25" s="22" customFormat="1" ht="15.6" x14ac:dyDescent="0.3">
      <c r="B215" s="1658"/>
      <c r="C215" s="1680"/>
      <c r="D215" s="1678"/>
      <c r="E215" s="1675"/>
      <c r="F215" s="5">
        <v>3</v>
      </c>
      <c r="G215" s="57" t="s">
        <v>304</v>
      </c>
      <c r="H215" s="11" t="s">
        <v>190</v>
      </c>
      <c r="I215" s="23">
        <v>0.02</v>
      </c>
      <c r="J215" s="12">
        <v>2</v>
      </c>
      <c r="K215" s="25">
        <f>I215*$K$194</f>
        <v>6600180</v>
      </c>
      <c r="L215" s="947">
        <f>IFERROR(K215/J215,0)</f>
        <v>3300090</v>
      </c>
      <c r="M215" s="91">
        <f>'Schedule 2'!$F$422</f>
        <v>2</v>
      </c>
      <c r="N215" s="921">
        <f>ROUND(L215*M215,0)</f>
        <v>6600180</v>
      </c>
      <c r="O215" s="91">
        <f>'Schedule 2'!$F$423</f>
        <v>2</v>
      </c>
      <c r="P215" s="921">
        <v>6600180</v>
      </c>
      <c r="Q215" s="92">
        <f>M215-O215</f>
        <v>0</v>
      </c>
      <c r="R215" s="924">
        <f t="shared" si="25"/>
        <v>0</v>
      </c>
      <c r="S215" s="501">
        <f t="shared" si="26"/>
        <v>0</v>
      </c>
      <c r="T215" s="433"/>
      <c r="U215" s="434"/>
      <c r="W215" s="598"/>
      <c r="Y215" s="734"/>
    </row>
    <row r="216" spans="2:25" s="22" customFormat="1" ht="15" customHeight="1" x14ac:dyDescent="0.3">
      <c r="B216" s="1658"/>
      <c r="C216" s="1680"/>
      <c r="D216" s="1678"/>
      <c r="E216" s="1675"/>
      <c r="F216" s="19" t="s">
        <v>208</v>
      </c>
      <c r="G216" s="9" t="s">
        <v>310</v>
      </c>
      <c r="H216" s="11"/>
      <c r="I216" s="37"/>
      <c r="J216" s="12"/>
      <c r="K216" s="21"/>
      <c r="L216" s="1030"/>
      <c r="M216" s="91"/>
      <c r="N216" s="924"/>
      <c r="O216" s="91"/>
      <c r="P216" s="924"/>
      <c r="Q216" s="92"/>
      <c r="R216" s="924"/>
      <c r="S216" s="501">
        <f t="shared" si="26"/>
        <v>0</v>
      </c>
      <c r="T216" s="433"/>
      <c r="U216" s="442"/>
      <c r="W216" s="598"/>
      <c r="Y216" s="734"/>
    </row>
    <row r="217" spans="2:25" s="22" customFormat="1" ht="15.6" x14ac:dyDescent="0.3">
      <c r="B217" s="1658"/>
      <c r="C217" s="1680"/>
      <c r="D217" s="1678"/>
      <c r="E217" s="1675"/>
      <c r="F217" s="5">
        <v>1</v>
      </c>
      <c r="G217" s="57" t="s">
        <v>279</v>
      </c>
      <c r="H217" s="11" t="s">
        <v>190</v>
      </c>
      <c r="I217" s="23">
        <v>0.02</v>
      </c>
      <c r="J217" s="12">
        <v>2</v>
      </c>
      <c r="K217" s="25">
        <f>I217*$K$194</f>
        <v>6600180</v>
      </c>
      <c r="L217" s="947">
        <f>IFERROR(K217/J217,0)</f>
        <v>3300090</v>
      </c>
      <c r="M217" s="91">
        <f>'Schedule 2'!$F$428</f>
        <v>2</v>
      </c>
      <c r="N217" s="921">
        <f>ROUND(L217*M217,0)</f>
        <v>6600180</v>
      </c>
      <c r="O217" s="91">
        <f>'Schedule 2'!$F$429</f>
        <v>2</v>
      </c>
      <c r="P217" s="921">
        <v>6600180</v>
      </c>
      <c r="Q217" s="92">
        <f>M217-O217</f>
        <v>0</v>
      </c>
      <c r="R217" s="924">
        <f t="shared" si="25"/>
        <v>0</v>
      </c>
      <c r="S217" s="501">
        <f t="shared" si="26"/>
        <v>0</v>
      </c>
      <c r="T217" s="433"/>
      <c r="U217" s="434"/>
      <c r="W217" s="598"/>
      <c r="Y217" s="734"/>
    </row>
    <row r="218" spans="2:25" s="22" customFormat="1" ht="15.6" x14ac:dyDescent="0.3">
      <c r="B218" s="1658"/>
      <c r="C218" s="1680"/>
      <c r="D218" s="1678"/>
      <c r="E218" s="1675"/>
      <c r="F218" s="5">
        <v>2</v>
      </c>
      <c r="G218" s="57" t="s">
        <v>280</v>
      </c>
      <c r="H218" s="11" t="s">
        <v>190</v>
      </c>
      <c r="I218" s="23">
        <v>0.03</v>
      </c>
      <c r="J218" s="12">
        <v>2</v>
      </c>
      <c r="K218" s="25">
        <f>I218*$K$194</f>
        <v>9900270</v>
      </c>
      <c r="L218" s="947">
        <f>IFERROR(K218/J218,0)</f>
        <v>4950135</v>
      </c>
      <c r="M218" s="91">
        <f>'Schedule 2'!$F$434</f>
        <v>2</v>
      </c>
      <c r="N218" s="921">
        <f>ROUND(L218*M218,0)</f>
        <v>9900270</v>
      </c>
      <c r="O218" s="91">
        <f>'Schedule 2'!$F$435</f>
        <v>2</v>
      </c>
      <c r="P218" s="921">
        <v>9900270</v>
      </c>
      <c r="Q218" s="92">
        <f>M218-O218</f>
        <v>0</v>
      </c>
      <c r="R218" s="924">
        <f t="shared" si="25"/>
        <v>0</v>
      </c>
      <c r="S218" s="501">
        <f t="shared" si="26"/>
        <v>0</v>
      </c>
      <c r="T218" s="433"/>
      <c r="U218" s="434"/>
      <c r="W218" s="598"/>
      <c r="Y218" s="734"/>
    </row>
    <row r="219" spans="2:25" s="22" customFormat="1" ht="15.6" x14ac:dyDescent="0.3">
      <c r="B219" s="1658"/>
      <c r="C219" s="1680"/>
      <c r="D219" s="1678"/>
      <c r="E219" s="1675"/>
      <c r="F219" s="5">
        <v>3</v>
      </c>
      <c r="G219" s="57" t="s">
        <v>304</v>
      </c>
      <c r="H219" s="11" t="s">
        <v>190</v>
      </c>
      <c r="I219" s="23">
        <v>0.02</v>
      </c>
      <c r="J219" s="12">
        <v>2</v>
      </c>
      <c r="K219" s="25">
        <f>I219*$K$194</f>
        <v>6600180</v>
      </c>
      <c r="L219" s="947">
        <f>IFERROR(K219/J219,0)</f>
        <v>3300090</v>
      </c>
      <c r="M219" s="92">
        <f>'Schedule 2'!$F$440</f>
        <v>2</v>
      </c>
      <c r="N219" s="921">
        <f>ROUND(L219*M219,0)</f>
        <v>6600180</v>
      </c>
      <c r="O219" s="91">
        <f>'Schedule 2'!$F$441</f>
        <v>2</v>
      </c>
      <c r="P219" s="921">
        <v>6600180</v>
      </c>
      <c r="Q219" s="92">
        <f>M219-O219</f>
        <v>0</v>
      </c>
      <c r="R219" s="924">
        <f t="shared" si="25"/>
        <v>0</v>
      </c>
      <c r="S219" s="501">
        <f t="shared" si="26"/>
        <v>0</v>
      </c>
      <c r="T219" s="433"/>
      <c r="U219" s="434"/>
      <c r="W219" s="598"/>
      <c r="Y219" s="734"/>
    </row>
    <row r="220" spans="2:25" s="22" customFormat="1" ht="15.6" x14ac:dyDescent="0.3">
      <c r="B220" s="1658"/>
      <c r="C220" s="1680"/>
      <c r="D220" s="1678"/>
      <c r="E220" s="1675"/>
      <c r="F220" s="278" t="s">
        <v>41</v>
      </c>
      <c r="G220" s="10" t="s">
        <v>311</v>
      </c>
      <c r="H220" s="11"/>
      <c r="I220" s="37"/>
      <c r="J220" s="12"/>
      <c r="K220" s="21"/>
      <c r="L220" s="1030"/>
      <c r="M220" s="91"/>
      <c r="N220" s="924"/>
      <c r="O220" s="91"/>
      <c r="P220" s="924"/>
      <c r="Q220" s="92"/>
      <c r="R220" s="924"/>
      <c r="S220" s="501">
        <f t="shared" si="26"/>
        <v>0</v>
      </c>
      <c r="T220" s="433"/>
      <c r="U220" s="442"/>
      <c r="W220" s="598"/>
      <c r="Y220" s="734"/>
    </row>
    <row r="221" spans="2:25" s="22" customFormat="1" ht="15.6" x14ac:dyDescent="0.3">
      <c r="B221" s="1658"/>
      <c r="C221" s="1680"/>
      <c r="D221" s="1678"/>
      <c r="E221" s="1675"/>
      <c r="F221" s="19" t="s">
        <v>90</v>
      </c>
      <c r="G221" s="9" t="s">
        <v>308</v>
      </c>
      <c r="H221" s="11"/>
      <c r="I221" s="37"/>
      <c r="J221" s="12"/>
      <c r="K221" s="21"/>
      <c r="L221" s="1030"/>
      <c r="M221" s="91"/>
      <c r="N221" s="924"/>
      <c r="O221" s="91"/>
      <c r="P221" s="924"/>
      <c r="Q221" s="92"/>
      <c r="R221" s="924"/>
      <c r="S221" s="501">
        <f t="shared" si="26"/>
        <v>0</v>
      </c>
      <c r="T221" s="433"/>
      <c r="U221" s="442"/>
      <c r="W221" s="598"/>
      <c r="Y221" s="734"/>
    </row>
    <row r="222" spans="2:25" s="22" customFormat="1" ht="15.6" x14ac:dyDescent="0.3">
      <c r="B222" s="1658"/>
      <c r="C222" s="1680"/>
      <c r="D222" s="1678"/>
      <c r="E222" s="1675"/>
      <c r="F222" s="5">
        <v>1</v>
      </c>
      <c r="G222" s="57" t="s">
        <v>279</v>
      </c>
      <c r="H222" s="11" t="s">
        <v>190</v>
      </c>
      <c r="I222" s="23">
        <v>0.02</v>
      </c>
      <c r="J222" s="12">
        <v>2</v>
      </c>
      <c r="K222" s="25">
        <f>I222*$K$194</f>
        <v>6600180</v>
      </c>
      <c r="L222" s="947">
        <f>IFERROR(K222/J222,0)</f>
        <v>3300090</v>
      </c>
      <c r="M222" s="91">
        <f>'Schedule 2'!$F$454</f>
        <v>2</v>
      </c>
      <c r="N222" s="921">
        <f>ROUND(L222*M222,0)</f>
        <v>6600180</v>
      </c>
      <c r="O222" s="91">
        <f>'Schedule 2'!$F$455</f>
        <v>2</v>
      </c>
      <c r="P222" s="921">
        <v>6600180</v>
      </c>
      <c r="Q222" s="92">
        <f>M222-O222</f>
        <v>0</v>
      </c>
      <c r="R222" s="924">
        <f t="shared" si="25"/>
        <v>0</v>
      </c>
      <c r="S222" s="501">
        <f t="shared" si="26"/>
        <v>0</v>
      </c>
      <c r="T222" s="433"/>
      <c r="U222" s="434"/>
      <c r="W222" s="598"/>
      <c r="X222" s="394"/>
      <c r="Y222" s="734"/>
    </row>
    <row r="223" spans="2:25" s="22" customFormat="1" ht="15.6" x14ac:dyDescent="0.3">
      <c r="B223" s="1658"/>
      <c r="C223" s="1680"/>
      <c r="D223" s="1678"/>
      <c r="E223" s="1675"/>
      <c r="F223" s="5">
        <v>2</v>
      </c>
      <c r="G223" s="57" t="s">
        <v>280</v>
      </c>
      <c r="H223" s="11" t="s">
        <v>190</v>
      </c>
      <c r="I223" s="23">
        <v>0.03</v>
      </c>
      <c r="J223" s="12">
        <v>2</v>
      </c>
      <c r="K223" s="25">
        <f>I223*$K$194</f>
        <v>9900270</v>
      </c>
      <c r="L223" s="947">
        <f>IFERROR(K223/J223,0)</f>
        <v>4950135</v>
      </c>
      <c r="M223" s="91">
        <f>'Schedule 2'!$F$467</f>
        <v>2</v>
      </c>
      <c r="N223" s="921">
        <f>ROUND(L223*M223,0)</f>
        <v>9900270</v>
      </c>
      <c r="O223" s="91">
        <f>'Schedule 2'!$F$468</f>
        <v>2</v>
      </c>
      <c r="P223" s="921">
        <v>9900270</v>
      </c>
      <c r="Q223" s="92">
        <f>M223-O223</f>
        <v>0</v>
      </c>
      <c r="R223" s="924">
        <f t="shared" si="25"/>
        <v>0</v>
      </c>
      <c r="S223" s="501">
        <f t="shared" si="26"/>
        <v>0</v>
      </c>
      <c r="T223" s="433"/>
      <c r="U223" s="434"/>
      <c r="W223" s="598"/>
      <c r="Y223" s="734"/>
    </row>
    <row r="224" spans="2:25" s="22" customFormat="1" ht="15.6" x14ac:dyDescent="0.3">
      <c r="B224" s="1658"/>
      <c r="C224" s="1680"/>
      <c r="D224" s="1678"/>
      <c r="E224" s="1675"/>
      <c r="F224" s="5">
        <v>3</v>
      </c>
      <c r="G224" s="57" t="s">
        <v>304</v>
      </c>
      <c r="H224" s="11" t="s">
        <v>190</v>
      </c>
      <c r="I224" s="13">
        <v>0.02</v>
      </c>
      <c r="J224" s="20">
        <v>2</v>
      </c>
      <c r="K224" s="21">
        <f>I224*$K$194</f>
        <v>6600180</v>
      </c>
      <c r="L224" s="1146">
        <f>IFERROR(K224/J224,0)</f>
        <v>3300090</v>
      </c>
      <c r="M224" s="92">
        <f>'Schedule 2'!$F$479</f>
        <v>1.875</v>
      </c>
      <c r="N224" s="924">
        <f>ROUND(L224*M224,0)</f>
        <v>6187669</v>
      </c>
      <c r="O224" s="92">
        <f>'Schedule 2'!$F$480</f>
        <v>1.875</v>
      </c>
      <c r="P224" s="924">
        <v>6187669</v>
      </c>
      <c r="Q224" s="92">
        <f>M224-O224</f>
        <v>0</v>
      </c>
      <c r="R224" s="924">
        <f t="shared" si="25"/>
        <v>0</v>
      </c>
      <c r="S224" s="1147">
        <f t="shared" si="26"/>
        <v>0.125</v>
      </c>
      <c r="T224" s="437"/>
      <c r="U224" s="442"/>
      <c r="W224" s="1149"/>
      <c r="Y224" s="734"/>
    </row>
    <row r="225" spans="2:25" s="22" customFormat="1" ht="15.6" x14ac:dyDescent="0.3">
      <c r="B225" s="1658"/>
      <c r="C225" s="1680"/>
      <c r="D225" s="1678"/>
      <c r="E225" s="1675"/>
      <c r="F225" s="19" t="s">
        <v>197</v>
      </c>
      <c r="G225" s="9" t="s">
        <v>309</v>
      </c>
      <c r="H225" s="11"/>
      <c r="I225" s="37"/>
      <c r="J225" s="12"/>
      <c r="K225" s="21"/>
      <c r="L225" s="1030"/>
      <c r="M225" s="91"/>
      <c r="N225" s="924"/>
      <c r="O225" s="91"/>
      <c r="P225" s="924"/>
      <c r="Q225" s="92"/>
      <c r="R225" s="924"/>
      <c r="S225" s="501">
        <f t="shared" si="26"/>
        <v>0</v>
      </c>
      <c r="T225" s="433"/>
      <c r="U225" s="442"/>
      <c r="Y225" s="734"/>
    </row>
    <row r="226" spans="2:25" s="22" customFormat="1" ht="15.6" x14ac:dyDescent="0.3">
      <c r="B226" s="1658"/>
      <c r="C226" s="1680"/>
      <c r="D226" s="1678"/>
      <c r="E226" s="1675"/>
      <c r="F226" s="5">
        <v>1</v>
      </c>
      <c r="G226" s="57" t="s">
        <v>279</v>
      </c>
      <c r="H226" s="11" t="s">
        <v>190</v>
      </c>
      <c r="I226" s="23">
        <v>0.02</v>
      </c>
      <c r="J226" s="12">
        <v>2</v>
      </c>
      <c r="K226" s="25">
        <f>I226*$K$194</f>
        <v>6600180</v>
      </c>
      <c r="L226" s="947">
        <f>IFERROR(K226/J226,0)</f>
        <v>3300090</v>
      </c>
      <c r="M226" s="91">
        <f>'Schedule 2'!F492</f>
        <v>2</v>
      </c>
      <c r="N226" s="921">
        <f>ROUND(L226*M226,0)</f>
        <v>6600180</v>
      </c>
      <c r="O226" s="91">
        <f>'Schedule 2'!F493</f>
        <v>2</v>
      </c>
      <c r="P226" s="921">
        <v>6600180</v>
      </c>
      <c r="Q226" s="92">
        <f>M226-O226</f>
        <v>0</v>
      </c>
      <c r="R226" s="924">
        <f t="shared" si="25"/>
        <v>0</v>
      </c>
      <c r="S226" s="501">
        <f t="shared" si="26"/>
        <v>0</v>
      </c>
      <c r="T226" s="433"/>
      <c r="U226" s="434"/>
      <c r="W226" s="598"/>
      <c r="X226" s="394"/>
      <c r="Y226" s="734"/>
    </row>
    <row r="227" spans="2:25" s="22" customFormat="1" ht="15.6" x14ac:dyDescent="0.3">
      <c r="B227" s="1658"/>
      <c r="C227" s="1680"/>
      <c r="D227" s="1678"/>
      <c r="E227" s="1675"/>
      <c r="F227" s="5">
        <v>2</v>
      </c>
      <c r="G227" s="57" t="s">
        <v>280</v>
      </c>
      <c r="H227" s="11" t="s">
        <v>190</v>
      </c>
      <c r="I227" s="23">
        <v>0.03</v>
      </c>
      <c r="J227" s="12">
        <v>2</v>
      </c>
      <c r="K227" s="25">
        <f>I227*$K$194</f>
        <v>9900270</v>
      </c>
      <c r="L227" s="947">
        <f>IFERROR(K227/J227,0)</f>
        <v>4950135</v>
      </c>
      <c r="M227" s="91">
        <f>'Schedule 2'!$F$506</f>
        <v>1.75</v>
      </c>
      <c r="N227" s="921">
        <f>ROUND(L227*M227,0)</f>
        <v>8662736</v>
      </c>
      <c r="O227" s="91">
        <f>'Schedule 2'!$F$507</f>
        <v>1.75</v>
      </c>
      <c r="P227" s="921">
        <v>8662736</v>
      </c>
      <c r="Q227" s="92">
        <f>M227-O227</f>
        <v>0</v>
      </c>
      <c r="R227" s="924">
        <f t="shared" si="25"/>
        <v>0</v>
      </c>
      <c r="S227" s="501">
        <f t="shared" si="26"/>
        <v>0.25</v>
      </c>
      <c r="T227" s="433"/>
      <c r="U227" s="434"/>
      <c r="W227" s="598"/>
      <c r="Y227" s="734"/>
    </row>
    <row r="228" spans="2:25" s="22" customFormat="1" ht="15.6" x14ac:dyDescent="0.3">
      <c r="B228" s="1658"/>
      <c r="C228" s="1680"/>
      <c r="D228" s="1678"/>
      <c r="E228" s="1675"/>
      <c r="F228" s="5">
        <v>3</v>
      </c>
      <c r="G228" s="57" t="s">
        <v>304</v>
      </c>
      <c r="H228" s="11" t="s">
        <v>190</v>
      </c>
      <c r="I228" s="23">
        <v>0.02</v>
      </c>
      <c r="J228" s="12">
        <v>2</v>
      </c>
      <c r="K228" s="25">
        <f>I228*$K$194</f>
        <v>6600180</v>
      </c>
      <c r="L228" s="947">
        <f>IFERROR(K228/J228,0)</f>
        <v>3300090</v>
      </c>
      <c r="M228" s="91">
        <f>'Schedule 2'!$F$520</f>
        <v>1.6879999999999999</v>
      </c>
      <c r="N228" s="921">
        <f>ROUND(L228*M228,0)</f>
        <v>5570552</v>
      </c>
      <c r="O228" s="91">
        <f>'Schedule 2'!$F$521</f>
        <v>1.4379999999999999</v>
      </c>
      <c r="P228" s="921">
        <v>4745529</v>
      </c>
      <c r="Q228" s="92">
        <f>M228-O228</f>
        <v>0.25</v>
      </c>
      <c r="R228" s="924">
        <f t="shared" si="25"/>
        <v>825023</v>
      </c>
      <c r="S228" s="501">
        <f t="shared" si="26"/>
        <v>0.31200000000000006</v>
      </c>
      <c r="T228" s="433"/>
      <c r="U228" s="434"/>
      <c r="W228" s="598"/>
      <c r="Y228" s="734"/>
    </row>
    <row r="229" spans="2:25" s="22" customFormat="1" ht="15.6" x14ac:dyDescent="0.3">
      <c r="B229" s="1658"/>
      <c r="C229" s="1680"/>
      <c r="D229" s="1678"/>
      <c r="E229" s="1675"/>
      <c r="F229" s="19" t="s">
        <v>208</v>
      </c>
      <c r="G229" s="9" t="s">
        <v>310</v>
      </c>
      <c r="H229" s="11"/>
      <c r="I229" s="37"/>
      <c r="J229" s="12"/>
      <c r="K229" s="21"/>
      <c r="L229" s="1030"/>
      <c r="M229" s="91"/>
      <c r="N229" s="924"/>
      <c r="O229" s="91"/>
      <c r="P229" s="924"/>
      <c r="Q229" s="92"/>
      <c r="R229" s="924"/>
      <c r="S229" s="501">
        <f t="shared" si="26"/>
        <v>0</v>
      </c>
      <c r="T229" s="433"/>
      <c r="U229" s="442"/>
      <c r="W229" s="598"/>
      <c r="Y229" s="734"/>
    </row>
    <row r="230" spans="2:25" s="22" customFormat="1" ht="15.6" x14ac:dyDescent="0.3">
      <c r="B230" s="1658"/>
      <c r="C230" s="1680"/>
      <c r="D230" s="1678"/>
      <c r="E230" s="1675"/>
      <c r="F230" s="5">
        <v>1</v>
      </c>
      <c r="G230" s="57" t="s">
        <v>279</v>
      </c>
      <c r="H230" s="11" t="s">
        <v>190</v>
      </c>
      <c r="I230" s="23">
        <v>0.02</v>
      </c>
      <c r="J230" s="12">
        <v>2</v>
      </c>
      <c r="K230" s="25">
        <f>I230*$K$194</f>
        <v>6600180</v>
      </c>
      <c r="L230" s="947">
        <f>IFERROR(K230/J230,0)</f>
        <v>3300090</v>
      </c>
      <c r="M230" s="91">
        <f>'Schedule 2'!$F$527</f>
        <v>2</v>
      </c>
      <c r="N230" s="921">
        <f>ROUND(L230*M230,0)</f>
        <v>6600180</v>
      </c>
      <c r="O230" s="91">
        <f>'Schedule 2'!$F$528</f>
        <v>2</v>
      </c>
      <c r="P230" s="921">
        <v>6600180</v>
      </c>
      <c r="Q230" s="92">
        <f>M230-O230</f>
        <v>0</v>
      </c>
      <c r="R230" s="924">
        <f t="shared" si="25"/>
        <v>0</v>
      </c>
      <c r="S230" s="501">
        <f t="shared" si="26"/>
        <v>0</v>
      </c>
      <c r="T230" s="433"/>
      <c r="U230" s="434"/>
      <c r="W230" s="598"/>
      <c r="X230" s="394"/>
      <c r="Y230" s="734"/>
    </row>
    <row r="231" spans="2:25" s="22" customFormat="1" ht="15.6" x14ac:dyDescent="0.3">
      <c r="B231" s="1658"/>
      <c r="C231" s="1680"/>
      <c r="D231" s="1678"/>
      <c r="E231" s="1675"/>
      <c r="F231" s="5">
        <v>2</v>
      </c>
      <c r="G231" s="57" t="s">
        <v>280</v>
      </c>
      <c r="H231" s="11" t="s">
        <v>190</v>
      </c>
      <c r="I231" s="23">
        <v>0.03</v>
      </c>
      <c r="J231" s="12">
        <v>2</v>
      </c>
      <c r="K231" s="25">
        <f>I231*$K$194</f>
        <v>9900270</v>
      </c>
      <c r="L231" s="947">
        <f>IFERROR(K231/J231,0)</f>
        <v>4950135</v>
      </c>
      <c r="M231" s="91">
        <f>'Schedule 2'!$F$535</f>
        <v>2</v>
      </c>
      <c r="N231" s="921">
        <f>ROUND(L231*M231,0)</f>
        <v>9900270</v>
      </c>
      <c r="O231" s="91">
        <f>'Schedule 2'!$F$536</f>
        <v>2</v>
      </c>
      <c r="P231" s="921">
        <v>9900270</v>
      </c>
      <c r="Q231" s="92">
        <f>M231-O231</f>
        <v>0</v>
      </c>
      <c r="R231" s="924">
        <f t="shared" si="25"/>
        <v>0</v>
      </c>
      <c r="S231" s="501">
        <f t="shared" si="26"/>
        <v>0</v>
      </c>
      <c r="T231" s="433"/>
      <c r="U231" s="434"/>
      <c r="W231" s="598"/>
      <c r="Y231" s="734"/>
    </row>
    <row r="232" spans="2:25" s="22" customFormat="1" ht="15.6" x14ac:dyDescent="0.3">
      <c r="B232" s="1658"/>
      <c r="C232" s="1680"/>
      <c r="D232" s="1678"/>
      <c r="E232" s="1675"/>
      <c r="F232" s="5">
        <v>3</v>
      </c>
      <c r="G232" s="57" t="s">
        <v>304</v>
      </c>
      <c r="H232" s="11" t="s">
        <v>190</v>
      </c>
      <c r="I232" s="23">
        <v>0.02</v>
      </c>
      <c r="J232" s="12">
        <v>2</v>
      </c>
      <c r="K232" s="25">
        <f>I232*$K$194</f>
        <v>6600180</v>
      </c>
      <c r="L232" s="947">
        <f>IFERROR(K232/J232,0)</f>
        <v>3300090</v>
      </c>
      <c r="M232" s="91">
        <f>'Schedule 2'!$F$541</f>
        <v>0.85699999999999998</v>
      </c>
      <c r="N232" s="921">
        <f>ROUND(L232*M232,0)</f>
        <v>2828177</v>
      </c>
      <c r="O232" s="91">
        <f>'Schedule 2'!$F$542</f>
        <v>0.85699999999999998</v>
      </c>
      <c r="P232" s="921">
        <v>2828177</v>
      </c>
      <c r="Q232" s="92">
        <f>M232-O232</f>
        <v>0</v>
      </c>
      <c r="R232" s="924">
        <f t="shared" si="25"/>
        <v>0</v>
      </c>
      <c r="S232" s="501">
        <f t="shared" si="26"/>
        <v>1.143</v>
      </c>
      <c r="T232" s="433"/>
      <c r="U232" s="434"/>
      <c r="W232" s="598"/>
      <c r="Y232" s="734"/>
    </row>
    <row r="233" spans="2:25" s="22" customFormat="1" ht="15.6" x14ac:dyDescent="0.3">
      <c r="B233" s="1658"/>
      <c r="C233" s="1680"/>
      <c r="D233" s="1678"/>
      <c r="E233" s="1675"/>
      <c r="F233" s="278" t="s">
        <v>84</v>
      </c>
      <c r="G233" s="10" t="s">
        <v>312</v>
      </c>
      <c r="H233" s="11"/>
      <c r="I233" s="37"/>
      <c r="J233" s="12"/>
      <c r="K233" s="21"/>
      <c r="L233" s="1030"/>
      <c r="M233" s="91"/>
      <c r="N233" s="924"/>
      <c r="O233" s="91"/>
      <c r="P233" s="924"/>
      <c r="Q233" s="92"/>
      <c r="R233" s="924"/>
      <c r="S233" s="501">
        <f t="shared" si="26"/>
        <v>0</v>
      </c>
      <c r="T233" s="433"/>
      <c r="U233" s="442"/>
      <c r="W233" s="598"/>
      <c r="Y233" s="734"/>
    </row>
    <row r="234" spans="2:25" s="22" customFormat="1" ht="15.6" x14ac:dyDescent="0.3">
      <c r="B234" s="1658"/>
      <c r="C234" s="1680"/>
      <c r="D234" s="1678"/>
      <c r="E234" s="1675"/>
      <c r="F234" s="19" t="s">
        <v>90</v>
      </c>
      <c r="G234" s="9" t="s">
        <v>279</v>
      </c>
      <c r="H234" s="11" t="s">
        <v>190</v>
      </c>
      <c r="I234" s="23">
        <v>0.02</v>
      </c>
      <c r="J234" s="12">
        <v>3</v>
      </c>
      <c r="K234" s="25">
        <f>I234*$K$194</f>
        <v>6600180</v>
      </c>
      <c r="L234" s="947">
        <f>IFERROR(K234/J234,0)</f>
        <v>2200060</v>
      </c>
      <c r="M234" s="91">
        <f>'Schedule 2'!F549</f>
        <v>3</v>
      </c>
      <c r="N234" s="921">
        <f>ROUND(L234*M234,0)</f>
        <v>6600180</v>
      </c>
      <c r="O234" s="91">
        <f>'Schedule 2'!F550</f>
        <v>3</v>
      </c>
      <c r="P234" s="921">
        <v>6600180</v>
      </c>
      <c r="Q234" s="92">
        <f>M234-O234</f>
        <v>0</v>
      </c>
      <c r="R234" s="921">
        <f t="shared" si="25"/>
        <v>0</v>
      </c>
      <c r="S234" s="501">
        <f t="shared" si="26"/>
        <v>0</v>
      </c>
      <c r="T234" s="433"/>
      <c r="U234" s="434"/>
      <c r="W234" s="598"/>
      <c r="Y234" s="734"/>
    </row>
    <row r="235" spans="2:25" s="22" customFormat="1" ht="15.6" x14ac:dyDescent="0.3">
      <c r="B235" s="1658"/>
      <c r="C235" s="1680"/>
      <c r="D235" s="1678"/>
      <c r="E235" s="1675"/>
      <c r="F235" s="19" t="s">
        <v>197</v>
      </c>
      <c r="G235" s="9" t="s">
        <v>280</v>
      </c>
      <c r="H235" s="11" t="s">
        <v>190</v>
      </c>
      <c r="I235" s="23">
        <v>0.02</v>
      </c>
      <c r="J235" s="12">
        <v>3</v>
      </c>
      <c r="K235" s="25">
        <f>I235*$K$194</f>
        <v>6600180</v>
      </c>
      <c r="L235" s="947">
        <f>IFERROR(K235/J235,0)</f>
        <v>2200060</v>
      </c>
      <c r="M235" s="91">
        <f>'Schedule 2'!$F$558</f>
        <v>3</v>
      </c>
      <c r="N235" s="921">
        <f>ROUND(L235*M235,0)</f>
        <v>6600180</v>
      </c>
      <c r="O235" s="91">
        <f>'Schedule 2'!$F$559</f>
        <v>3</v>
      </c>
      <c r="P235" s="921">
        <v>6600180</v>
      </c>
      <c r="Q235" s="92">
        <f>M235-O235</f>
        <v>0</v>
      </c>
      <c r="R235" s="921">
        <f t="shared" si="25"/>
        <v>0</v>
      </c>
      <c r="S235" s="501">
        <f t="shared" si="26"/>
        <v>0</v>
      </c>
      <c r="T235" s="433"/>
      <c r="U235" s="434"/>
      <c r="W235" s="598"/>
      <c r="Y235" s="734"/>
    </row>
    <row r="236" spans="2:25" s="22" customFormat="1" ht="15.6" x14ac:dyDescent="0.3">
      <c r="B236" s="1658"/>
      <c r="C236" s="1680"/>
      <c r="D236" s="1678"/>
      <c r="E236" s="1675"/>
      <c r="F236" s="19" t="s">
        <v>208</v>
      </c>
      <c r="G236" s="9" t="s">
        <v>304</v>
      </c>
      <c r="H236" s="11" t="s">
        <v>190</v>
      </c>
      <c r="I236" s="23">
        <v>0.01</v>
      </c>
      <c r="J236" s="12">
        <v>3</v>
      </c>
      <c r="K236" s="25">
        <f>I236*$K$194</f>
        <v>3300090</v>
      </c>
      <c r="L236" s="947">
        <f>IFERROR(K236/J236,0)</f>
        <v>1100030</v>
      </c>
      <c r="M236" s="91">
        <v>0</v>
      </c>
      <c r="N236" s="921">
        <f>ROUND(L236*M236,0)</f>
        <v>0</v>
      </c>
      <c r="O236" s="91">
        <v>0</v>
      </c>
      <c r="P236" s="921">
        <v>0</v>
      </c>
      <c r="Q236" s="92">
        <f>M236-O236</f>
        <v>0</v>
      </c>
      <c r="R236" s="921">
        <f t="shared" si="25"/>
        <v>0</v>
      </c>
      <c r="S236" s="501">
        <f t="shared" si="26"/>
        <v>3</v>
      </c>
      <c r="T236" s="433"/>
      <c r="U236" s="434"/>
      <c r="W236" s="598"/>
      <c r="Y236" s="734"/>
    </row>
    <row r="237" spans="2:25" s="22" customFormat="1" ht="15.6" x14ac:dyDescent="0.3">
      <c r="B237" s="1658"/>
      <c r="C237" s="1680"/>
      <c r="D237" s="1678"/>
      <c r="E237" s="1675"/>
      <c r="F237" s="278" t="s">
        <v>86</v>
      </c>
      <c r="G237" s="10" t="s">
        <v>313</v>
      </c>
      <c r="H237" s="11"/>
      <c r="I237" s="37"/>
      <c r="J237" s="12"/>
      <c r="K237" s="21"/>
      <c r="L237" s="1030"/>
      <c r="M237" s="91"/>
      <c r="N237" s="924"/>
      <c r="O237" s="91"/>
      <c r="P237" s="924"/>
      <c r="Q237" s="92"/>
      <c r="R237" s="924"/>
      <c r="S237" s="501">
        <f t="shared" si="26"/>
        <v>0</v>
      </c>
      <c r="T237" s="433"/>
      <c r="U237" s="442"/>
      <c r="W237" s="598"/>
      <c r="Y237" s="734"/>
    </row>
    <row r="238" spans="2:25" s="22" customFormat="1" ht="15.6" x14ac:dyDescent="0.3">
      <c r="B238" s="1658"/>
      <c r="C238" s="1680"/>
      <c r="D238" s="1678"/>
      <c r="E238" s="1675"/>
      <c r="F238" s="19" t="s">
        <v>90</v>
      </c>
      <c r="G238" s="9" t="s">
        <v>279</v>
      </c>
      <c r="H238" s="11" t="s">
        <v>190</v>
      </c>
      <c r="I238" s="23">
        <v>0.02</v>
      </c>
      <c r="J238" s="12">
        <v>18</v>
      </c>
      <c r="K238" s="25">
        <f>I238*$K$194</f>
        <v>6600180</v>
      </c>
      <c r="L238" s="947">
        <f>IFERROR(K238/J238,0)</f>
        <v>366676.66666666669</v>
      </c>
      <c r="M238" s="91">
        <f>'Schedule 2'!$F$565</f>
        <v>18</v>
      </c>
      <c r="N238" s="921">
        <f>ROUND(L238*M238,0)</f>
        <v>6600180</v>
      </c>
      <c r="O238" s="91">
        <f>'Schedule 2'!$F$566</f>
        <v>18</v>
      </c>
      <c r="P238" s="921">
        <v>6600180</v>
      </c>
      <c r="Q238" s="92">
        <f>M238-O238</f>
        <v>0</v>
      </c>
      <c r="R238" s="921">
        <f t="shared" si="25"/>
        <v>0</v>
      </c>
      <c r="S238" s="501">
        <f t="shared" si="26"/>
        <v>0</v>
      </c>
      <c r="T238" s="433"/>
      <c r="U238" s="434"/>
      <c r="W238" s="598"/>
      <c r="X238" s="394"/>
      <c r="Y238" s="734"/>
    </row>
    <row r="239" spans="2:25" s="22" customFormat="1" ht="15.6" x14ac:dyDescent="0.3">
      <c r="B239" s="1658"/>
      <c r="C239" s="1680"/>
      <c r="D239" s="1678"/>
      <c r="E239" s="1675"/>
      <c r="F239" s="19" t="s">
        <v>197</v>
      </c>
      <c r="G239" s="9" t="s">
        <v>280</v>
      </c>
      <c r="H239" s="11" t="s">
        <v>190</v>
      </c>
      <c r="I239" s="23">
        <v>0.02</v>
      </c>
      <c r="J239" s="12">
        <v>18</v>
      </c>
      <c r="K239" s="25">
        <f>I239*$K$194</f>
        <v>6600180</v>
      </c>
      <c r="L239" s="947">
        <f>IFERROR(K239/J239,0)</f>
        <v>366676.66666666669</v>
      </c>
      <c r="M239" s="91">
        <f>'Schedule 2'!$F$575</f>
        <v>18</v>
      </c>
      <c r="N239" s="921">
        <f>ROUND(L239*M239,0)</f>
        <v>6600180</v>
      </c>
      <c r="O239" s="91">
        <f>'Schedule 2'!$F$576</f>
        <v>18</v>
      </c>
      <c r="P239" s="921">
        <v>6600180</v>
      </c>
      <c r="Q239" s="92">
        <f>M239-O239</f>
        <v>0</v>
      </c>
      <c r="R239" s="924">
        <f t="shared" si="25"/>
        <v>0</v>
      </c>
      <c r="S239" s="501">
        <f t="shared" si="26"/>
        <v>0</v>
      </c>
      <c r="T239" s="433"/>
      <c r="U239" s="434"/>
      <c r="W239" s="598"/>
      <c r="X239" s="394"/>
      <c r="Y239" s="734"/>
    </row>
    <row r="240" spans="2:25" s="22" customFormat="1" ht="15.6" x14ac:dyDescent="0.3">
      <c r="B240" s="1658"/>
      <c r="C240" s="1680"/>
      <c r="D240" s="1678"/>
      <c r="E240" s="1675"/>
      <c r="F240" s="19" t="s">
        <v>208</v>
      </c>
      <c r="G240" s="9" t="s">
        <v>304</v>
      </c>
      <c r="H240" s="11" t="s">
        <v>190</v>
      </c>
      <c r="I240" s="23">
        <v>0.01</v>
      </c>
      <c r="J240" s="12">
        <v>18</v>
      </c>
      <c r="K240" s="25">
        <f>I240*$K$194</f>
        <v>3300090</v>
      </c>
      <c r="L240" s="947">
        <f>IFERROR(K240/J240,0)</f>
        <v>183338.33333333334</v>
      </c>
      <c r="M240" s="91">
        <f>'Schedule 2'!$F$582</f>
        <v>18</v>
      </c>
      <c r="N240" s="921">
        <f>ROUND(L240*M240,0)</f>
        <v>3300090</v>
      </c>
      <c r="O240" s="91">
        <f>'Schedule 2'!$F$583</f>
        <v>18</v>
      </c>
      <c r="P240" s="921">
        <v>3300090</v>
      </c>
      <c r="Q240" s="92">
        <f>M240-O240</f>
        <v>0</v>
      </c>
      <c r="R240" s="921">
        <f t="shared" si="25"/>
        <v>0</v>
      </c>
      <c r="S240" s="501">
        <f t="shared" si="26"/>
        <v>0</v>
      </c>
      <c r="T240" s="433"/>
      <c r="U240" s="434"/>
      <c r="W240" s="598"/>
      <c r="Y240" s="734"/>
    </row>
    <row r="241" spans="2:25" s="22" customFormat="1" ht="15.6" x14ac:dyDescent="0.3">
      <c r="B241" s="1658"/>
      <c r="C241" s="1680"/>
      <c r="D241" s="1678"/>
      <c r="E241" s="1675"/>
      <c r="F241" s="278" t="s">
        <v>88</v>
      </c>
      <c r="G241" s="10" t="s">
        <v>314</v>
      </c>
      <c r="H241" s="11"/>
      <c r="I241" s="37"/>
      <c r="J241" s="12"/>
      <c r="K241" s="21"/>
      <c r="L241" s="1030"/>
      <c r="M241" s="91"/>
      <c r="N241" s="924"/>
      <c r="O241" s="91"/>
      <c r="P241" s="924"/>
      <c r="Q241" s="92"/>
      <c r="R241" s="924"/>
      <c r="S241" s="501">
        <f t="shared" si="26"/>
        <v>0</v>
      </c>
      <c r="T241" s="433"/>
      <c r="U241" s="442"/>
      <c r="W241" s="598"/>
      <c r="Y241" s="734"/>
    </row>
    <row r="242" spans="2:25" s="22" customFormat="1" ht="15.6" x14ac:dyDescent="0.3">
      <c r="B242" s="1658"/>
      <c r="C242" s="1680"/>
      <c r="D242" s="1678"/>
      <c r="E242" s="1675"/>
      <c r="F242" s="19" t="s">
        <v>90</v>
      </c>
      <c r="G242" s="9" t="s">
        <v>279</v>
      </c>
      <c r="H242" s="11" t="s">
        <v>190</v>
      </c>
      <c r="I242" s="23">
        <v>0.03</v>
      </c>
      <c r="J242" s="12">
        <v>1</v>
      </c>
      <c r="K242" s="25">
        <f>I242*$K$194</f>
        <v>9900270</v>
      </c>
      <c r="L242" s="947">
        <f>IFERROR(K242/J242,0)</f>
        <v>9900270</v>
      </c>
      <c r="M242" s="91">
        <f>'Schedule 2'!F589</f>
        <v>1</v>
      </c>
      <c r="N242" s="921">
        <f>ROUND(L242*M242,0)</f>
        <v>9900270</v>
      </c>
      <c r="O242" s="91">
        <f>'Schedule 2'!F590</f>
        <v>1</v>
      </c>
      <c r="P242" s="921">
        <v>9900270</v>
      </c>
      <c r="Q242" s="92">
        <f>M242-O242</f>
        <v>0</v>
      </c>
      <c r="R242" s="921">
        <f t="shared" si="25"/>
        <v>0</v>
      </c>
      <c r="S242" s="501">
        <f t="shared" si="26"/>
        <v>0</v>
      </c>
      <c r="T242" s="433"/>
      <c r="U242" s="434"/>
      <c r="W242" s="598"/>
      <c r="Y242" s="734"/>
    </row>
    <row r="243" spans="2:25" s="22" customFormat="1" ht="15.6" x14ac:dyDescent="0.3">
      <c r="B243" s="1658"/>
      <c r="C243" s="1680"/>
      <c r="D243" s="1678"/>
      <c r="E243" s="1675"/>
      <c r="F243" s="19" t="s">
        <v>197</v>
      </c>
      <c r="G243" s="9" t="s">
        <v>280</v>
      </c>
      <c r="H243" s="11" t="s">
        <v>190</v>
      </c>
      <c r="I243" s="23">
        <v>0.04</v>
      </c>
      <c r="J243" s="12">
        <v>1</v>
      </c>
      <c r="K243" s="25">
        <f>I243*$K$194</f>
        <v>13200360</v>
      </c>
      <c r="L243" s="947">
        <f>IFERROR(K243/J243,0)</f>
        <v>13200360</v>
      </c>
      <c r="M243" s="91">
        <f>'Schedule 2'!$F$596</f>
        <v>1</v>
      </c>
      <c r="N243" s="921">
        <f>ROUND(L243*M243,0)</f>
        <v>13200360</v>
      </c>
      <c r="O243" s="91">
        <f>'Schedule 2'!$F$597</f>
        <v>1</v>
      </c>
      <c r="P243" s="921">
        <v>13200360</v>
      </c>
      <c r="Q243" s="92">
        <f>M243-O243</f>
        <v>0</v>
      </c>
      <c r="R243" s="924">
        <f t="shared" si="25"/>
        <v>0</v>
      </c>
      <c r="S243" s="501">
        <f t="shared" si="26"/>
        <v>0</v>
      </c>
      <c r="T243" s="433"/>
      <c r="U243" s="434"/>
      <c r="W243" s="598"/>
      <c r="Y243" s="734"/>
    </row>
    <row r="244" spans="2:25" s="22" customFormat="1" ht="15.6" x14ac:dyDescent="0.3">
      <c r="B244" s="1658"/>
      <c r="C244" s="1680"/>
      <c r="D244" s="1678"/>
      <c r="E244" s="1675"/>
      <c r="F244" s="19" t="s">
        <v>208</v>
      </c>
      <c r="G244" s="9" t="s">
        <v>304</v>
      </c>
      <c r="H244" s="11" t="s">
        <v>190</v>
      </c>
      <c r="I244" s="23">
        <v>0.01</v>
      </c>
      <c r="J244" s="12">
        <v>1</v>
      </c>
      <c r="K244" s="25">
        <f>I244*$K$194</f>
        <v>3300090</v>
      </c>
      <c r="L244" s="947">
        <f>IFERROR(K244/J244,0)</f>
        <v>3300090</v>
      </c>
      <c r="M244" s="92">
        <f>'Schedule 2'!$F$603</f>
        <v>1</v>
      </c>
      <c r="N244" s="921">
        <f>ROUND(L244*M244,0)</f>
        <v>3300090</v>
      </c>
      <c r="O244" s="91">
        <f>'Schedule 2'!$F$604</f>
        <v>1</v>
      </c>
      <c r="P244" s="921">
        <v>3300090</v>
      </c>
      <c r="Q244" s="92">
        <f>M244-O244</f>
        <v>0</v>
      </c>
      <c r="R244" s="921">
        <f t="shared" si="25"/>
        <v>0</v>
      </c>
      <c r="S244" s="501">
        <f t="shared" si="26"/>
        <v>0</v>
      </c>
      <c r="T244" s="433"/>
      <c r="U244" s="434"/>
      <c r="W244" s="598"/>
      <c r="X244" s="394"/>
      <c r="Y244" s="734"/>
    </row>
    <row r="245" spans="2:25" s="22" customFormat="1" ht="15.6" x14ac:dyDescent="0.3">
      <c r="B245" s="1658"/>
      <c r="C245" s="1680"/>
      <c r="D245" s="1678"/>
      <c r="E245" s="1675"/>
      <c r="F245" s="278" t="s">
        <v>90</v>
      </c>
      <c r="G245" s="10" t="s">
        <v>315</v>
      </c>
      <c r="H245" s="11"/>
      <c r="I245" s="37"/>
      <c r="J245" s="12"/>
      <c r="K245" s="21"/>
      <c r="L245" s="1030"/>
      <c r="M245" s="91"/>
      <c r="N245" s="924"/>
      <c r="O245" s="91"/>
      <c r="P245" s="924"/>
      <c r="Q245" s="92"/>
      <c r="R245" s="924"/>
      <c r="S245" s="501">
        <f t="shared" si="26"/>
        <v>0</v>
      </c>
      <c r="T245" s="433"/>
      <c r="U245" s="442"/>
      <c r="W245" s="598"/>
      <c r="Y245" s="734"/>
    </row>
    <row r="246" spans="2:25" s="22" customFormat="1" ht="15.6" x14ac:dyDescent="0.3">
      <c r="B246" s="1658"/>
      <c r="C246" s="1680"/>
      <c r="D246" s="1678"/>
      <c r="E246" s="1675"/>
      <c r="F246" s="19" t="s">
        <v>90</v>
      </c>
      <c r="G246" s="9" t="s">
        <v>279</v>
      </c>
      <c r="H246" s="11" t="s">
        <v>190</v>
      </c>
      <c r="I246" s="23">
        <v>0.03</v>
      </c>
      <c r="J246" s="12">
        <v>1</v>
      </c>
      <c r="K246" s="25">
        <f>I246*$K$194</f>
        <v>9900270</v>
      </c>
      <c r="L246" s="947">
        <f>IFERROR(K246/J246,0)</f>
        <v>9900270</v>
      </c>
      <c r="M246" s="92">
        <f>'Schedule 2'!F611</f>
        <v>1</v>
      </c>
      <c r="N246" s="921">
        <f>ROUND(L246*M246,0)</f>
        <v>9900270</v>
      </c>
      <c r="O246" s="91">
        <f>'Schedule 2'!F612</f>
        <v>1</v>
      </c>
      <c r="P246" s="921">
        <v>9900270</v>
      </c>
      <c r="Q246" s="92">
        <f>M246-O246</f>
        <v>0</v>
      </c>
      <c r="R246" s="921">
        <f t="shared" si="25"/>
        <v>0</v>
      </c>
      <c r="S246" s="501">
        <f t="shared" si="26"/>
        <v>0</v>
      </c>
      <c r="T246" s="433"/>
      <c r="U246" s="434"/>
      <c r="W246" s="598"/>
      <c r="Y246" s="734"/>
    </row>
    <row r="247" spans="2:25" s="22" customFormat="1" ht="15.6" x14ac:dyDescent="0.3">
      <c r="B247" s="1658"/>
      <c r="C247" s="1680"/>
      <c r="D247" s="1678"/>
      <c r="E247" s="1675"/>
      <c r="F247" s="19" t="s">
        <v>197</v>
      </c>
      <c r="G247" s="9" t="s">
        <v>280</v>
      </c>
      <c r="H247" s="11" t="s">
        <v>190</v>
      </c>
      <c r="I247" s="23">
        <v>0.03</v>
      </c>
      <c r="J247" s="12">
        <v>1</v>
      </c>
      <c r="K247" s="25">
        <f>I247*$K$194</f>
        <v>9900270</v>
      </c>
      <c r="L247" s="947">
        <f>IFERROR(K247/J247,0)</f>
        <v>9900270</v>
      </c>
      <c r="M247" s="91">
        <f>'Schedule 2'!$F$622</f>
        <v>0.76</v>
      </c>
      <c r="N247" s="921">
        <f>ROUND(L247*M247,0)</f>
        <v>7524205</v>
      </c>
      <c r="O247" s="91">
        <f>'Schedule 2'!$F$623</f>
        <v>0.76</v>
      </c>
      <c r="P247" s="921">
        <v>7524205</v>
      </c>
      <c r="Q247" s="92">
        <f>M247-O247</f>
        <v>0</v>
      </c>
      <c r="R247" s="921">
        <f t="shared" si="25"/>
        <v>0</v>
      </c>
      <c r="S247" s="501">
        <f t="shared" si="26"/>
        <v>0.24</v>
      </c>
      <c r="T247" s="433"/>
      <c r="U247" s="434"/>
      <c r="W247" s="598"/>
      <c r="Y247" s="734"/>
    </row>
    <row r="248" spans="2:25" s="22" customFormat="1" ht="15.6" x14ac:dyDescent="0.3">
      <c r="B248" s="1658"/>
      <c r="C248" s="1680"/>
      <c r="D248" s="1678"/>
      <c r="E248" s="1675"/>
      <c r="F248" s="19" t="s">
        <v>208</v>
      </c>
      <c r="G248" s="9" t="s">
        <v>304</v>
      </c>
      <c r="H248" s="11" t="s">
        <v>190</v>
      </c>
      <c r="I248" s="23">
        <v>0.01</v>
      </c>
      <c r="J248" s="12">
        <v>1</v>
      </c>
      <c r="K248" s="25">
        <f>I248*$K$194</f>
        <v>3300090</v>
      </c>
      <c r="L248" s="947">
        <f>IFERROR(K248/J248,0)</f>
        <v>3300090</v>
      </c>
      <c r="M248" s="91">
        <f>'Schedule 2'!F633</f>
        <v>0.52</v>
      </c>
      <c r="N248" s="921">
        <f>ROUND(L248*M248,0)</f>
        <v>1716047</v>
      </c>
      <c r="O248" s="91">
        <f>'Schedule 2'!$F$634</f>
        <v>0.52</v>
      </c>
      <c r="P248" s="921">
        <v>1716047</v>
      </c>
      <c r="Q248" s="92">
        <f>M248-O248</f>
        <v>0</v>
      </c>
      <c r="R248" s="921">
        <f t="shared" si="25"/>
        <v>0</v>
      </c>
      <c r="S248" s="501">
        <f t="shared" si="26"/>
        <v>0.48</v>
      </c>
      <c r="T248" s="433"/>
      <c r="U248" s="434"/>
      <c r="W248" s="598"/>
      <c r="Y248" s="734"/>
    </row>
    <row r="249" spans="2:25" s="22" customFormat="1" ht="15.6" x14ac:dyDescent="0.3">
      <c r="B249" s="1658"/>
      <c r="C249" s="1680"/>
      <c r="D249" s="1678"/>
      <c r="E249" s="1675"/>
      <c r="F249" s="278" t="s">
        <v>316</v>
      </c>
      <c r="G249" s="10" t="s">
        <v>317</v>
      </c>
      <c r="H249" s="11"/>
      <c r="I249" s="37"/>
      <c r="J249" s="12"/>
      <c r="K249" s="21"/>
      <c r="L249" s="1030"/>
      <c r="M249" s="91"/>
      <c r="N249" s="924"/>
      <c r="O249" s="91"/>
      <c r="P249" s="924"/>
      <c r="Q249" s="92"/>
      <c r="R249" s="924"/>
      <c r="S249" s="501">
        <f t="shared" si="26"/>
        <v>0</v>
      </c>
      <c r="T249" s="433"/>
      <c r="U249" s="442"/>
      <c r="W249" s="598"/>
      <c r="Y249" s="734"/>
    </row>
    <row r="250" spans="2:25" s="22" customFormat="1" ht="15.6" x14ac:dyDescent="0.3">
      <c r="B250" s="1658"/>
      <c r="C250" s="1680"/>
      <c r="D250" s="1678"/>
      <c r="E250" s="1675"/>
      <c r="F250" s="19" t="s">
        <v>90</v>
      </c>
      <c r="G250" s="9" t="s">
        <v>279</v>
      </c>
      <c r="H250" s="11" t="s">
        <v>190</v>
      </c>
      <c r="I250" s="23">
        <v>0.03</v>
      </c>
      <c r="J250" s="12">
        <v>1</v>
      </c>
      <c r="K250" s="25">
        <f>I250*$K$194</f>
        <v>9900270</v>
      </c>
      <c r="L250" s="947">
        <f>IFERROR(K250/J250,0)</f>
        <v>9900270</v>
      </c>
      <c r="M250" s="92">
        <f>'Schedule 2'!F643</f>
        <v>1</v>
      </c>
      <c r="N250" s="921">
        <f>ROUND(L250*M250,0)</f>
        <v>9900270</v>
      </c>
      <c r="O250" s="91">
        <f>'Schedule 2'!F644</f>
        <v>1</v>
      </c>
      <c r="P250" s="921">
        <v>9900270</v>
      </c>
      <c r="Q250" s="92">
        <f>M250-O250</f>
        <v>0</v>
      </c>
      <c r="R250" s="924">
        <f t="shared" si="25"/>
        <v>0</v>
      </c>
      <c r="S250" s="501">
        <f t="shared" si="26"/>
        <v>0</v>
      </c>
      <c r="T250" s="433"/>
      <c r="U250" s="434"/>
      <c r="W250" s="598"/>
      <c r="Y250" s="734"/>
    </row>
    <row r="251" spans="2:25" s="22" customFormat="1" ht="15.6" x14ac:dyDescent="0.3">
      <c r="B251" s="1658"/>
      <c r="C251" s="1680"/>
      <c r="D251" s="1678"/>
      <c r="E251" s="1675"/>
      <c r="F251" s="19" t="s">
        <v>197</v>
      </c>
      <c r="G251" s="9" t="s">
        <v>280</v>
      </c>
      <c r="H251" s="11" t="s">
        <v>190</v>
      </c>
      <c r="I251" s="23">
        <v>0.04</v>
      </c>
      <c r="J251" s="12">
        <v>1</v>
      </c>
      <c r="K251" s="25">
        <f>I251*$K$194</f>
        <v>13200360</v>
      </c>
      <c r="L251" s="947">
        <f>IFERROR(K251/J251,0)</f>
        <v>13200360</v>
      </c>
      <c r="M251" s="91">
        <f>'Schedule 2'!$F$652</f>
        <v>1</v>
      </c>
      <c r="N251" s="921">
        <f>ROUND(L251*M251,0)</f>
        <v>13200360</v>
      </c>
      <c r="O251" s="91">
        <f>'Schedule 2'!$F$653</f>
        <v>1</v>
      </c>
      <c r="P251" s="921">
        <v>13200360</v>
      </c>
      <c r="Q251" s="92">
        <f>M251-O251</f>
        <v>0</v>
      </c>
      <c r="R251" s="924">
        <f t="shared" si="25"/>
        <v>0</v>
      </c>
      <c r="S251" s="501">
        <f t="shared" si="26"/>
        <v>0</v>
      </c>
      <c r="T251" s="433"/>
      <c r="U251" s="434"/>
      <c r="W251" s="598"/>
      <c r="Y251" s="734"/>
    </row>
    <row r="252" spans="2:25" s="22" customFormat="1" ht="15.6" x14ac:dyDescent="0.3">
      <c r="B252" s="1658"/>
      <c r="C252" s="1680"/>
      <c r="D252" s="1678"/>
      <c r="E252" s="1675"/>
      <c r="F252" s="19" t="s">
        <v>208</v>
      </c>
      <c r="G252" s="9" t="s">
        <v>304</v>
      </c>
      <c r="H252" s="11" t="s">
        <v>190</v>
      </c>
      <c r="I252" s="23">
        <v>0.01</v>
      </c>
      <c r="J252" s="12">
        <v>1</v>
      </c>
      <c r="K252" s="25">
        <f>I252*$K$194</f>
        <v>3300090</v>
      </c>
      <c r="L252" s="947">
        <f>IFERROR(K252/J252,0)</f>
        <v>3300090</v>
      </c>
      <c r="M252" s="92">
        <f>'Schedule 2'!$F$661</f>
        <v>1</v>
      </c>
      <c r="N252" s="921">
        <f>ROUND(L252*M252,0)</f>
        <v>3300090</v>
      </c>
      <c r="O252" s="91">
        <f>'Schedule 2'!$F$662</f>
        <v>1</v>
      </c>
      <c r="P252" s="921">
        <v>3300090</v>
      </c>
      <c r="Q252" s="92">
        <f>M252-O252</f>
        <v>0</v>
      </c>
      <c r="R252" s="924">
        <f t="shared" si="25"/>
        <v>0</v>
      </c>
      <c r="S252" s="501">
        <f t="shared" si="26"/>
        <v>0</v>
      </c>
      <c r="T252" s="433"/>
      <c r="U252" s="434"/>
      <c r="W252" s="598"/>
      <c r="Y252" s="734"/>
    </row>
    <row r="253" spans="2:25" s="22" customFormat="1" ht="15.6" x14ac:dyDescent="0.3">
      <c r="B253" s="1658"/>
      <c r="C253" s="1680"/>
      <c r="D253" s="1678"/>
      <c r="E253" s="1675"/>
      <c r="F253" s="278" t="s">
        <v>318</v>
      </c>
      <c r="G253" s="10" t="s">
        <v>319</v>
      </c>
      <c r="H253" s="11"/>
      <c r="I253" s="37"/>
      <c r="J253" s="12"/>
      <c r="K253" s="21"/>
      <c r="L253" s="1030"/>
      <c r="M253" s="91"/>
      <c r="N253" s="924"/>
      <c r="O253" s="91"/>
      <c r="P253" s="924"/>
      <c r="Q253" s="92"/>
      <c r="R253" s="924"/>
      <c r="S253" s="501">
        <f t="shared" si="26"/>
        <v>0</v>
      </c>
      <c r="T253" s="433"/>
      <c r="U253" s="442"/>
      <c r="W253" s="598"/>
      <c r="Y253" s="734"/>
    </row>
    <row r="254" spans="2:25" s="22" customFormat="1" ht="15.6" x14ac:dyDescent="0.3">
      <c r="B254" s="1658"/>
      <c r="C254" s="1680"/>
      <c r="D254" s="1678"/>
      <c r="E254" s="1675"/>
      <c r="F254" s="19" t="s">
        <v>90</v>
      </c>
      <c r="G254" s="9" t="s">
        <v>289</v>
      </c>
      <c r="H254" s="11" t="s">
        <v>320</v>
      </c>
      <c r="I254" s="23">
        <v>0.03</v>
      </c>
      <c r="J254" s="12">
        <v>672</v>
      </c>
      <c r="K254" s="25">
        <f>I254*$K$194</f>
        <v>9900270</v>
      </c>
      <c r="L254" s="947">
        <f>IFERROR(K254/J254,0)</f>
        <v>14732.544642857143</v>
      </c>
      <c r="M254" s="92">
        <f>'Schedule 2'!F667</f>
        <v>672</v>
      </c>
      <c r="N254" s="921">
        <f>ROUND(L254*M254,0)</f>
        <v>9900270</v>
      </c>
      <c r="O254" s="91">
        <f>'Schedule 2'!F668</f>
        <v>672</v>
      </c>
      <c r="P254" s="921">
        <v>9900270</v>
      </c>
      <c r="Q254" s="92">
        <f>M254-O254</f>
        <v>0</v>
      </c>
      <c r="R254" s="921">
        <f t="shared" ref="R254:R274" si="27">N254-P254</f>
        <v>0</v>
      </c>
      <c r="S254" s="501">
        <f t="shared" si="26"/>
        <v>0</v>
      </c>
      <c r="T254" s="433"/>
      <c r="U254" s="434"/>
      <c r="W254" s="598"/>
      <c r="Y254" s="734"/>
    </row>
    <row r="255" spans="2:25" s="22" customFormat="1" ht="15.6" x14ac:dyDescent="0.3">
      <c r="B255" s="1658"/>
      <c r="C255" s="1680"/>
      <c r="D255" s="1678"/>
      <c r="E255" s="1675"/>
      <c r="F255" s="19" t="s">
        <v>197</v>
      </c>
      <c r="G255" s="9" t="s">
        <v>321</v>
      </c>
      <c r="H255" s="11"/>
      <c r="I255" s="23"/>
      <c r="J255" s="12"/>
      <c r="K255" s="25"/>
      <c r="L255" s="947"/>
      <c r="M255" s="91"/>
      <c r="N255" s="921"/>
      <c r="O255" s="91"/>
      <c r="P255" s="921"/>
      <c r="Q255" s="92"/>
      <c r="R255" s="921"/>
      <c r="S255" s="501">
        <f t="shared" si="26"/>
        <v>0</v>
      </c>
      <c r="T255" s="721" t="s">
        <v>322</v>
      </c>
      <c r="U255" s="434"/>
      <c r="V255" s="732"/>
      <c r="W255" s="598"/>
      <c r="X255" s="394"/>
      <c r="Y255" s="734"/>
    </row>
    <row r="256" spans="2:25" s="22" customFormat="1" ht="15.6" x14ac:dyDescent="0.3">
      <c r="B256" s="1658"/>
      <c r="C256" s="1680"/>
      <c r="D256" s="1678"/>
      <c r="E256" s="1675"/>
      <c r="F256" s="5">
        <v>1</v>
      </c>
      <c r="G256" s="57" t="s">
        <v>279</v>
      </c>
      <c r="H256" s="11" t="s">
        <v>190</v>
      </c>
      <c r="I256" s="23">
        <f>3%*0.67</f>
        <v>2.01E-2</v>
      </c>
      <c r="J256" s="12">
        <v>1</v>
      </c>
      <c r="K256" s="25">
        <f>I256*$K$194</f>
        <v>6633180.9000000004</v>
      </c>
      <c r="L256" s="947">
        <f>IFERROR(K256/J256,0)</f>
        <v>6633180.9000000004</v>
      </c>
      <c r="M256" s="91">
        <f>'Schedule 2'!$F$673</f>
        <v>1</v>
      </c>
      <c r="N256" s="921">
        <f>ROUND(L256*M256,0)</f>
        <v>6633181</v>
      </c>
      <c r="O256" s="91">
        <f>'Schedule 2'!$F$674</f>
        <v>1</v>
      </c>
      <c r="P256" s="921">
        <v>6633181</v>
      </c>
      <c r="Q256" s="92">
        <f>M256-O256</f>
        <v>0</v>
      </c>
      <c r="R256" s="921">
        <f t="shared" si="27"/>
        <v>0</v>
      </c>
      <c r="S256" s="501">
        <f t="shared" si="26"/>
        <v>0</v>
      </c>
      <c r="T256" s="721"/>
      <c r="U256" s="434"/>
      <c r="V256" s="732"/>
      <c r="W256" s="598"/>
      <c r="X256" s="394"/>
      <c r="Y256" s="734"/>
    </row>
    <row r="257" spans="2:25" s="22" customFormat="1" ht="15.6" x14ac:dyDescent="0.3">
      <c r="B257" s="1658"/>
      <c r="C257" s="1680"/>
      <c r="D257" s="1678"/>
      <c r="E257" s="1675"/>
      <c r="F257" s="5">
        <v>2</v>
      </c>
      <c r="G257" s="57" t="s">
        <v>280</v>
      </c>
      <c r="H257" s="11" t="s">
        <v>190</v>
      </c>
      <c r="I257" s="23">
        <f>3%*0.33</f>
        <v>9.9000000000000008E-3</v>
      </c>
      <c r="J257" s="12">
        <v>1</v>
      </c>
      <c r="K257" s="25">
        <f>I257*$K$194</f>
        <v>3267089.1</v>
      </c>
      <c r="L257" s="947">
        <f>IFERROR(K257/J257,0)</f>
        <v>3267089.1</v>
      </c>
      <c r="M257" s="91">
        <v>0</v>
      </c>
      <c r="N257" s="921">
        <f>ROUND(L257*M257,0)</f>
        <v>0</v>
      </c>
      <c r="O257" s="91">
        <v>0</v>
      </c>
      <c r="P257" s="921">
        <v>0</v>
      </c>
      <c r="Q257" s="92">
        <f>M257-O257</f>
        <v>0</v>
      </c>
      <c r="R257" s="921">
        <f>N257-P257</f>
        <v>0</v>
      </c>
      <c r="S257" s="501"/>
      <c r="T257" s="721"/>
      <c r="U257" s="434"/>
      <c r="V257" s="732"/>
      <c r="W257" s="598"/>
      <c r="X257" s="394"/>
      <c r="Y257" s="734"/>
    </row>
    <row r="258" spans="2:25" s="22" customFormat="1" ht="15.6" x14ac:dyDescent="0.3">
      <c r="B258" s="1658"/>
      <c r="C258" s="1680"/>
      <c r="D258" s="1678"/>
      <c r="E258" s="1675"/>
      <c r="F258" s="19" t="s">
        <v>208</v>
      </c>
      <c r="G258" s="9" t="s">
        <v>323</v>
      </c>
      <c r="H258" s="11" t="s">
        <v>190</v>
      </c>
      <c r="I258" s="23">
        <v>0.01</v>
      </c>
      <c r="J258" s="12">
        <v>2</v>
      </c>
      <c r="K258" s="25">
        <f>I258*$K$194</f>
        <v>3300090</v>
      </c>
      <c r="L258" s="947">
        <f t="shared" ref="L258:L353" si="28">IFERROR(K258/J258,0)</f>
        <v>1650045</v>
      </c>
      <c r="M258" s="91">
        <f>'Schedule 2'!F679</f>
        <v>2</v>
      </c>
      <c r="N258" s="921">
        <f>ROUND(L258*M258,0)</f>
        <v>3300090</v>
      </c>
      <c r="O258" s="91">
        <f>'Schedule 2'!F680</f>
        <v>2</v>
      </c>
      <c r="P258" s="921">
        <v>3300090</v>
      </c>
      <c r="Q258" s="92">
        <f>M258-O258</f>
        <v>0</v>
      </c>
      <c r="R258" s="921">
        <f t="shared" si="27"/>
        <v>0</v>
      </c>
      <c r="S258" s="501">
        <f t="shared" si="26"/>
        <v>0</v>
      </c>
      <c r="T258" s="433"/>
      <c r="U258" s="434"/>
      <c r="W258" s="598"/>
      <c r="Y258" s="734"/>
    </row>
    <row r="259" spans="2:25" s="22" customFormat="1" ht="15.6" x14ac:dyDescent="0.3">
      <c r="B259" s="1658"/>
      <c r="C259" s="1680"/>
      <c r="D259" s="1678"/>
      <c r="E259" s="1675"/>
      <c r="F259" s="19" t="s">
        <v>238</v>
      </c>
      <c r="G259" s="9" t="s">
        <v>301</v>
      </c>
      <c r="H259" s="11" t="s">
        <v>324</v>
      </c>
      <c r="I259" s="23">
        <v>0.01</v>
      </c>
      <c r="J259" s="12">
        <v>24</v>
      </c>
      <c r="K259" s="25">
        <f>I259*$K$194</f>
        <v>3300090</v>
      </c>
      <c r="L259" s="947">
        <f>IFERROR(K259/J259,0)</f>
        <v>137503.75</v>
      </c>
      <c r="M259" s="91">
        <f>'Schedule 2'!$F$685</f>
        <v>0</v>
      </c>
      <c r="N259" s="921">
        <f>ROUND(L259*M259,0)</f>
        <v>0</v>
      </c>
      <c r="O259" s="91">
        <f>'Schedule 2'!$F$686</f>
        <v>0</v>
      </c>
      <c r="P259" s="921">
        <v>0</v>
      </c>
      <c r="Q259" s="92">
        <f>M259-O259</f>
        <v>0</v>
      </c>
      <c r="R259" s="921">
        <f>N259-P259</f>
        <v>0</v>
      </c>
      <c r="S259" s="501">
        <f t="shared" si="26"/>
        <v>24</v>
      </c>
      <c r="T259" s="433"/>
      <c r="U259" s="434"/>
      <c r="W259" s="598"/>
      <c r="Y259" s="734"/>
    </row>
    <row r="260" spans="2:25" s="22" customFormat="1" ht="15.6" x14ac:dyDescent="0.3">
      <c r="B260" s="1658"/>
      <c r="C260" s="1680"/>
      <c r="D260" s="1678"/>
      <c r="E260" s="1675"/>
      <c r="F260" s="19" t="s">
        <v>240</v>
      </c>
      <c r="G260" s="9" t="s">
        <v>325</v>
      </c>
      <c r="H260" s="11"/>
      <c r="I260" s="23"/>
      <c r="J260" s="12"/>
      <c r="K260" s="25"/>
      <c r="L260" s="947"/>
      <c r="M260" s="91"/>
      <c r="N260" s="921"/>
      <c r="O260" s="91"/>
      <c r="P260" s="921"/>
      <c r="Q260" s="92"/>
      <c r="R260" s="921"/>
      <c r="S260" s="501">
        <f t="shared" si="26"/>
        <v>0</v>
      </c>
      <c r="T260" s="433"/>
      <c r="U260" s="434"/>
      <c r="W260" s="598"/>
      <c r="Y260" s="734"/>
    </row>
    <row r="261" spans="2:25" s="22" customFormat="1" ht="15.6" x14ac:dyDescent="0.3">
      <c r="B261" s="1658"/>
      <c r="C261" s="1680"/>
      <c r="D261" s="1678"/>
      <c r="E261" s="1675"/>
      <c r="F261" s="5">
        <v>1</v>
      </c>
      <c r="G261" s="57" t="s">
        <v>279</v>
      </c>
      <c r="H261" s="11" t="s">
        <v>190</v>
      </c>
      <c r="I261" s="23">
        <v>0.01</v>
      </c>
      <c r="J261" s="12">
        <v>1</v>
      </c>
      <c r="K261" s="25">
        <f>I261*$K$194</f>
        <v>3300090</v>
      </c>
      <c r="L261" s="947">
        <f>IFERROR(K261/J261,0)</f>
        <v>3300090</v>
      </c>
      <c r="M261" s="91">
        <f>'Schedule 2'!$F$691</f>
        <v>1</v>
      </c>
      <c r="N261" s="921">
        <f>ROUND(L261*M261,0)</f>
        <v>3300090</v>
      </c>
      <c r="O261" s="91">
        <f>'Schedule 2'!$F$692</f>
        <v>1</v>
      </c>
      <c r="P261" s="921">
        <v>3300090</v>
      </c>
      <c r="Q261" s="92">
        <f t="shared" ref="Q261:Q274" si="29">M261-O261</f>
        <v>0</v>
      </c>
      <c r="R261" s="921">
        <f t="shared" si="27"/>
        <v>0</v>
      </c>
      <c r="S261" s="501">
        <f t="shared" si="26"/>
        <v>0</v>
      </c>
      <c r="T261" s="433"/>
      <c r="U261" s="434"/>
      <c r="W261" s="598"/>
      <c r="X261" s="394"/>
      <c r="Y261" s="734"/>
    </row>
    <row r="262" spans="2:25" s="22" customFormat="1" ht="15.6" x14ac:dyDescent="0.3">
      <c r="B262" s="1658"/>
      <c r="C262" s="1680"/>
      <c r="D262" s="1678"/>
      <c r="E262" s="1675"/>
      <c r="F262" s="5">
        <v>2</v>
      </c>
      <c r="G262" s="57" t="s">
        <v>280</v>
      </c>
      <c r="H262" s="11" t="s">
        <v>190</v>
      </c>
      <c r="I262" s="23">
        <v>0.01</v>
      </c>
      <c r="J262" s="12">
        <v>1</v>
      </c>
      <c r="K262" s="25">
        <f>I262*$K$194</f>
        <v>3300090</v>
      </c>
      <c r="L262" s="947">
        <f>IFERROR(K262/J262,0)</f>
        <v>3300090</v>
      </c>
      <c r="M262" s="91">
        <f>'Schedule 2'!$F$697</f>
        <v>1</v>
      </c>
      <c r="N262" s="921">
        <f>ROUND(L262*M262,0)</f>
        <v>3300090</v>
      </c>
      <c r="O262" s="91">
        <f>'Schedule 2'!$F$698</f>
        <v>1</v>
      </c>
      <c r="P262" s="921">
        <v>3300090</v>
      </c>
      <c r="Q262" s="92">
        <f t="shared" si="29"/>
        <v>0</v>
      </c>
      <c r="R262" s="921">
        <f t="shared" si="27"/>
        <v>0</v>
      </c>
      <c r="S262" s="501">
        <f t="shared" si="26"/>
        <v>0</v>
      </c>
      <c r="T262" s="433"/>
      <c r="U262" s="434"/>
      <c r="W262" s="598"/>
      <c r="Y262" s="734"/>
    </row>
    <row r="263" spans="2:25" s="22" customFormat="1" ht="15.6" x14ac:dyDescent="0.3">
      <c r="B263" s="1658"/>
      <c r="C263" s="1680"/>
      <c r="D263" s="1678"/>
      <c r="E263" s="1675"/>
      <c r="F263" s="278" t="s">
        <v>326</v>
      </c>
      <c r="G263" s="10" t="s">
        <v>327</v>
      </c>
      <c r="H263" s="11"/>
      <c r="I263" s="37"/>
      <c r="J263" s="20"/>
      <c r="K263" s="21"/>
      <c r="L263" s="1030"/>
      <c r="M263" s="92"/>
      <c r="N263" s="924"/>
      <c r="O263" s="92"/>
      <c r="P263" s="924"/>
      <c r="Q263" s="92"/>
      <c r="R263" s="924"/>
      <c r="S263" s="501">
        <f>J263-M263</f>
        <v>0</v>
      </c>
      <c r="T263" s="437"/>
      <c r="U263" s="442"/>
      <c r="W263" s="598"/>
      <c r="Y263" s="734"/>
    </row>
    <row r="264" spans="2:25" s="22" customFormat="1" ht="15.6" x14ac:dyDescent="0.3">
      <c r="B264" s="1658"/>
      <c r="C264" s="1680"/>
      <c r="D264" s="1678"/>
      <c r="E264" s="1675"/>
      <c r="F264" s="19" t="s">
        <v>90</v>
      </c>
      <c r="G264" s="9" t="s">
        <v>279</v>
      </c>
      <c r="H264" s="24" t="s">
        <v>267</v>
      </c>
      <c r="I264" s="23">
        <v>0.01</v>
      </c>
      <c r="J264" s="12">
        <v>10</v>
      </c>
      <c r="K264" s="25">
        <f>I264*$K$194</f>
        <v>3300090</v>
      </c>
      <c r="L264" s="947">
        <f>IFERROR(K264/J264,0)</f>
        <v>330009</v>
      </c>
      <c r="M264" s="91">
        <f>'Schedule 2'!$F$703</f>
        <v>10</v>
      </c>
      <c r="N264" s="921">
        <f>ROUND(L264*M264,0)</f>
        <v>3300090</v>
      </c>
      <c r="O264" s="91">
        <f>'Schedule 2'!$F$704</f>
        <v>10</v>
      </c>
      <c r="P264" s="921">
        <v>3300090</v>
      </c>
      <c r="Q264" s="92">
        <f t="shared" ref="Q264:R266" si="30">M264-O264</f>
        <v>0</v>
      </c>
      <c r="R264" s="921">
        <f t="shared" si="30"/>
        <v>0</v>
      </c>
      <c r="S264" s="501">
        <f>J264-M264</f>
        <v>0</v>
      </c>
      <c r="T264" s="433"/>
      <c r="U264" s="434"/>
      <c r="W264" s="598"/>
      <c r="Y264" s="734"/>
    </row>
    <row r="265" spans="2:25" s="22" customFormat="1" ht="15.6" x14ac:dyDescent="0.3">
      <c r="B265" s="1658"/>
      <c r="C265" s="1680"/>
      <c r="D265" s="1678"/>
      <c r="E265" s="1675"/>
      <c r="F265" s="19" t="s">
        <v>197</v>
      </c>
      <c r="G265" s="9" t="s">
        <v>280</v>
      </c>
      <c r="H265" s="24" t="s">
        <v>267</v>
      </c>
      <c r="I265" s="23">
        <v>0.01</v>
      </c>
      <c r="J265" s="12">
        <v>10</v>
      </c>
      <c r="K265" s="25">
        <f>I265*$K$194</f>
        <v>3300090</v>
      </c>
      <c r="L265" s="947">
        <f>IFERROR(K265/J265,0)</f>
        <v>330009</v>
      </c>
      <c r="M265" s="91">
        <f>'Schedule 2'!$F$709</f>
        <v>10</v>
      </c>
      <c r="N265" s="921">
        <f>ROUND(L265*M265,0)</f>
        <v>3300090</v>
      </c>
      <c r="O265" s="91">
        <f>'Schedule 2'!$F$710</f>
        <v>10</v>
      </c>
      <c r="P265" s="921">
        <v>3300090</v>
      </c>
      <c r="Q265" s="92">
        <f t="shared" si="30"/>
        <v>0</v>
      </c>
      <c r="R265" s="921">
        <f t="shared" si="30"/>
        <v>0</v>
      </c>
      <c r="S265" s="501">
        <f>J265-M265</f>
        <v>0</v>
      </c>
      <c r="T265" s="433"/>
      <c r="U265" s="434"/>
      <c r="W265" s="598"/>
      <c r="Y265" s="734"/>
    </row>
    <row r="266" spans="2:25" s="22" customFormat="1" ht="15.6" x14ac:dyDescent="0.3">
      <c r="B266" s="1658"/>
      <c r="C266" s="1680"/>
      <c r="D266" s="1678"/>
      <c r="E266" s="1675"/>
      <c r="F266" s="19" t="s">
        <v>208</v>
      </c>
      <c r="G266" s="9" t="s">
        <v>304</v>
      </c>
      <c r="H266" s="24" t="s">
        <v>267</v>
      </c>
      <c r="I266" s="23">
        <v>5.0000000000000001E-3</v>
      </c>
      <c r="J266" s="12">
        <v>10</v>
      </c>
      <c r="K266" s="25">
        <f>I266*$K$194</f>
        <v>1650045</v>
      </c>
      <c r="L266" s="947">
        <f>IFERROR(K266/J266,0)</f>
        <v>165004.5</v>
      </c>
      <c r="M266" s="91">
        <f>'Schedule 2'!$F$715</f>
        <v>10</v>
      </c>
      <c r="N266" s="921">
        <f>ROUND(L266*M266,0)</f>
        <v>1650045</v>
      </c>
      <c r="O266" s="91">
        <f>'Schedule 2'!$F$716</f>
        <v>10</v>
      </c>
      <c r="P266" s="921">
        <v>1650045</v>
      </c>
      <c r="Q266" s="92">
        <f t="shared" si="30"/>
        <v>0</v>
      </c>
      <c r="R266" s="921">
        <f t="shared" si="30"/>
        <v>0</v>
      </c>
      <c r="S266" s="501">
        <f>J266-M266</f>
        <v>0</v>
      </c>
      <c r="T266" s="433"/>
      <c r="U266" s="434"/>
      <c r="W266" s="598"/>
      <c r="Y266" s="734"/>
    </row>
    <row r="267" spans="2:25" s="22" customFormat="1" ht="30.6" customHeight="1" x14ac:dyDescent="0.3">
      <c r="B267" s="1658"/>
      <c r="C267" s="1680"/>
      <c r="D267" s="1678"/>
      <c r="E267" s="1675"/>
      <c r="F267" s="14">
        <f>F194+1</f>
        <v>205</v>
      </c>
      <c r="G267" s="8" t="s">
        <v>328</v>
      </c>
      <c r="H267" s="15" t="s">
        <v>188</v>
      </c>
      <c r="I267" s="16">
        <v>0.1</v>
      </c>
      <c r="J267" s="17"/>
      <c r="K267" s="18">
        <f>I267*$E$121</f>
        <v>80490000</v>
      </c>
      <c r="L267" s="1029"/>
      <c r="M267" s="95"/>
      <c r="N267" s="923"/>
      <c r="O267" s="95"/>
      <c r="P267" s="923"/>
      <c r="Q267" s="95"/>
      <c r="R267" s="923"/>
      <c r="S267" s="501">
        <f t="shared" si="26"/>
        <v>0</v>
      </c>
      <c r="T267" s="435"/>
      <c r="U267" s="436"/>
      <c r="W267" s="598"/>
      <c r="Y267" s="734"/>
    </row>
    <row r="268" spans="2:25" s="22" customFormat="1" ht="15.6" x14ac:dyDescent="0.3">
      <c r="B268" s="1658"/>
      <c r="C268" s="1680"/>
      <c r="D268" s="1678"/>
      <c r="E268" s="1675"/>
      <c r="F268" s="277" t="s">
        <v>32</v>
      </c>
      <c r="G268" s="7" t="s">
        <v>279</v>
      </c>
      <c r="H268" s="24" t="s">
        <v>267</v>
      </c>
      <c r="I268" s="23">
        <v>0.4</v>
      </c>
      <c r="J268" s="12">
        <v>12.21</v>
      </c>
      <c r="K268" s="25">
        <f>I268*$K$267</f>
        <v>32196000</v>
      </c>
      <c r="L268" s="947">
        <f t="shared" si="28"/>
        <v>2636855.0368550369</v>
      </c>
      <c r="M268" s="92">
        <f>'Schedule 2'!F722</f>
        <v>12.21</v>
      </c>
      <c r="N268" s="921">
        <f>ROUND(L268*M268,0)</f>
        <v>32196000</v>
      </c>
      <c r="O268" s="91">
        <f>'Schedule 2'!F723</f>
        <v>12.21</v>
      </c>
      <c r="P268" s="921">
        <v>32196000</v>
      </c>
      <c r="Q268" s="91">
        <f t="shared" si="29"/>
        <v>0</v>
      </c>
      <c r="R268" s="921">
        <f t="shared" si="27"/>
        <v>0</v>
      </c>
      <c r="S268" s="501">
        <f t="shared" si="26"/>
        <v>0</v>
      </c>
      <c r="T268" s="433"/>
      <c r="U268" s="434"/>
      <c r="W268" s="598"/>
      <c r="Y268" s="734"/>
    </row>
    <row r="269" spans="2:25" s="22" customFormat="1" ht="15.6" x14ac:dyDescent="0.3">
      <c r="B269" s="1658"/>
      <c r="C269" s="1680"/>
      <c r="D269" s="1678"/>
      <c r="E269" s="1675"/>
      <c r="F269" s="277" t="s">
        <v>34</v>
      </c>
      <c r="G269" s="7" t="s">
        <v>280</v>
      </c>
      <c r="H269" s="24" t="s">
        <v>267</v>
      </c>
      <c r="I269" s="23">
        <v>0.4</v>
      </c>
      <c r="J269" s="12">
        <v>12.21</v>
      </c>
      <c r="K269" s="25">
        <f>I269*$K$267</f>
        <v>32196000</v>
      </c>
      <c r="L269" s="947">
        <f t="shared" si="28"/>
        <v>2636855.0368550369</v>
      </c>
      <c r="M269" s="92">
        <f>'Schedule 2'!F729</f>
        <v>12.21</v>
      </c>
      <c r="N269" s="921">
        <f>ROUND(L269*M269,0)</f>
        <v>32196000</v>
      </c>
      <c r="O269" s="91">
        <f>'Schedule 2'!F730</f>
        <v>12.21</v>
      </c>
      <c r="P269" s="921">
        <v>32196000</v>
      </c>
      <c r="Q269" s="92">
        <f t="shared" si="29"/>
        <v>0</v>
      </c>
      <c r="R269" s="924">
        <f t="shared" si="27"/>
        <v>0</v>
      </c>
      <c r="S269" s="501">
        <f t="shared" si="26"/>
        <v>0</v>
      </c>
      <c r="T269" s="433"/>
      <c r="U269" s="434"/>
      <c r="W269" s="598"/>
      <c r="Y269" s="734"/>
    </row>
    <row r="270" spans="2:25" s="22" customFormat="1" ht="15.6" x14ac:dyDescent="0.3">
      <c r="B270" s="1658"/>
      <c r="C270" s="1680"/>
      <c r="D270" s="1678"/>
      <c r="E270" s="1675"/>
      <c r="F270" s="277" t="s">
        <v>37</v>
      </c>
      <c r="G270" s="7" t="s">
        <v>304</v>
      </c>
      <c r="H270" s="24" t="s">
        <v>267</v>
      </c>
      <c r="I270" s="23">
        <v>0.2</v>
      </c>
      <c r="J270" s="12">
        <v>12.21</v>
      </c>
      <c r="K270" s="25">
        <f>I270*$K$267</f>
        <v>16098000</v>
      </c>
      <c r="L270" s="947">
        <f t="shared" si="28"/>
        <v>1318427.5184275184</v>
      </c>
      <c r="M270" s="91">
        <f>'Schedule 2'!$F$735</f>
        <v>12.21</v>
      </c>
      <c r="N270" s="921">
        <f>ROUND(L270*M270,0)</f>
        <v>16098000</v>
      </c>
      <c r="O270" s="91">
        <f>'Schedule 2'!$F$736</f>
        <v>12.21</v>
      </c>
      <c r="P270" s="921">
        <v>16098000</v>
      </c>
      <c r="Q270" s="91">
        <f t="shared" si="29"/>
        <v>0</v>
      </c>
      <c r="R270" s="921">
        <f t="shared" si="27"/>
        <v>0</v>
      </c>
      <c r="S270" s="501">
        <f t="shared" ref="S270:S334" si="31">J270-M270</f>
        <v>0</v>
      </c>
      <c r="T270" s="433"/>
      <c r="U270" s="434"/>
      <c r="W270" s="598"/>
      <c r="Y270" s="734"/>
    </row>
    <row r="271" spans="2:25" s="22" customFormat="1" ht="15.6" x14ac:dyDescent="0.3">
      <c r="B271" s="1658"/>
      <c r="C271" s="1680"/>
      <c r="D271" s="1678"/>
      <c r="E271" s="1675"/>
      <c r="F271" s="14">
        <f>F267+1</f>
        <v>206</v>
      </c>
      <c r="G271" s="8" t="s">
        <v>329</v>
      </c>
      <c r="H271" s="15" t="s">
        <v>188</v>
      </c>
      <c r="I271" s="16">
        <v>0.05</v>
      </c>
      <c r="J271" s="17"/>
      <c r="K271" s="18">
        <f>I271*$E$121</f>
        <v>40245000</v>
      </c>
      <c r="L271" s="1029"/>
      <c r="M271" s="95"/>
      <c r="N271" s="923"/>
      <c r="O271" s="95"/>
      <c r="P271" s="923"/>
      <c r="Q271" s="95"/>
      <c r="R271" s="923"/>
      <c r="S271" s="501">
        <f t="shared" si="31"/>
        <v>0</v>
      </c>
      <c r="T271" s="435"/>
      <c r="U271" s="436"/>
      <c r="W271" s="598"/>
      <c r="Y271" s="734"/>
    </row>
    <row r="272" spans="2:25" s="22" customFormat="1" ht="15.6" x14ac:dyDescent="0.3">
      <c r="B272" s="1658"/>
      <c r="C272" s="1680"/>
      <c r="D272" s="1678"/>
      <c r="E272" s="1675"/>
      <c r="F272" s="277" t="s">
        <v>32</v>
      </c>
      <c r="G272" s="7" t="s">
        <v>279</v>
      </c>
      <c r="H272" s="24" t="s">
        <v>267</v>
      </c>
      <c r="I272" s="23">
        <v>0.4</v>
      </c>
      <c r="J272" s="12">
        <v>12.21</v>
      </c>
      <c r="K272" s="25">
        <f>I272*$K$271</f>
        <v>16098000</v>
      </c>
      <c r="L272" s="947">
        <f>IFERROR(K272/J272,0)</f>
        <v>1318427.5184275184</v>
      </c>
      <c r="M272" s="91">
        <v>0</v>
      </c>
      <c r="N272" s="921">
        <f>ROUND(L272*M272,0)</f>
        <v>0</v>
      </c>
      <c r="O272" s="91">
        <v>0</v>
      </c>
      <c r="P272" s="921">
        <v>0</v>
      </c>
      <c r="Q272" s="91">
        <f t="shared" si="29"/>
        <v>0</v>
      </c>
      <c r="R272" s="921">
        <f t="shared" si="27"/>
        <v>0</v>
      </c>
      <c r="S272" s="501">
        <f t="shared" si="31"/>
        <v>12.21</v>
      </c>
      <c r="T272" s="433"/>
      <c r="U272" s="434"/>
      <c r="W272" s="598"/>
      <c r="Y272" s="734"/>
    </row>
    <row r="273" spans="2:25" s="22" customFormat="1" ht="15.6" x14ac:dyDescent="0.3">
      <c r="B273" s="1658"/>
      <c r="C273" s="1680"/>
      <c r="D273" s="1678"/>
      <c r="E273" s="1675"/>
      <c r="F273" s="277" t="s">
        <v>34</v>
      </c>
      <c r="G273" s="7" t="s">
        <v>280</v>
      </c>
      <c r="H273" s="24" t="s">
        <v>267</v>
      </c>
      <c r="I273" s="23">
        <v>0.4</v>
      </c>
      <c r="J273" s="12">
        <v>12.21</v>
      </c>
      <c r="K273" s="25">
        <f>I273*$K$271</f>
        <v>16098000</v>
      </c>
      <c r="L273" s="947">
        <f>IFERROR(K273/J273,0)</f>
        <v>1318427.5184275184</v>
      </c>
      <c r="M273" s="91">
        <v>0</v>
      </c>
      <c r="N273" s="921">
        <f>ROUND(L273*M273,0)</f>
        <v>0</v>
      </c>
      <c r="O273" s="91">
        <v>0</v>
      </c>
      <c r="P273" s="921">
        <v>0</v>
      </c>
      <c r="Q273" s="91">
        <f>M273-O273</f>
        <v>0</v>
      </c>
      <c r="R273" s="921">
        <f t="shared" si="27"/>
        <v>0</v>
      </c>
      <c r="S273" s="501">
        <f t="shared" si="31"/>
        <v>12.21</v>
      </c>
      <c r="T273" s="433"/>
      <c r="U273" s="434"/>
      <c r="W273" s="598"/>
      <c r="Y273" s="734"/>
    </row>
    <row r="274" spans="2:25" s="22" customFormat="1" ht="15.6" x14ac:dyDescent="0.3">
      <c r="B274" s="1658"/>
      <c r="C274" s="1680"/>
      <c r="D274" s="1679"/>
      <c r="E274" s="1676"/>
      <c r="F274" s="277" t="s">
        <v>37</v>
      </c>
      <c r="G274" s="7" t="s">
        <v>330</v>
      </c>
      <c r="H274" s="24" t="s">
        <v>267</v>
      </c>
      <c r="I274" s="23">
        <v>0.2</v>
      </c>
      <c r="J274" s="12">
        <v>12.21</v>
      </c>
      <c r="K274" s="25">
        <f>I274*$K$271</f>
        <v>8049000</v>
      </c>
      <c r="L274" s="947">
        <f>IFERROR(K274/J274,0)</f>
        <v>659213.75921375921</v>
      </c>
      <c r="M274" s="91">
        <v>0</v>
      </c>
      <c r="N274" s="921">
        <f>ROUND(L274*M274,0)</f>
        <v>0</v>
      </c>
      <c r="O274" s="91">
        <v>0</v>
      </c>
      <c r="P274" s="921">
        <v>0</v>
      </c>
      <c r="Q274" s="91">
        <f t="shared" si="29"/>
        <v>0</v>
      </c>
      <c r="R274" s="921">
        <f t="shared" si="27"/>
        <v>0</v>
      </c>
      <c r="S274" s="501">
        <f t="shared" si="31"/>
        <v>12.21</v>
      </c>
      <c r="T274" s="433"/>
      <c r="U274" s="434"/>
      <c r="W274" s="598"/>
      <c r="Y274" s="734"/>
    </row>
    <row r="275" spans="2:25" s="97" customFormat="1" ht="15.6" x14ac:dyDescent="0.3">
      <c r="B275" s="211" t="s">
        <v>152</v>
      </c>
      <c r="C275" s="212"/>
      <c r="D275" s="212"/>
      <c r="E275" s="212"/>
      <c r="F275" s="213"/>
      <c r="G275" s="103"/>
      <c r="H275" s="214"/>
      <c r="I275" s="215"/>
      <c r="J275" s="216"/>
      <c r="K275" s="217"/>
      <c r="L275" s="1027"/>
      <c r="M275" s="218"/>
      <c r="N275" s="927">
        <f>SUM(N122:N274)</f>
        <v>731800089</v>
      </c>
      <c r="O275" s="218"/>
      <c r="P275" s="927">
        <f>SUM(P122:P274)</f>
        <v>730975066</v>
      </c>
      <c r="Q275" s="218"/>
      <c r="R275" s="927">
        <f>SUM(R122:R274)</f>
        <v>825023</v>
      </c>
      <c r="S275" s="501">
        <f t="shared" si="31"/>
        <v>0</v>
      </c>
      <c r="T275" s="438"/>
      <c r="U275" s="439"/>
      <c r="W275" s="1008"/>
      <c r="Y275" s="734"/>
    </row>
    <row r="276" spans="2:25" s="22" customFormat="1" ht="7.5" customHeight="1" x14ac:dyDescent="0.3">
      <c r="B276" s="2"/>
      <c r="C276" s="152"/>
      <c r="D276" s="194"/>
      <c r="E276" s="3"/>
      <c r="F276" s="195"/>
      <c r="G276" s="4"/>
      <c r="H276" s="196"/>
      <c r="I276" s="197"/>
      <c r="J276" s="198"/>
      <c r="K276" s="199"/>
      <c r="L276" s="1022"/>
      <c r="M276" s="200"/>
      <c r="N276" s="928"/>
      <c r="O276" s="200"/>
      <c r="P276" s="928"/>
      <c r="Q276" s="200"/>
      <c r="R276" s="929"/>
      <c r="S276" s="501">
        <f t="shared" si="31"/>
        <v>0</v>
      </c>
      <c r="T276" s="440"/>
      <c r="U276" s="441"/>
      <c r="W276" s="598"/>
      <c r="Y276" s="734"/>
    </row>
    <row r="277" spans="2:25" s="22" customFormat="1" ht="31.2" x14ac:dyDescent="0.3">
      <c r="B277" s="1654" t="s">
        <v>153</v>
      </c>
      <c r="C277" s="1665" t="s">
        <v>154</v>
      </c>
      <c r="D277" s="1649">
        <v>4.4999999999999998E-2</v>
      </c>
      <c r="E277" s="1674">
        <f>D277*(26885400000-55400000)</f>
        <v>1207350000</v>
      </c>
      <c r="F277" s="26">
        <v>301</v>
      </c>
      <c r="G277" s="6" t="s">
        <v>331</v>
      </c>
      <c r="H277" s="27" t="s">
        <v>188</v>
      </c>
      <c r="I277" s="28">
        <v>0.17899999999999999</v>
      </c>
      <c r="J277" s="29"/>
      <c r="K277" s="30">
        <f>I277*$E$277</f>
        <v>216115650</v>
      </c>
      <c r="L277" s="1028"/>
      <c r="M277" s="94"/>
      <c r="N277" s="922"/>
      <c r="O277" s="94"/>
      <c r="P277" s="922"/>
      <c r="Q277" s="94"/>
      <c r="R277" s="922"/>
      <c r="S277" s="501">
        <f t="shared" si="31"/>
        <v>0</v>
      </c>
      <c r="T277" s="435"/>
      <c r="U277" s="436"/>
      <c r="W277" s="598"/>
      <c r="Y277" s="734"/>
    </row>
    <row r="278" spans="2:25" s="22" customFormat="1" ht="15.6" x14ac:dyDescent="0.3">
      <c r="B278" s="1655"/>
      <c r="C278" s="1666"/>
      <c r="D278" s="1650"/>
      <c r="E278" s="1675"/>
      <c r="F278" s="278" t="s">
        <v>32</v>
      </c>
      <c r="G278" s="7" t="s">
        <v>332</v>
      </c>
      <c r="H278" s="24" t="s">
        <v>333</v>
      </c>
      <c r="I278" s="23">
        <v>0.8</v>
      </c>
      <c r="J278" s="12">
        <v>3899.3780989497959</v>
      </c>
      <c r="K278" s="25">
        <f>I278*$K$277</f>
        <v>172892520</v>
      </c>
      <c r="L278" s="947">
        <f t="shared" si="28"/>
        <v>44338.485679694531</v>
      </c>
      <c r="M278" s="91">
        <f>'Schedule 3'!F13</f>
        <v>3899.3780989497959</v>
      </c>
      <c r="N278" s="921">
        <f>ROUND(L278*M278,0)</f>
        <v>172892520</v>
      </c>
      <c r="O278" s="91">
        <f>'Schedule 3'!F14</f>
        <v>3899.3780989497959</v>
      </c>
      <c r="P278" s="921">
        <v>172892520</v>
      </c>
      <c r="Q278" s="91">
        <f>M278-O278</f>
        <v>0</v>
      </c>
      <c r="R278" s="921">
        <f t="shared" ref="R278:R312" si="32">N278-P278</f>
        <v>0</v>
      </c>
      <c r="S278" s="501">
        <f t="shared" si="31"/>
        <v>0</v>
      </c>
      <c r="T278" s="433"/>
      <c r="U278" s="443"/>
      <c r="W278" s="598"/>
      <c r="Y278" s="734"/>
    </row>
    <row r="279" spans="2:25" s="22" customFormat="1" ht="15.6" x14ac:dyDescent="0.3">
      <c r="B279" s="1655"/>
      <c r="C279" s="1666"/>
      <c r="D279" s="1650"/>
      <c r="E279" s="1675"/>
      <c r="F279" s="278" t="s">
        <v>34</v>
      </c>
      <c r="G279" s="7" t="s">
        <v>334</v>
      </c>
      <c r="H279" s="24" t="s">
        <v>320</v>
      </c>
      <c r="I279" s="23">
        <v>0.2</v>
      </c>
      <c r="J279" s="12">
        <v>672</v>
      </c>
      <c r="K279" s="25">
        <f>I279*$K$277</f>
        <v>43223130</v>
      </c>
      <c r="L279" s="947">
        <f t="shared" si="28"/>
        <v>64320.133928571428</v>
      </c>
      <c r="M279" s="92">
        <f>'Schedule 3'!F33</f>
        <v>672.00000000000034</v>
      </c>
      <c r="N279" s="921">
        <f>ROUND(L279*M279,0)</f>
        <v>43223130</v>
      </c>
      <c r="O279" s="91">
        <f>'Schedule 3'!F34</f>
        <v>672</v>
      </c>
      <c r="P279" s="921">
        <v>43223130</v>
      </c>
      <c r="Q279" s="91">
        <f>M279-O279</f>
        <v>0</v>
      </c>
      <c r="R279" s="921">
        <f t="shared" si="32"/>
        <v>0</v>
      </c>
      <c r="S279" s="501">
        <f t="shared" si="31"/>
        <v>0</v>
      </c>
      <c r="T279" s="433"/>
      <c r="U279" s="434"/>
      <c r="W279" s="598"/>
      <c r="Y279" s="734"/>
    </row>
    <row r="280" spans="2:25" s="22" customFormat="1" ht="30.6" customHeight="1" x14ac:dyDescent="0.3">
      <c r="B280" s="1655"/>
      <c r="C280" s="1666"/>
      <c r="D280" s="1650"/>
      <c r="E280" s="1675"/>
      <c r="F280" s="14">
        <f>F277+1</f>
        <v>302</v>
      </c>
      <c r="G280" s="8" t="s">
        <v>335</v>
      </c>
      <c r="H280" s="15" t="s">
        <v>188</v>
      </c>
      <c r="I280" s="16">
        <v>0.121</v>
      </c>
      <c r="J280" s="17"/>
      <c r="K280" s="18">
        <f>I280*$E$277</f>
        <v>146089350</v>
      </c>
      <c r="L280" s="1029"/>
      <c r="M280" s="95"/>
      <c r="N280" s="923"/>
      <c r="O280" s="95"/>
      <c r="P280" s="923"/>
      <c r="Q280" s="95"/>
      <c r="R280" s="923"/>
      <c r="S280" s="501">
        <f t="shared" si="31"/>
        <v>0</v>
      </c>
      <c r="T280" s="435"/>
      <c r="U280" s="436"/>
      <c r="W280" s="598"/>
      <c r="Y280" s="734"/>
    </row>
    <row r="281" spans="2:25" s="22" customFormat="1" ht="15.6" x14ac:dyDescent="0.3">
      <c r="B281" s="1655"/>
      <c r="C281" s="1666"/>
      <c r="D281" s="1650"/>
      <c r="E281" s="1675"/>
      <c r="F281" s="278" t="s">
        <v>32</v>
      </c>
      <c r="G281" s="7" t="s">
        <v>336</v>
      </c>
      <c r="H281" s="24"/>
      <c r="I281" s="13"/>
      <c r="J281" s="12"/>
      <c r="K281" s="25"/>
      <c r="L281" s="947"/>
      <c r="M281" s="91"/>
      <c r="N281" s="921"/>
      <c r="O281" s="91"/>
      <c r="P281" s="921"/>
      <c r="Q281" s="91"/>
      <c r="R281" s="921"/>
      <c r="S281" s="501">
        <f t="shared" si="31"/>
        <v>0</v>
      </c>
      <c r="T281" s="433"/>
      <c r="U281" s="434"/>
      <c r="W281" s="598"/>
      <c r="Y281" s="734"/>
    </row>
    <row r="282" spans="2:25" s="22" customFormat="1" ht="15.6" x14ac:dyDescent="0.3">
      <c r="B282" s="1655"/>
      <c r="C282" s="1666"/>
      <c r="D282" s="1650"/>
      <c r="E282" s="1675"/>
      <c r="F282" s="19" t="s">
        <v>90</v>
      </c>
      <c r="G282" s="9" t="s">
        <v>337</v>
      </c>
      <c r="H282" s="24" t="s">
        <v>190</v>
      </c>
      <c r="I282" s="13">
        <v>0.2</v>
      </c>
      <c r="J282" s="12">
        <v>4</v>
      </c>
      <c r="K282" s="25">
        <f>I282*$K$280</f>
        <v>29217870</v>
      </c>
      <c r="L282" s="947">
        <f>IFERROR(K282/J282,0)</f>
        <v>7304467.5</v>
      </c>
      <c r="M282" s="91">
        <f>'Schedule 3'!F41</f>
        <v>4</v>
      </c>
      <c r="N282" s="921">
        <f>ROUND(L282*M282,0)</f>
        <v>29217870</v>
      </c>
      <c r="O282" s="91">
        <f>'Schedule 3'!F42</f>
        <v>4</v>
      </c>
      <c r="P282" s="921">
        <v>29217870</v>
      </c>
      <c r="Q282" s="91">
        <f t="shared" ref="Q282:Q289" si="33">M282-O282</f>
        <v>0</v>
      </c>
      <c r="R282" s="921">
        <f t="shared" si="32"/>
        <v>0</v>
      </c>
      <c r="S282" s="501">
        <f t="shared" si="31"/>
        <v>0</v>
      </c>
      <c r="T282" s="433"/>
      <c r="U282" s="443"/>
      <c r="W282" s="598"/>
      <c r="Y282" s="734"/>
    </row>
    <row r="283" spans="2:25" s="22" customFormat="1" ht="15.6" x14ac:dyDescent="0.3">
      <c r="B283" s="1655"/>
      <c r="C283" s="1666"/>
      <c r="D283" s="1650"/>
      <c r="E283" s="1675"/>
      <c r="F283" s="19" t="s">
        <v>197</v>
      </c>
      <c r="G283" s="9" t="s">
        <v>308</v>
      </c>
      <c r="H283" s="24" t="s">
        <v>190</v>
      </c>
      <c r="I283" s="13">
        <v>0.1</v>
      </c>
      <c r="J283" s="12">
        <v>4</v>
      </c>
      <c r="K283" s="25">
        <f>I283*$K$280</f>
        <v>14608935</v>
      </c>
      <c r="L283" s="947">
        <f>IFERROR(K283/J283,0)</f>
        <v>3652233.75</v>
      </c>
      <c r="M283" s="92">
        <f>'Schedule 3'!F50</f>
        <v>4</v>
      </c>
      <c r="N283" s="921">
        <f>ROUND(L283*M283,0)</f>
        <v>14608935</v>
      </c>
      <c r="O283" s="91">
        <f>'Schedule 3'!F51</f>
        <v>4</v>
      </c>
      <c r="P283" s="921">
        <v>14608935</v>
      </c>
      <c r="Q283" s="91">
        <f t="shared" si="33"/>
        <v>0</v>
      </c>
      <c r="R283" s="921">
        <f t="shared" si="32"/>
        <v>0</v>
      </c>
      <c r="S283" s="501">
        <f t="shared" si="31"/>
        <v>0</v>
      </c>
      <c r="T283" s="433"/>
      <c r="U283" s="443"/>
      <c r="W283" s="598"/>
      <c r="Y283" s="734"/>
    </row>
    <row r="284" spans="2:25" s="22" customFormat="1" ht="15.6" x14ac:dyDescent="0.3">
      <c r="B284" s="1655"/>
      <c r="C284" s="1666"/>
      <c r="D284" s="1650"/>
      <c r="E284" s="1675"/>
      <c r="F284" s="19" t="s">
        <v>208</v>
      </c>
      <c r="G284" s="9" t="s">
        <v>338</v>
      </c>
      <c r="H284" s="24" t="s">
        <v>190</v>
      </c>
      <c r="I284" s="13">
        <v>0.2</v>
      </c>
      <c r="J284" s="12">
        <v>4</v>
      </c>
      <c r="K284" s="25">
        <f>I284*$K$280</f>
        <v>29217870</v>
      </c>
      <c r="L284" s="947">
        <f>IFERROR(K284/J284,0)</f>
        <v>7304467.5</v>
      </c>
      <c r="M284" s="92">
        <f>'Schedule 3'!F59</f>
        <v>4</v>
      </c>
      <c r="N284" s="921">
        <f>ROUND(L284*M284,0)</f>
        <v>29217870</v>
      </c>
      <c r="O284" s="91">
        <f>'Schedule 3'!F60</f>
        <v>4</v>
      </c>
      <c r="P284" s="921">
        <v>29217870</v>
      </c>
      <c r="Q284" s="91">
        <f t="shared" si="33"/>
        <v>0</v>
      </c>
      <c r="R284" s="921">
        <f t="shared" si="32"/>
        <v>0</v>
      </c>
      <c r="S284" s="501">
        <f t="shared" si="31"/>
        <v>0</v>
      </c>
      <c r="T284" s="433"/>
      <c r="U284" s="434"/>
      <c r="W284" s="598"/>
      <c r="Y284" s="734"/>
    </row>
    <row r="285" spans="2:25" s="22" customFormat="1" ht="15.6" x14ac:dyDescent="0.3">
      <c r="B285" s="1655"/>
      <c r="C285" s="1666"/>
      <c r="D285" s="1650"/>
      <c r="E285" s="1675"/>
      <c r="F285" s="278" t="s">
        <v>34</v>
      </c>
      <c r="G285" s="7" t="s">
        <v>339</v>
      </c>
      <c r="H285" s="24"/>
      <c r="I285" s="13"/>
      <c r="J285" s="12"/>
      <c r="K285" s="25"/>
      <c r="L285" s="947"/>
      <c r="M285" s="91"/>
      <c r="N285" s="921"/>
      <c r="O285" s="91"/>
      <c r="P285" s="921"/>
      <c r="Q285" s="91"/>
      <c r="R285" s="921"/>
      <c r="S285" s="501">
        <f t="shared" si="31"/>
        <v>0</v>
      </c>
      <c r="T285" s="433"/>
      <c r="U285" s="434"/>
      <c r="W285" s="598"/>
      <c r="Y285" s="734"/>
    </row>
    <row r="286" spans="2:25" s="22" customFormat="1" ht="15.6" x14ac:dyDescent="0.3">
      <c r="B286" s="1655"/>
      <c r="C286" s="1666"/>
      <c r="D286" s="1650"/>
      <c r="E286" s="1675"/>
      <c r="F286" s="19" t="s">
        <v>90</v>
      </c>
      <c r="G286" s="9" t="s">
        <v>337</v>
      </c>
      <c r="H286" s="24" t="s">
        <v>340</v>
      </c>
      <c r="I286" s="13">
        <v>0.08</v>
      </c>
      <c r="J286" s="12">
        <v>1</v>
      </c>
      <c r="K286" s="25">
        <f t="shared" ref="K286:K291" si="34">I286*$K$280</f>
        <v>11687148</v>
      </c>
      <c r="L286" s="947">
        <f t="shared" si="28"/>
        <v>11687148</v>
      </c>
      <c r="M286" s="91">
        <f>'Schedule 3'!F65</f>
        <v>1</v>
      </c>
      <c r="N286" s="921">
        <f t="shared" ref="N286:N291" si="35">ROUND(L286*M286,0)</f>
        <v>11687148</v>
      </c>
      <c r="O286" s="91">
        <f>'Schedule 3'!F66</f>
        <v>1</v>
      </c>
      <c r="P286" s="921">
        <v>11687148</v>
      </c>
      <c r="Q286" s="91">
        <f t="shared" si="33"/>
        <v>0</v>
      </c>
      <c r="R286" s="921">
        <f t="shared" si="32"/>
        <v>0</v>
      </c>
      <c r="S286" s="501">
        <f t="shared" si="31"/>
        <v>0</v>
      </c>
      <c r="T286" s="433"/>
      <c r="U286" s="434"/>
      <c r="W286" s="598"/>
      <c r="Y286" s="734"/>
    </row>
    <row r="287" spans="2:25" s="22" customFormat="1" ht="15.6" x14ac:dyDescent="0.3">
      <c r="B287" s="1655"/>
      <c r="C287" s="1666"/>
      <c r="D287" s="1650"/>
      <c r="E287" s="1675"/>
      <c r="F287" s="19" t="s">
        <v>197</v>
      </c>
      <c r="G287" s="9" t="s">
        <v>308</v>
      </c>
      <c r="H287" s="24" t="s">
        <v>340</v>
      </c>
      <c r="I287" s="13">
        <v>0.04</v>
      </c>
      <c r="J287" s="12">
        <v>1</v>
      </c>
      <c r="K287" s="25">
        <f t="shared" si="34"/>
        <v>5843574</v>
      </c>
      <c r="L287" s="947">
        <f t="shared" si="28"/>
        <v>5843574</v>
      </c>
      <c r="M287" s="91">
        <f>'Schedule 3'!F71</f>
        <v>1</v>
      </c>
      <c r="N287" s="921">
        <f t="shared" si="35"/>
        <v>5843574</v>
      </c>
      <c r="O287" s="91">
        <f>'Schedule 3'!F72</f>
        <v>1</v>
      </c>
      <c r="P287" s="921">
        <v>5843574</v>
      </c>
      <c r="Q287" s="91">
        <f t="shared" si="33"/>
        <v>0</v>
      </c>
      <c r="R287" s="921">
        <f t="shared" si="32"/>
        <v>0</v>
      </c>
      <c r="S287" s="501">
        <f t="shared" si="31"/>
        <v>0</v>
      </c>
      <c r="T287" s="433"/>
      <c r="U287" s="434"/>
      <c r="W287" s="598"/>
      <c r="Y287" s="734"/>
    </row>
    <row r="288" spans="2:25" s="22" customFormat="1" ht="15.6" x14ac:dyDescent="0.3">
      <c r="B288" s="1655"/>
      <c r="C288" s="1666"/>
      <c r="D288" s="1650"/>
      <c r="E288" s="1675"/>
      <c r="F288" s="19" t="s">
        <v>208</v>
      </c>
      <c r="G288" s="9" t="s">
        <v>338</v>
      </c>
      <c r="H288" s="24" t="s">
        <v>340</v>
      </c>
      <c r="I288" s="13">
        <v>0.03</v>
      </c>
      <c r="J288" s="12">
        <v>1</v>
      </c>
      <c r="K288" s="25">
        <f t="shared" si="34"/>
        <v>4382680.5</v>
      </c>
      <c r="L288" s="947">
        <f t="shared" si="28"/>
        <v>4382680.5</v>
      </c>
      <c r="M288" s="91">
        <f>'Schedule 3'!$F$77</f>
        <v>1</v>
      </c>
      <c r="N288" s="921">
        <f t="shared" si="35"/>
        <v>4382681</v>
      </c>
      <c r="O288" s="91">
        <f>'Schedule 3'!$F$78</f>
        <v>1</v>
      </c>
      <c r="P288" s="921">
        <v>4382681</v>
      </c>
      <c r="Q288" s="91">
        <f t="shared" si="33"/>
        <v>0</v>
      </c>
      <c r="R288" s="921">
        <f t="shared" si="32"/>
        <v>0</v>
      </c>
      <c r="S288" s="501">
        <f t="shared" si="31"/>
        <v>0</v>
      </c>
      <c r="T288" s="433"/>
      <c r="U288" s="434"/>
      <c r="W288" s="598"/>
      <c r="X288" s="394"/>
      <c r="Y288" s="734"/>
    </row>
    <row r="289" spans="2:30" s="22" customFormat="1" ht="15.6" x14ac:dyDescent="0.3">
      <c r="B289" s="1655"/>
      <c r="C289" s="1666"/>
      <c r="D289" s="1650"/>
      <c r="E289" s="1675"/>
      <c r="F289" s="278" t="s">
        <v>37</v>
      </c>
      <c r="G289" s="7" t="s">
        <v>341</v>
      </c>
      <c r="H289" s="24" t="s">
        <v>340</v>
      </c>
      <c r="I289" s="13">
        <v>0.1</v>
      </c>
      <c r="J289" s="12">
        <v>2</v>
      </c>
      <c r="K289" s="25">
        <f t="shared" si="34"/>
        <v>14608935</v>
      </c>
      <c r="L289" s="947">
        <f t="shared" si="28"/>
        <v>7304467.5</v>
      </c>
      <c r="M289" s="91">
        <f>'Schedule 3'!F84</f>
        <v>2</v>
      </c>
      <c r="N289" s="921">
        <f t="shared" si="35"/>
        <v>14608935</v>
      </c>
      <c r="O289" s="91">
        <f>'Schedule 3'!F85</f>
        <v>2</v>
      </c>
      <c r="P289" s="921">
        <v>14608935</v>
      </c>
      <c r="Q289" s="91">
        <f t="shared" si="33"/>
        <v>0</v>
      </c>
      <c r="R289" s="921">
        <f t="shared" si="32"/>
        <v>0</v>
      </c>
      <c r="S289" s="501">
        <f t="shared" si="31"/>
        <v>0</v>
      </c>
      <c r="T289" s="433"/>
      <c r="U289" s="434"/>
      <c r="W289" s="598"/>
      <c r="Y289" s="734"/>
    </row>
    <row r="290" spans="2:30" s="22" customFormat="1" ht="15.6" x14ac:dyDescent="0.3">
      <c r="B290" s="1655"/>
      <c r="C290" s="1666"/>
      <c r="D290" s="1650"/>
      <c r="E290" s="1675"/>
      <c r="F290" s="278" t="s">
        <v>39</v>
      </c>
      <c r="G290" s="7" t="s">
        <v>342</v>
      </c>
      <c r="H290" s="24" t="s">
        <v>340</v>
      </c>
      <c r="I290" s="13">
        <v>0.1</v>
      </c>
      <c r="J290" s="12">
        <v>2</v>
      </c>
      <c r="K290" s="25">
        <f t="shared" si="34"/>
        <v>14608935</v>
      </c>
      <c r="L290" s="947">
        <f>IFERROR(K290/J290,0)</f>
        <v>7304467.5</v>
      </c>
      <c r="M290" s="91">
        <f>'Schedule 3'!F91</f>
        <v>2</v>
      </c>
      <c r="N290" s="921">
        <f>ROUND(L290*M290,0)</f>
        <v>14608935</v>
      </c>
      <c r="O290" s="91">
        <f>'Schedule 3'!F92</f>
        <v>2</v>
      </c>
      <c r="P290" s="921">
        <v>14608935</v>
      </c>
      <c r="Q290" s="91">
        <f>M290-O290</f>
        <v>0</v>
      </c>
      <c r="R290" s="921">
        <f>N290-P290</f>
        <v>0</v>
      </c>
      <c r="S290" s="501">
        <f t="shared" si="31"/>
        <v>0</v>
      </c>
      <c r="T290" s="433"/>
      <c r="U290" s="434"/>
      <c r="W290" s="598"/>
      <c r="Y290" s="734"/>
    </row>
    <row r="291" spans="2:30" s="22" customFormat="1" ht="15.6" x14ac:dyDescent="0.3">
      <c r="B291" s="1655"/>
      <c r="C291" s="1666"/>
      <c r="D291" s="1650"/>
      <c r="E291" s="1675"/>
      <c r="F291" s="278" t="s">
        <v>41</v>
      </c>
      <c r="G291" s="7" t="s">
        <v>343</v>
      </c>
      <c r="H291" s="24" t="s">
        <v>340</v>
      </c>
      <c r="I291" s="13">
        <v>0.15</v>
      </c>
      <c r="J291" s="12">
        <v>1</v>
      </c>
      <c r="K291" s="25">
        <f t="shared" si="34"/>
        <v>21913402.5</v>
      </c>
      <c r="L291" s="947">
        <f t="shared" si="28"/>
        <v>21913402.5</v>
      </c>
      <c r="M291" s="91">
        <f>'Schedule 3'!F97</f>
        <v>1</v>
      </c>
      <c r="N291" s="921">
        <f t="shared" si="35"/>
        <v>21913403</v>
      </c>
      <c r="O291" s="91">
        <f>'Schedule 3'!F98</f>
        <v>1</v>
      </c>
      <c r="P291" s="921">
        <v>21913403</v>
      </c>
      <c r="Q291" s="91">
        <f>M291-O291</f>
        <v>0</v>
      </c>
      <c r="R291" s="921">
        <f t="shared" si="32"/>
        <v>0</v>
      </c>
      <c r="S291" s="501">
        <f t="shared" si="31"/>
        <v>0</v>
      </c>
      <c r="T291" s="433"/>
      <c r="U291" s="443"/>
      <c r="W291" s="598"/>
      <c r="Y291" s="734"/>
    </row>
    <row r="292" spans="2:30" s="22" customFormat="1" ht="31.2" x14ac:dyDescent="0.3">
      <c r="B292" s="1655"/>
      <c r="C292" s="1666"/>
      <c r="D292" s="1650"/>
      <c r="E292" s="1675"/>
      <c r="F292" s="14">
        <f>F280+1</f>
        <v>303</v>
      </c>
      <c r="G292" s="8" t="s">
        <v>344</v>
      </c>
      <c r="H292" s="15" t="s">
        <v>188</v>
      </c>
      <c r="I292" s="16">
        <v>0.27900000000000003</v>
      </c>
      <c r="J292" s="17"/>
      <c r="K292" s="18">
        <f>I292*$E$277</f>
        <v>336850650.00000006</v>
      </c>
      <c r="L292" s="1029"/>
      <c r="M292" s="95"/>
      <c r="N292" s="923"/>
      <c r="O292" s="95"/>
      <c r="P292" s="923"/>
      <c r="Q292" s="95"/>
      <c r="R292" s="923"/>
      <c r="S292" s="501">
        <f t="shared" si="31"/>
        <v>0</v>
      </c>
      <c r="T292" s="435"/>
      <c r="U292" s="436"/>
      <c r="W292" s="598"/>
      <c r="Y292" s="734"/>
    </row>
    <row r="293" spans="2:30" s="22" customFormat="1" ht="15.6" x14ac:dyDescent="0.3">
      <c r="B293" s="1655"/>
      <c r="C293" s="1666"/>
      <c r="D293" s="1650"/>
      <c r="E293" s="1675"/>
      <c r="F293" s="278" t="s">
        <v>32</v>
      </c>
      <c r="G293" s="7" t="s">
        <v>345</v>
      </c>
      <c r="H293" s="24"/>
      <c r="I293" s="37"/>
      <c r="J293" s="12"/>
      <c r="K293" s="25"/>
      <c r="L293" s="947" t="s">
        <v>346</v>
      </c>
      <c r="M293" s="91"/>
      <c r="N293" s="921"/>
      <c r="O293" s="91"/>
      <c r="P293" s="921"/>
      <c r="Q293" s="91"/>
      <c r="R293" s="921"/>
      <c r="S293" s="501">
        <f t="shared" si="31"/>
        <v>0</v>
      </c>
      <c r="T293" s="433"/>
      <c r="U293" s="434"/>
      <c r="W293" s="598"/>
      <c r="Y293" s="734"/>
    </row>
    <row r="294" spans="2:30" s="22" customFormat="1" ht="15.6" x14ac:dyDescent="0.3">
      <c r="B294" s="1655"/>
      <c r="C294" s="1666"/>
      <c r="D294" s="1650"/>
      <c r="E294" s="1675"/>
      <c r="F294" s="19" t="s">
        <v>90</v>
      </c>
      <c r="G294" s="9" t="s">
        <v>347</v>
      </c>
      <c r="H294" s="24" t="s">
        <v>340</v>
      </c>
      <c r="I294" s="13">
        <v>0.2</v>
      </c>
      <c r="J294" s="12">
        <v>2</v>
      </c>
      <c r="K294" s="25">
        <f>I294*$K$292</f>
        <v>67370130.000000015</v>
      </c>
      <c r="L294" s="947">
        <f t="shared" si="28"/>
        <v>33685065.000000007</v>
      </c>
      <c r="M294" s="92">
        <f>'Schedule 3'!$F$107</f>
        <v>2</v>
      </c>
      <c r="N294" s="921">
        <f>ROUND(L294*M294,0)</f>
        <v>67370130</v>
      </c>
      <c r="O294" s="91">
        <f>'Schedule 3'!$F$108</f>
        <v>2</v>
      </c>
      <c r="P294" s="921">
        <v>67370130</v>
      </c>
      <c r="Q294" s="91">
        <f t="shared" ref="Q294:Q312" si="36">M294-O294</f>
        <v>0</v>
      </c>
      <c r="R294" s="930">
        <f t="shared" si="32"/>
        <v>0</v>
      </c>
      <c r="S294" s="501">
        <f t="shared" si="31"/>
        <v>0</v>
      </c>
      <c r="T294" s="433"/>
      <c r="U294" s="434"/>
      <c r="W294" s="598"/>
      <c r="Y294" s="734"/>
    </row>
    <row r="295" spans="2:30" s="22" customFormat="1" ht="15.6" x14ac:dyDescent="0.3">
      <c r="B295" s="1655"/>
      <c r="C295" s="1666"/>
      <c r="D295" s="1650"/>
      <c r="E295" s="1675"/>
      <c r="F295" s="19" t="s">
        <v>197</v>
      </c>
      <c r="G295" s="9" t="s">
        <v>348</v>
      </c>
      <c r="H295" s="24" t="s">
        <v>340</v>
      </c>
      <c r="I295" s="13">
        <v>0.15</v>
      </c>
      <c r="J295" s="12">
        <v>2</v>
      </c>
      <c r="K295" s="25">
        <f>I295*$K$292</f>
        <v>50527597.500000007</v>
      </c>
      <c r="L295" s="947">
        <f t="shared" si="28"/>
        <v>25263798.750000004</v>
      </c>
      <c r="M295" s="91">
        <f>'Schedule 3'!$F$119</f>
        <v>2</v>
      </c>
      <c r="N295" s="921">
        <f>ROUND(L295*M295,0)</f>
        <v>50527598</v>
      </c>
      <c r="O295" s="91">
        <f>'Schedule 3'!$F$120</f>
        <v>2</v>
      </c>
      <c r="P295" s="921">
        <v>50527598</v>
      </c>
      <c r="Q295" s="91">
        <f t="shared" si="36"/>
        <v>0</v>
      </c>
      <c r="R295" s="921">
        <f t="shared" si="32"/>
        <v>0</v>
      </c>
      <c r="S295" s="501">
        <f t="shared" si="31"/>
        <v>0</v>
      </c>
      <c r="T295" s="433"/>
      <c r="U295" s="434"/>
      <c r="V295" s="732"/>
      <c r="W295" s="598"/>
      <c r="X295" s="394"/>
      <c r="Y295" s="734"/>
      <c r="AA295" s="598"/>
      <c r="AD295" s="414"/>
    </row>
    <row r="296" spans="2:30" s="22" customFormat="1" ht="15.6" x14ac:dyDescent="0.3">
      <c r="B296" s="1655"/>
      <c r="C296" s="1666"/>
      <c r="D296" s="1650"/>
      <c r="E296" s="1675"/>
      <c r="F296" s="19" t="s">
        <v>208</v>
      </c>
      <c r="G296" s="9" t="s">
        <v>349</v>
      </c>
      <c r="H296" s="24" t="s">
        <v>340</v>
      </c>
      <c r="I296" s="13">
        <v>0.2</v>
      </c>
      <c r="J296" s="12">
        <v>2</v>
      </c>
      <c r="K296" s="25">
        <f>I296*$K$292</f>
        <v>67370130.000000015</v>
      </c>
      <c r="L296" s="947">
        <f t="shared" si="28"/>
        <v>33685065.000000007</v>
      </c>
      <c r="M296" s="91">
        <f>'Schedule 3'!$F$126</f>
        <v>2</v>
      </c>
      <c r="N296" s="921">
        <f>ROUND(L296*M296,0)</f>
        <v>67370130</v>
      </c>
      <c r="O296" s="91">
        <f>'Schedule 3'!$F$127</f>
        <v>2</v>
      </c>
      <c r="P296" s="921">
        <v>67370130</v>
      </c>
      <c r="Q296" s="91">
        <f t="shared" si="36"/>
        <v>0</v>
      </c>
      <c r="R296" s="921">
        <f t="shared" si="32"/>
        <v>0</v>
      </c>
      <c r="S296" s="501">
        <f t="shared" si="31"/>
        <v>0</v>
      </c>
      <c r="T296" s="433"/>
      <c r="U296" s="434"/>
      <c r="V296" s="732"/>
      <c r="W296" s="598"/>
      <c r="X296" s="394"/>
      <c r="Y296" s="734"/>
      <c r="AA296" s="598"/>
      <c r="AD296" s="414"/>
    </row>
    <row r="297" spans="2:30" s="22" customFormat="1" ht="15.6" x14ac:dyDescent="0.3">
      <c r="B297" s="1655"/>
      <c r="C297" s="1666"/>
      <c r="D297" s="1650"/>
      <c r="E297" s="1675"/>
      <c r="F297" s="19" t="s">
        <v>238</v>
      </c>
      <c r="G297" s="9" t="s">
        <v>350</v>
      </c>
      <c r="H297" s="24" t="s">
        <v>340</v>
      </c>
      <c r="I297" s="13">
        <v>0.2</v>
      </c>
      <c r="J297" s="12">
        <v>2</v>
      </c>
      <c r="K297" s="25">
        <f>I297*$K$292</f>
        <v>67370130.000000015</v>
      </c>
      <c r="L297" s="947">
        <f t="shared" si="28"/>
        <v>33685065.000000007</v>
      </c>
      <c r="M297" s="91">
        <f>'Schedule 3'!$F$133</f>
        <v>2</v>
      </c>
      <c r="N297" s="921">
        <f>ROUND(L297*M297,0)</f>
        <v>67370130</v>
      </c>
      <c r="O297" s="91">
        <f>'Schedule 3'!$F$134</f>
        <v>2</v>
      </c>
      <c r="P297" s="921">
        <v>67370130</v>
      </c>
      <c r="Q297" s="91">
        <f t="shared" si="36"/>
        <v>0</v>
      </c>
      <c r="R297" s="921">
        <f t="shared" si="32"/>
        <v>0</v>
      </c>
      <c r="S297" s="501">
        <f t="shared" si="31"/>
        <v>0</v>
      </c>
      <c r="T297" s="433"/>
      <c r="U297" s="434"/>
      <c r="W297" s="598"/>
      <c r="Y297" s="734"/>
    </row>
    <row r="298" spans="2:30" s="22" customFormat="1" ht="15.6" x14ac:dyDescent="0.3">
      <c r="B298" s="1655"/>
      <c r="C298" s="1666"/>
      <c r="D298" s="1650"/>
      <c r="E298" s="1675"/>
      <c r="F298" s="19" t="s">
        <v>240</v>
      </c>
      <c r="G298" s="9" t="s">
        <v>351</v>
      </c>
      <c r="H298" s="24" t="s">
        <v>340</v>
      </c>
      <c r="I298" s="13">
        <v>0.25</v>
      </c>
      <c r="J298" s="12">
        <v>2</v>
      </c>
      <c r="K298" s="25">
        <f>I298*$K$292</f>
        <v>84212662.500000015</v>
      </c>
      <c r="L298" s="947">
        <f t="shared" si="28"/>
        <v>42106331.250000007</v>
      </c>
      <c r="M298" s="91">
        <f>'Schedule 3'!$F$140</f>
        <v>2</v>
      </c>
      <c r="N298" s="921">
        <f>ROUND(L298*M298,0)</f>
        <v>84212663</v>
      </c>
      <c r="O298" s="91">
        <f>'Schedule 3'!$F$141</f>
        <v>2</v>
      </c>
      <c r="P298" s="921">
        <v>84212663</v>
      </c>
      <c r="Q298" s="91">
        <f t="shared" si="36"/>
        <v>0</v>
      </c>
      <c r="R298" s="924">
        <f t="shared" si="32"/>
        <v>0</v>
      </c>
      <c r="S298" s="501">
        <f t="shared" si="31"/>
        <v>0</v>
      </c>
      <c r="T298" s="433"/>
      <c r="U298" s="434"/>
      <c r="W298" s="598"/>
      <c r="Y298" s="734"/>
    </row>
    <row r="299" spans="2:30" s="22" customFormat="1" ht="31.2" x14ac:dyDescent="0.3">
      <c r="B299" s="1655"/>
      <c r="C299" s="1666"/>
      <c r="D299" s="1650"/>
      <c r="E299" s="1675"/>
      <c r="F299" s="14">
        <f>F292+1</f>
        <v>304</v>
      </c>
      <c r="G299" s="8" t="s">
        <v>352</v>
      </c>
      <c r="H299" s="15" t="s">
        <v>188</v>
      </c>
      <c r="I299" s="16">
        <v>0.17899999999999999</v>
      </c>
      <c r="J299" s="17"/>
      <c r="K299" s="18">
        <f>I299*$E$277</f>
        <v>216115650</v>
      </c>
      <c r="L299" s="1031"/>
      <c r="M299" s="95"/>
      <c r="N299" s="923"/>
      <c r="O299" s="95"/>
      <c r="P299" s="923"/>
      <c r="Q299" s="95"/>
      <c r="R299" s="923"/>
      <c r="S299" s="501">
        <f t="shared" si="31"/>
        <v>0</v>
      </c>
      <c r="T299" s="435"/>
      <c r="U299" s="436"/>
      <c r="W299" s="598"/>
      <c r="Y299" s="734"/>
    </row>
    <row r="300" spans="2:30" s="22" customFormat="1" ht="15.6" x14ac:dyDescent="0.3">
      <c r="B300" s="1655"/>
      <c r="C300" s="1666"/>
      <c r="D300" s="1650"/>
      <c r="E300" s="1675"/>
      <c r="F300" s="277" t="s">
        <v>32</v>
      </c>
      <c r="G300" s="7" t="s">
        <v>353</v>
      </c>
      <c r="H300" s="24" t="s">
        <v>340</v>
      </c>
      <c r="I300" s="23">
        <v>0.25</v>
      </c>
      <c r="J300" s="12">
        <v>4</v>
      </c>
      <c r="K300" s="25">
        <f>I300*$K$299</f>
        <v>54028912.5</v>
      </c>
      <c r="L300" s="947">
        <f t="shared" si="28"/>
        <v>13507228.125</v>
      </c>
      <c r="M300" s="91">
        <f>'Schedule 3'!F147</f>
        <v>4</v>
      </c>
      <c r="N300" s="921">
        <f>ROUND(L300*M300,0)</f>
        <v>54028913</v>
      </c>
      <c r="O300" s="91">
        <f>'Schedule 3'!F148</f>
        <v>4</v>
      </c>
      <c r="P300" s="921">
        <v>54028913</v>
      </c>
      <c r="Q300" s="91">
        <f t="shared" si="36"/>
        <v>0</v>
      </c>
      <c r="R300" s="921">
        <f t="shared" si="32"/>
        <v>0</v>
      </c>
      <c r="S300" s="501">
        <f t="shared" si="31"/>
        <v>0</v>
      </c>
      <c r="T300" s="433"/>
      <c r="U300" s="434"/>
      <c r="W300" s="598"/>
      <c r="Y300" s="734"/>
    </row>
    <row r="301" spans="2:30" s="22" customFormat="1" ht="15.6" x14ac:dyDescent="0.3">
      <c r="B301" s="1655"/>
      <c r="C301" s="1666"/>
      <c r="D301" s="1650"/>
      <c r="E301" s="1675"/>
      <c r="F301" s="277" t="s">
        <v>34</v>
      </c>
      <c r="G301" s="7" t="s">
        <v>354</v>
      </c>
      <c r="H301" s="24" t="s">
        <v>340</v>
      </c>
      <c r="I301" s="23">
        <v>0.2</v>
      </c>
      <c r="J301" s="12">
        <v>4</v>
      </c>
      <c r="K301" s="25">
        <f>I301*$K$299</f>
        <v>43223130</v>
      </c>
      <c r="L301" s="947">
        <f t="shared" si="28"/>
        <v>10805782.5</v>
      </c>
      <c r="M301" s="92">
        <f>'Schedule 3'!$F$155</f>
        <v>4</v>
      </c>
      <c r="N301" s="921">
        <f>ROUND(L301*M301,0)</f>
        <v>43223130</v>
      </c>
      <c r="O301" s="91">
        <f>'Schedule 3'!F156</f>
        <v>4</v>
      </c>
      <c r="P301" s="921">
        <v>43223130</v>
      </c>
      <c r="Q301" s="91">
        <f t="shared" si="36"/>
        <v>0</v>
      </c>
      <c r="R301" s="921">
        <f t="shared" si="32"/>
        <v>0</v>
      </c>
      <c r="S301" s="501">
        <f t="shared" si="31"/>
        <v>0</v>
      </c>
      <c r="T301" s="433"/>
      <c r="U301" s="434"/>
      <c r="V301" s="732"/>
      <c r="W301" s="598"/>
      <c r="X301" s="394"/>
      <c r="Y301" s="734"/>
    </row>
    <row r="302" spans="2:30" s="22" customFormat="1" ht="15.6" x14ac:dyDescent="0.3">
      <c r="B302" s="1655"/>
      <c r="C302" s="1666"/>
      <c r="D302" s="1650"/>
      <c r="E302" s="1675"/>
      <c r="F302" s="277" t="s">
        <v>37</v>
      </c>
      <c r="G302" s="7" t="s">
        <v>355</v>
      </c>
      <c r="H302" s="24" t="s">
        <v>340</v>
      </c>
      <c r="I302" s="23">
        <v>0.35</v>
      </c>
      <c r="J302" s="12">
        <v>2</v>
      </c>
      <c r="K302" s="25">
        <f>I302*$K$299</f>
        <v>75640477.5</v>
      </c>
      <c r="L302" s="947">
        <f t="shared" si="28"/>
        <v>37820238.75</v>
      </c>
      <c r="M302" s="91">
        <f>'Schedule 3'!$F$161</f>
        <v>2</v>
      </c>
      <c r="N302" s="921">
        <f>ROUND(L302*M302,0)</f>
        <v>75640478</v>
      </c>
      <c r="O302" s="91">
        <f>'Schedule 3'!$F$162</f>
        <v>2</v>
      </c>
      <c r="P302" s="921">
        <v>75640478</v>
      </c>
      <c r="Q302" s="91">
        <f t="shared" si="36"/>
        <v>0</v>
      </c>
      <c r="R302" s="921">
        <f t="shared" si="32"/>
        <v>0</v>
      </c>
      <c r="S302" s="501">
        <f t="shared" si="31"/>
        <v>0</v>
      </c>
      <c r="T302" s="433"/>
      <c r="U302" s="434"/>
      <c r="V302" s="826"/>
      <c r="W302" s="598"/>
      <c r="Y302" s="734"/>
    </row>
    <row r="303" spans="2:30" s="22" customFormat="1" ht="15.6" x14ac:dyDescent="0.3">
      <c r="B303" s="1655"/>
      <c r="C303" s="1666"/>
      <c r="D303" s="1650"/>
      <c r="E303" s="1675"/>
      <c r="F303" s="277" t="s">
        <v>39</v>
      </c>
      <c r="G303" s="7" t="s">
        <v>356</v>
      </c>
      <c r="H303" s="24" t="s">
        <v>340</v>
      </c>
      <c r="I303" s="23">
        <v>0.2</v>
      </c>
      <c r="J303" s="12">
        <v>2</v>
      </c>
      <c r="K303" s="25">
        <f>I303*$K$299</f>
        <v>43223130</v>
      </c>
      <c r="L303" s="947">
        <f t="shared" si="28"/>
        <v>21611565</v>
      </c>
      <c r="M303" s="91">
        <f>'Schedule 3'!$F$168</f>
        <v>2</v>
      </c>
      <c r="N303" s="921">
        <f>ROUND(L303*M303,0)</f>
        <v>43223130</v>
      </c>
      <c r="O303" s="91">
        <f>'Schedule 3'!$F$169</f>
        <v>2</v>
      </c>
      <c r="P303" s="921">
        <v>43223130</v>
      </c>
      <c r="Q303" s="91">
        <f t="shared" si="36"/>
        <v>0</v>
      </c>
      <c r="R303" s="921">
        <f t="shared" si="32"/>
        <v>0</v>
      </c>
      <c r="S303" s="501">
        <f t="shared" si="31"/>
        <v>0</v>
      </c>
      <c r="T303" s="433" t="s">
        <v>357</v>
      </c>
      <c r="U303" s="434"/>
      <c r="W303" s="598"/>
      <c r="X303" s="394"/>
      <c r="Y303" s="734"/>
    </row>
    <row r="304" spans="2:30" s="22" customFormat="1" ht="31.2" x14ac:dyDescent="0.3">
      <c r="B304" s="1655"/>
      <c r="C304" s="1666"/>
      <c r="D304" s="1650"/>
      <c r="E304" s="1675"/>
      <c r="F304" s="14">
        <f>F299+1</f>
        <v>305</v>
      </c>
      <c r="G304" s="8" t="s">
        <v>358</v>
      </c>
      <c r="H304" s="15" t="s">
        <v>188</v>
      </c>
      <c r="I304" s="16">
        <v>0.08</v>
      </c>
      <c r="J304" s="17"/>
      <c r="K304" s="18">
        <f>I304*$E$277</f>
        <v>96588000</v>
      </c>
      <c r="L304" s="1029"/>
      <c r="M304" s="95"/>
      <c r="N304" s="923"/>
      <c r="O304" s="95"/>
      <c r="P304" s="923"/>
      <c r="Q304" s="95"/>
      <c r="R304" s="923"/>
      <c r="S304" s="501">
        <f t="shared" si="31"/>
        <v>0</v>
      </c>
      <c r="T304" s="435"/>
      <c r="U304" s="436"/>
      <c r="W304" s="598"/>
      <c r="Y304" s="734"/>
    </row>
    <row r="305" spans="2:25" s="22" customFormat="1" ht="15.6" x14ac:dyDescent="0.3">
      <c r="B305" s="1655"/>
      <c r="C305" s="1666"/>
      <c r="D305" s="1650"/>
      <c r="E305" s="1675"/>
      <c r="F305" s="277" t="s">
        <v>32</v>
      </c>
      <c r="G305" s="7" t="s">
        <v>359</v>
      </c>
      <c r="H305" s="24" t="s">
        <v>360</v>
      </c>
      <c r="I305" s="23">
        <v>0.75</v>
      </c>
      <c r="J305" s="12">
        <v>10</v>
      </c>
      <c r="K305" s="25">
        <f>I305*$K$304</f>
        <v>72441000</v>
      </c>
      <c r="L305" s="947">
        <f t="shared" si="28"/>
        <v>7244100</v>
      </c>
      <c r="M305" s="91">
        <f>'Schedule 3'!$F$175</f>
        <v>4</v>
      </c>
      <c r="N305" s="921">
        <f>ROUND(L305*M305,0)</f>
        <v>28976400</v>
      </c>
      <c r="O305" s="91">
        <f>'Schedule 3'!$F$176</f>
        <v>4</v>
      </c>
      <c r="P305" s="921">
        <v>28976400</v>
      </c>
      <c r="Q305" s="91">
        <f t="shared" si="36"/>
        <v>0</v>
      </c>
      <c r="R305" s="921">
        <f t="shared" si="32"/>
        <v>0</v>
      </c>
      <c r="S305" s="501">
        <f t="shared" si="31"/>
        <v>6</v>
      </c>
      <c r="T305" s="433"/>
      <c r="U305" s="434"/>
      <c r="W305" s="598"/>
      <c r="Y305" s="734"/>
    </row>
    <row r="306" spans="2:25" s="22" customFormat="1" ht="15.6" x14ac:dyDescent="0.3">
      <c r="B306" s="1655"/>
      <c r="C306" s="1666"/>
      <c r="D306" s="1650"/>
      <c r="E306" s="1675"/>
      <c r="F306" s="277" t="s">
        <v>34</v>
      </c>
      <c r="G306" s="7" t="s">
        <v>361</v>
      </c>
      <c r="H306" s="24" t="s">
        <v>360</v>
      </c>
      <c r="I306" s="23">
        <v>0.25</v>
      </c>
      <c r="J306" s="12">
        <v>10</v>
      </c>
      <c r="K306" s="25">
        <f>I306*$K$304</f>
        <v>24147000</v>
      </c>
      <c r="L306" s="947">
        <f t="shared" si="28"/>
        <v>2414700</v>
      </c>
      <c r="M306" s="91">
        <v>0</v>
      </c>
      <c r="N306" s="921">
        <f>ROUND(L306*M306,0)</f>
        <v>0</v>
      </c>
      <c r="O306" s="91">
        <v>0</v>
      </c>
      <c r="P306" s="921">
        <v>0</v>
      </c>
      <c r="Q306" s="91">
        <f t="shared" si="36"/>
        <v>0</v>
      </c>
      <c r="R306" s="921">
        <f t="shared" si="32"/>
        <v>0</v>
      </c>
      <c r="S306" s="501">
        <f t="shared" si="31"/>
        <v>10</v>
      </c>
      <c r="T306" s="433"/>
      <c r="U306" s="434"/>
      <c r="W306" s="598"/>
      <c r="Y306" s="734"/>
    </row>
    <row r="307" spans="2:25" s="22" customFormat="1" ht="31.2" x14ac:dyDescent="0.3">
      <c r="B307" s="1655"/>
      <c r="C307" s="1666"/>
      <c r="D307" s="1650"/>
      <c r="E307" s="1675"/>
      <c r="F307" s="14">
        <f>F304+1</f>
        <v>306</v>
      </c>
      <c r="G307" s="8" t="s">
        <v>362</v>
      </c>
      <c r="H307" s="15" t="s">
        <v>188</v>
      </c>
      <c r="I307" s="16">
        <v>0.14000000000000001</v>
      </c>
      <c r="J307" s="17"/>
      <c r="K307" s="18">
        <f>I307*$E$277</f>
        <v>169029000.00000003</v>
      </c>
      <c r="L307" s="1029"/>
      <c r="M307" s="95"/>
      <c r="N307" s="923"/>
      <c r="O307" s="95"/>
      <c r="P307" s="923"/>
      <c r="Q307" s="95"/>
      <c r="R307" s="923"/>
      <c r="S307" s="501">
        <f t="shared" si="31"/>
        <v>0</v>
      </c>
      <c r="T307" s="435"/>
      <c r="U307" s="436"/>
      <c r="W307" s="598"/>
      <c r="Y307" s="734"/>
    </row>
    <row r="308" spans="2:25" s="22" customFormat="1" ht="15.6" x14ac:dyDescent="0.3">
      <c r="B308" s="1655"/>
      <c r="C308" s="1666"/>
      <c r="D308" s="1650"/>
      <c r="E308" s="1675"/>
      <c r="F308" s="277" t="s">
        <v>32</v>
      </c>
      <c r="G308" s="7" t="s">
        <v>363</v>
      </c>
      <c r="H308" s="24" t="s">
        <v>190</v>
      </c>
      <c r="I308" s="23">
        <v>0.75</v>
      </c>
      <c r="J308" s="12">
        <v>6</v>
      </c>
      <c r="K308" s="25">
        <f>I308*$K$307</f>
        <v>126771750.00000003</v>
      </c>
      <c r="L308" s="947">
        <f t="shared" si="28"/>
        <v>21128625.000000004</v>
      </c>
      <c r="M308" s="91">
        <f>'Schedule 3'!F183</f>
        <v>6</v>
      </c>
      <c r="N308" s="921">
        <f>ROUND(L308*M308,0)</f>
        <v>126771750</v>
      </c>
      <c r="O308" s="91">
        <f>'Schedule 3'!F184</f>
        <v>6</v>
      </c>
      <c r="P308" s="921">
        <v>126771750</v>
      </c>
      <c r="Q308" s="91">
        <f t="shared" si="36"/>
        <v>0</v>
      </c>
      <c r="R308" s="921">
        <f t="shared" si="32"/>
        <v>0</v>
      </c>
      <c r="S308" s="501">
        <f t="shared" si="31"/>
        <v>0</v>
      </c>
      <c r="T308" s="433"/>
      <c r="U308" s="434"/>
      <c r="W308" s="598"/>
      <c r="Y308" s="734"/>
    </row>
    <row r="309" spans="2:25" s="22" customFormat="1" ht="15.6" x14ac:dyDescent="0.3">
      <c r="B309" s="1655"/>
      <c r="C309" s="1666"/>
      <c r="D309" s="1650"/>
      <c r="E309" s="1675"/>
      <c r="F309" s="277" t="s">
        <v>34</v>
      </c>
      <c r="G309" s="7" t="s">
        <v>364</v>
      </c>
      <c r="H309" s="24" t="s">
        <v>190</v>
      </c>
      <c r="I309" s="23">
        <v>0.25</v>
      </c>
      <c r="J309" s="12">
        <v>2</v>
      </c>
      <c r="K309" s="25">
        <f>I309*$K$307</f>
        <v>42257250.000000007</v>
      </c>
      <c r="L309" s="947">
        <f>IFERROR(K309/J309,0)</f>
        <v>21128625.000000004</v>
      </c>
      <c r="M309" s="91">
        <f>'Schedule 3'!F189</f>
        <v>2</v>
      </c>
      <c r="N309" s="921">
        <f>ROUND(L309*M309,0)</f>
        <v>42257250</v>
      </c>
      <c r="O309" s="91">
        <f>'Schedule 3'!F190</f>
        <v>2</v>
      </c>
      <c r="P309" s="921">
        <v>42257250</v>
      </c>
      <c r="Q309" s="91">
        <f t="shared" si="36"/>
        <v>0</v>
      </c>
      <c r="R309" s="921">
        <f t="shared" si="32"/>
        <v>0</v>
      </c>
      <c r="S309" s="501">
        <f t="shared" si="31"/>
        <v>0</v>
      </c>
      <c r="T309" s="433"/>
      <c r="U309" s="434"/>
      <c r="W309" s="598"/>
      <c r="Y309" s="734"/>
    </row>
    <row r="310" spans="2:25" s="22" customFormat="1" ht="31.2" x14ac:dyDescent="0.3">
      <c r="B310" s="1655"/>
      <c r="C310" s="1666"/>
      <c r="D310" s="1650"/>
      <c r="E310" s="1675"/>
      <c r="F310" s="14">
        <f>F307+1</f>
        <v>307</v>
      </c>
      <c r="G310" s="8" t="s">
        <v>365</v>
      </c>
      <c r="H310" s="15" t="s">
        <v>188</v>
      </c>
      <c r="I310" s="16">
        <v>2.1999999999999999E-2</v>
      </c>
      <c r="J310" s="17"/>
      <c r="K310" s="18">
        <f>I310*$E$277</f>
        <v>26561700</v>
      </c>
      <c r="L310" s="1029"/>
      <c r="M310" s="95"/>
      <c r="N310" s="923"/>
      <c r="O310" s="95"/>
      <c r="P310" s="923"/>
      <c r="Q310" s="95"/>
      <c r="R310" s="923"/>
      <c r="S310" s="501">
        <f t="shared" si="31"/>
        <v>0</v>
      </c>
      <c r="T310" s="435"/>
      <c r="U310" s="436"/>
      <c r="W310" s="598"/>
      <c r="Y310" s="734"/>
    </row>
    <row r="311" spans="2:25" s="22" customFormat="1" ht="15.6" x14ac:dyDescent="0.3">
      <c r="B311" s="1655"/>
      <c r="C311" s="1666"/>
      <c r="D311" s="1650"/>
      <c r="E311" s="1675"/>
      <c r="F311" s="277" t="s">
        <v>32</v>
      </c>
      <c r="G311" s="7" t="s">
        <v>289</v>
      </c>
      <c r="H311" s="24" t="s">
        <v>188</v>
      </c>
      <c r="I311" s="23">
        <v>0.3</v>
      </c>
      <c r="J311" s="12">
        <v>1</v>
      </c>
      <c r="K311" s="25">
        <f>I311*$K$310</f>
        <v>7968510</v>
      </c>
      <c r="L311" s="947">
        <f t="shared" si="28"/>
        <v>7968510</v>
      </c>
      <c r="M311" s="91">
        <v>0</v>
      </c>
      <c r="N311" s="921">
        <f>ROUND(L311*M311,0)</f>
        <v>0</v>
      </c>
      <c r="O311" s="91">
        <v>0</v>
      </c>
      <c r="P311" s="921">
        <v>0</v>
      </c>
      <c r="Q311" s="91">
        <f t="shared" si="36"/>
        <v>0</v>
      </c>
      <c r="R311" s="921">
        <f t="shared" si="32"/>
        <v>0</v>
      </c>
      <c r="S311" s="501">
        <f t="shared" si="31"/>
        <v>1</v>
      </c>
      <c r="T311" s="433"/>
      <c r="U311" s="434"/>
      <c r="W311" s="598"/>
      <c r="Y311" s="734"/>
    </row>
    <row r="312" spans="2:25" s="22" customFormat="1" ht="15.6" x14ac:dyDescent="0.3">
      <c r="B312" s="1659"/>
      <c r="C312" s="1667"/>
      <c r="D312" s="1653"/>
      <c r="E312" s="1676"/>
      <c r="F312" s="277" t="s">
        <v>34</v>
      </c>
      <c r="G312" s="7" t="s">
        <v>366</v>
      </c>
      <c r="H312" s="24" t="s">
        <v>190</v>
      </c>
      <c r="I312" s="23">
        <v>0.7</v>
      </c>
      <c r="J312" s="12">
        <v>2</v>
      </c>
      <c r="K312" s="25">
        <f>I312*$K$310</f>
        <v>18593190</v>
      </c>
      <c r="L312" s="947">
        <f t="shared" si="28"/>
        <v>9296595</v>
      </c>
      <c r="M312" s="91">
        <v>0</v>
      </c>
      <c r="N312" s="921">
        <f>ROUND(L312*M312,0)</f>
        <v>0</v>
      </c>
      <c r="O312" s="91">
        <v>0</v>
      </c>
      <c r="P312" s="921">
        <v>0</v>
      </c>
      <c r="Q312" s="91">
        <f t="shared" si="36"/>
        <v>0</v>
      </c>
      <c r="R312" s="921">
        <f t="shared" si="32"/>
        <v>0</v>
      </c>
      <c r="S312" s="501">
        <f t="shared" si="31"/>
        <v>2</v>
      </c>
      <c r="T312" s="433"/>
      <c r="U312" s="434"/>
      <c r="W312" s="598"/>
      <c r="Y312" s="734"/>
    </row>
    <row r="313" spans="2:25" s="97" customFormat="1" ht="15.6" x14ac:dyDescent="0.3">
      <c r="B313" s="211" t="s">
        <v>154</v>
      </c>
      <c r="C313" s="212"/>
      <c r="D313" s="212"/>
      <c r="E313" s="212"/>
      <c r="F313" s="213"/>
      <c r="G313" s="103"/>
      <c r="H313" s="214"/>
      <c r="I313" s="215"/>
      <c r="J313" s="216"/>
      <c r="K313" s="217"/>
      <c r="L313" s="1027"/>
      <c r="M313" s="218"/>
      <c r="N313" s="927">
        <f>SUM(N278:N312)</f>
        <v>1113176703</v>
      </c>
      <c r="O313" s="218"/>
      <c r="P313" s="927">
        <f>SUM(P278:P312)</f>
        <v>1113176703</v>
      </c>
      <c r="Q313" s="218"/>
      <c r="R313" s="927">
        <f>SUM(R278:R312)</f>
        <v>0</v>
      </c>
      <c r="S313" s="501">
        <f t="shared" si="31"/>
        <v>0</v>
      </c>
      <c r="T313" s="438"/>
      <c r="U313" s="439"/>
      <c r="W313" s="1008"/>
      <c r="Y313" s="734"/>
    </row>
    <row r="314" spans="2:25" s="22" customFormat="1" ht="7.5" customHeight="1" x14ac:dyDescent="0.3">
      <c r="B314" s="2"/>
      <c r="C314" s="152"/>
      <c r="D314" s="194"/>
      <c r="E314" s="3"/>
      <c r="F314" s="195"/>
      <c r="G314" s="4"/>
      <c r="H314" s="196"/>
      <c r="I314" s="197"/>
      <c r="J314" s="198"/>
      <c r="K314" s="199"/>
      <c r="L314" s="1022"/>
      <c r="M314" s="200"/>
      <c r="N314" s="928"/>
      <c r="O314" s="200"/>
      <c r="P314" s="928"/>
      <c r="Q314" s="200"/>
      <c r="R314" s="929"/>
      <c r="S314" s="501">
        <f t="shared" si="31"/>
        <v>0</v>
      </c>
      <c r="T314" s="440"/>
      <c r="U314" s="441"/>
      <c r="W314" s="598"/>
      <c r="Y314" s="734"/>
    </row>
    <row r="315" spans="2:25" s="22" customFormat="1" ht="46.8" x14ac:dyDescent="0.3">
      <c r="B315" s="1691" t="s">
        <v>155</v>
      </c>
      <c r="C315" s="1651" t="s">
        <v>156</v>
      </c>
      <c r="D315" s="1687">
        <v>0.67</v>
      </c>
      <c r="E315" s="1684">
        <f>D315*(26885400000-55400000)</f>
        <v>17976100000</v>
      </c>
      <c r="F315" s="219">
        <v>401</v>
      </c>
      <c r="G315" s="48" t="s">
        <v>367</v>
      </c>
      <c r="H315" s="27" t="s">
        <v>188</v>
      </c>
      <c r="I315" s="28">
        <v>4.0000000000000001E-3</v>
      </c>
      <c r="J315" s="29"/>
      <c r="K315" s="30">
        <f>I315*$E$315</f>
        <v>71904400</v>
      </c>
      <c r="L315" s="1028"/>
      <c r="M315" s="94"/>
      <c r="N315" s="922"/>
      <c r="O315" s="94"/>
      <c r="P315" s="922"/>
      <c r="Q315" s="94"/>
      <c r="R315" s="922"/>
      <c r="S315" s="501">
        <f t="shared" si="31"/>
        <v>0</v>
      </c>
      <c r="T315" s="435"/>
      <c r="U315" s="436"/>
      <c r="W315" s="598"/>
      <c r="Y315" s="734"/>
    </row>
    <row r="316" spans="2:25" s="22" customFormat="1" ht="15.6" x14ac:dyDescent="0.3">
      <c r="B316" s="1692"/>
      <c r="C316" s="1652"/>
      <c r="D316" s="1688"/>
      <c r="E316" s="1685"/>
      <c r="F316" s="386" t="s">
        <v>32</v>
      </c>
      <c r="G316" s="38" t="s">
        <v>368</v>
      </c>
      <c r="H316" s="24" t="s">
        <v>340</v>
      </c>
      <c r="I316" s="23">
        <v>0.4</v>
      </c>
      <c r="J316" s="12">
        <v>26</v>
      </c>
      <c r="K316" s="25">
        <f>I316*$K$315</f>
        <v>28761760</v>
      </c>
      <c r="L316" s="947">
        <f t="shared" si="28"/>
        <v>1106221.5384615385</v>
      </c>
      <c r="M316" s="91">
        <f>'Schedule 4'!F18</f>
        <v>1</v>
      </c>
      <c r="N316" s="921">
        <f>ROUND(L316*M316,0)</f>
        <v>1106222</v>
      </c>
      <c r="O316" s="91">
        <f>'Schedule 4'!F19</f>
        <v>1</v>
      </c>
      <c r="P316" s="921">
        <v>28761760</v>
      </c>
      <c r="Q316" s="1109">
        <f t="shared" ref="Q316:R318" si="37">M316-O316</f>
        <v>0</v>
      </c>
      <c r="R316" s="1108">
        <f t="shared" si="37"/>
        <v>-27655538</v>
      </c>
      <c r="S316" s="501">
        <f t="shared" si="31"/>
        <v>25</v>
      </c>
      <c r="T316" s="380"/>
      <c r="U316" s="920"/>
      <c r="V316" s="394"/>
      <c r="W316" s="598">
        <v>1106221.5384615385</v>
      </c>
      <c r="X316" s="598">
        <f>W316*(M316+1)</f>
        <v>2212443.076923077</v>
      </c>
      <c r="Y316" s="734"/>
    </row>
    <row r="317" spans="2:25" s="22" customFormat="1" ht="15.6" x14ac:dyDescent="0.3">
      <c r="B317" s="1692"/>
      <c r="C317" s="1652"/>
      <c r="D317" s="1688"/>
      <c r="E317" s="1685"/>
      <c r="F317" s="386" t="s">
        <v>34</v>
      </c>
      <c r="G317" s="38" t="s">
        <v>369</v>
      </c>
      <c r="H317" s="24" t="s">
        <v>340</v>
      </c>
      <c r="I317" s="23">
        <v>0.1</v>
      </c>
      <c r="J317" s="12">
        <v>26</v>
      </c>
      <c r="K317" s="25">
        <f>I317*$K$315</f>
        <v>7190440</v>
      </c>
      <c r="L317" s="947">
        <f t="shared" si="28"/>
        <v>276555.38461538462</v>
      </c>
      <c r="M317" s="92">
        <f>'Schedule 4'!F51</f>
        <v>1</v>
      </c>
      <c r="N317" s="921">
        <f>ROUND(L317*M317,0)</f>
        <v>276555</v>
      </c>
      <c r="O317" s="91">
        <f>'Schedule 4'!F52</f>
        <v>1</v>
      </c>
      <c r="P317" s="921">
        <v>6913885</v>
      </c>
      <c r="Q317" s="91">
        <f t="shared" si="37"/>
        <v>0</v>
      </c>
      <c r="R317" s="921">
        <f t="shared" si="37"/>
        <v>-6637330</v>
      </c>
      <c r="S317" s="501">
        <f t="shared" si="31"/>
        <v>25</v>
      </c>
      <c r="T317" s="380"/>
      <c r="U317" s="920"/>
      <c r="V317" s="394"/>
      <c r="W317" s="598">
        <v>276555.38461538462</v>
      </c>
      <c r="X317" s="598">
        <f t="shared" ref="X317:X318" si="38">W317*(M317+1)</f>
        <v>553110.76923076925</v>
      </c>
      <c r="Y317" s="734"/>
    </row>
    <row r="318" spans="2:25" s="22" customFormat="1" ht="15.6" x14ac:dyDescent="0.3">
      <c r="B318" s="1692"/>
      <c r="C318" s="1652"/>
      <c r="D318" s="1688"/>
      <c r="E318" s="1685"/>
      <c r="F318" s="386" t="s">
        <v>37</v>
      </c>
      <c r="G318" s="38" t="s">
        <v>370</v>
      </c>
      <c r="H318" s="24" t="s">
        <v>340</v>
      </c>
      <c r="I318" s="23">
        <v>0.5</v>
      </c>
      <c r="J318" s="12">
        <v>26</v>
      </c>
      <c r="K318" s="25">
        <f>I318*$K$315</f>
        <v>35952200</v>
      </c>
      <c r="L318" s="947">
        <f t="shared" si="28"/>
        <v>1382776.923076923</v>
      </c>
      <c r="M318" s="92">
        <f>'Schedule 4'!F84</f>
        <v>1</v>
      </c>
      <c r="N318" s="921">
        <f>ROUND(L318*M318,0)</f>
        <v>1382777</v>
      </c>
      <c r="O318" s="91">
        <f>'Schedule 4'!F85</f>
        <v>1</v>
      </c>
      <c r="P318" s="921">
        <v>34569423</v>
      </c>
      <c r="Q318" s="91">
        <f t="shared" si="37"/>
        <v>0</v>
      </c>
      <c r="R318" s="921">
        <f t="shared" si="37"/>
        <v>-33186646</v>
      </c>
      <c r="S318" s="501">
        <f t="shared" si="31"/>
        <v>25</v>
      </c>
      <c r="T318" s="380"/>
      <c r="U318" s="920"/>
      <c r="V318" s="394"/>
      <c r="W318" s="598">
        <v>1382776.923076923</v>
      </c>
      <c r="X318" s="598">
        <f t="shared" si="38"/>
        <v>2765553.846153846</v>
      </c>
      <c r="Y318" s="734"/>
    </row>
    <row r="319" spans="2:25" s="22" customFormat="1" ht="15.6" x14ac:dyDescent="0.3">
      <c r="B319" s="1692"/>
      <c r="C319" s="1652"/>
      <c r="D319" s="1688"/>
      <c r="E319" s="1685"/>
      <c r="F319" s="42">
        <v>402</v>
      </c>
      <c r="G319" s="39" t="s">
        <v>371</v>
      </c>
      <c r="H319" s="15" t="s">
        <v>188</v>
      </c>
      <c r="I319" s="16">
        <v>0.372</v>
      </c>
      <c r="J319" s="17"/>
      <c r="K319" s="18">
        <f>I319*$E$315</f>
        <v>6687109200</v>
      </c>
      <c r="L319" s="1029"/>
      <c r="M319" s="95"/>
      <c r="N319" s="923"/>
      <c r="O319" s="95"/>
      <c r="P319" s="923"/>
      <c r="Q319" s="95"/>
      <c r="R319" s="923"/>
      <c r="S319" s="501">
        <f t="shared" si="31"/>
        <v>0</v>
      </c>
      <c r="T319" s="432"/>
      <c r="U319" s="920"/>
      <c r="W319" s="598"/>
      <c r="X319" s="598"/>
      <c r="Y319" s="734"/>
    </row>
    <row r="320" spans="2:25" s="22" customFormat="1" ht="15.6" x14ac:dyDescent="0.3">
      <c r="B320" s="1692"/>
      <c r="C320" s="1652"/>
      <c r="D320" s="1688"/>
      <c r="E320" s="1685"/>
      <c r="F320" s="386" t="s">
        <v>32</v>
      </c>
      <c r="G320" s="38" t="s">
        <v>372</v>
      </c>
      <c r="H320" s="11" t="s">
        <v>320</v>
      </c>
      <c r="I320" s="13">
        <v>0.8</v>
      </c>
      <c r="J320" s="20">
        <f>54.05*12+54.05*6+50.55*6+51.55*1+54.05*1</f>
        <v>1381.7999999999997</v>
      </c>
      <c r="K320" s="21">
        <f>$K$319*I320</f>
        <v>5349687360</v>
      </c>
      <c r="L320" s="1030">
        <f t="shared" si="28"/>
        <v>3871535.2149370392</v>
      </c>
      <c r="M320" s="92">
        <f>'Schedule 4'!F650</f>
        <v>1.0900000000000001</v>
      </c>
      <c r="N320" s="924">
        <f>ROUND(L320*M320,0)</f>
        <v>4219973</v>
      </c>
      <c r="O320" s="92">
        <f>'Schedule 4'!F651</f>
        <v>1</v>
      </c>
      <c r="P320" s="924">
        <v>4992228514</v>
      </c>
      <c r="Q320" s="92">
        <f t="shared" ref="Q320:R324" si="39">M320-O320</f>
        <v>9.000000000000008E-2</v>
      </c>
      <c r="R320" s="924">
        <f t="shared" si="39"/>
        <v>-4988008541</v>
      </c>
      <c r="S320" s="1147">
        <f t="shared" si="31"/>
        <v>1380.7099999999998</v>
      </c>
      <c r="T320" s="1153"/>
      <c r="U320" s="1154"/>
      <c r="V320" s="414"/>
      <c r="W320" s="1149">
        <v>3871535.2149370392</v>
      </c>
      <c r="X320" s="598">
        <f>W320*(M320+41.53)</f>
        <v>165004830.86061662</v>
      </c>
      <c r="Y320" s="734"/>
    </row>
    <row r="321" spans="2:25" s="22" customFormat="1" ht="15.6" x14ac:dyDescent="0.3">
      <c r="B321" s="1692"/>
      <c r="C321" s="1652"/>
      <c r="D321" s="1688"/>
      <c r="E321" s="1685"/>
      <c r="F321" s="386" t="s">
        <v>34</v>
      </c>
      <c r="G321" s="38" t="s">
        <v>373</v>
      </c>
      <c r="H321" s="11" t="s">
        <v>340</v>
      </c>
      <c r="I321" s="13">
        <f>20%*33%</f>
        <v>6.6000000000000003E-2</v>
      </c>
      <c r="J321" s="20">
        <v>26</v>
      </c>
      <c r="K321" s="21">
        <f>$K$319*I321</f>
        <v>441349207.20000005</v>
      </c>
      <c r="L321" s="1030">
        <f t="shared" si="28"/>
        <v>16974969.507692311</v>
      </c>
      <c r="M321" s="92">
        <f>'Schedule 4'!$F$665</f>
        <v>2.5</v>
      </c>
      <c r="N321" s="924">
        <f>ROUND(L321*M321,0)</f>
        <v>42437424</v>
      </c>
      <c r="O321" s="92">
        <f>'Schedule 4'!$F$666</f>
        <v>3.15</v>
      </c>
      <c r="P321" s="924">
        <v>169749695</v>
      </c>
      <c r="Q321" s="92">
        <f t="shared" si="39"/>
        <v>-0.64999999999999991</v>
      </c>
      <c r="R321" s="924">
        <f t="shared" si="39"/>
        <v>-127312271</v>
      </c>
      <c r="S321" s="1147">
        <f t="shared" si="31"/>
        <v>23.5</v>
      </c>
      <c r="T321" s="1153"/>
      <c r="U321" s="1154"/>
      <c r="W321" s="1149">
        <v>16974969.507692311</v>
      </c>
      <c r="X321" s="598">
        <f>W321*(M321)</f>
        <v>42437423.769230776</v>
      </c>
      <c r="Y321" s="734"/>
    </row>
    <row r="322" spans="2:25" s="22" customFormat="1" ht="15.6" x14ac:dyDescent="0.3">
      <c r="B322" s="1692"/>
      <c r="C322" s="1652"/>
      <c r="D322" s="1688"/>
      <c r="E322" s="1685"/>
      <c r="F322" s="386" t="s">
        <v>37</v>
      </c>
      <c r="G322" s="38" t="s">
        <v>374</v>
      </c>
      <c r="H322" s="11" t="s">
        <v>340</v>
      </c>
      <c r="I322" s="13">
        <f>20%*67%</f>
        <v>0.13400000000000001</v>
      </c>
      <c r="J322" s="20">
        <v>26</v>
      </c>
      <c r="K322" s="21">
        <f>$K$319*I322</f>
        <v>896072632.80000007</v>
      </c>
      <c r="L322" s="1030">
        <f t="shared" ref="L322" si="40">IFERROR(K322/J322,0)</f>
        <v>34464332.030769236</v>
      </c>
      <c r="M322" s="92">
        <f>'Schedule 4'!$F$679</f>
        <v>2.5</v>
      </c>
      <c r="N322" s="924">
        <f>ROUND(L322*M322,0)</f>
        <v>86160830</v>
      </c>
      <c r="O322" s="92">
        <f>'Schedule 4'!$F$680</f>
        <v>2.5</v>
      </c>
      <c r="P322" s="924">
        <v>275714656</v>
      </c>
      <c r="Q322" s="92">
        <f t="shared" si="39"/>
        <v>0</v>
      </c>
      <c r="R322" s="924">
        <f t="shared" si="39"/>
        <v>-189553826</v>
      </c>
      <c r="S322" s="1147">
        <f t="shared" si="31"/>
        <v>23.5</v>
      </c>
      <c r="T322" s="1153"/>
      <c r="U322" s="1154"/>
      <c r="W322" s="1149">
        <v>34464332.030769236</v>
      </c>
      <c r="X322" s="598">
        <f>W322*(M322)</f>
        <v>86160830.076923087</v>
      </c>
      <c r="Y322" s="734"/>
    </row>
    <row r="323" spans="2:25" s="22" customFormat="1" ht="15.6" customHeight="1" x14ac:dyDescent="0.3">
      <c r="B323" s="1692"/>
      <c r="C323" s="1652"/>
      <c r="D323" s="1688"/>
      <c r="E323" s="1685"/>
      <c r="F323" s="42">
        <v>403</v>
      </c>
      <c r="G323" s="39" t="s">
        <v>375</v>
      </c>
      <c r="H323" s="15" t="s">
        <v>188</v>
      </c>
      <c r="I323" s="16">
        <v>2.1000000000000001E-2</v>
      </c>
      <c r="J323" s="17"/>
      <c r="K323" s="18">
        <f>I323*$E$315</f>
        <v>377498100</v>
      </c>
      <c r="L323" s="1029"/>
      <c r="M323" s="95"/>
      <c r="N323" s="923"/>
      <c r="O323" s="95"/>
      <c r="P323" s="923"/>
      <c r="Q323" s="95"/>
      <c r="R323" s="923"/>
      <c r="S323" s="501">
        <f t="shared" si="31"/>
        <v>0</v>
      </c>
      <c r="T323" s="432"/>
      <c r="U323" s="920"/>
      <c r="W323" s="598"/>
      <c r="Y323" s="734"/>
    </row>
    <row r="324" spans="2:25" s="22" customFormat="1" ht="15.6" x14ac:dyDescent="0.3">
      <c r="B324" s="1692"/>
      <c r="C324" s="1652"/>
      <c r="D324" s="1688"/>
      <c r="E324" s="1685"/>
      <c r="F324" s="386" t="s">
        <v>32</v>
      </c>
      <c r="G324" s="38" t="s">
        <v>376</v>
      </c>
      <c r="H324" s="11" t="s">
        <v>320</v>
      </c>
      <c r="I324" s="13">
        <v>1</v>
      </c>
      <c r="J324" s="20">
        <f>21.324*13+21.624*5+20.174*6+18.973+19.106</f>
        <v>544.45500000000004</v>
      </c>
      <c r="K324" s="25">
        <f>$K$323*I324</f>
        <v>377498100</v>
      </c>
      <c r="L324" s="1030">
        <f t="shared" si="28"/>
        <v>693350.41463481821</v>
      </c>
      <c r="M324" s="91">
        <f>'Schedule 4'!$F$716</f>
        <v>2.5</v>
      </c>
      <c r="N324" s="921">
        <f>ROUND(L324*M324,0)</f>
        <v>1733376</v>
      </c>
      <c r="O324" s="91">
        <f>'Schedule 4'!$F$717</f>
        <v>2.6</v>
      </c>
      <c r="P324" s="921">
        <v>39500173</v>
      </c>
      <c r="Q324" s="91">
        <f>M324-O324</f>
        <v>-0.10000000000000009</v>
      </c>
      <c r="R324" s="924">
        <f t="shared" si="39"/>
        <v>-37766797</v>
      </c>
      <c r="S324" s="501">
        <f t="shared" si="31"/>
        <v>541.95500000000004</v>
      </c>
      <c r="T324" s="380"/>
      <c r="U324" s="920"/>
      <c r="W324" s="598"/>
      <c r="X324" s="1196"/>
      <c r="Y324" s="734"/>
    </row>
    <row r="325" spans="2:25" s="22" customFormat="1" ht="15.6" x14ac:dyDescent="0.3">
      <c r="B325" s="1692"/>
      <c r="C325" s="1652"/>
      <c r="D325" s="1688"/>
      <c r="E325" s="1685"/>
      <c r="F325" s="42">
        <v>404</v>
      </c>
      <c r="G325" s="39" t="s">
        <v>377</v>
      </c>
      <c r="H325" s="15" t="s">
        <v>188</v>
      </c>
      <c r="I325" s="16">
        <v>1.4999999999999999E-2</v>
      </c>
      <c r="J325" s="17"/>
      <c r="K325" s="18">
        <f>I325*$E$315</f>
        <v>269641500</v>
      </c>
      <c r="L325" s="1029"/>
      <c r="M325" s="95"/>
      <c r="N325" s="923"/>
      <c r="O325" s="95"/>
      <c r="P325" s="923"/>
      <c r="Q325" s="95"/>
      <c r="R325" s="923"/>
      <c r="S325" s="501">
        <f t="shared" si="31"/>
        <v>0</v>
      </c>
      <c r="T325" s="432"/>
      <c r="U325" s="920"/>
      <c r="W325" s="598"/>
      <c r="Y325" s="734"/>
    </row>
    <row r="326" spans="2:25" s="22" customFormat="1" ht="15.6" x14ac:dyDescent="0.3">
      <c r="B326" s="1692"/>
      <c r="C326" s="1652"/>
      <c r="D326" s="1688"/>
      <c r="E326" s="1685"/>
      <c r="F326" s="386" t="s">
        <v>32</v>
      </c>
      <c r="G326" s="38" t="s">
        <v>377</v>
      </c>
      <c r="H326" s="11" t="s">
        <v>340</v>
      </c>
      <c r="I326" s="13">
        <v>1</v>
      </c>
      <c r="J326" s="20">
        <v>26</v>
      </c>
      <c r="K326" s="25">
        <f>$K$325*I326</f>
        <v>269641500</v>
      </c>
      <c r="L326" s="1030">
        <f t="shared" si="28"/>
        <v>10370826.923076924</v>
      </c>
      <c r="M326" s="91">
        <v>0</v>
      </c>
      <c r="N326" s="921">
        <f>ROUND(L326*M326,0)</f>
        <v>0</v>
      </c>
      <c r="O326" s="91">
        <v>0</v>
      </c>
      <c r="P326" s="921">
        <v>0</v>
      </c>
      <c r="Q326" s="91">
        <f>M326-O326</f>
        <v>0</v>
      </c>
      <c r="R326" s="921">
        <v>0</v>
      </c>
      <c r="S326" s="501">
        <f t="shared" si="31"/>
        <v>26</v>
      </c>
      <c r="T326" s="380"/>
      <c r="U326" s="920"/>
      <c r="W326" s="598"/>
      <c r="Y326" s="734"/>
    </row>
    <row r="327" spans="2:25" s="22" customFormat="1" ht="15.6" x14ac:dyDescent="0.3">
      <c r="B327" s="1692"/>
      <c r="C327" s="1652"/>
      <c r="D327" s="1688"/>
      <c r="E327" s="1685"/>
      <c r="F327" s="42">
        <v>405</v>
      </c>
      <c r="G327" s="39" t="s">
        <v>378</v>
      </c>
      <c r="H327" s="15" t="s">
        <v>188</v>
      </c>
      <c r="I327" s="16">
        <v>1.0999999999999999E-2</v>
      </c>
      <c r="J327" s="17"/>
      <c r="K327" s="18">
        <f>I327*$E$315</f>
        <v>197737100</v>
      </c>
      <c r="L327" s="1029"/>
      <c r="M327" s="95"/>
      <c r="N327" s="923"/>
      <c r="O327" s="95"/>
      <c r="P327" s="923"/>
      <c r="Q327" s="95"/>
      <c r="R327" s="923"/>
      <c r="S327" s="501">
        <f t="shared" si="31"/>
        <v>0</v>
      </c>
      <c r="T327" s="432"/>
      <c r="U327" s="920"/>
      <c r="W327" s="598"/>
      <c r="Y327" s="734"/>
    </row>
    <row r="328" spans="2:25" s="22" customFormat="1" ht="15.6" x14ac:dyDescent="0.3">
      <c r="B328" s="1692"/>
      <c r="C328" s="1652"/>
      <c r="D328" s="1688"/>
      <c r="E328" s="1685"/>
      <c r="F328" s="386" t="s">
        <v>32</v>
      </c>
      <c r="G328" s="38" t="s">
        <v>378</v>
      </c>
      <c r="H328" s="11" t="s">
        <v>320</v>
      </c>
      <c r="I328" s="13">
        <v>1</v>
      </c>
      <c r="J328" s="20">
        <f>13*30+5*20</f>
        <v>490</v>
      </c>
      <c r="K328" s="25">
        <f>$K$327*I328</f>
        <v>197737100</v>
      </c>
      <c r="L328" s="1030">
        <f>IFERROR(K328/J328,0)</f>
        <v>403545.10204081633</v>
      </c>
      <c r="M328" s="91">
        <v>0</v>
      </c>
      <c r="N328" s="921">
        <f>ROUND(L328*M328,0)</f>
        <v>0</v>
      </c>
      <c r="O328" s="91">
        <v>0</v>
      </c>
      <c r="P328" s="921">
        <v>0</v>
      </c>
      <c r="Q328" s="91">
        <f>M328-O328</f>
        <v>0</v>
      </c>
      <c r="R328" s="921">
        <v>0</v>
      </c>
      <c r="S328" s="501">
        <f t="shared" si="31"/>
        <v>490</v>
      </c>
      <c r="T328" s="380"/>
      <c r="U328" s="920"/>
      <c r="W328" s="598"/>
      <c r="Y328" s="734"/>
    </row>
    <row r="329" spans="2:25" s="22" customFormat="1" ht="15.6" x14ac:dyDescent="0.3">
      <c r="B329" s="1692"/>
      <c r="C329" s="1652"/>
      <c r="D329" s="1688"/>
      <c r="E329" s="1685"/>
      <c r="F329" s="42">
        <v>406</v>
      </c>
      <c r="G329" s="39" t="s">
        <v>379</v>
      </c>
      <c r="H329" s="15" t="s">
        <v>188</v>
      </c>
      <c r="I329" s="16">
        <v>0.188</v>
      </c>
      <c r="J329" s="17"/>
      <c r="K329" s="18">
        <f>I329*$E$315</f>
        <v>3379506800</v>
      </c>
      <c r="L329" s="1029"/>
      <c r="M329" s="95"/>
      <c r="N329" s="923"/>
      <c r="O329" s="95"/>
      <c r="P329" s="923"/>
      <c r="Q329" s="95"/>
      <c r="R329" s="923"/>
      <c r="S329" s="501">
        <f t="shared" si="31"/>
        <v>0</v>
      </c>
      <c r="T329" s="432"/>
      <c r="U329" s="920"/>
      <c r="W329" s="598"/>
      <c r="Y329" s="734"/>
    </row>
    <row r="330" spans="2:25" s="22" customFormat="1" ht="15.6" x14ac:dyDescent="0.3">
      <c r="B330" s="1692"/>
      <c r="C330" s="1652"/>
      <c r="D330" s="1688"/>
      <c r="E330" s="1685"/>
      <c r="F330" s="386" t="s">
        <v>32</v>
      </c>
      <c r="G330" s="38" t="s">
        <v>380</v>
      </c>
      <c r="H330" s="11" t="s">
        <v>340</v>
      </c>
      <c r="I330" s="13">
        <v>0.75</v>
      </c>
      <c r="J330" s="20">
        <v>1116</v>
      </c>
      <c r="K330" s="25">
        <f>$K$329*I330</f>
        <v>2534630100</v>
      </c>
      <c r="L330" s="1030">
        <f t="shared" si="28"/>
        <v>2271173.9247311829</v>
      </c>
      <c r="M330" s="92">
        <f>'Schedule 4'!$F$1221</f>
        <v>5777.3019999999997</v>
      </c>
      <c r="N330" s="921">
        <f>ROUND(L330*M330,0)</f>
        <v>13121257658</v>
      </c>
      <c r="O330" s="91">
        <f>'Schedule 4'!$F$1222</f>
        <v>452</v>
      </c>
      <c r="P330" s="921">
        <v>1026570614</v>
      </c>
      <c r="Q330" s="91">
        <f>M330-O330</f>
        <v>5325.3019999999997</v>
      </c>
      <c r="R330" s="924">
        <f>N330-P330</f>
        <v>12094687044</v>
      </c>
      <c r="S330" s="501">
        <f t="shared" si="31"/>
        <v>-4661.3019999999997</v>
      </c>
      <c r="T330" s="380"/>
      <c r="U330" s="920"/>
      <c r="W330" s="598"/>
      <c r="Y330" s="734"/>
    </row>
    <row r="331" spans="2:25" s="22" customFormat="1" ht="15.6" x14ac:dyDescent="0.3">
      <c r="B331" s="1692"/>
      <c r="C331" s="1652"/>
      <c r="D331" s="1688"/>
      <c r="E331" s="1685"/>
      <c r="F331" s="386" t="s">
        <v>34</v>
      </c>
      <c r="G331" s="38" t="s">
        <v>381</v>
      </c>
      <c r="H331" s="11" t="s">
        <v>340</v>
      </c>
      <c r="I331" s="13">
        <v>0.25</v>
      </c>
      <c r="J331" s="20">
        <f>J330</f>
        <v>1116</v>
      </c>
      <c r="K331" s="25">
        <f>$K$329*I331</f>
        <v>844876700</v>
      </c>
      <c r="L331" s="1030">
        <f t="shared" si="28"/>
        <v>757057.97491039429</v>
      </c>
      <c r="M331" s="91">
        <v>0</v>
      </c>
      <c r="N331" s="921">
        <f>ROUND(L331*M331,0)</f>
        <v>0</v>
      </c>
      <c r="O331" s="91">
        <v>0</v>
      </c>
      <c r="P331" s="921">
        <v>0</v>
      </c>
      <c r="Q331" s="91">
        <f>M331-O331</f>
        <v>0</v>
      </c>
      <c r="R331" s="921">
        <f>N331-P331</f>
        <v>0</v>
      </c>
      <c r="S331" s="501">
        <f t="shared" si="31"/>
        <v>1116</v>
      </c>
      <c r="T331" s="380"/>
      <c r="U331" s="920"/>
      <c r="W331" s="598"/>
      <c r="Y331" s="734"/>
    </row>
    <row r="332" spans="2:25" s="22" customFormat="1" ht="31.2" x14ac:dyDescent="0.3">
      <c r="B332" s="1692"/>
      <c r="C332" s="1652"/>
      <c r="D332" s="1688"/>
      <c r="E332" s="1685"/>
      <c r="F332" s="42">
        <v>407</v>
      </c>
      <c r="G332" s="39" t="s">
        <v>382</v>
      </c>
      <c r="H332" s="15" t="s">
        <v>188</v>
      </c>
      <c r="I332" s="16">
        <v>3.9E-2</v>
      </c>
      <c r="J332" s="17"/>
      <c r="K332" s="18">
        <f>I332*$E$315</f>
        <v>701067900</v>
      </c>
      <c r="L332" s="1029"/>
      <c r="M332" s="95"/>
      <c r="N332" s="923"/>
      <c r="O332" s="95"/>
      <c r="P332" s="923"/>
      <c r="Q332" s="95"/>
      <c r="R332" s="923"/>
      <c r="S332" s="501">
        <f t="shared" si="31"/>
        <v>0</v>
      </c>
      <c r="T332" s="432"/>
      <c r="U332" s="920"/>
      <c r="W332" s="598"/>
      <c r="Y332" s="734"/>
    </row>
    <row r="333" spans="2:25" s="22" customFormat="1" ht="15" customHeight="1" x14ac:dyDescent="0.3">
      <c r="B333" s="1692"/>
      <c r="C333" s="1652"/>
      <c r="D333" s="1688"/>
      <c r="E333" s="1685"/>
      <c r="F333" s="386" t="s">
        <v>32</v>
      </c>
      <c r="G333" s="38" t="s">
        <v>383</v>
      </c>
      <c r="H333" s="11" t="s">
        <v>333</v>
      </c>
      <c r="I333" s="13">
        <v>0.4</v>
      </c>
      <c r="J333" s="20">
        <v>4987</v>
      </c>
      <c r="K333" s="25">
        <f>$K$332*I333</f>
        <v>280427160</v>
      </c>
      <c r="L333" s="1030">
        <f t="shared" si="28"/>
        <v>56231.634249047522</v>
      </c>
      <c r="M333" s="92">
        <v>0</v>
      </c>
      <c r="N333" s="921">
        <f>ROUND(L333*M333,0)</f>
        <v>0</v>
      </c>
      <c r="O333" s="91">
        <v>0</v>
      </c>
      <c r="P333" s="921">
        <v>0</v>
      </c>
      <c r="Q333" s="91">
        <f t="shared" ref="Q333:R337" si="41">M333-O333</f>
        <v>0</v>
      </c>
      <c r="R333" s="921">
        <f t="shared" si="41"/>
        <v>0</v>
      </c>
      <c r="S333" s="501">
        <f t="shared" si="31"/>
        <v>4987</v>
      </c>
      <c r="T333" s="380"/>
      <c r="U333" s="920"/>
      <c r="W333" s="598"/>
      <c r="Y333" s="734"/>
    </row>
    <row r="334" spans="2:25" s="22" customFormat="1" ht="15" customHeight="1" x14ac:dyDescent="0.3">
      <c r="B334" s="1692"/>
      <c r="C334" s="1652"/>
      <c r="D334" s="1688"/>
      <c r="E334" s="1685"/>
      <c r="F334" s="386" t="s">
        <v>34</v>
      </c>
      <c r="G334" s="38" t="s">
        <v>384</v>
      </c>
      <c r="H334" s="11" t="s">
        <v>333</v>
      </c>
      <c r="I334" s="13">
        <v>0.05</v>
      </c>
      <c r="J334" s="20">
        <f>J333</f>
        <v>4987</v>
      </c>
      <c r="K334" s="25">
        <f>$K$332*I334</f>
        <v>35053395</v>
      </c>
      <c r="L334" s="1030">
        <f>IFERROR(K334/J334,0)</f>
        <v>7028.9542811309402</v>
      </c>
      <c r="M334" s="91">
        <v>0</v>
      </c>
      <c r="N334" s="921">
        <f>ROUND(L334*M334,0)</f>
        <v>0</v>
      </c>
      <c r="O334" s="91">
        <v>0</v>
      </c>
      <c r="P334" s="921">
        <v>0</v>
      </c>
      <c r="Q334" s="91">
        <f t="shared" si="41"/>
        <v>0</v>
      </c>
      <c r="R334" s="921">
        <f t="shared" si="41"/>
        <v>0</v>
      </c>
      <c r="S334" s="501">
        <f t="shared" si="31"/>
        <v>4987</v>
      </c>
      <c r="T334" s="380"/>
      <c r="U334" s="920"/>
      <c r="W334" s="598"/>
      <c r="Y334" s="734"/>
    </row>
    <row r="335" spans="2:25" s="22" customFormat="1" ht="31.2" x14ac:dyDescent="0.3">
      <c r="B335" s="1692"/>
      <c r="C335" s="1652"/>
      <c r="D335" s="1688"/>
      <c r="E335" s="1685"/>
      <c r="F335" s="386" t="s">
        <v>37</v>
      </c>
      <c r="G335" s="38" t="s">
        <v>385</v>
      </c>
      <c r="H335" s="11" t="s">
        <v>340</v>
      </c>
      <c r="I335" s="13">
        <v>0.2</v>
      </c>
      <c r="J335" s="20">
        <f>J330</f>
        <v>1116</v>
      </c>
      <c r="K335" s="25">
        <f>$K$332*I335</f>
        <v>140213580</v>
      </c>
      <c r="L335" s="1030">
        <f t="shared" si="28"/>
        <v>125639.40860215054</v>
      </c>
      <c r="M335" s="92">
        <f>'Schedule 4'!$F$1228</f>
        <v>5777.3019999999997</v>
      </c>
      <c r="N335" s="921">
        <f>ROUND(L335*M335,0)</f>
        <v>725856807</v>
      </c>
      <c r="O335" s="91">
        <f>'Schedule 4'!$F$1229</f>
        <v>452</v>
      </c>
      <c r="P335" s="921">
        <v>56789013</v>
      </c>
      <c r="Q335" s="91">
        <f t="shared" si="41"/>
        <v>5325.3019999999997</v>
      </c>
      <c r="R335" s="921">
        <f t="shared" si="41"/>
        <v>669067794</v>
      </c>
      <c r="S335" s="501">
        <f t="shared" ref="S335:S402" si="42">J335-M335</f>
        <v>-4661.3019999999997</v>
      </c>
      <c r="T335" s="380"/>
      <c r="U335" s="920"/>
      <c r="W335" s="598"/>
      <c r="Y335" s="734"/>
    </row>
    <row r="336" spans="2:25" s="22" customFormat="1" ht="15.6" x14ac:dyDescent="0.3">
      <c r="B336" s="1692"/>
      <c r="C336" s="1652"/>
      <c r="D336" s="1688"/>
      <c r="E336" s="1685"/>
      <c r="F336" s="386" t="s">
        <v>39</v>
      </c>
      <c r="G336" s="38" t="s">
        <v>386</v>
      </c>
      <c r="H336" s="11" t="s">
        <v>340</v>
      </c>
      <c r="I336" s="13">
        <v>0.3</v>
      </c>
      <c r="J336" s="20">
        <f>J335</f>
        <v>1116</v>
      </c>
      <c r="K336" s="25">
        <f>$K$332*I336</f>
        <v>210320370</v>
      </c>
      <c r="L336" s="1030">
        <f t="shared" si="28"/>
        <v>188459.11290322582</v>
      </c>
      <c r="M336" s="91">
        <v>0</v>
      </c>
      <c r="N336" s="921">
        <f>ROUND(L336*M336,0)</f>
        <v>0</v>
      </c>
      <c r="O336" s="91">
        <v>0</v>
      </c>
      <c r="P336" s="921">
        <v>0</v>
      </c>
      <c r="Q336" s="91">
        <f t="shared" si="41"/>
        <v>0</v>
      </c>
      <c r="R336" s="921">
        <f t="shared" si="41"/>
        <v>0</v>
      </c>
      <c r="S336" s="501">
        <f t="shared" si="42"/>
        <v>1116</v>
      </c>
      <c r="T336" s="380"/>
      <c r="U336" s="920"/>
      <c r="W336" s="598"/>
      <c r="Y336" s="734"/>
    </row>
    <row r="337" spans="2:27" s="22" customFormat="1" ht="15.6" x14ac:dyDescent="0.3">
      <c r="B337" s="1692"/>
      <c r="C337" s="1652"/>
      <c r="D337" s="1688"/>
      <c r="E337" s="1685"/>
      <c r="F337" s="386" t="s">
        <v>41</v>
      </c>
      <c r="G337" s="38" t="s">
        <v>387</v>
      </c>
      <c r="H337" s="11" t="s">
        <v>340</v>
      </c>
      <c r="I337" s="13">
        <v>0.05</v>
      </c>
      <c r="J337" s="20">
        <f>J336</f>
        <v>1116</v>
      </c>
      <c r="K337" s="25">
        <f>$K$332*I337</f>
        <v>35053395</v>
      </c>
      <c r="L337" s="1030">
        <f t="shared" si="28"/>
        <v>31409.852150537634</v>
      </c>
      <c r="M337" s="91">
        <v>0</v>
      </c>
      <c r="N337" s="921">
        <f>ROUND(L337*M337,0)</f>
        <v>0</v>
      </c>
      <c r="O337" s="91">
        <v>0</v>
      </c>
      <c r="P337" s="921">
        <v>0</v>
      </c>
      <c r="Q337" s="91">
        <f t="shared" si="41"/>
        <v>0</v>
      </c>
      <c r="R337" s="921">
        <f t="shared" si="41"/>
        <v>0</v>
      </c>
      <c r="S337" s="501">
        <f t="shared" si="42"/>
        <v>1116</v>
      </c>
      <c r="T337" s="380"/>
      <c r="U337" s="920"/>
      <c r="W337" s="598"/>
      <c r="Y337" s="734"/>
    </row>
    <row r="338" spans="2:27" s="22" customFormat="1" ht="15.6" x14ac:dyDescent="0.3">
      <c r="B338" s="1692"/>
      <c r="C338" s="1652"/>
      <c r="D338" s="1688"/>
      <c r="E338" s="1685"/>
      <c r="F338" s="42">
        <v>408</v>
      </c>
      <c r="G338" s="39" t="s">
        <v>388</v>
      </c>
      <c r="H338" s="15" t="s">
        <v>188</v>
      </c>
      <c r="I338" s="16">
        <v>7.9000000000000001E-2</v>
      </c>
      <c r="J338" s="17"/>
      <c r="K338" s="18">
        <f>I338*$E$315</f>
        <v>1420111900</v>
      </c>
      <c r="L338" s="1029"/>
      <c r="M338" s="95"/>
      <c r="N338" s="923"/>
      <c r="O338" s="95"/>
      <c r="P338" s="923"/>
      <c r="Q338" s="95"/>
      <c r="R338" s="923"/>
      <c r="S338" s="501">
        <f t="shared" si="42"/>
        <v>0</v>
      </c>
      <c r="T338" s="432"/>
      <c r="U338" s="920"/>
      <c r="W338" s="598"/>
      <c r="Y338" s="734"/>
    </row>
    <row r="339" spans="2:27" s="22" customFormat="1" ht="15.6" x14ac:dyDescent="0.3">
      <c r="B339" s="1692"/>
      <c r="C339" s="1652"/>
      <c r="D339" s="1688"/>
      <c r="E339" s="1685"/>
      <c r="F339" s="386" t="s">
        <v>32</v>
      </c>
      <c r="G339" s="38" t="s">
        <v>389</v>
      </c>
      <c r="H339" s="11" t="s">
        <v>333</v>
      </c>
      <c r="I339" s="13">
        <v>0.35</v>
      </c>
      <c r="J339" s="20">
        <v>1853</v>
      </c>
      <c r="K339" s="21">
        <f>$K$338*I339</f>
        <v>497039164.99999994</v>
      </c>
      <c r="L339" s="1030">
        <f t="shared" si="28"/>
        <v>268234.84349703183</v>
      </c>
      <c r="M339" s="92">
        <f>'Schedule 4'!F1236</f>
        <v>804.82099999999991</v>
      </c>
      <c r="N339" s="924">
        <f>ROUND(L339*M339,0)</f>
        <v>215881035</v>
      </c>
      <c r="O339" s="92">
        <f>'Schedule 4'!$F$1237</f>
        <v>804.82099999999991</v>
      </c>
      <c r="P339" s="924">
        <v>215881035</v>
      </c>
      <c r="Q339" s="92">
        <f t="shared" ref="Q339:R342" si="43">M339-O339</f>
        <v>0</v>
      </c>
      <c r="R339" s="924">
        <f t="shared" si="43"/>
        <v>0</v>
      </c>
      <c r="S339" s="1147">
        <f t="shared" si="42"/>
        <v>1048.1790000000001</v>
      </c>
      <c r="T339" s="1155"/>
      <c r="U339" s="1156"/>
      <c r="W339" s="1149"/>
      <c r="Y339" s="734"/>
    </row>
    <row r="340" spans="2:27" s="22" customFormat="1" ht="15.6" x14ac:dyDescent="0.3">
      <c r="B340" s="1692"/>
      <c r="C340" s="1652"/>
      <c r="D340" s="1688"/>
      <c r="E340" s="1685"/>
      <c r="F340" s="386" t="s">
        <v>34</v>
      </c>
      <c r="G340" s="38" t="s">
        <v>384</v>
      </c>
      <c r="H340" s="11" t="s">
        <v>333</v>
      </c>
      <c r="I340" s="13">
        <v>0.05</v>
      </c>
      <c r="J340" s="20">
        <v>1853</v>
      </c>
      <c r="K340" s="21">
        <f>$K$338*I340</f>
        <v>71005595</v>
      </c>
      <c r="L340" s="1030">
        <f t="shared" si="28"/>
        <v>38319.263356718831</v>
      </c>
      <c r="M340" s="92">
        <f>'Schedule 4'!F1243</f>
        <v>804.82099999999991</v>
      </c>
      <c r="N340" s="924">
        <f>ROUND(L340*M340,0)</f>
        <v>30840148</v>
      </c>
      <c r="O340" s="92">
        <f>'Schedule 4'!$F$1244</f>
        <v>450.47800000000001</v>
      </c>
      <c r="P340" s="924">
        <v>17261985</v>
      </c>
      <c r="Q340" s="92">
        <f t="shared" si="43"/>
        <v>354.3429999999999</v>
      </c>
      <c r="R340" s="924">
        <f t="shared" si="43"/>
        <v>13578163</v>
      </c>
      <c r="S340" s="1147">
        <f t="shared" si="42"/>
        <v>1048.1790000000001</v>
      </c>
      <c r="T340" s="1155"/>
      <c r="U340" s="1156"/>
      <c r="W340" s="1149"/>
      <c r="Y340" s="734"/>
    </row>
    <row r="341" spans="2:27" s="22" customFormat="1" ht="31.2" x14ac:dyDescent="0.3">
      <c r="B341" s="1692"/>
      <c r="C341" s="1652"/>
      <c r="D341" s="1688"/>
      <c r="E341" s="1685"/>
      <c r="F341" s="386" t="s">
        <v>37</v>
      </c>
      <c r="G341" s="38" t="s">
        <v>390</v>
      </c>
      <c r="H341" s="11" t="s">
        <v>340</v>
      </c>
      <c r="I341" s="13">
        <v>0.2</v>
      </c>
      <c r="J341" s="20">
        <v>372</v>
      </c>
      <c r="K341" s="21">
        <f>$K$338*I341</f>
        <v>284022380</v>
      </c>
      <c r="L341" s="1030">
        <f t="shared" si="28"/>
        <v>763501.02150537632</v>
      </c>
      <c r="M341" s="92">
        <f>'Schedule 4'!$F$1249</f>
        <v>0</v>
      </c>
      <c r="N341" s="924">
        <f>ROUND(L341*M341,0)</f>
        <v>0</v>
      </c>
      <c r="O341" s="92">
        <f>'Schedule 4'!$F$1250</f>
        <v>174</v>
      </c>
      <c r="P341" s="924">
        <v>132849178</v>
      </c>
      <c r="Q341" s="92">
        <f t="shared" si="43"/>
        <v>-174</v>
      </c>
      <c r="R341" s="924">
        <f t="shared" si="43"/>
        <v>-132849178</v>
      </c>
      <c r="S341" s="1147">
        <f t="shared" si="42"/>
        <v>372</v>
      </c>
      <c r="T341" s="1155"/>
      <c r="U341" s="1156"/>
      <c r="W341" s="1149"/>
      <c r="Y341" s="734"/>
    </row>
    <row r="342" spans="2:27" s="22" customFormat="1" ht="15.6" x14ac:dyDescent="0.3">
      <c r="B342" s="1692"/>
      <c r="C342" s="1652"/>
      <c r="D342" s="1688"/>
      <c r="E342" s="1685"/>
      <c r="F342" s="386" t="s">
        <v>39</v>
      </c>
      <c r="G342" s="38" t="s">
        <v>391</v>
      </c>
      <c r="H342" s="11" t="s">
        <v>340</v>
      </c>
      <c r="I342" s="13">
        <v>0.4</v>
      </c>
      <c r="J342" s="20">
        <v>372</v>
      </c>
      <c r="K342" s="25">
        <f>$K$338*I342</f>
        <v>568044760</v>
      </c>
      <c r="L342" s="1030">
        <f>IFERROR(K342/J342,0)</f>
        <v>1527002.0430107526</v>
      </c>
      <c r="M342" s="91">
        <v>0</v>
      </c>
      <c r="N342" s="921">
        <f>ROUND(L342*M342,0)</f>
        <v>0</v>
      </c>
      <c r="O342" s="91">
        <v>0</v>
      </c>
      <c r="P342" s="921">
        <v>0</v>
      </c>
      <c r="Q342" s="91">
        <f t="shared" si="43"/>
        <v>0</v>
      </c>
      <c r="R342" s="921">
        <f t="shared" si="43"/>
        <v>0</v>
      </c>
      <c r="S342" s="501">
        <f>J342-M342</f>
        <v>372</v>
      </c>
      <c r="T342" s="380"/>
      <c r="U342" s="920"/>
      <c r="W342" s="598"/>
      <c r="Y342" s="734"/>
    </row>
    <row r="343" spans="2:27" s="22" customFormat="1" ht="30.6" customHeight="1" x14ac:dyDescent="0.3">
      <c r="B343" s="1692"/>
      <c r="C343" s="1652"/>
      <c r="D343" s="1688"/>
      <c r="E343" s="1685"/>
      <c r="F343" s="42">
        <v>409</v>
      </c>
      <c r="G343" s="39" t="s">
        <v>392</v>
      </c>
      <c r="H343" s="15" t="s">
        <v>188</v>
      </c>
      <c r="I343" s="16">
        <v>0.22800000000000001</v>
      </c>
      <c r="J343" s="17"/>
      <c r="K343" s="18">
        <f>I343*$E$315</f>
        <v>4098550800</v>
      </c>
      <c r="L343" s="1029"/>
      <c r="M343" s="95"/>
      <c r="N343" s="923"/>
      <c r="O343" s="95"/>
      <c r="P343" s="923"/>
      <c r="Q343" s="95"/>
      <c r="R343" s="923"/>
      <c r="S343" s="501">
        <f t="shared" si="42"/>
        <v>0</v>
      </c>
      <c r="T343" s="432"/>
      <c r="U343" s="920"/>
      <c r="W343" s="598"/>
      <c r="Y343" s="734"/>
    </row>
    <row r="344" spans="2:27" s="22" customFormat="1" ht="31.2" x14ac:dyDescent="0.3">
      <c r="B344" s="1692"/>
      <c r="C344" s="1652"/>
      <c r="D344" s="1688"/>
      <c r="E344" s="1685"/>
      <c r="F344" s="386" t="s">
        <v>32</v>
      </c>
      <c r="G344" s="38" t="s">
        <v>393</v>
      </c>
      <c r="H344" s="11" t="s">
        <v>340</v>
      </c>
      <c r="I344" s="13">
        <v>0.4</v>
      </c>
      <c r="J344" s="20">
        <v>1116</v>
      </c>
      <c r="K344" s="25">
        <f>$K$343*I344</f>
        <v>1639420320</v>
      </c>
      <c r="L344" s="1030">
        <f t="shared" si="28"/>
        <v>1469014.6236559139</v>
      </c>
      <c r="M344" s="91">
        <v>0</v>
      </c>
      <c r="N344" s="921">
        <f>ROUND(L344*M344,0)</f>
        <v>0</v>
      </c>
      <c r="O344" s="91">
        <v>0</v>
      </c>
      <c r="P344" s="921">
        <v>0</v>
      </c>
      <c r="Q344" s="91">
        <f t="shared" ref="Q344:R347" si="44">M344-O344</f>
        <v>0</v>
      </c>
      <c r="R344" s="921">
        <f t="shared" si="44"/>
        <v>0</v>
      </c>
      <c r="S344" s="501">
        <f t="shared" si="42"/>
        <v>1116</v>
      </c>
      <c r="T344" s="380"/>
      <c r="U344" s="920"/>
      <c r="W344" s="598"/>
      <c r="Y344" s="734"/>
      <c r="AA344" s="22" t="s">
        <v>346</v>
      </c>
    </row>
    <row r="345" spans="2:27" s="22" customFormat="1" ht="31.2" x14ac:dyDescent="0.3">
      <c r="B345" s="1692"/>
      <c r="C345" s="1652"/>
      <c r="D345" s="1688"/>
      <c r="E345" s="1685"/>
      <c r="F345" s="386" t="s">
        <v>34</v>
      </c>
      <c r="G345" s="38" t="s">
        <v>394</v>
      </c>
      <c r="H345" s="11" t="s">
        <v>340</v>
      </c>
      <c r="I345" s="13">
        <v>0.4</v>
      </c>
      <c r="J345" s="20">
        <v>372</v>
      </c>
      <c r="K345" s="25">
        <f>$K$343*I345</f>
        <v>1639420320</v>
      </c>
      <c r="L345" s="1030">
        <f t="shared" si="28"/>
        <v>4407043.8709677421</v>
      </c>
      <c r="M345" s="91">
        <v>0</v>
      </c>
      <c r="N345" s="921">
        <f>ROUND(L345*M345,0)</f>
        <v>0</v>
      </c>
      <c r="O345" s="91">
        <v>0</v>
      </c>
      <c r="P345" s="921">
        <v>0</v>
      </c>
      <c r="Q345" s="91">
        <f t="shared" si="44"/>
        <v>0</v>
      </c>
      <c r="R345" s="921">
        <f t="shared" si="44"/>
        <v>0</v>
      </c>
      <c r="S345" s="501">
        <f t="shared" si="42"/>
        <v>372</v>
      </c>
      <c r="T345" s="380"/>
      <c r="U345" s="920"/>
      <c r="W345" s="598"/>
      <c r="Y345" s="734"/>
    </row>
    <row r="346" spans="2:27" s="22" customFormat="1" ht="15.6" x14ac:dyDescent="0.3">
      <c r="B346" s="1692"/>
      <c r="C346" s="1652"/>
      <c r="D346" s="1688"/>
      <c r="E346" s="1685"/>
      <c r="F346" s="386" t="s">
        <v>37</v>
      </c>
      <c r="G346" s="38" t="s">
        <v>395</v>
      </c>
      <c r="H346" s="11" t="s">
        <v>340</v>
      </c>
      <c r="I346" s="13">
        <v>0.1</v>
      </c>
      <c r="J346" s="20">
        <v>1116</v>
      </c>
      <c r="K346" s="25">
        <f>$K$343*I346</f>
        <v>409855080</v>
      </c>
      <c r="L346" s="1030">
        <f t="shared" si="28"/>
        <v>367253.65591397847</v>
      </c>
      <c r="M346" s="91">
        <v>0</v>
      </c>
      <c r="N346" s="921">
        <f>ROUND(L346*M346,0)</f>
        <v>0</v>
      </c>
      <c r="O346" s="91">
        <v>0</v>
      </c>
      <c r="P346" s="921">
        <v>0</v>
      </c>
      <c r="Q346" s="91">
        <f t="shared" si="44"/>
        <v>0</v>
      </c>
      <c r="R346" s="921">
        <f t="shared" si="44"/>
        <v>0</v>
      </c>
      <c r="S346" s="501">
        <f t="shared" si="42"/>
        <v>1116</v>
      </c>
      <c r="T346" s="380"/>
      <c r="U346" s="920"/>
      <c r="W346" s="598"/>
      <c r="Y346" s="734"/>
    </row>
    <row r="347" spans="2:27" s="22" customFormat="1" ht="15.6" x14ac:dyDescent="0.3">
      <c r="B347" s="1692"/>
      <c r="C347" s="1652"/>
      <c r="D347" s="1688"/>
      <c r="E347" s="1685"/>
      <c r="F347" s="386" t="s">
        <v>39</v>
      </c>
      <c r="G347" s="38" t="s">
        <v>396</v>
      </c>
      <c r="H347" s="11" t="s">
        <v>397</v>
      </c>
      <c r="I347" s="13">
        <v>0.1</v>
      </c>
      <c r="J347" s="20">
        <v>6</v>
      </c>
      <c r="K347" s="25">
        <f>$K$343*I347</f>
        <v>409855080</v>
      </c>
      <c r="L347" s="1030">
        <f>IFERROR(K347/J347,0)</f>
        <v>68309180</v>
      </c>
      <c r="M347" s="91">
        <v>0</v>
      </c>
      <c r="N347" s="921">
        <f>ROUND(L347*M347,0)</f>
        <v>0</v>
      </c>
      <c r="O347" s="91">
        <v>0</v>
      </c>
      <c r="P347" s="921">
        <v>0</v>
      </c>
      <c r="Q347" s="91">
        <f t="shared" si="44"/>
        <v>0</v>
      </c>
      <c r="R347" s="921">
        <f t="shared" si="44"/>
        <v>0</v>
      </c>
      <c r="S347" s="501">
        <f>J347-M347</f>
        <v>6</v>
      </c>
      <c r="T347" s="380"/>
      <c r="U347" s="920"/>
      <c r="W347" s="598"/>
      <c r="Y347" s="734"/>
    </row>
    <row r="348" spans="2:27" s="22" customFormat="1" ht="31.2" x14ac:dyDescent="0.3">
      <c r="B348" s="1692"/>
      <c r="C348" s="1652"/>
      <c r="D348" s="1688"/>
      <c r="E348" s="1685"/>
      <c r="F348" s="42">
        <v>410</v>
      </c>
      <c r="G348" s="39" t="s">
        <v>398</v>
      </c>
      <c r="H348" s="15" t="s">
        <v>188</v>
      </c>
      <c r="I348" s="16">
        <v>6.0000000000000001E-3</v>
      </c>
      <c r="J348" s="17"/>
      <c r="K348" s="18">
        <f>I348*$E$315</f>
        <v>107856600</v>
      </c>
      <c r="L348" s="1029"/>
      <c r="M348" s="95"/>
      <c r="N348" s="923"/>
      <c r="O348" s="95"/>
      <c r="P348" s="923"/>
      <c r="Q348" s="95"/>
      <c r="R348" s="923"/>
      <c r="S348" s="501">
        <f t="shared" si="42"/>
        <v>0</v>
      </c>
      <c r="T348" s="432"/>
      <c r="U348" s="920"/>
      <c r="W348" s="598"/>
      <c r="Y348" s="734"/>
    </row>
    <row r="349" spans="2:27" s="22" customFormat="1" ht="15.6" x14ac:dyDescent="0.3">
      <c r="B349" s="1692"/>
      <c r="C349" s="1652"/>
      <c r="D349" s="1688"/>
      <c r="E349" s="1685"/>
      <c r="F349" s="386" t="s">
        <v>32</v>
      </c>
      <c r="G349" s="38" t="s">
        <v>399</v>
      </c>
      <c r="H349" s="11" t="s">
        <v>340</v>
      </c>
      <c r="I349" s="13">
        <v>0.15</v>
      </c>
      <c r="J349" s="20">
        <f>7*4</f>
        <v>28</v>
      </c>
      <c r="K349" s="25">
        <f t="shared" ref="K349:K355" si="45">$K$348*I349</f>
        <v>16178490</v>
      </c>
      <c r="L349" s="1030">
        <f t="shared" si="28"/>
        <v>577803.21428571432</v>
      </c>
      <c r="M349" s="91">
        <v>0</v>
      </c>
      <c r="N349" s="921">
        <f t="shared" ref="N349:N354" si="46">ROUND(L349*M349,0)</f>
        <v>0</v>
      </c>
      <c r="O349" s="91">
        <v>0</v>
      </c>
      <c r="P349" s="921">
        <v>0</v>
      </c>
      <c r="Q349" s="91">
        <f t="shared" ref="Q349:Q354" si="47">M349-O349</f>
        <v>0</v>
      </c>
      <c r="R349" s="921">
        <f t="shared" ref="R349:R355" si="48">N349-P349</f>
        <v>0</v>
      </c>
      <c r="S349" s="501">
        <f t="shared" si="42"/>
        <v>28</v>
      </c>
      <c r="T349" s="380"/>
      <c r="U349" s="920"/>
      <c r="W349" s="598"/>
      <c r="Y349" s="734"/>
    </row>
    <row r="350" spans="2:27" s="22" customFormat="1" ht="15.6" x14ac:dyDescent="0.3">
      <c r="B350" s="1692"/>
      <c r="C350" s="1652"/>
      <c r="D350" s="1688"/>
      <c r="E350" s="1685"/>
      <c r="F350" s="386" t="s">
        <v>34</v>
      </c>
      <c r="G350" s="38" t="s">
        <v>400</v>
      </c>
      <c r="H350" s="11" t="s">
        <v>340</v>
      </c>
      <c r="I350" s="13">
        <v>0.05</v>
      </c>
      <c r="J350" s="20">
        <f>J349</f>
        <v>28</v>
      </c>
      <c r="K350" s="25">
        <f t="shared" si="45"/>
        <v>5392830</v>
      </c>
      <c r="L350" s="1030">
        <f t="shared" si="28"/>
        <v>192601.07142857142</v>
      </c>
      <c r="M350" s="91">
        <v>0</v>
      </c>
      <c r="N350" s="921">
        <f t="shared" si="46"/>
        <v>0</v>
      </c>
      <c r="O350" s="91">
        <v>0</v>
      </c>
      <c r="P350" s="921">
        <v>0</v>
      </c>
      <c r="Q350" s="91">
        <f t="shared" si="47"/>
        <v>0</v>
      </c>
      <c r="R350" s="921">
        <f t="shared" si="48"/>
        <v>0</v>
      </c>
      <c r="S350" s="501">
        <f t="shared" si="42"/>
        <v>28</v>
      </c>
      <c r="T350" s="380"/>
      <c r="U350" s="920"/>
      <c r="W350" s="598"/>
      <c r="Y350" s="734"/>
    </row>
    <row r="351" spans="2:27" s="22" customFormat="1" ht="15.6" x14ac:dyDescent="0.3">
      <c r="B351" s="1692"/>
      <c r="C351" s="1652"/>
      <c r="D351" s="1688"/>
      <c r="E351" s="1685"/>
      <c r="F351" s="386" t="s">
        <v>37</v>
      </c>
      <c r="G351" s="38" t="s">
        <v>401</v>
      </c>
      <c r="H351" s="11" t="s">
        <v>340</v>
      </c>
      <c r="I351" s="13">
        <v>0.3</v>
      </c>
      <c r="J351" s="20">
        <v>7</v>
      </c>
      <c r="K351" s="25">
        <f t="shared" si="45"/>
        <v>32356980</v>
      </c>
      <c r="L351" s="1030">
        <f t="shared" si="28"/>
        <v>4622425.7142857146</v>
      </c>
      <c r="M351" s="91">
        <v>0</v>
      </c>
      <c r="N351" s="921">
        <f t="shared" si="46"/>
        <v>0</v>
      </c>
      <c r="O351" s="91">
        <v>0</v>
      </c>
      <c r="P351" s="921">
        <v>0</v>
      </c>
      <c r="Q351" s="91">
        <f t="shared" si="47"/>
        <v>0</v>
      </c>
      <c r="R351" s="921">
        <f t="shared" si="48"/>
        <v>0</v>
      </c>
      <c r="S351" s="501">
        <f t="shared" si="42"/>
        <v>7</v>
      </c>
      <c r="T351" s="380"/>
      <c r="U351" s="920"/>
      <c r="W351" s="598"/>
      <c r="Y351" s="734"/>
    </row>
    <row r="352" spans="2:27" s="22" customFormat="1" ht="15.6" x14ac:dyDescent="0.3">
      <c r="B352" s="1692"/>
      <c r="C352" s="1652"/>
      <c r="D352" s="1688"/>
      <c r="E352" s="1685"/>
      <c r="F352" s="386" t="s">
        <v>39</v>
      </c>
      <c r="G352" s="38" t="s">
        <v>402</v>
      </c>
      <c r="H352" s="11" t="s">
        <v>340</v>
      </c>
      <c r="I352" s="13">
        <v>0.1</v>
      </c>
      <c r="J352" s="20">
        <v>7</v>
      </c>
      <c r="K352" s="25">
        <f t="shared" si="45"/>
        <v>10785660</v>
      </c>
      <c r="L352" s="1030">
        <f t="shared" si="28"/>
        <v>1540808.5714285714</v>
      </c>
      <c r="M352" s="91">
        <v>0</v>
      </c>
      <c r="N352" s="921">
        <f t="shared" si="46"/>
        <v>0</v>
      </c>
      <c r="O352" s="91">
        <v>0</v>
      </c>
      <c r="P352" s="921">
        <v>0</v>
      </c>
      <c r="Q352" s="91">
        <f t="shared" si="47"/>
        <v>0</v>
      </c>
      <c r="R352" s="921">
        <f t="shared" si="48"/>
        <v>0</v>
      </c>
      <c r="S352" s="501">
        <f t="shared" si="42"/>
        <v>7</v>
      </c>
      <c r="T352" s="380"/>
      <c r="U352" s="920"/>
      <c r="W352" s="598"/>
      <c r="Y352" s="734"/>
    </row>
    <row r="353" spans="2:25" s="22" customFormat="1" ht="31.2" x14ac:dyDescent="0.3">
      <c r="B353" s="1692"/>
      <c r="C353" s="1652"/>
      <c r="D353" s="1688"/>
      <c r="E353" s="1685"/>
      <c r="F353" s="386" t="s">
        <v>41</v>
      </c>
      <c r="G353" s="38" t="s">
        <v>403</v>
      </c>
      <c r="H353" s="11" t="s">
        <v>324</v>
      </c>
      <c r="I353" s="13">
        <v>0.3</v>
      </c>
      <c r="J353" s="20">
        <v>24</v>
      </c>
      <c r="K353" s="21">
        <f t="shared" si="45"/>
        <v>32356980</v>
      </c>
      <c r="L353" s="1030">
        <f t="shared" si="28"/>
        <v>1348207.5</v>
      </c>
      <c r="M353" s="92"/>
      <c r="N353" s="924">
        <f t="shared" si="46"/>
        <v>0</v>
      </c>
      <c r="O353" s="92">
        <v>0</v>
      </c>
      <c r="P353" s="924">
        <v>0</v>
      </c>
      <c r="Q353" s="92">
        <f t="shared" si="47"/>
        <v>0</v>
      </c>
      <c r="R353" s="924">
        <f t="shared" si="48"/>
        <v>0</v>
      </c>
      <c r="S353" s="1147">
        <f t="shared" si="42"/>
        <v>24</v>
      </c>
      <c r="T353" s="1148"/>
      <c r="U353" s="1157"/>
      <c r="W353" s="1149"/>
      <c r="Y353" s="734"/>
    </row>
    <row r="354" spans="2:25" s="22" customFormat="1" ht="15.6" x14ac:dyDescent="0.3">
      <c r="B354" s="1692"/>
      <c r="C354" s="1652"/>
      <c r="D354" s="1688"/>
      <c r="E354" s="1685"/>
      <c r="F354" s="386" t="s">
        <v>84</v>
      </c>
      <c r="G354" s="38" t="s">
        <v>404</v>
      </c>
      <c r="H354" s="11" t="s">
        <v>324</v>
      </c>
      <c r="I354" s="13">
        <v>0.05</v>
      </c>
      <c r="J354" s="20">
        <v>24</v>
      </c>
      <c r="K354" s="25">
        <f t="shared" si="45"/>
        <v>5392830</v>
      </c>
      <c r="L354" s="1030">
        <f t="shared" ref="L354:L437" si="49">IFERROR(K354/J354,0)</f>
        <v>224701.25</v>
      </c>
      <c r="M354" s="91">
        <v>0</v>
      </c>
      <c r="N354" s="921">
        <f t="shared" si="46"/>
        <v>0</v>
      </c>
      <c r="O354" s="91">
        <v>0</v>
      </c>
      <c r="P354" s="921">
        <v>0</v>
      </c>
      <c r="Q354" s="91">
        <f t="shared" si="47"/>
        <v>0</v>
      </c>
      <c r="R354" s="921">
        <f t="shared" si="48"/>
        <v>0</v>
      </c>
      <c r="S354" s="501">
        <f t="shared" si="42"/>
        <v>24</v>
      </c>
      <c r="T354" s="380"/>
      <c r="U354" s="920"/>
      <c r="W354" s="598"/>
      <c r="Y354" s="734"/>
    </row>
    <row r="355" spans="2:25" s="22" customFormat="1" ht="15.6" x14ac:dyDescent="0.3">
      <c r="B355" s="1692"/>
      <c r="C355" s="1652"/>
      <c r="D355" s="1688"/>
      <c r="E355" s="1685"/>
      <c r="F355" s="386" t="s">
        <v>86</v>
      </c>
      <c r="G355" s="38" t="s">
        <v>405</v>
      </c>
      <c r="H355" s="11" t="s">
        <v>324</v>
      </c>
      <c r="I355" s="13">
        <v>0.05</v>
      </c>
      <c r="J355" s="20">
        <v>24</v>
      </c>
      <c r="K355" s="25">
        <f t="shared" si="45"/>
        <v>5392830</v>
      </c>
      <c r="L355" s="1030">
        <f>IFERROR(K355/J355,0)</f>
        <v>224701.25</v>
      </c>
      <c r="M355" s="91">
        <v>0</v>
      </c>
      <c r="N355" s="921">
        <f>ROUND(L355*M355,0)</f>
        <v>0</v>
      </c>
      <c r="O355" s="91">
        <v>0</v>
      </c>
      <c r="P355" s="921">
        <v>0</v>
      </c>
      <c r="Q355" s="91">
        <f>M355-O355</f>
        <v>0</v>
      </c>
      <c r="R355" s="921">
        <f t="shared" si="48"/>
        <v>0</v>
      </c>
      <c r="S355" s="501">
        <f t="shared" si="42"/>
        <v>24</v>
      </c>
      <c r="T355" s="380"/>
      <c r="U355" s="920"/>
      <c r="W355" s="598"/>
      <c r="Y355" s="734"/>
    </row>
    <row r="356" spans="2:25" s="22" customFormat="1" ht="15.6" x14ac:dyDescent="0.3">
      <c r="B356" s="1692"/>
      <c r="C356" s="1652"/>
      <c r="D356" s="1688"/>
      <c r="E356" s="1685"/>
      <c r="F356" s="42">
        <v>411</v>
      </c>
      <c r="G356" s="39" t="s">
        <v>406</v>
      </c>
      <c r="H356" s="15" t="s">
        <v>188</v>
      </c>
      <c r="I356" s="16">
        <v>7.0000000000000001E-3</v>
      </c>
      <c r="J356" s="17"/>
      <c r="K356" s="18">
        <f>I356*$E$315</f>
        <v>125832700</v>
      </c>
      <c r="L356" s="1029"/>
      <c r="M356" s="95"/>
      <c r="N356" s="923"/>
      <c r="O356" s="95"/>
      <c r="P356" s="923"/>
      <c r="Q356" s="95"/>
      <c r="R356" s="923"/>
      <c r="S356" s="501">
        <f t="shared" si="42"/>
        <v>0</v>
      </c>
      <c r="T356" s="432"/>
      <c r="U356" s="920"/>
      <c r="W356" s="598"/>
      <c r="Y356" s="734"/>
    </row>
    <row r="357" spans="2:25" s="22" customFormat="1" ht="15.6" x14ac:dyDescent="0.3">
      <c r="B357" s="1692"/>
      <c r="C357" s="1652"/>
      <c r="D357" s="1688"/>
      <c r="E357" s="1685"/>
      <c r="F357" s="386" t="s">
        <v>32</v>
      </c>
      <c r="G357" s="40" t="s">
        <v>407</v>
      </c>
      <c r="H357" s="11" t="s">
        <v>324</v>
      </c>
      <c r="I357" s="13">
        <v>0.7</v>
      </c>
      <c r="J357" s="20">
        <v>24</v>
      </c>
      <c r="K357" s="25">
        <f>$K$356*I357</f>
        <v>88082890</v>
      </c>
      <c r="L357" s="1030">
        <f t="shared" si="49"/>
        <v>3670120.4166666665</v>
      </c>
      <c r="M357" s="91">
        <v>0</v>
      </c>
      <c r="N357" s="921">
        <f>ROUND(L357*M357,0)</f>
        <v>0</v>
      </c>
      <c r="O357" s="91">
        <v>0</v>
      </c>
      <c r="P357" s="921">
        <v>0</v>
      </c>
      <c r="Q357" s="91">
        <f t="shared" ref="Q357:R359" si="50">M357-O357</f>
        <v>0</v>
      </c>
      <c r="R357" s="921">
        <f t="shared" si="50"/>
        <v>0</v>
      </c>
      <c r="S357" s="501">
        <f t="shared" si="42"/>
        <v>24</v>
      </c>
      <c r="T357" s="380"/>
      <c r="U357" s="920"/>
      <c r="W357" s="598"/>
      <c r="Y357" s="734"/>
    </row>
    <row r="358" spans="2:25" s="22" customFormat="1" ht="15.6" x14ac:dyDescent="0.3">
      <c r="B358" s="1692"/>
      <c r="C358" s="1652"/>
      <c r="D358" s="1688"/>
      <c r="E358" s="1685"/>
      <c r="F358" s="386" t="s">
        <v>34</v>
      </c>
      <c r="G358" s="40" t="s">
        <v>408</v>
      </c>
      <c r="H358" s="11" t="s">
        <v>324</v>
      </c>
      <c r="I358" s="13">
        <v>0.2</v>
      </c>
      <c r="J358" s="20">
        <v>24</v>
      </c>
      <c r="K358" s="25">
        <f>$K$356*I358</f>
        <v>25166540</v>
      </c>
      <c r="L358" s="1030">
        <f t="shared" si="49"/>
        <v>1048605.8333333333</v>
      </c>
      <c r="M358" s="91">
        <v>0</v>
      </c>
      <c r="N358" s="921">
        <f>ROUND(L358*M358,0)</f>
        <v>0</v>
      </c>
      <c r="O358" s="91">
        <v>0</v>
      </c>
      <c r="P358" s="921">
        <v>0</v>
      </c>
      <c r="Q358" s="91">
        <f t="shared" si="50"/>
        <v>0</v>
      </c>
      <c r="R358" s="921">
        <f t="shared" si="50"/>
        <v>0</v>
      </c>
      <c r="S358" s="501">
        <f t="shared" si="42"/>
        <v>24</v>
      </c>
      <c r="T358" s="380"/>
      <c r="U358" s="920"/>
      <c r="W358" s="598"/>
      <c r="Y358" s="734"/>
    </row>
    <row r="359" spans="2:25" s="22" customFormat="1" ht="15.6" x14ac:dyDescent="0.3">
      <c r="B359" s="1692"/>
      <c r="C359" s="1652"/>
      <c r="D359" s="1688"/>
      <c r="E359" s="1685"/>
      <c r="F359" s="386" t="s">
        <v>37</v>
      </c>
      <c r="G359" s="40" t="s">
        <v>409</v>
      </c>
      <c r="H359" s="11" t="s">
        <v>324</v>
      </c>
      <c r="I359" s="13">
        <v>0.1</v>
      </c>
      <c r="J359" s="20">
        <v>24</v>
      </c>
      <c r="K359" s="25">
        <f>$K$356*I359</f>
        <v>12583270</v>
      </c>
      <c r="L359" s="1030">
        <f>IFERROR(K359/J359,0)</f>
        <v>524302.91666666663</v>
      </c>
      <c r="M359" s="91">
        <v>0</v>
      </c>
      <c r="N359" s="921">
        <f>ROUND(L359*M359,0)</f>
        <v>0</v>
      </c>
      <c r="O359" s="91">
        <v>0</v>
      </c>
      <c r="P359" s="921">
        <v>0</v>
      </c>
      <c r="Q359" s="91">
        <f t="shared" si="50"/>
        <v>0</v>
      </c>
      <c r="R359" s="921">
        <f t="shared" si="50"/>
        <v>0</v>
      </c>
      <c r="S359" s="501">
        <f t="shared" si="42"/>
        <v>24</v>
      </c>
      <c r="T359" s="380"/>
      <c r="U359" s="920"/>
      <c r="W359" s="598"/>
      <c r="Y359" s="734"/>
    </row>
    <row r="360" spans="2:25" s="22" customFormat="1" ht="15.6" x14ac:dyDescent="0.3">
      <c r="B360" s="1692"/>
      <c r="C360" s="1652"/>
      <c r="D360" s="1688"/>
      <c r="E360" s="1685"/>
      <c r="F360" s="42">
        <v>412</v>
      </c>
      <c r="G360" s="39" t="s">
        <v>410</v>
      </c>
      <c r="H360" s="15" t="s">
        <v>188</v>
      </c>
      <c r="I360" s="16">
        <v>4.0000000000000001E-3</v>
      </c>
      <c r="J360" s="17"/>
      <c r="K360" s="18">
        <f>I360*$E$315</f>
        <v>71904400</v>
      </c>
      <c r="L360" s="1029"/>
      <c r="M360" s="95"/>
      <c r="N360" s="923"/>
      <c r="O360" s="95"/>
      <c r="P360" s="923"/>
      <c r="Q360" s="95"/>
      <c r="R360" s="923"/>
      <c r="S360" s="501">
        <f t="shared" si="42"/>
        <v>0</v>
      </c>
      <c r="T360" s="432"/>
      <c r="U360" s="920"/>
      <c r="W360" s="598"/>
      <c r="Y360" s="734"/>
    </row>
    <row r="361" spans="2:25" s="22" customFormat="1" ht="15.6" x14ac:dyDescent="0.3">
      <c r="B361" s="1692"/>
      <c r="C361" s="1652"/>
      <c r="D361" s="1688"/>
      <c r="E361" s="1685"/>
      <c r="F361" s="386" t="s">
        <v>32</v>
      </c>
      <c r="G361" s="38" t="s">
        <v>411</v>
      </c>
      <c r="H361" s="11" t="s">
        <v>324</v>
      </c>
      <c r="I361" s="13">
        <v>0.2</v>
      </c>
      <c r="J361" s="20">
        <v>24</v>
      </c>
      <c r="K361" s="25">
        <f>$K$360*I361</f>
        <v>14380880</v>
      </c>
      <c r="L361" s="1030">
        <f t="shared" si="49"/>
        <v>599203.33333333337</v>
      </c>
      <c r="M361" s="91">
        <v>0</v>
      </c>
      <c r="N361" s="921">
        <f>ROUND(L361*M361,0)</f>
        <v>0</v>
      </c>
      <c r="O361" s="91">
        <v>0</v>
      </c>
      <c r="P361" s="921">
        <v>0</v>
      </c>
      <c r="Q361" s="91">
        <f t="shared" ref="Q361:R363" si="51">M361-O361</f>
        <v>0</v>
      </c>
      <c r="R361" s="921">
        <f>N361-P361</f>
        <v>0</v>
      </c>
      <c r="S361" s="501">
        <f t="shared" si="42"/>
        <v>24</v>
      </c>
      <c r="T361" s="380"/>
      <c r="U361" s="920"/>
      <c r="W361" s="598"/>
      <c r="Y361" s="734"/>
    </row>
    <row r="362" spans="2:25" s="22" customFormat="1" ht="15.6" x14ac:dyDescent="0.3">
      <c r="B362" s="1692"/>
      <c r="C362" s="1652"/>
      <c r="D362" s="1688"/>
      <c r="E362" s="1685"/>
      <c r="F362" s="386" t="s">
        <v>34</v>
      </c>
      <c r="G362" s="38" t="s">
        <v>412</v>
      </c>
      <c r="H362" s="11" t="s">
        <v>324</v>
      </c>
      <c r="I362" s="13">
        <v>0.3</v>
      </c>
      <c r="J362" s="20">
        <v>24</v>
      </c>
      <c r="K362" s="25">
        <f>$K$360*I362</f>
        <v>21571320</v>
      </c>
      <c r="L362" s="1030">
        <f t="shared" si="49"/>
        <v>898805</v>
      </c>
      <c r="M362" s="91">
        <v>0</v>
      </c>
      <c r="N362" s="921">
        <f>ROUND(L362*M362,0)</f>
        <v>0</v>
      </c>
      <c r="O362" s="91">
        <v>0</v>
      </c>
      <c r="P362" s="921">
        <v>0</v>
      </c>
      <c r="Q362" s="91">
        <f t="shared" si="51"/>
        <v>0</v>
      </c>
      <c r="R362" s="921">
        <f t="shared" si="51"/>
        <v>0</v>
      </c>
      <c r="S362" s="501">
        <f t="shared" si="42"/>
        <v>24</v>
      </c>
      <c r="T362" s="380"/>
      <c r="U362" s="920"/>
      <c r="W362" s="598"/>
      <c r="Y362" s="734"/>
    </row>
    <row r="363" spans="2:25" s="22" customFormat="1" ht="15.6" x14ac:dyDescent="0.3">
      <c r="B363" s="1692"/>
      <c r="C363" s="1652"/>
      <c r="D363" s="1688"/>
      <c r="E363" s="1685"/>
      <c r="F363" s="386" t="s">
        <v>37</v>
      </c>
      <c r="G363" s="38" t="s">
        <v>413</v>
      </c>
      <c r="H363" s="11" t="s">
        <v>324</v>
      </c>
      <c r="I363" s="13">
        <v>0.5</v>
      </c>
      <c r="J363" s="20">
        <v>24</v>
      </c>
      <c r="K363" s="25">
        <f>$K$360*I363</f>
        <v>35952200</v>
      </c>
      <c r="L363" s="1030">
        <f>IFERROR(K363/J363,0)</f>
        <v>1498008.3333333333</v>
      </c>
      <c r="M363" s="91">
        <v>0</v>
      </c>
      <c r="N363" s="921">
        <f>ROUND(L363*M363,0)</f>
        <v>0</v>
      </c>
      <c r="O363" s="91">
        <v>0</v>
      </c>
      <c r="P363" s="921">
        <v>0</v>
      </c>
      <c r="Q363" s="91">
        <f>M363-O363</f>
        <v>0</v>
      </c>
      <c r="R363" s="921">
        <f t="shared" si="51"/>
        <v>0</v>
      </c>
      <c r="S363" s="501">
        <f t="shared" si="42"/>
        <v>24</v>
      </c>
      <c r="T363" s="380"/>
      <c r="U363" s="920"/>
      <c r="W363" s="598"/>
      <c r="Y363" s="734"/>
    </row>
    <row r="364" spans="2:25" s="22" customFormat="1" ht="15.6" x14ac:dyDescent="0.3">
      <c r="B364" s="1692"/>
      <c r="C364" s="1652"/>
      <c r="D364" s="1688"/>
      <c r="E364" s="1685"/>
      <c r="F364" s="42">
        <v>413</v>
      </c>
      <c r="G364" s="39" t="s">
        <v>414</v>
      </c>
      <c r="H364" s="15" t="s">
        <v>188</v>
      </c>
      <c r="I364" s="16">
        <v>3.0000000000000001E-3</v>
      </c>
      <c r="J364" s="17"/>
      <c r="K364" s="18">
        <f>I364*$E$315</f>
        <v>53928300</v>
      </c>
      <c r="L364" s="1029"/>
      <c r="M364" s="95"/>
      <c r="N364" s="923"/>
      <c r="O364" s="95"/>
      <c r="P364" s="923"/>
      <c r="Q364" s="95"/>
      <c r="R364" s="923"/>
      <c r="S364" s="501">
        <f t="shared" si="42"/>
        <v>0</v>
      </c>
      <c r="T364" s="432"/>
      <c r="U364" s="920"/>
      <c r="W364" s="598"/>
      <c r="Y364" s="734"/>
    </row>
    <row r="365" spans="2:25" s="22" customFormat="1" ht="15.6" x14ac:dyDescent="0.3">
      <c r="B365" s="1692"/>
      <c r="C365" s="1652"/>
      <c r="D365" s="1688"/>
      <c r="E365" s="1685"/>
      <c r="F365" s="386" t="s">
        <v>32</v>
      </c>
      <c r="G365" s="38" t="s">
        <v>415</v>
      </c>
      <c r="H365" s="11" t="s">
        <v>324</v>
      </c>
      <c r="I365" s="13">
        <v>0.8</v>
      </c>
      <c r="J365" s="20">
        <v>24</v>
      </c>
      <c r="K365" s="25">
        <f>$K$364*I365</f>
        <v>43142640</v>
      </c>
      <c r="L365" s="1030">
        <f t="shared" si="49"/>
        <v>1797610</v>
      </c>
      <c r="M365" s="91">
        <v>0</v>
      </c>
      <c r="N365" s="921">
        <f>ROUND(L365*M365,0)</f>
        <v>0</v>
      </c>
      <c r="O365" s="91">
        <v>0</v>
      </c>
      <c r="P365" s="921">
        <v>0</v>
      </c>
      <c r="Q365" s="91">
        <f t="shared" ref="Q365:R368" si="52">M365-O365</f>
        <v>0</v>
      </c>
      <c r="R365" s="921">
        <f t="shared" si="52"/>
        <v>0</v>
      </c>
      <c r="S365" s="501">
        <f t="shared" si="42"/>
        <v>24</v>
      </c>
      <c r="T365" s="380"/>
      <c r="U365" s="920"/>
      <c r="W365" s="598"/>
      <c r="Y365" s="734"/>
    </row>
    <row r="366" spans="2:25" s="22" customFormat="1" ht="15.6" x14ac:dyDescent="0.3">
      <c r="B366" s="1692"/>
      <c r="C366" s="1652"/>
      <c r="D366" s="1688"/>
      <c r="E366" s="1685"/>
      <c r="F366" s="386" t="s">
        <v>34</v>
      </c>
      <c r="G366" s="38" t="s">
        <v>416</v>
      </c>
      <c r="H366" s="11" t="s">
        <v>324</v>
      </c>
      <c r="I366" s="13">
        <v>0.1</v>
      </c>
      <c r="J366" s="20">
        <v>24</v>
      </c>
      <c r="K366" s="25">
        <f>$K$364*I366</f>
        <v>5392830</v>
      </c>
      <c r="L366" s="1030">
        <f t="shared" si="49"/>
        <v>224701.25</v>
      </c>
      <c r="M366" s="91">
        <v>0</v>
      </c>
      <c r="N366" s="921">
        <f>ROUND(L366*M366,0)</f>
        <v>0</v>
      </c>
      <c r="O366" s="91">
        <v>0</v>
      </c>
      <c r="P366" s="921">
        <v>0</v>
      </c>
      <c r="Q366" s="91">
        <f t="shared" si="52"/>
        <v>0</v>
      </c>
      <c r="R366" s="921">
        <f t="shared" si="52"/>
        <v>0</v>
      </c>
      <c r="S366" s="501">
        <f t="shared" si="42"/>
        <v>24</v>
      </c>
      <c r="T366" s="380"/>
      <c r="U366" s="920"/>
      <c r="W366" s="598"/>
      <c r="Y366" s="734"/>
    </row>
    <row r="367" spans="2:25" s="22" customFormat="1" ht="15.6" x14ac:dyDescent="0.3">
      <c r="B367" s="1692"/>
      <c r="C367" s="1652"/>
      <c r="D367" s="1688"/>
      <c r="E367" s="1685"/>
      <c r="F367" s="386" t="s">
        <v>37</v>
      </c>
      <c r="G367" s="38" t="s">
        <v>417</v>
      </c>
      <c r="H367" s="11" t="s">
        <v>324</v>
      </c>
      <c r="I367" s="13">
        <v>0.05</v>
      </c>
      <c r="J367" s="20">
        <v>24</v>
      </c>
      <c r="K367" s="25">
        <f>$K$364*I367</f>
        <v>2696415</v>
      </c>
      <c r="L367" s="1030">
        <f>IFERROR(K367/J367,0)</f>
        <v>112350.625</v>
      </c>
      <c r="M367" s="91">
        <v>0</v>
      </c>
      <c r="N367" s="921">
        <f>ROUND(L367*M367,0)</f>
        <v>0</v>
      </c>
      <c r="O367" s="91">
        <v>0</v>
      </c>
      <c r="P367" s="921">
        <v>0</v>
      </c>
      <c r="Q367" s="91">
        <f>M367-O367</f>
        <v>0</v>
      </c>
      <c r="R367" s="921">
        <f t="shared" si="52"/>
        <v>0</v>
      </c>
      <c r="S367" s="501">
        <f t="shared" si="42"/>
        <v>24</v>
      </c>
      <c r="T367" s="380"/>
      <c r="U367" s="920"/>
      <c r="W367" s="598"/>
      <c r="Y367" s="734"/>
    </row>
    <row r="368" spans="2:25" s="22" customFormat="1" ht="15.6" x14ac:dyDescent="0.3">
      <c r="B368" s="1692"/>
      <c r="C368" s="1652"/>
      <c r="D368" s="1688"/>
      <c r="E368" s="1685"/>
      <c r="F368" s="386" t="s">
        <v>39</v>
      </c>
      <c r="G368" s="38" t="s">
        <v>384</v>
      </c>
      <c r="H368" s="11" t="s">
        <v>324</v>
      </c>
      <c r="I368" s="13">
        <v>0.05</v>
      </c>
      <c r="J368" s="20">
        <v>24</v>
      </c>
      <c r="K368" s="25">
        <f>$K$364*I368</f>
        <v>2696415</v>
      </c>
      <c r="L368" s="1030">
        <f>IFERROR(K368/J368,0)</f>
        <v>112350.625</v>
      </c>
      <c r="M368" s="91">
        <v>0</v>
      </c>
      <c r="N368" s="921">
        <f>ROUND(L368*M368,0)</f>
        <v>0</v>
      </c>
      <c r="O368" s="91">
        <v>0</v>
      </c>
      <c r="P368" s="921">
        <v>0</v>
      </c>
      <c r="Q368" s="91">
        <f>M368-O368</f>
        <v>0</v>
      </c>
      <c r="R368" s="921">
        <f t="shared" si="52"/>
        <v>0</v>
      </c>
      <c r="S368" s="501">
        <f>J368-M368</f>
        <v>24</v>
      </c>
      <c r="T368" s="380"/>
      <c r="U368" s="920"/>
      <c r="W368" s="598"/>
      <c r="Y368" s="734"/>
    </row>
    <row r="369" spans="2:25" s="22" customFormat="1" ht="31.2" x14ac:dyDescent="0.3">
      <c r="B369" s="1692"/>
      <c r="C369" s="1652"/>
      <c r="D369" s="1688"/>
      <c r="E369" s="1685"/>
      <c r="F369" s="42">
        <v>414</v>
      </c>
      <c r="G369" s="39" t="s">
        <v>418</v>
      </c>
      <c r="H369" s="15" t="s">
        <v>188</v>
      </c>
      <c r="I369" s="16">
        <v>6.0000000000000001E-3</v>
      </c>
      <c r="J369" s="17"/>
      <c r="K369" s="18">
        <f>I369*$E$315</f>
        <v>107856600</v>
      </c>
      <c r="L369" s="1029"/>
      <c r="M369" s="95"/>
      <c r="N369" s="923"/>
      <c r="O369" s="95"/>
      <c r="P369" s="923"/>
      <c r="Q369" s="95"/>
      <c r="R369" s="923"/>
      <c r="S369" s="501">
        <f t="shared" si="42"/>
        <v>0</v>
      </c>
      <c r="T369" s="432"/>
      <c r="U369" s="920"/>
      <c r="W369" s="598"/>
      <c r="Y369" s="734"/>
    </row>
    <row r="370" spans="2:25" s="22" customFormat="1" ht="15.6" x14ac:dyDescent="0.3">
      <c r="B370" s="1692"/>
      <c r="C370" s="1652"/>
      <c r="D370" s="1688"/>
      <c r="E370" s="1685"/>
      <c r="F370" s="386" t="s">
        <v>32</v>
      </c>
      <c r="G370" s="38" t="s">
        <v>295</v>
      </c>
      <c r="H370" s="11" t="s">
        <v>324</v>
      </c>
      <c r="I370" s="13">
        <v>0.4</v>
      </c>
      <c r="J370" s="20">
        <v>24</v>
      </c>
      <c r="K370" s="25">
        <f>$K$369*I370</f>
        <v>43142640</v>
      </c>
      <c r="L370" s="1030">
        <f t="shared" si="49"/>
        <v>1797610</v>
      </c>
      <c r="M370" s="91">
        <v>0</v>
      </c>
      <c r="N370" s="921">
        <f>ROUND(L370*M370,0)</f>
        <v>0</v>
      </c>
      <c r="O370" s="91">
        <v>0</v>
      </c>
      <c r="P370" s="921">
        <v>0</v>
      </c>
      <c r="Q370" s="91">
        <f t="shared" ref="Q370:R372" si="53">M370-O370</f>
        <v>0</v>
      </c>
      <c r="R370" s="921">
        <f t="shared" si="53"/>
        <v>0</v>
      </c>
      <c r="S370" s="501">
        <f t="shared" si="42"/>
        <v>24</v>
      </c>
      <c r="T370" s="380"/>
      <c r="U370" s="920"/>
      <c r="W370" s="598"/>
      <c r="Y370" s="734"/>
    </row>
    <row r="371" spans="2:25" s="22" customFormat="1" ht="15.6" x14ac:dyDescent="0.3">
      <c r="B371" s="1692"/>
      <c r="C371" s="1652"/>
      <c r="D371" s="1688"/>
      <c r="E371" s="1685"/>
      <c r="F371" s="386" t="s">
        <v>34</v>
      </c>
      <c r="G371" s="38" t="s">
        <v>297</v>
      </c>
      <c r="H371" s="11" t="s">
        <v>324</v>
      </c>
      <c r="I371" s="13">
        <v>0.5</v>
      </c>
      <c r="J371" s="20">
        <v>24</v>
      </c>
      <c r="K371" s="25">
        <f>$K$369*I371</f>
        <v>53928300</v>
      </c>
      <c r="L371" s="1030">
        <f>IFERROR(K371/J371,0)</f>
        <v>2247012.5</v>
      </c>
      <c r="M371" s="91">
        <v>0</v>
      </c>
      <c r="N371" s="921">
        <f>ROUND(L371*M371,0)</f>
        <v>0</v>
      </c>
      <c r="O371" s="91">
        <v>0</v>
      </c>
      <c r="P371" s="921">
        <v>0</v>
      </c>
      <c r="Q371" s="91">
        <f>M371-O371</f>
        <v>0</v>
      </c>
      <c r="R371" s="921">
        <f t="shared" si="53"/>
        <v>0</v>
      </c>
      <c r="S371" s="501">
        <f t="shared" si="42"/>
        <v>24</v>
      </c>
      <c r="T371" s="380"/>
      <c r="U371" s="920"/>
      <c r="W371" s="598"/>
      <c r="Y371" s="734"/>
    </row>
    <row r="372" spans="2:25" s="22" customFormat="1" ht="15.6" x14ac:dyDescent="0.3">
      <c r="B372" s="1692"/>
      <c r="C372" s="1652"/>
      <c r="D372" s="1688"/>
      <c r="E372" s="1685"/>
      <c r="F372" s="386" t="s">
        <v>37</v>
      </c>
      <c r="G372" s="38" t="s">
        <v>419</v>
      </c>
      <c r="H372" s="11" t="s">
        <v>324</v>
      </c>
      <c r="I372" s="13">
        <v>0.1</v>
      </c>
      <c r="J372" s="20">
        <v>24</v>
      </c>
      <c r="K372" s="25">
        <f>$K$369*I372</f>
        <v>10785660</v>
      </c>
      <c r="L372" s="1030">
        <f>IFERROR(K372/J372,0)</f>
        <v>449402.5</v>
      </c>
      <c r="M372" s="91">
        <v>0</v>
      </c>
      <c r="N372" s="921">
        <f>ROUND(L372*M372,0)</f>
        <v>0</v>
      </c>
      <c r="O372" s="91">
        <v>0</v>
      </c>
      <c r="P372" s="921">
        <v>0</v>
      </c>
      <c r="Q372" s="91">
        <f>M372-O372</f>
        <v>0</v>
      </c>
      <c r="R372" s="921">
        <f t="shared" si="53"/>
        <v>0</v>
      </c>
      <c r="S372" s="501">
        <f t="shared" si="42"/>
        <v>24</v>
      </c>
      <c r="T372" s="380"/>
      <c r="U372" s="920"/>
      <c r="W372" s="598"/>
      <c r="Y372" s="734"/>
    </row>
    <row r="373" spans="2:25" s="22" customFormat="1" ht="15.6" x14ac:dyDescent="0.3">
      <c r="B373" s="1692"/>
      <c r="C373" s="1652"/>
      <c r="D373" s="1688"/>
      <c r="E373" s="1685"/>
      <c r="F373" s="42">
        <v>415</v>
      </c>
      <c r="G373" s="39" t="s">
        <v>420</v>
      </c>
      <c r="H373" s="15" t="s">
        <v>188</v>
      </c>
      <c r="I373" s="16">
        <v>1.7000000000000001E-2</v>
      </c>
      <c r="J373" s="17"/>
      <c r="K373" s="18">
        <f>I373*$E$315</f>
        <v>305593700</v>
      </c>
      <c r="L373" s="1029"/>
      <c r="M373" s="95"/>
      <c r="N373" s="923"/>
      <c r="O373" s="95"/>
      <c r="P373" s="923"/>
      <c r="Q373" s="95"/>
      <c r="R373" s="923"/>
      <c r="S373" s="501">
        <f t="shared" si="42"/>
        <v>0</v>
      </c>
      <c r="T373" s="432"/>
      <c r="U373" s="920"/>
      <c r="W373" s="598"/>
      <c r="Y373" s="734"/>
    </row>
    <row r="374" spans="2:25" s="22" customFormat="1" ht="15.6" x14ac:dyDescent="0.3">
      <c r="B374" s="1692"/>
      <c r="C374" s="1652"/>
      <c r="D374" s="1688"/>
      <c r="E374" s="1685"/>
      <c r="F374" s="388" t="s">
        <v>32</v>
      </c>
      <c r="G374" s="44" t="s">
        <v>421</v>
      </c>
      <c r="H374" s="45" t="s">
        <v>324</v>
      </c>
      <c r="I374" s="46">
        <v>0.4</v>
      </c>
      <c r="J374" s="47">
        <v>24</v>
      </c>
      <c r="K374" s="25">
        <f>$K$373*I374</f>
        <v>122237480</v>
      </c>
      <c r="L374" s="1030">
        <f>IFERROR(K374/J374,0)</f>
        <v>5093228.333333333</v>
      </c>
      <c r="M374" s="91">
        <v>0</v>
      </c>
      <c r="N374" s="921">
        <f>ROUND(L374*M374,0)</f>
        <v>0</v>
      </c>
      <c r="O374" s="91">
        <v>0</v>
      </c>
      <c r="P374" s="921">
        <v>0</v>
      </c>
      <c r="Q374" s="91">
        <f>M374-O374</f>
        <v>0</v>
      </c>
      <c r="R374" s="921">
        <f>N374-P374</f>
        <v>0</v>
      </c>
      <c r="S374" s="501">
        <f t="shared" si="42"/>
        <v>24</v>
      </c>
      <c r="T374" s="380"/>
      <c r="U374" s="920"/>
      <c r="W374" s="598"/>
      <c r="Y374" s="734"/>
    </row>
    <row r="375" spans="2:25" s="22" customFormat="1" ht="15.6" x14ac:dyDescent="0.3">
      <c r="B375" s="1693"/>
      <c r="C375" s="1690"/>
      <c r="D375" s="1689"/>
      <c r="E375" s="1686"/>
      <c r="F375" s="388" t="s">
        <v>34</v>
      </c>
      <c r="G375" s="44" t="s">
        <v>420</v>
      </c>
      <c r="H375" s="45" t="s">
        <v>324</v>
      </c>
      <c r="I375" s="46">
        <v>0.6</v>
      </c>
      <c r="J375" s="47">
        <v>24</v>
      </c>
      <c r="K375" s="25">
        <f>$K$373*I375</f>
        <v>183356220</v>
      </c>
      <c r="L375" s="1030">
        <f t="shared" si="49"/>
        <v>7639842.5</v>
      </c>
      <c r="M375" s="91">
        <v>0</v>
      </c>
      <c r="N375" s="921">
        <f>ROUND(L375*M375,0)</f>
        <v>0</v>
      </c>
      <c r="O375" s="91">
        <v>0</v>
      </c>
      <c r="P375" s="921">
        <v>0</v>
      </c>
      <c r="Q375" s="91">
        <f>M375-O375</f>
        <v>0</v>
      </c>
      <c r="R375" s="921">
        <f>N375-P375</f>
        <v>0</v>
      </c>
      <c r="S375" s="501">
        <f t="shared" si="42"/>
        <v>24</v>
      </c>
      <c r="T375" s="380"/>
      <c r="U375" s="920"/>
      <c r="W375" s="598"/>
      <c r="Y375" s="734"/>
    </row>
    <row r="376" spans="2:25" s="97" customFormat="1" ht="15.6" x14ac:dyDescent="0.3">
      <c r="B376" s="211" t="s">
        <v>156</v>
      </c>
      <c r="C376" s="212"/>
      <c r="D376" s="212"/>
      <c r="E376" s="212"/>
      <c r="F376" s="213"/>
      <c r="G376" s="103"/>
      <c r="H376" s="214"/>
      <c r="I376" s="215"/>
      <c r="J376" s="216"/>
      <c r="K376" s="217"/>
      <c r="L376" s="1027"/>
      <c r="M376" s="218"/>
      <c r="N376" s="927">
        <f>SUM(N316:N375)</f>
        <v>14231152805</v>
      </c>
      <c r="O376" s="218"/>
      <c r="P376" s="927">
        <f>SUM(P316:P375)</f>
        <v>6996789931</v>
      </c>
      <c r="Q376" s="218"/>
      <c r="R376" s="927">
        <f>SUM(R316:R375)</f>
        <v>7234362874</v>
      </c>
      <c r="S376" s="501">
        <f t="shared" si="42"/>
        <v>0</v>
      </c>
      <c r="T376" s="438"/>
      <c r="U376" s="439"/>
      <c r="W376" s="1008"/>
      <c r="Y376" s="734"/>
    </row>
    <row r="377" spans="2:25" s="22" customFormat="1" ht="7.5" customHeight="1" x14ac:dyDescent="0.3">
      <c r="B377" s="2"/>
      <c r="C377" s="152"/>
      <c r="D377" s="194"/>
      <c r="E377" s="3"/>
      <c r="F377" s="195"/>
      <c r="G377" s="4"/>
      <c r="H377" s="196"/>
      <c r="I377" s="197"/>
      <c r="J377" s="198"/>
      <c r="K377" s="199"/>
      <c r="L377" s="1022"/>
      <c r="M377" s="200"/>
      <c r="N377" s="928"/>
      <c r="O377" s="200"/>
      <c r="P377" s="928"/>
      <c r="Q377" s="200"/>
      <c r="R377" s="929"/>
      <c r="S377" s="501">
        <f t="shared" si="42"/>
        <v>0</v>
      </c>
      <c r="T377" s="440"/>
      <c r="U377" s="441"/>
      <c r="W377" s="598"/>
      <c r="Y377" s="734"/>
    </row>
    <row r="378" spans="2:25" s="22" customFormat="1" ht="15.6" x14ac:dyDescent="0.3">
      <c r="B378" s="1636" t="s">
        <v>157</v>
      </c>
      <c r="C378" s="1639" t="s">
        <v>158</v>
      </c>
      <c r="D378" s="1642">
        <v>0.14499999999999999</v>
      </c>
      <c r="E378" s="1644">
        <f>D378*(26885400000-55400000)</f>
        <v>3890349999.9999995</v>
      </c>
      <c r="F378" s="26">
        <v>501</v>
      </c>
      <c r="G378" s="6" t="s">
        <v>371</v>
      </c>
      <c r="H378" s="27" t="s">
        <v>188</v>
      </c>
      <c r="I378" s="28">
        <v>0.495</v>
      </c>
      <c r="J378" s="29"/>
      <c r="K378" s="30">
        <f>I378*$E$378</f>
        <v>1925723249.9999998</v>
      </c>
      <c r="L378" s="1028"/>
      <c r="M378" s="94"/>
      <c r="N378" s="922"/>
      <c r="O378" s="94"/>
      <c r="P378" s="922"/>
      <c r="Q378" s="94"/>
      <c r="R378" s="922"/>
      <c r="S378" s="501">
        <f t="shared" si="42"/>
        <v>0</v>
      </c>
      <c r="T378" s="435"/>
      <c r="U378" s="436"/>
      <c r="W378" s="598"/>
      <c r="Y378" s="734"/>
    </row>
    <row r="379" spans="2:25" s="22" customFormat="1" ht="15.6" x14ac:dyDescent="0.3">
      <c r="B379" s="1637"/>
      <c r="C379" s="1640"/>
      <c r="D379" s="1643"/>
      <c r="E379" s="1645"/>
      <c r="F379" s="278" t="s">
        <v>32</v>
      </c>
      <c r="G379" s="10" t="s">
        <v>422</v>
      </c>
      <c r="H379" s="21"/>
      <c r="I379" s="21"/>
      <c r="J379" s="21"/>
      <c r="K379" s="21"/>
      <c r="L379" s="1030"/>
      <c r="M379" s="256"/>
      <c r="N379" s="924"/>
      <c r="O379" s="256"/>
      <c r="P379" s="924"/>
      <c r="Q379" s="256"/>
      <c r="R379" s="924"/>
      <c r="S379" s="501">
        <f t="shared" si="42"/>
        <v>0</v>
      </c>
      <c r="T379" s="442"/>
      <c r="U379" s="442"/>
      <c r="W379" s="598"/>
      <c r="Y379" s="734"/>
    </row>
    <row r="380" spans="2:25" s="22" customFormat="1" ht="15.6" x14ac:dyDescent="0.3">
      <c r="B380" s="1637"/>
      <c r="C380" s="1640"/>
      <c r="D380" s="1643"/>
      <c r="E380" s="1645"/>
      <c r="F380" s="19">
        <v>1</v>
      </c>
      <c r="G380" s="9" t="s">
        <v>423</v>
      </c>
      <c r="H380" s="11" t="s">
        <v>340</v>
      </c>
      <c r="I380" s="13">
        <v>0.45</v>
      </c>
      <c r="J380" s="20">
        <v>236</v>
      </c>
      <c r="K380" s="21">
        <f>I380*$K$378</f>
        <v>866575462.49999988</v>
      </c>
      <c r="L380" s="1030">
        <f t="shared" si="49"/>
        <v>3671929.9258474573</v>
      </c>
      <c r="M380" s="92">
        <f>'Schedule 5'!$F$246</f>
        <v>236</v>
      </c>
      <c r="N380" s="921">
        <f>ROUND(L380*M380,0)</f>
        <v>866575463</v>
      </c>
      <c r="O380" s="91">
        <f>'Schedule 5'!$F$247</f>
        <v>236</v>
      </c>
      <c r="P380" s="921">
        <v>866575463</v>
      </c>
      <c r="Q380" s="91">
        <f>M380-O380</f>
        <v>0</v>
      </c>
      <c r="R380" s="924">
        <f>N380-P380</f>
        <v>0</v>
      </c>
      <c r="S380" s="501">
        <f t="shared" si="42"/>
        <v>0</v>
      </c>
      <c r="T380" s="433"/>
      <c r="U380" s="434"/>
      <c r="V380" s="394"/>
      <c r="W380" s="598"/>
      <c r="X380" s="394"/>
      <c r="Y380" s="734"/>
    </row>
    <row r="381" spans="2:25" s="22" customFormat="1" ht="15.6" x14ac:dyDescent="0.3">
      <c r="B381" s="1637"/>
      <c r="C381" s="1640"/>
      <c r="D381" s="1643"/>
      <c r="E381" s="1645"/>
      <c r="F381" s="19">
        <v>2</v>
      </c>
      <c r="G381" s="9" t="s">
        <v>424</v>
      </c>
      <c r="H381" s="11" t="s">
        <v>340</v>
      </c>
      <c r="I381" s="13">
        <v>0.05</v>
      </c>
      <c r="J381" s="20">
        <f>(4+22)*2</f>
        <v>52</v>
      </c>
      <c r="K381" s="21">
        <f>I381*$K$378</f>
        <v>96286162.5</v>
      </c>
      <c r="L381" s="1030">
        <f t="shared" si="49"/>
        <v>1851656.9711538462</v>
      </c>
      <c r="M381" s="92">
        <f>'Schedule 5'!$F$303</f>
        <v>52</v>
      </c>
      <c r="N381" s="921">
        <f>ROUND(L381*M381,0)</f>
        <v>96286163</v>
      </c>
      <c r="O381" s="91">
        <f>'Schedule 5'!$F$304</f>
        <v>52</v>
      </c>
      <c r="P381" s="921">
        <v>96286163</v>
      </c>
      <c r="Q381" s="91">
        <f>M381-O381</f>
        <v>0</v>
      </c>
      <c r="R381" s="924">
        <f t="shared" ref="R381:R458" si="54">N381-P381</f>
        <v>0</v>
      </c>
      <c r="S381" s="501">
        <f t="shared" si="42"/>
        <v>0</v>
      </c>
      <c r="T381" s="433"/>
      <c r="U381" s="434"/>
      <c r="W381" s="598"/>
      <c r="X381" s="394"/>
      <c r="Y381" s="734"/>
    </row>
    <row r="382" spans="2:25" s="22" customFormat="1" ht="15.6" x14ac:dyDescent="0.3">
      <c r="B382" s="1637"/>
      <c r="C382" s="1640"/>
      <c r="D382" s="1643"/>
      <c r="E382" s="1645"/>
      <c r="F382" s="278" t="s">
        <v>34</v>
      </c>
      <c r="G382" s="10" t="s">
        <v>425</v>
      </c>
      <c r="H382" s="21"/>
      <c r="I382" s="21"/>
      <c r="J382" s="21"/>
      <c r="K382" s="21"/>
      <c r="L382" s="1030"/>
      <c r="M382" s="91"/>
      <c r="N382" s="921"/>
      <c r="O382" s="91"/>
      <c r="P382" s="921"/>
      <c r="Q382" s="91"/>
      <c r="R382" s="921"/>
      <c r="S382" s="501">
        <f t="shared" si="42"/>
        <v>0</v>
      </c>
      <c r="T382" s="433"/>
      <c r="U382" s="434"/>
      <c r="W382" s="598"/>
      <c r="X382" s="394"/>
      <c r="Y382" s="734"/>
    </row>
    <row r="383" spans="2:25" s="22" customFormat="1" ht="15.6" x14ac:dyDescent="0.3">
      <c r="B383" s="1637"/>
      <c r="C383" s="1640"/>
      <c r="D383" s="1643"/>
      <c r="E383" s="1645"/>
      <c r="F383" s="19">
        <v>1</v>
      </c>
      <c r="G383" s="9" t="s">
        <v>423</v>
      </c>
      <c r="H383" s="11" t="s">
        <v>340</v>
      </c>
      <c r="I383" s="13">
        <v>0.35</v>
      </c>
      <c r="J383" s="20">
        <v>194</v>
      </c>
      <c r="K383" s="21">
        <f>I383*$K$378</f>
        <v>674003137.49999988</v>
      </c>
      <c r="L383" s="1030">
        <f>IFERROR(K383/J383,0)</f>
        <v>3474242.9768041233</v>
      </c>
      <c r="M383" s="92">
        <f>'Schedule 5'!F502</f>
        <v>194</v>
      </c>
      <c r="N383" s="924">
        <f>ROUND(L383*M383,0)</f>
        <v>674003138</v>
      </c>
      <c r="O383" s="92">
        <f>'Schedule 5'!F503</f>
        <v>194</v>
      </c>
      <c r="P383" s="924">
        <v>674003138</v>
      </c>
      <c r="Q383" s="92">
        <f>M383-O383</f>
        <v>0</v>
      </c>
      <c r="R383" s="924">
        <f>N383-P383</f>
        <v>0</v>
      </c>
      <c r="S383" s="501">
        <f t="shared" si="42"/>
        <v>0</v>
      </c>
      <c r="T383" s="433"/>
      <c r="U383" s="434"/>
      <c r="W383" s="598"/>
      <c r="X383" s="394"/>
      <c r="Y383" s="734"/>
    </row>
    <row r="384" spans="2:25" s="22" customFormat="1" ht="15.6" x14ac:dyDescent="0.3">
      <c r="B384" s="1637"/>
      <c r="C384" s="1640"/>
      <c r="D384" s="1643"/>
      <c r="E384" s="1645"/>
      <c r="F384" s="19">
        <v>2</v>
      </c>
      <c r="G384" s="9" t="s">
        <v>426</v>
      </c>
      <c r="H384" s="11" t="s">
        <v>320</v>
      </c>
      <c r="I384" s="13">
        <v>0.115</v>
      </c>
      <c r="J384" s="20">
        <f>50.55*2</f>
        <v>101.1</v>
      </c>
      <c r="K384" s="21">
        <f>I384*$K$378</f>
        <v>221458173.74999997</v>
      </c>
      <c r="L384" s="1030">
        <f>IFERROR(K384/J384,0)</f>
        <v>2190486.3872403558</v>
      </c>
      <c r="M384" s="92">
        <f>'Schedule 5'!$F$545</f>
        <v>99.25</v>
      </c>
      <c r="N384" s="924">
        <f>ROUND(L384*M384,0)</f>
        <v>217405774</v>
      </c>
      <c r="O384" s="92">
        <f>'Schedule 5'!$F$546</f>
        <v>98.2</v>
      </c>
      <c r="P384" s="924">
        <v>215105763</v>
      </c>
      <c r="Q384" s="92">
        <f>M384-O384</f>
        <v>1.0499999999999972</v>
      </c>
      <c r="R384" s="924">
        <f>N384-P384</f>
        <v>2300011</v>
      </c>
      <c r="S384" s="1147">
        <f t="shared" si="42"/>
        <v>1.8499999999999943</v>
      </c>
      <c r="T384" s="1150"/>
      <c r="U384" s="1151"/>
      <c r="V384" s="1149"/>
      <c r="W384" s="1149"/>
      <c r="X384" s="1158"/>
      <c r="Y384" s="734"/>
    </row>
    <row r="385" spans="2:25" s="22" customFormat="1" ht="15.6" x14ac:dyDescent="0.3">
      <c r="B385" s="1637"/>
      <c r="C385" s="1640"/>
      <c r="D385" s="1643"/>
      <c r="E385" s="1645"/>
      <c r="F385" s="19">
        <v>3</v>
      </c>
      <c r="G385" s="9" t="s">
        <v>424</v>
      </c>
      <c r="H385" s="11" t="s">
        <v>340</v>
      </c>
      <c r="I385" s="13">
        <v>2.5000000000000001E-2</v>
      </c>
      <c r="J385" s="20">
        <f>(4+6+4)*2</f>
        <v>28</v>
      </c>
      <c r="K385" s="21">
        <f>I385*$K$378</f>
        <v>48143081.25</v>
      </c>
      <c r="L385" s="1030">
        <f t="shared" si="49"/>
        <v>1719395.7589285714</v>
      </c>
      <c r="M385" s="92">
        <f>'Schedule 5'!$F$576</f>
        <v>26</v>
      </c>
      <c r="N385" s="924">
        <f>ROUND(L385*M385,0)</f>
        <v>44704290</v>
      </c>
      <c r="O385" s="92">
        <f>'Schedule 5'!$F$577</f>
        <v>25</v>
      </c>
      <c r="P385" s="924">
        <v>42984894</v>
      </c>
      <c r="Q385" s="92">
        <f>M385-O385</f>
        <v>1</v>
      </c>
      <c r="R385" s="924">
        <f t="shared" si="54"/>
        <v>1719396</v>
      </c>
      <c r="S385" s="1147">
        <f t="shared" si="42"/>
        <v>2</v>
      </c>
      <c r="T385" s="1150"/>
      <c r="U385" s="1151"/>
      <c r="V385" s="1149"/>
      <c r="W385" s="1149"/>
      <c r="X385" s="394"/>
      <c r="Y385" s="734"/>
    </row>
    <row r="386" spans="2:25" s="22" customFormat="1" ht="15.6" x14ac:dyDescent="0.3">
      <c r="B386" s="1637"/>
      <c r="C386" s="1640"/>
      <c r="D386" s="1643"/>
      <c r="E386" s="1645"/>
      <c r="F386" s="19">
        <v>4</v>
      </c>
      <c r="G386" s="9" t="s">
        <v>427</v>
      </c>
      <c r="H386" s="11" t="s">
        <v>340</v>
      </c>
      <c r="I386" s="13">
        <v>0.01</v>
      </c>
      <c r="J386" s="20">
        <v>2</v>
      </c>
      <c r="K386" s="21">
        <f>I386*$K$378</f>
        <v>19257232.499999996</v>
      </c>
      <c r="L386" s="1030">
        <f t="shared" si="49"/>
        <v>9628616.2499999981</v>
      </c>
      <c r="M386" s="91">
        <v>0</v>
      </c>
      <c r="N386" s="921">
        <f>ROUND(L386*M386,0)</f>
        <v>0</v>
      </c>
      <c r="O386" s="91">
        <v>0</v>
      </c>
      <c r="P386" s="921">
        <v>0</v>
      </c>
      <c r="Q386" s="91">
        <f>M386-O386</f>
        <v>0</v>
      </c>
      <c r="R386" s="921">
        <f t="shared" si="54"/>
        <v>0</v>
      </c>
      <c r="S386" s="501">
        <f t="shared" si="42"/>
        <v>2</v>
      </c>
      <c r="T386" s="433"/>
      <c r="U386" s="434"/>
      <c r="W386" s="598"/>
      <c r="Y386" s="734"/>
    </row>
    <row r="387" spans="2:25" s="22" customFormat="1" ht="31.2" x14ac:dyDescent="0.3">
      <c r="B387" s="1638"/>
      <c r="C387" s="1641"/>
      <c r="D387" s="1643"/>
      <c r="E387" s="1645"/>
      <c r="F387" s="220" t="s">
        <v>428</v>
      </c>
      <c r="G387" s="8" t="s">
        <v>429</v>
      </c>
      <c r="H387" s="15" t="s">
        <v>188</v>
      </c>
      <c r="I387" s="16">
        <f>6%+6.1%</f>
        <v>0.121</v>
      </c>
      <c r="J387" s="17"/>
      <c r="K387" s="18">
        <f>I387*$E$378</f>
        <v>470732349.99999994</v>
      </c>
      <c r="L387" s="1029"/>
      <c r="M387" s="95"/>
      <c r="N387" s="923"/>
      <c r="O387" s="95"/>
      <c r="P387" s="923"/>
      <c r="Q387" s="95"/>
      <c r="R387" s="923"/>
      <c r="S387" s="501">
        <f t="shared" si="42"/>
        <v>0</v>
      </c>
      <c r="T387" s="435"/>
      <c r="U387" s="436"/>
      <c r="W387" s="598"/>
      <c r="Y387" s="734"/>
    </row>
    <row r="388" spans="2:25" s="22" customFormat="1" ht="15.6" x14ac:dyDescent="0.3">
      <c r="B388" s="1637"/>
      <c r="C388" s="1640"/>
      <c r="D388" s="1643"/>
      <c r="E388" s="1645"/>
      <c r="F388" s="278" t="s">
        <v>32</v>
      </c>
      <c r="G388" s="10" t="s">
        <v>422</v>
      </c>
      <c r="H388" s="11"/>
      <c r="I388" s="13"/>
      <c r="J388" s="20"/>
      <c r="K388" s="21"/>
      <c r="L388" s="1030"/>
      <c r="M388" s="92"/>
      <c r="N388" s="924"/>
      <c r="O388" s="92"/>
      <c r="P388" s="924"/>
      <c r="Q388" s="92"/>
      <c r="R388" s="924"/>
      <c r="S388" s="501">
        <f t="shared" si="42"/>
        <v>0</v>
      </c>
      <c r="T388" s="437"/>
      <c r="U388" s="442"/>
      <c r="W388" s="598"/>
      <c r="Y388" s="734"/>
    </row>
    <row r="389" spans="2:25" s="22" customFormat="1" ht="15.6" x14ac:dyDescent="0.3">
      <c r="B389" s="1637"/>
      <c r="C389" s="1640"/>
      <c r="D389" s="1643"/>
      <c r="E389" s="1645"/>
      <c r="F389" s="19">
        <v>1</v>
      </c>
      <c r="G389" s="9" t="s">
        <v>430</v>
      </c>
      <c r="H389" s="11" t="s">
        <v>340</v>
      </c>
      <c r="I389" s="13">
        <v>0.4</v>
      </c>
      <c r="J389" s="20">
        <f>J381</f>
        <v>52</v>
      </c>
      <c r="K389" s="21">
        <f>I389*$K$387*J389/SUM(J389,J392)*2</f>
        <v>238810558.0487805</v>
      </c>
      <c r="L389" s="1030">
        <f t="shared" si="49"/>
        <v>4592510.7317073178</v>
      </c>
      <c r="M389" s="92">
        <f>'Schedule 5'!$F$634</f>
        <v>52</v>
      </c>
      <c r="N389" s="924">
        <f>ROUND(L389*M389,0)</f>
        <v>238810558</v>
      </c>
      <c r="O389" s="92">
        <f>'Schedule 5'!$F$635</f>
        <v>52</v>
      </c>
      <c r="P389" s="924">
        <v>238810558</v>
      </c>
      <c r="Q389" s="92">
        <f>M389-O389</f>
        <v>0</v>
      </c>
      <c r="R389" s="924">
        <f t="shared" si="54"/>
        <v>0</v>
      </c>
      <c r="S389" s="501">
        <f t="shared" si="42"/>
        <v>0</v>
      </c>
      <c r="T389" s="433"/>
      <c r="U389" s="434"/>
      <c r="W389" s="598"/>
      <c r="Y389" s="734"/>
    </row>
    <row r="390" spans="2:25" s="22" customFormat="1" ht="15.6" x14ac:dyDescent="0.3">
      <c r="B390" s="1637"/>
      <c r="C390" s="1640"/>
      <c r="D390" s="1643"/>
      <c r="E390" s="1645"/>
      <c r="F390" s="19">
        <v>2</v>
      </c>
      <c r="G390" s="9" t="s">
        <v>431</v>
      </c>
      <c r="H390" s="11" t="s">
        <v>340</v>
      </c>
      <c r="I390" s="13">
        <v>0.1</v>
      </c>
      <c r="J390" s="20">
        <f>J389</f>
        <v>52</v>
      </c>
      <c r="K390" s="21">
        <f>I390*$K$387*J390/SUM(J390,J393)*2</f>
        <v>59702639.512195125</v>
      </c>
      <c r="L390" s="1030">
        <f t="shared" si="49"/>
        <v>1148127.6829268294</v>
      </c>
      <c r="M390" s="92">
        <f>'Schedule 5'!$F$691</f>
        <v>52</v>
      </c>
      <c r="N390" s="924">
        <f>ROUND(L390*M390,0)</f>
        <v>59702640</v>
      </c>
      <c r="O390" s="92">
        <f>'Schedule 5'!$F$692</f>
        <v>49</v>
      </c>
      <c r="P390" s="924">
        <v>56258256</v>
      </c>
      <c r="Q390" s="92">
        <f>M390-O390</f>
        <v>3</v>
      </c>
      <c r="R390" s="924">
        <f t="shared" si="54"/>
        <v>3444384</v>
      </c>
      <c r="S390" s="1147">
        <f t="shared" si="42"/>
        <v>0</v>
      </c>
      <c r="T390" s="433"/>
      <c r="U390" s="434"/>
      <c r="W390" s="1149"/>
      <c r="Y390" s="734"/>
    </row>
    <row r="391" spans="2:25" s="22" customFormat="1" ht="15.6" x14ac:dyDescent="0.3">
      <c r="B391" s="1637"/>
      <c r="C391" s="1640"/>
      <c r="D391" s="1643"/>
      <c r="E391" s="1645"/>
      <c r="F391" s="278" t="s">
        <v>34</v>
      </c>
      <c r="G391" s="10" t="s">
        <v>425</v>
      </c>
      <c r="H391" s="11"/>
      <c r="I391" s="13"/>
      <c r="J391" s="20"/>
      <c r="K391" s="21"/>
      <c r="L391" s="1030"/>
      <c r="M391" s="92"/>
      <c r="N391" s="924"/>
      <c r="O391" s="92"/>
      <c r="P391" s="924"/>
      <c r="Q391" s="92"/>
      <c r="R391" s="924"/>
      <c r="S391" s="501">
        <f t="shared" si="42"/>
        <v>0</v>
      </c>
      <c r="T391" s="437"/>
      <c r="U391" s="442"/>
      <c r="W391" s="598"/>
      <c r="Y391" s="734"/>
    </row>
    <row r="392" spans="2:25" s="22" customFormat="1" ht="15.6" x14ac:dyDescent="0.3">
      <c r="B392" s="1637"/>
      <c r="C392" s="1640"/>
      <c r="D392" s="1643"/>
      <c r="E392" s="1645"/>
      <c r="F392" s="19">
        <v>1</v>
      </c>
      <c r="G392" s="9" t="s">
        <v>430</v>
      </c>
      <c r="H392" s="11" t="s">
        <v>340</v>
      </c>
      <c r="I392" s="13">
        <v>0.4</v>
      </c>
      <c r="J392" s="20">
        <f>J385+J386</f>
        <v>30</v>
      </c>
      <c r="K392" s="21">
        <f>I392*$K$387*J392/SUM(J392,J389)*2</f>
        <v>137775321.9512195</v>
      </c>
      <c r="L392" s="1030">
        <f t="shared" si="49"/>
        <v>4592510.7317073168</v>
      </c>
      <c r="M392" s="92">
        <f>'Schedule 5'!$F$722</f>
        <v>26</v>
      </c>
      <c r="N392" s="924">
        <f>ROUND(L392*M392,0)</f>
        <v>119405279</v>
      </c>
      <c r="O392" s="92">
        <f>'Schedule 5'!$F$723</f>
        <v>24</v>
      </c>
      <c r="P392" s="924">
        <v>110220258</v>
      </c>
      <c r="Q392" s="92">
        <f>M392-O392</f>
        <v>2</v>
      </c>
      <c r="R392" s="924">
        <f t="shared" si="54"/>
        <v>9185021</v>
      </c>
      <c r="S392" s="1147">
        <f t="shared" si="42"/>
        <v>4</v>
      </c>
      <c r="T392" s="1150"/>
      <c r="U392" s="1151"/>
      <c r="W392" s="1149"/>
      <c r="Y392" s="734"/>
    </row>
    <row r="393" spans="2:25" s="22" customFormat="1" ht="15.6" x14ac:dyDescent="0.3">
      <c r="B393" s="1637"/>
      <c r="C393" s="1640"/>
      <c r="D393" s="1643"/>
      <c r="E393" s="1645"/>
      <c r="F393" s="19">
        <v>2</v>
      </c>
      <c r="G393" s="9" t="s">
        <v>431</v>
      </c>
      <c r="H393" s="11" t="s">
        <v>340</v>
      </c>
      <c r="I393" s="13">
        <v>0.1</v>
      </c>
      <c r="J393" s="20">
        <f>J392</f>
        <v>30</v>
      </c>
      <c r="K393" s="21">
        <f>I393*$K$387*J393/SUM(J393,J390)*2</f>
        <v>34443830.487804875</v>
      </c>
      <c r="L393" s="1030">
        <f t="shared" si="49"/>
        <v>1148127.6829268292</v>
      </c>
      <c r="M393" s="92">
        <f>'Schedule 5'!$F$736</f>
        <v>9</v>
      </c>
      <c r="N393" s="924">
        <f>ROUND(L393*M393,0)</f>
        <v>10333149</v>
      </c>
      <c r="O393" s="92">
        <f>'Schedule 5'!$F$737</f>
        <v>8</v>
      </c>
      <c r="P393" s="924">
        <v>9185021</v>
      </c>
      <c r="Q393" s="92">
        <f>M393-O393</f>
        <v>1</v>
      </c>
      <c r="R393" s="924">
        <f t="shared" si="54"/>
        <v>1148128</v>
      </c>
      <c r="S393" s="1147">
        <f t="shared" si="42"/>
        <v>21</v>
      </c>
      <c r="T393" s="1150"/>
      <c r="U393" s="1151"/>
      <c r="W393" s="1149"/>
      <c r="Y393" s="734"/>
    </row>
    <row r="394" spans="2:25" s="22" customFormat="1" ht="15.6" x14ac:dyDescent="0.3">
      <c r="B394" s="1638"/>
      <c r="C394" s="1641"/>
      <c r="D394" s="1643"/>
      <c r="E394" s="1645"/>
      <c r="F394" s="14">
        <v>504</v>
      </c>
      <c r="G394" s="8" t="s">
        <v>432</v>
      </c>
      <c r="H394" s="15" t="s">
        <v>188</v>
      </c>
      <c r="I394" s="16">
        <v>0.153</v>
      </c>
      <c r="J394" s="17"/>
      <c r="K394" s="18">
        <f>I394*$E$378</f>
        <v>595223549.99999988</v>
      </c>
      <c r="L394" s="1031"/>
      <c r="M394" s="95"/>
      <c r="N394" s="923"/>
      <c r="O394" s="95"/>
      <c r="P394" s="923"/>
      <c r="Q394" s="95"/>
      <c r="R394" s="923"/>
      <c r="S394" s="501">
        <f t="shared" si="42"/>
        <v>0</v>
      </c>
      <c r="T394" s="435"/>
      <c r="U394" s="436"/>
      <c r="W394" s="598"/>
      <c r="Y394" s="734"/>
    </row>
    <row r="395" spans="2:25" s="22" customFormat="1" ht="15.6" x14ac:dyDescent="0.3">
      <c r="B395" s="1637"/>
      <c r="C395" s="1640"/>
      <c r="D395" s="1643"/>
      <c r="E395" s="1645"/>
      <c r="F395" s="278" t="s">
        <v>32</v>
      </c>
      <c r="G395" s="10" t="s">
        <v>422</v>
      </c>
      <c r="H395" s="11"/>
      <c r="I395" s="13"/>
      <c r="J395" s="20"/>
      <c r="K395" s="21"/>
      <c r="L395" s="1030"/>
      <c r="M395" s="92"/>
      <c r="N395" s="924"/>
      <c r="O395" s="92"/>
      <c r="P395" s="924"/>
      <c r="Q395" s="92"/>
      <c r="R395" s="924"/>
      <c r="S395" s="501">
        <f t="shared" si="42"/>
        <v>0</v>
      </c>
      <c r="T395" s="437"/>
      <c r="U395" s="442"/>
      <c r="W395" s="598"/>
      <c r="Y395" s="734"/>
    </row>
    <row r="396" spans="2:25" s="22" customFormat="1" ht="15.6" x14ac:dyDescent="0.3">
      <c r="B396" s="1637"/>
      <c r="C396" s="1640"/>
      <c r="D396" s="1643"/>
      <c r="E396" s="1645"/>
      <c r="F396" s="19">
        <v>1</v>
      </c>
      <c r="G396" s="9" t="s">
        <v>433</v>
      </c>
      <c r="H396" s="11" t="s">
        <v>340</v>
      </c>
      <c r="I396" s="13">
        <v>0.4</v>
      </c>
      <c r="J396" s="20">
        <f>24+168</f>
        <v>192</v>
      </c>
      <c r="K396" s="21">
        <f>I396*$K$394*J396/SUM(J396,J399)*2</f>
        <v>304754457.59999996</v>
      </c>
      <c r="L396" s="1030">
        <f t="shared" si="49"/>
        <v>1587262.7999999998</v>
      </c>
      <c r="M396" s="92">
        <f>'Schedule 5'!$F$882</f>
        <v>140</v>
      </c>
      <c r="N396" s="924">
        <f>ROUND(L396*M396,0)</f>
        <v>222216792</v>
      </c>
      <c r="O396" s="92">
        <f>'Schedule 5'!$F$883</f>
        <v>125</v>
      </c>
      <c r="P396" s="924">
        <v>198407850</v>
      </c>
      <c r="Q396" s="92">
        <f>M396-O396</f>
        <v>15</v>
      </c>
      <c r="R396" s="924">
        <f t="shared" si="54"/>
        <v>23808942</v>
      </c>
      <c r="S396" s="1147">
        <f t="shared" si="42"/>
        <v>52</v>
      </c>
      <c r="T396" s="1150"/>
      <c r="U396" s="1151"/>
      <c r="W396" s="1149"/>
      <c r="Y396" s="734"/>
    </row>
    <row r="397" spans="2:25" s="22" customFormat="1" ht="15.6" x14ac:dyDescent="0.3">
      <c r="B397" s="1637"/>
      <c r="C397" s="1640"/>
      <c r="D397" s="1643"/>
      <c r="E397" s="1645"/>
      <c r="F397" s="19">
        <v>2</v>
      </c>
      <c r="G397" s="9" t="s">
        <v>434</v>
      </c>
      <c r="H397" s="11" t="s">
        <v>340</v>
      </c>
      <c r="I397" s="13">
        <v>0.1</v>
      </c>
      <c r="J397" s="20">
        <f>J396</f>
        <v>192</v>
      </c>
      <c r="K397" s="21">
        <f>I397*$K$394*J397/SUM(J397,J400)*2</f>
        <v>76188614.399999991</v>
      </c>
      <c r="L397" s="1030">
        <f t="shared" si="49"/>
        <v>396815.69999999995</v>
      </c>
      <c r="M397" s="92">
        <f>'Schedule 5'!$F$907</f>
        <v>88</v>
      </c>
      <c r="N397" s="924">
        <f>ROUND(L397*M397,0)</f>
        <v>34919782</v>
      </c>
      <c r="O397" s="92">
        <f>'Schedule 5'!$F$908</f>
        <v>68</v>
      </c>
      <c r="P397" s="924">
        <v>26983468</v>
      </c>
      <c r="Q397" s="92">
        <f>M397-O397</f>
        <v>20</v>
      </c>
      <c r="R397" s="924">
        <f t="shared" si="54"/>
        <v>7936314</v>
      </c>
      <c r="S397" s="1147">
        <f t="shared" si="42"/>
        <v>104</v>
      </c>
      <c r="T397" s="433"/>
      <c r="U397" s="434"/>
      <c r="W397" s="1149"/>
      <c r="Y397" s="734"/>
    </row>
    <row r="398" spans="2:25" s="22" customFormat="1" ht="15.6" x14ac:dyDescent="0.3">
      <c r="B398" s="1637"/>
      <c r="C398" s="1640"/>
      <c r="D398" s="1643"/>
      <c r="E398" s="1645"/>
      <c r="F398" s="278" t="s">
        <v>34</v>
      </c>
      <c r="G398" s="10" t="s">
        <v>425</v>
      </c>
      <c r="H398" s="11"/>
      <c r="I398" s="13"/>
      <c r="J398" s="20"/>
      <c r="K398" s="21"/>
      <c r="L398" s="1030"/>
      <c r="M398" s="92"/>
      <c r="N398" s="924"/>
      <c r="O398" s="92"/>
      <c r="P398" s="924"/>
      <c r="Q398" s="92"/>
      <c r="R398" s="924"/>
      <c r="S398" s="501">
        <f t="shared" si="42"/>
        <v>0</v>
      </c>
      <c r="T398" s="437"/>
      <c r="U398" s="442"/>
      <c r="W398" s="598"/>
      <c r="Y398" s="734"/>
    </row>
    <row r="399" spans="2:25" s="22" customFormat="1" ht="15.6" x14ac:dyDescent="0.3">
      <c r="B399" s="1637"/>
      <c r="C399" s="1640"/>
      <c r="D399" s="1643"/>
      <c r="E399" s="1645"/>
      <c r="F399" s="19">
        <v>1</v>
      </c>
      <c r="G399" s="9" t="s">
        <v>433</v>
      </c>
      <c r="H399" s="11" t="s">
        <v>340</v>
      </c>
      <c r="I399" s="13">
        <v>0.4</v>
      </c>
      <c r="J399" s="20">
        <f>48+48+6+6</f>
        <v>108</v>
      </c>
      <c r="K399" s="21">
        <f>I399*$K$394*J399/SUM(J399,J396)*2</f>
        <v>171424382.39999998</v>
      </c>
      <c r="L399" s="1030">
        <f t="shared" si="49"/>
        <v>1587262.7999999998</v>
      </c>
      <c r="M399" s="92">
        <f>'Schedule 5'!$F$961</f>
        <v>49</v>
      </c>
      <c r="N399" s="924">
        <f>ROUND(L399*M399,0)</f>
        <v>77775877</v>
      </c>
      <c r="O399" s="92">
        <f>'Schedule 5'!$F$962</f>
        <v>45</v>
      </c>
      <c r="P399" s="924">
        <v>71426826</v>
      </c>
      <c r="Q399" s="92">
        <f>M399-O399</f>
        <v>4</v>
      </c>
      <c r="R399" s="924">
        <f t="shared" si="54"/>
        <v>6349051</v>
      </c>
      <c r="S399" s="1147">
        <f t="shared" si="42"/>
        <v>59</v>
      </c>
      <c r="T399" s="1150"/>
      <c r="U399" s="1151"/>
      <c r="W399" s="1149"/>
      <c r="Y399" s="734"/>
    </row>
    <row r="400" spans="2:25" s="22" customFormat="1" ht="15.6" x14ac:dyDescent="0.3">
      <c r="B400" s="1637"/>
      <c r="C400" s="1640"/>
      <c r="D400" s="1643"/>
      <c r="E400" s="1645"/>
      <c r="F400" s="19">
        <v>2</v>
      </c>
      <c r="G400" s="9" t="s">
        <v>434</v>
      </c>
      <c r="H400" s="11" t="s">
        <v>340</v>
      </c>
      <c r="I400" s="13">
        <v>0.1</v>
      </c>
      <c r="J400" s="20">
        <f>J399</f>
        <v>108</v>
      </c>
      <c r="K400" s="21">
        <f>I400*$K$394*J400/SUM(J400,J397)*2</f>
        <v>42856095.599999994</v>
      </c>
      <c r="L400" s="1030">
        <f t="shared" si="49"/>
        <v>396815.69999999995</v>
      </c>
      <c r="M400" s="91">
        <v>0</v>
      </c>
      <c r="N400" s="921">
        <f>ROUND(L400*M400,0)</f>
        <v>0</v>
      </c>
      <c r="O400" s="91">
        <v>0</v>
      </c>
      <c r="P400" s="921">
        <v>0</v>
      </c>
      <c r="Q400" s="91">
        <f>M400-O400</f>
        <v>0</v>
      </c>
      <c r="R400" s="921">
        <f t="shared" si="54"/>
        <v>0</v>
      </c>
      <c r="S400" s="501">
        <f t="shared" si="42"/>
        <v>108</v>
      </c>
      <c r="T400" s="433"/>
      <c r="U400" s="434"/>
      <c r="W400" s="598"/>
      <c r="Y400" s="734"/>
    </row>
    <row r="401" spans="2:25" s="22" customFormat="1" ht="31.2" x14ac:dyDescent="0.3">
      <c r="B401" s="1638"/>
      <c r="C401" s="1641"/>
      <c r="D401" s="1643"/>
      <c r="E401" s="1645"/>
      <c r="F401" s="14">
        <v>505</v>
      </c>
      <c r="G401" s="8" t="s">
        <v>382</v>
      </c>
      <c r="H401" s="15" t="s">
        <v>188</v>
      </c>
      <c r="I401" s="16">
        <v>3.4000000000000002E-2</v>
      </c>
      <c r="J401" s="17"/>
      <c r="K401" s="18">
        <f>I401*$E$378</f>
        <v>132271900</v>
      </c>
      <c r="L401" s="1029"/>
      <c r="M401" s="95"/>
      <c r="N401" s="923"/>
      <c r="O401" s="95"/>
      <c r="P401" s="923"/>
      <c r="Q401" s="95"/>
      <c r="R401" s="923"/>
      <c r="S401" s="501">
        <f t="shared" si="42"/>
        <v>0</v>
      </c>
      <c r="T401" s="435"/>
      <c r="U401" s="436"/>
      <c r="W401" s="598"/>
      <c r="Y401" s="734"/>
    </row>
    <row r="402" spans="2:25" s="22" customFormat="1" ht="15.6" x14ac:dyDescent="0.3">
      <c r="B402" s="1637"/>
      <c r="C402" s="1640"/>
      <c r="D402" s="1643"/>
      <c r="E402" s="1645"/>
      <c r="F402" s="278" t="s">
        <v>32</v>
      </c>
      <c r="G402" s="10" t="s">
        <v>422</v>
      </c>
      <c r="H402" s="11"/>
      <c r="I402" s="13"/>
      <c r="J402" s="20"/>
      <c r="K402" s="21"/>
      <c r="L402" s="1030"/>
      <c r="M402" s="92"/>
      <c r="N402" s="924"/>
      <c r="O402" s="92"/>
      <c r="P402" s="924"/>
      <c r="Q402" s="92"/>
      <c r="R402" s="924"/>
      <c r="S402" s="501">
        <f t="shared" si="42"/>
        <v>0</v>
      </c>
      <c r="T402" s="437"/>
      <c r="U402" s="442"/>
      <c r="W402" s="598"/>
      <c r="Y402" s="734"/>
    </row>
    <row r="403" spans="2:25" s="22" customFormat="1" ht="15.6" x14ac:dyDescent="0.3">
      <c r="B403" s="1637"/>
      <c r="C403" s="1640"/>
      <c r="D403" s="1643"/>
      <c r="E403" s="1645"/>
      <c r="F403" s="19">
        <v>1</v>
      </c>
      <c r="G403" s="9" t="s">
        <v>435</v>
      </c>
      <c r="H403" s="11" t="s">
        <v>333</v>
      </c>
      <c r="I403" s="13">
        <v>0.25</v>
      </c>
      <c r="J403" s="20">
        <f>1.72*J396</f>
        <v>330.24</v>
      </c>
      <c r="K403" s="21">
        <f>I403*$K$401*J403/(J403+J407)*2</f>
        <v>42327008</v>
      </c>
      <c r="L403" s="1030">
        <f t="shared" si="49"/>
        <v>128170.44573643411</v>
      </c>
      <c r="M403" s="92">
        <f>'Schedule 5'!$F$970</f>
        <v>330.24</v>
      </c>
      <c r="N403" s="921">
        <f>ROUND(L403*M403,0)</f>
        <v>42327008</v>
      </c>
      <c r="O403" s="91">
        <f>'Schedule 5'!$F$971</f>
        <v>330.24</v>
      </c>
      <c r="P403" s="921">
        <v>42327008</v>
      </c>
      <c r="Q403" s="91">
        <f>M403-O403</f>
        <v>0</v>
      </c>
      <c r="R403" s="921">
        <f t="shared" si="54"/>
        <v>0</v>
      </c>
      <c r="S403" s="501">
        <f t="shared" ref="S403:S474" si="55">J403-M403</f>
        <v>0</v>
      </c>
      <c r="T403" s="433"/>
      <c r="U403" s="434"/>
      <c r="W403" s="598"/>
      <c r="Y403" s="734"/>
    </row>
    <row r="404" spans="2:25" s="22" customFormat="1" ht="15.6" x14ac:dyDescent="0.3">
      <c r="B404" s="1637"/>
      <c r="C404" s="1640"/>
      <c r="D404" s="1643"/>
      <c r="E404" s="1645"/>
      <c r="F404" s="19">
        <v>2</v>
      </c>
      <c r="G404" s="9" t="s">
        <v>384</v>
      </c>
      <c r="H404" s="11" t="s">
        <v>333</v>
      </c>
      <c r="I404" s="13">
        <v>0.15</v>
      </c>
      <c r="J404" s="20">
        <f>J403</f>
        <v>330.24</v>
      </c>
      <c r="K404" s="21">
        <f>I404*$K$401*J404/(J404+J408)*2</f>
        <v>25396204.800000001</v>
      </c>
      <c r="L404" s="1030">
        <f t="shared" si="49"/>
        <v>76902.267441860458</v>
      </c>
      <c r="M404" s="92">
        <f>'Schedule 5'!$F$978</f>
        <v>330.24</v>
      </c>
      <c r="N404" s="921">
        <f>ROUND(L404*M404,0)</f>
        <v>25396205</v>
      </c>
      <c r="O404" s="91">
        <f>'Schedule 5'!$F$979</f>
        <v>330.24</v>
      </c>
      <c r="P404" s="921">
        <v>25396205</v>
      </c>
      <c r="Q404" s="92">
        <f>M404-O404</f>
        <v>0</v>
      </c>
      <c r="R404" s="924">
        <f t="shared" si="54"/>
        <v>0</v>
      </c>
      <c r="S404" s="501">
        <f t="shared" si="55"/>
        <v>0</v>
      </c>
      <c r="T404" s="433"/>
      <c r="U404" s="434"/>
      <c r="W404" s="598"/>
      <c r="Y404" s="734"/>
    </row>
    <row r="405" spans="2:25" s="22" customFormat="1" ht="15.6" x14ac:dyDescent="0.3">
      <c r="B405" s="1637"/>
      <c r="C405" s="1640"/>
      <c r="D405" s="1643"/>
      <c r="E405" s="1645"/>
      <c r="F405" s="19">
        <v>3</v>
      </c>
      <c r="G405" s="9" t="s">
        <v>436</v>
      </c>
      <c r="H405" s="11" t="s">
        <v>340</v>
      </c>
      <c r="I405" s="13">
        <v>0.1</v>
      </c>
      <c r="J405" s="20">
        <f>J396</f>
        <v>192</v>
      </c>
      <c r="K405" s="21">
        <f>I405*$K$401*J405/(J405+J409)*2</f>
        <v>16930803.199999999</v>
      </c>
      <c r="L405" s="1030">
        <f t="shared" si="49"/>
        <v>88181.266666666663</v>
      </c>
      <c r="M405" s="92">
        <f>'Schedule 5'!$F$1096</f>
        <v>113</v>
      </c>
      <c r="N405" s="924">
        <f>ROUND(L405*M405,0)</f>
        <v>9964483</v>
      </c>
      <c r="O405" s="92">
        <f>'Schedule 5'!$F$1097</f>
        <v>109</v>
      </c>
      <c r="P405" s="924">
        <v>9611758</v>
      </c>
      <c r="Q405" s="92">
        <f>M405-O405</f>
        <v>4</v>
      </c>
      <c r="R405" s="924">
        <f t="shared" si="54"/>
        <v>352725</v>
      </c>
      <c r="S405" s="1147">
        <f t="shared" si="55"/>
        <v>79</v>
      </c>
      <c r="T405" s="437"/>
      <c r="U405" s="442"/>
      <c r="W405" s="1149"/>
      <c r="Y405" s="734"/>
    </row>
    <row r="406" spans="2:25" s="22" customFormat="1" ht="15.6" x14ac:dyDescent="0.3">
      <c r="B406" s="1637"/>
      <c r="C406" s="1640"/>
      <c r="D406" s="1643"/>
      <c r="E406" s="1645"/>
      <c r="F406" s="278" t="s">
        <v>34</v>
      </c>
      <c r="G406" s="10" t="s">
        <v>425</v>
      </c>
      <c r="H406" s="11"/>
      <c r="I406" s="13"/>
      <c r="J406" s="20"/>
      <c r="K406" s="21"/>
      <c r="L406" s="1030"/>
      <c r="M406" s="92"/>
      <c r="N406" s="924"/>
      <c r="O406" s="92"/>
      <c r="P406" s="924"/>
      <c r="Q406" s="92"/>
      <c r="R406" s="924"/>
      <c r="S406" s="501">
        <f t="shared" si="55"/>
        <v>0</v>
      </c>
      <c r="T406" s="437"/>
      <c r="U406" s="442"/>
      <c r="W406" s="598"/>
      <c r="Y406" s="734"/>
    </row>
    <row r="407" spans="2:25" s="22" customFormat="1" ht="15.6" x14ac:dyDescent="0.3">
      <c r="B407" s="1637"/>
      <c r="C407" s="1640"/>
      <c r="D407" s="1643"/>
      <c r="E407" s="1645"/>
      <c r="F407" s="19">
        <v>1</v>
      </c>
      <c r="G407" s="9" t="s">
        <v>435</v>
      </c>
      <c r="H407" s="11" t="s">
        <v>333</v>
      </c>
      <c r="I407" s="13">
        <v>0.25</v>
      </c>
      <c r="J407" s="20">
        <f>1.72*J399</f>
        <v>185.76</v>
      </c>
      <c r="K407" s="21">
        <f>I407*$K$401*J407/(J407+J403)*2</f>
        <v>23808942</v>
      </c>
      <c r="L407" s="1030">
        <f t="shared" si="49"/>
        <v>128170.44573643412</v>
      </c>
      <c r="M407" s="92">
        <f>'Schedule 5'!$F$1102</f>
        <v>152.054</v>
      </c>
      <c r="N407" s="921">
        <f>ROUND(L407*M407,0)</f>
        <v>19488829</v>
      </c>
      <c r="O407" s="91">
        <f>'Schedule 5'!$F$1103</f>
        <v>152.05399999999997</v>
      </c>
      <c r="P407" s="921">
        <v>19488829</v>
      </c>
      <c r="Q407" s="91">
        <f>M407-O407</f>
        <v>0</v>
      </c>
      <c r="R407" s="921">
        <f t="shared" si="54"/>
        <v>0</v>
      </c>
      <c r="S407" s="501">
        <f t="shared" si="55"/>
        <v>33.705999999999989</v>
      </c>
      <c r="T407" s="433"/>
      <c r="U407" s="434"/>
      <c r="W407" s="598"/>
      <c r="Y407" s="734"/>
    </row>
    <row r="408" spans="2:25" s="22" customFormat="1" ht="15.6" x14ac:dyDescent="0.3">
      <c r="B408" s="1637"/>
      <c r="C408" s="1640"/>
      <c r="D408" s="1643"/>
      <c r="E408" s="1645"/>
      <c r="F408" s="19">
        <v>2</v>
      </c>
      <c r="G408" s="9" t="s">
        <v>384</v>
      </c>
      <c r="H408" s="11" t="s">
        <v>333</v>
      </c>
      <c r="I408" s="13">
        <v>0.15</v>
      </c>
      <c r="J408" s="20">
        <f>J407</f>
        <v>185.76</v>
      </c>
      <c r="K408" s="21">
        <f>I408*$K$401*J408/(J408+J404)*2</f>
        <v>14285365.199999999</v>
      </c>
      <c r="L408" s="1030">
        <f t="shared" si="49"/>
        <v>76902.267441860458</v>
      </c>
      <c r="M408" s="92">
        <f>'Schedule 5'!F1108</f>
        <v>152.054</v>
      </c>
      <c r="N408" s="924">
        <f>ROUND(L408*M408,0)</f>
        <v>11693297</v>
      </c>
      <c r="O408" s="92">
        <f>'Schedule 5'!$F$1109</f>
        <v>152.054</v>
      </c>
      <c r="P408" s="924">
        <v>11693297</v>
      </c>
      <c r="Q408" s="92">
        <f>M408-O408</f>
        <v>0</v>
      </c>
      <c r="R408" s="924">
        <f t="shared" si="54"/>
        <v>0</v>
      </c>
      <c r="S408" s="1147">
        <f t="shared" si="55"/>
        <v>33.705999999999989</v>
      </c>
      <c r="T408" s="1152"/>
      <c r="U408" s="1145"/>
      <c r="W408" s="1149"/>
      <c r="Y408" s="734"/>
    </row>
    <row r="409" spans="2:25" s="22" customFormat="1" ht="15.6" x14ac:dyDescent="0.3">
      <c r="B409" s="1637"/>
      <c r="C409" s="1640"/>
      <c r="D409" s="1643"/>
      <c r="E409" s="1645"/>
      <c r="F409" s="19">
        <v>3</v>
      </c>
      <c r="G409" s="9" t="s">
        <v>436</v>
      </c>
      <c r="H409" s="11" t="s">
        <v>340</v>
      </c>
      <c r="I409" s="13">
        <v>0.1</v>
      </c>
      <c r="J409" s="20">
        <f>J399</f>
        <v>108</v>
      </c>
      <c r="K409" s="25">
        <f>I409*$K$401*J409/(J409+J405)*2</f>
        <v>9523576.8000000007</v>
      </c>
      <c r="L409" s="1030">
        <f t="shared" si="49"/>
        <v>88181.266666666677</v>
      </c>
      <c r="M409" s="91">
        <f>'Schedule 5'!$F$1135</f>
        <v>22</v>
      </c>
      <c r="N409" s="921">
        <f>ROUND(L409*M409,0)</f>
        <v>1939988</v>
      </c>
      <c r="O409" s="91">
        <f>'Schedule 5'!$F$1136</f>
        <v>17</v>
      </c>
      <c r="P409" s="921">
        <v>1499082</v>
      </c>
      <c r="Q409" s="91">
        <f>M409-O409</f>
        <v>5</v>
      </c>
      <c r="R409" s="921">
        <f t="shared" si="54"/>
        <v>440906</v>
      </c>
      <c r="S409" s="501">
        <f t="shared" si="55"/>
        <v>86</v>
      </c>
      <c r="T409" s="433"/>
      <c r="U409" s="434"/>
      <c r="W409" s="598"/>
      <c r="Y409" s="734"/>
    </row>
    <row r="410" spans="2:25" s="22" customFormat="1" ht="32.25" customHeight="1" x14ac:dyDescent="0.3">
      <c r="B410" s="1638"/>
      <c r="C410" s="1641"/>
      <c r="D410" s="1643"/>
      <c r="E410" s="1645"/>
      <c r="F410" s="14">
        <v>506</v>
      </c>
      <c r="G410" s="8" t="s">
        <v>437</v>
      </c>
      <c r="H410" s="15" t="s">
        <v>188</v>
      </c>
      <c r="I410" s="16">
        <v>0.16200000000000003</v>
      </c>
      <c r="J410" s="17"/>
      <c r="K410" s="18">
        <f>I410*$E$378</f>
        <v>630236700</v>
      </c>
      <c r="L410" s="1029"/>
      <c r="M410" s="95"/>
      <c r="N410" s="923"/>
      <c r="O410" s="95"/>
      <c r="P410" s="923"/>
      <c r="Q410" s="95"/>
      <c r="R410" s="923"/>
      <c r="S410" s="501">
        <f t="shared" si="55"/>
        <v>0</v>
      </c>
      <c r="T410" s="435"/>
      <c r="U410" s="436"/>
      <c r="W410" s="598"/>
      <c r="Y410" s="734"/>
    </row>
    <row r="411" spans="2:25" s="22" customFormat="1" ht="15.6" x14ac:dyDescent="0.3">
      <c r="B411" s="1637"/>
      <c r="C411" s="1640"/>
      <c r="D411" s="1643"/>
      <c r="E411" s="1645"/>
      <c r="F411" s="278" t="s">
        <v>32</v>
      </c>
      <c r="G411" s="10" t="s">
        <v>422</v>
      </c>
      <c r="H411" s="11"/>
      <c r="I411" s="13"/>
      <c r="J411" s="20"/>
      <c r="K411" s="21"/>
      <c r="L411" s="1030"/>
      <c r="M411" s="91"/>
      <c r="N411" s="921"/>
      <c r="O411" s="91"/>
      <c r="P411" s="921"/>
      <c r="Q411" s="91"/>
      <c r="R411" s="921"/>
      <c r="S411" s="501">
        <f t="shared" si="55"/>
        <v>0</v>
      </c>
      <c r="T411" s="433"/>
      <c r="U411" s="434"/>
      <c r="W411" s="598"/>
      <c r="Y411" s="734"/>
    </row>
    <row r="412" spans="2:25" s="22" customFormat="1" ht="15.6" x14ac:dyDescent="0.3">
      <c r="B412" s="1637"/>
      <c r="C412" s="1640"/>
      <c r="D412" s="1643"/>
      <c r="E412" s="1645"/>
      <c r="F412" s="19">
        <v>1</v>
      </c>
      <c r="G412" s="9" t="s">
        <v>438</v>
      </c>
      <c r="H412" s="11" t="s">
        <v>324</v>
      </c>
      <c r="I412" s="13">
        <f>50%*30%</f>
        <v>0.15</v>
      </c>
      <c r="J412" s="20">
        <f t="shared" ref="J412:J414" si="56">42+6</f>
        <v>48</v>
      </c>
      <c r="K412" s="21">
        <f>I412*$K$410*J412/(J412+J416)*2</f>
        <v>126047340</v>
      </c>
      <c r="L412" s="1030">
        <f t="shared" si="49"/>
        <v>2625986.25</v>
      </c>
      <c r="M412" s="92">
        <f>'Schedule 5'!$F$1167</f>
        <v>26</v>
      </c>
      <c r="N412" s="924">
        <f>ROUND(L412*M412,0)</f>
        <v>68275643</v>
      </c>
      <c r="O412" s="92">
        <f>'Schedule 5'!$F$1168</f>
        <v>19</v>
      </c>
      <c r="P412" s="924">
        <v>49893739</v>
      </c>
      <c r="Q412" s="92">
        <f>M412-O412</f>
        <v>7</v>
      </c>
      <c r="R412" s="924">
        <f t="shared" ref="R412" si="57">N412-P412</f>
        <v>18381904</v>
      </c>
      <c r="S412" s="1147">
        <f t="shared" si="55"/>
        <v>22</v>
      </c>
      <c r="T412" s="1150"/>
      <c r="U412" s="1151"/>
      <c r="W412" s="1149"/>
      <c r="Y412" s="734"/>
    </row>
    <row r="413" spans="2:25" s="22" customFormat="1" ht="15.6" x14ac:dyDescent="0.3">
      <c r="B413" s="1637"/>
      <c r="C413" s="1640"/>
      <c r="D413" s="1643"/>
      <c r="E413" s="1645"/>
      <c r="F413" s="19">
        <v>2</v>
      </c>
      <c r="G413" s="9" t="s">
        <v>439</v>
      </c>
      <c r="H413" s="11" t="s">
        <v>324</v>
      </c>
      <c r="I413" s="13">
        <f>50%*15%</f>
        <v>7.4999999999999997E-2</v>
      </c>
      <c r="J413" s="20">
        <f t="shared" si="56"/>
        <v>48</v>
      </c>
      <c r="K413" s="21">
        <f t="shared" ref="K413:K414" si="58">I413*$K$410*J413/(J413+J417)*2</f>
        <v>63023670</v>
      </c>
      <c r="L413" s="1030">
        <f t="shared" si="49"/>
        <v>1312993.125</v>
      </c>
      <c r="M413" s="91">
        <f>'Schedule 5'!$F$1176</f>
        <v>12</v>
      </c>
      <c r="N413" s="921">
        <f t="shared" ref="N413:N414" si="59">ROUND(L413*M413,0)</f>
        <v>15755918</v>
      </c>
      <c r="O413" s="91">
        <f>'Schedule 5'!$F$1177</f>
        <v>9</v>
      </c>
      <c r="P413" s="921">
        <v>11816938</v>
      </c>
      <c r="Q413" s="91">
        <f t="shared" ref="Q413:Q414" si="60">M413-O413</f>
        <v>3</v>
      </c>
      <c r="R413" s="921">
        <f t="shared" ref="R413:R414" si="61">N413-P413</f>
        <v>3938980</v>
      </c>
      <c r="S413" s="501">
        <f t="shared" si="55"/>
        <v>36</v>
      </c>
      <c r="T413" s="433"/>
      <c r="U413" s="434"/>
      <c r="W413" s="598"/>
      <c r="Y413" s="734"/>
    </row>
    <row r="414" spans="2:25" s="22" customFormat="1" ht="15.6" x14ac:dyDescent="0.3">
      <c r="B414" s="1637"/>
      <c r="C414" s="1640"/>
      <c r="D414" s="1643"/>
      <c r="E414" s="1645"/>
      <c r="F414" s="19">
        <v>3</v>
      </c>
      <c r="G414" s="9" t="s">
        <v>440</v>
      </c>
      <c r="H414" s="11" t="s">
        <v>324</v>
      </c>
      <c r="I414" s="13">
        <f>50%*55%</f>
        <v>0.27500000000000002</v>
      </c>
      <c r="J414" s="20">
        <f t="shared" si="56"/>
        <v>48</v>
      </c>
      <c r="K414" s="21">
        <f t="shared" si="58"/>
        <v>231086790</v>
      </c>
      <c r="L414" s="1030">
        <f t="shared" si="49"/>
        <v>4814308.125</v>
      </c>
      <c r="M414" s="91">
        <f>'Schedule 5'!$F$1185</f>
        <v>12</v>
      </c>
      <c r="N414" s="921">
        <f t="shared" si="59"/>
        <v>57771698</v>
      </c>
      <c r="O414" s="91">
        <f>'Schedule 5'!$F$1186</f>
        <v>9</v>
      </c>
      <c r="P414" s="921">
        <v>43328773</v>
      </c>
      <c r="Q414" s="91">
        <f t="shared" si="60"/>
        <v>3</v>
      </c>
      <c r="R414" s="921">
        <f t="shared" si="61"/>
        <v>14442925</v>
      </c>
      <c r="S414" s="501">
        <f t="shared" si="55"/>
        <v>36</v>
      </c>
      <c r="T414" s="433"/>
      <c r="U414" s="434"/>
      <c r="W414" s="598"/>
      <c r="Y414" s="734"/>
    </row>
    <row r="415" spans="2:25" s="22" customFormat="1" ht="15.6" x14ac:dyDescent="0.3">
      <c r="B415" s="1637"/>
      <c r="C415" s="1640"/>
      <c r="D415" s="1643"/>
      <c r="E415" s="1645"/>
      <c r="F415" s="278" t="s">
        <v>34</v>
      </c>
      <c r="G415" s="10" t="s">
        <v>425</v>
      </c>
      <c r="H415" s="11"/>
      <c r="I415" s="13"/>
      <c r="J415" s="20"/>
      <c r="K415" s="25"/>
      <c r="L415" s="1030"/>
      <c r="M415" s="91"/>
      <c r="N415" s="921"/>
      <c r="O415" s="91"/>
      <c r="P415" s="921"/>
      <c r="Q415" s="91"/>
      <c r="R415" s="921"/>
      <c r="S415" s="501">
        <f t="shared" si="55"/>
        <v>0</v>
      </c>
      <c r="T415" s="433"/>
      <c r="U415" s="434"/>
      <c r="W415" s="598"/>
      <c r="Y415" s="734"/>
    </row>
    <row r="416" spans="2:25" s="22" customFormat="1" ht="15.6" x14ac:dyDescent="0.3">
      <c r="B416" s="1637"/>
      <c r="C416" s="1640"/>
      <c r="D416" s="1643"/>
      <c r="E416" s="1645"/>
      <c r="F416" s="19">
        <v>1</v>
      </c>
      <c r="G416" s="9" t="s">
        <v>438</v>
      </c>
      <c r="H416" s="11" t="s">
        <v>324</v>
      </c>
      <c r="I416" s="13">
        <f>50%*30%</f>
        <v>0.15</v>
      </c>
      <c r="J416" s="20">
        <f t="shared" ref="J416:J418" si="62">12+12</f>
        <v>24</v>
      </c>
      <c r="K416" s="21">
        <f>I416*$K$410*J416/(J416+J412)*2</f>
        <v>63023670</v>
      </c>
      <c r="L416" s="1030">
        <f t="shared" si="49"/>
        <v>2625986.25</v>
      </c>
      <c r="M416" s="92">
        <f>'Schedule 5'!F1194</f>
        <v>4</v>
      </c>
      <c r="N416" s="924">
        <f t="shared" ref="N416" si="63">ROUND(L416*M416,0)</f>
        <v>10503945</v>
      </c>
      <c r="O416" s="92">
        <f>'Schedule 5'!$F$1195</f>
        <v>4</v>
      </c>
      <c r="P416" s="924">
        <v>10503945</v>
      </c>
      <c r="Q416" s="92">
        <f t="shared" ref="Q416" si="64">M416-O416</f>
        <v>0</v>
      </c>
      <c r="R416" s="924">
        <f t="shared" ref="R416" si="65">N416-P416</f>
        <v>0</v>
      </c>
      <c r="S416" s="1147">
        <f t="shared" si="55"/>
        <v>20</v>
      </c>
      <c r="T416" s="1150"/>
      <c r="U416" s="1151"/>
      <c r="W416" s="1149"/>
      <c r="Y416" s="734"/>
    </row>
    <row r="417" spans="2:25" s="22" customFormat="1" ht="15.6" x14ac:dyDescent="0.3">
      <c r="B417" s="1637"/>
      <c r="C417" s="1640"/>
      <c r="D417" s="1643"/>
      <c r="E417" s="1645"/>
      <c r="F417" s="19">
        <v>2</v>
      </c>
      <c r="G417" s="9" t="s">
        <v>439</v>
      </c>
      <c r="H417" s="11" t="s">
        <v>324</v>
      </c>
      <c r="I417" s="13">
        <f>50%*15%</f>
        <v>7.4999999999999997E-2</v>
      </c>
      <c r="J417" s="20">
        <f t="shared" si="62"/>
        <v>24</v>
      </c>
      <c r="K417" s="21">
        <f>I417*$K$410*J417/(J417+J413)*2</f>
        <v>31511835</v>
      </c>
      <c r="L417" s="1030">
        <f t="shared" si="49"/>
        <v>1312993.125</v>
      </c>
      <c r="M417" s="91">
        <v>0</v>
      </c>
      <c r="N417" s="921">
        <f t="shared" ref="N417:N418" si="66">ROUND(L417*M417,0)</f>
        <v>0</v>
      </c>
      <c r="O417" s="91">
        <v>0</v>
      </c>
      <c r="P417" s="921">
        <v>0</v>
      </c>
      <c r="Q417" s="91">
        <f t="shared" ref="Q417:Q418" si="67">M417-O417</f>
        <v>0</v>
      </c>
      <c r="R417" s="921">
        <f t="shared" ref="R417:R418" si="68">N417-P417</f>
        <v>0</v>
      </c>
      <c r="S417" s="501">
        <f t="shared" si="55"/>
        <v>24</v>
      </c>
      <c r="T417" s="433"/>
      <c r="U417" s="434"/>
      <c r="W417" s="598"/>
      <c r="Y417" s="734"/>
    </row>
    <row r="418" spans="2:25" s="22" customFormat="1" ht="15.6" x14ac:dyDescent="0.3">
      <c r="B418" s="1637"/>
      <c r="C418" s="1640"/>
      <c r="D418" s="1643"/>
      <c r="E418" s="1645"/>
      <c r="F418" s="19">
        <v>3</v>
      </c>
      <c r="G418" s="9" t="s">
        <v>440</v>
      </c>
      <c r="H418" s="11" t="s">
        <v>324</v>
      </c>
      <c r="I418" s="13">
        <f>50%*55%</f>
        <v>0.27500000000000002</v>
      </c>
      <c r="J418" s="20">
        <f t="shared" si="62"/>
        <v>24</v>
      </c>
      <c r="K418" s="21">
        <f>I418*$K$410*J418/(J418+J414)*2</f>
        <v>115543395</v>
      </c>
      <c r="L418" s="1030">
        <f t="shared" si="49"/>
        <v>4814308.125</v>
      </c>
      <c r="M418" s="91">
        <v>0</v>
      </c>
      <c r="N418" s="921">
        <f t="shared" si="66"/>
        <v>0</v>
      </c>
      <c r="O418" s="91">
        <v>0</v>
      </c>
      <c r="P418" s="921">
        <v>0</v>
      </c>
      <c r="Q418" s="91">
        <f t="shared" si="67"/>
        <v>0</v>
      </c>
      <c r="R418" s="921">
        <f t="shared" si="68"/>
        <v>0</v>
      </c>
      <c r="S418" s="501">
        <f t="shared" si="55"/>
        <v>24</v>
      </c>
      <c r="T418" s="433"/>
      <c r="U418" s="434"/>
      <c r="W418" s="598"/>
      <c r="Y418" s="734"/>
    </row>
    <row r="419" spans="2:25" s="22" customFormat="1" ht="15.6" x14ac:dyDescent="0.3">
      <c r="B419" s="1638"/>
      <c r="C419" s="1641"/>
      <c r="D419" s="1643"/>
      <c r="E419" s="1645"/>
      <c r="F419" s="14">
        <v>507</v>
      </c>
      <c r="G419" s="8" t="s">
        <v>441</v>
      </c>
      <c r="H419" s="15" t="s">
        <v>188</v>
      </c>
      <c r="I419" s="16">
        <v>7.0000000000000001E-3</v>
      </c>
      <c r="J419" s="17"/>
      <c r="K419" s="18">
        <f>I419*$E$378</f>
        <v>27232449.999999996</v>
      </c>
      <c r="L419" s="1029"/>
      <c r="M419" s="95"/>
      <c r="N419" s="923"/>
      <c r="O419" s="95"/>
      <c r="P419" s="923"/>
      <c r="Q419" s="95"/>
      <c r="R419" s="923"/>
      <c r="S419" s="501">
        <f t="shared" si="55"/>
        <v>0</v>
      </c>
      <c r="T419" s="435"/>
      <c r="U419" s="436"/>
      <c r="W419" s="598"/>
      <c r="Y419" s="734"/>
    </row>
    <row r="420" spans="2:25" s="22" customFormat="1" ht="15.6" x14ac:dyDescent="0.3">
      <c r="B420" s="1637"/>
      <c r="C420" s="1640"/>
      <c r="D420" s="1643"/>
      <c r="E420" s="1645"/>
      <c r="F420" s="278" t="s">
        <v>32</v>
      </c>
      <c r="G420" s="10" t="s">
        <v>422</v>
      </c>
      <c r="H420" s="11"/>
      <c r="I420" s="13"/>
      <c r="J420" s="20"/>
      <c r="K420" s="21"/>
      <c r="L420" s="1030"/>
      <c r="M420" s="92"/>
      <c r="N420" s="924"/>
      <c r="O420" s="92"/>
      <c r="P420" s="924"/>
      <c r="Q420" s="92"/>
      <c r="R420" s="924"/>
      <c r="S420" s="501">
        <f t="shared" si="55"/>
        <v>0</v>
      </c>
      <c r="T420" s="437"/>
      <c r="U420" s="442"/>
      <c r="W420" s="598"/>
      <c r="Y420" s="734"/>
    </row>
    <row r="421" spans="2:25" s="22" customFormat="1" ht="15.6" x14ac:dyDescent="0.3">
      <c r="B421" s="1637"/>
      <c r="C421" s="1640"/>
      <c r="D421" s="1643"/>
      <c r="E421" s="1645"/>
      <c r="F421" s="19">
        <v>1</v>
      </c>
      <c r="G421" s="9" t="s">
        <v>442</v>
      </c>
      <c r="H421" s="11" t="s">
        <v>340</v>
      </c>
      <c r="I421" s="13">
        <f>15%/2</f>
        <v>7.4999999999999997E-2</v>
      </c>
      <c r="J421" s="20">
        <v>128</v>
      </c>
      <c r="K421" s="21">
        <f>$K$419*I421*J421/(J421+J424)*2</f>
        <v>2513764.615384615</v>
      </c>
      <c r="L421" s="1030">
        <f t="shared" si="49"/>
        <v>19638.786057692305</v>
      </c>
      <c r="M421" s="92">
        <f>'Schedule 5'!F1203</f>
        <v>128</v>
      </c>
      <c r="N421" s="924">
        <f>ROUND(L421*M421,0)</f>
        <v>2513765</v>
      </c>
      <c r="O421" s="92">
        <f>'Schedule 5'!$F$1204</f>
        <v>128</v>
      </c>
      <c r="P421" s="924">
        <v>2513765</v>
      </c>
      <c r="Q421" s="92">
        <f>M421-O421</f>
        <v>0</v>
      </c>
      <c r="R421" s="924">
        <f t="shared" si="54"/>
        <v>0</v>
      </c>
      <c r="S421" s="1147">
        <f t="shared" si="55"/>
        <v>0</v>
      </c>
      <c r="T421" s="1150"/>
      <c r="U421" s="1151"/>
      <c r="W421" s="1149"/>
      <c r="X421" s="598"/>
      <c r="Y421" s="734"/>
    </row>
    <row r="422" spans="2:25" s="22" customFormat="1" ht="15.6" x14ac:dyDescent="0.3">
      <c r="B422" s="1637"/>
      <c r="C422" s="1640"/>
      <c r="D422" s="1643"/>
      <c r="E422" s="1645"/>
      <c r="F422" s="19">
        <v>2</v>
      </c>
      <c r="G422" s="9" t="s">
        <v>400</v>
      </c>
      <c r="H422" s="11" t="s">
        <v>340</v>
      </c>
      <c r="I422" s="13">
        <f>5%/2</f>
        <v>2.5000000000000001E-2</v>
      </c>
      <c r="J422" s="20">
        <f>J421</f>
        <v>128</v>
      </c>
      <c r="K422" s="21">
        <f>$K$419*I422*J422/(J422+J425)*2</f>
        <v>837921.5384615385</v>
      </c>
      <c r="L422" s="1030">
        <f t="shared" si="49"/>
        <v>6546.2620192307695</v>
      </c>
      <c r="M422" s="92">
        <f>'Schedule 5'!F1232</f>
        <v>58</v>
      </c>
      <c r="N422" s="924">
        <f>ROUND(L422*M422,0)</f>
        <v>379683</v>
      </c>
      <c r="O422" s="92">
        <f>'Schedule 5'!$F$1233</f>
        <v>50</v>
      </c>
      <c r="P422" s="924">
        <v>327313</v>
      </c>
      <c r="Q422" s="92">
        <f>M422-O422</f>
        <v>8</v>
      </c>
      <c r="R422" s="924">
        <f t="shared" si="54"/>
        <v>52370</v>
      </c>
      <c r="S422" s="1147">
        <f t="shared" si="55"/>
        <v>70</v>
      </c>
      <c r="T422" s="1150"/>
      <c r="U422" s="1151"/>
      <c r="W422" s="1149"/>
      <c r="X422" s="598"/>
      <c r="Y422" s="734"/>
    </row>
    <row r="423" spans="2:25" s="22" customFormat="1" ht="15.6" x14ac:dyDescent="0.3">
      <c r="B423" s="1637"/>
      <c r="C423" s="1640"/>
      <c r="D423" s="1643"/>
      <c r="E423" s="1645"/>
      <c r="F423" s="278" t="s">
        <v>34</v>
      </c>
      <c r="G423" s="10" t="s">
        <v>425</v>
      </c>
      <c r="H423" s="11"/>
      <c r="I423" s="13"/>
      <c r="J423" s="20"/>
      <c r="K423" s="21"/>
      <c r="L423" s="1030"/>
      <c r="M423" s="92"/>
      <c r="N423" s="924"/>
      <c r="O423" s="92"/>
      <c r="P423" s="924"/>
      <c r="Q423" s="92"/>
      <c r="R423" s="924"/>
      <c r="S423" s="501">
        <f t="shared" si="55"/>
        <v>0</v>
      </c>
      <c r="T423" s="437"/>
      <c r="U423" s="442"/>
      <c r="W423" s="598"/>
      <c r="X423" s="598"/>
      <c r="Y423" s="734"/>
    </row>
    <row r="424" spans="2:25" s="22" customFormat="1" ht="15.6" x14ac:dyDescent="0.3">
      <c r="B424" s="1637"/>
      <c r="C424" s="1640"/>
      <c r="D424" s="1643"/>
      <c r="E424" s="1645"/>
      <c r="F424" s="19">
        <v>1</v>
      </c>
      <c r="G424" s="9" t="s">
        <v>442</v>
      </c>
      <c r="H424" s="11" t="s">
        <v>340</v>
      </c>
      <c r="I424" s="13">
        <f>15%/2</f>
        <v>7.4999999999999997E-2</v>
      </c>
      <c r="J424" s="20">
        <v>80</v>
      </c>
      <c r="K424" s="21">
        <f>$K$419*I424*J424/(J424+J421)*2</f>
        <v>1571102.8846153843</v>
      </c>
      <c r="L424" s="1030">
        <f t="shared" si="49"/>
        <v>19638.786057692305</v>
      </c>
      <c r="M424" s="91">
        <v>0</v>
      </c>
      <c r="N424" s="921">
        <f>ROUND(L424*M424,0)</f>
        <v>0</v>
      </c>
      <c r="O424" s="91">
        <v>0</v>
      </c>
      <c r="P424" s="921">
        <v>0</v>
      </c>
      <c r="Q424" s="91">
        <f>M424-O424</f>
        <v>0</v>
      </c>
      <c r="R424" s="921">
        <f t="shared" si="54"/>
        <v>0</v>
      </c>
      <c r="S424" s="501">
        <f t="shared" si="55"/>
        <v>80</v>
      </c>
      <c r="T424" s="433"/>
      <c r="U424" s="434"/>
      <c r="W424" s="598"/>
      <c r="X424" s="598"/>
      <c r="Y424" s="734"/>
    </row>
    <row r="425" spans="2:25" s="22" customFormat="1" ht="15.6" x14ac:dyDescent="0.3">
      <c r="B425" s="1637"/>
      <c r="C425" s="1640"/>
      <c r="D425" s="1643"/>
      <c r="E425" s="1645"/>
      <c r="F425" s="19">
        <v>2</v>
      </c>
      <c r="G425" s="9" t="s">
        <v>400</v>
      </c>
      <c r="H425" s="11" t="s">
        <v>340</v>
      </c>
      <c r="I425" s="13">
        <f>5%/2</f>
        <v>2.5000000000000001E-2</v>
      </c>
      <c r="J425" s="20">
        <f>J424</f>
        <v>80</v>
      </c>
      <c r="K425" s="21">
        <f>$K$419*I425*J425/(J425+J422)*2</f>
        <v>523700.96153846156</v>
      </c>
      <c r="L425" s="1030">
        <f t="shared" si="49"/>
        <v>6546.2620192307695</v>
      </c>
      <c r="M425" s="91">
        <v>0</v>
      </c>
      <c r="N425" s="921">
        <f>ROUND(L425*M425,0)</f>
        <v>0</v>
      </c>
      <c r="O425" s="91">
        <v>0</v>
      </c>
      <c r="P425" s="921">
        <v>0</v>
      </c>
      <c r="Q425" s="91">
        <f>M425-O425</f>
        <v>0</v>
      </c>
      <c r="R425" s="921">
        <f t="shared" si="54"/>
        <v>0</v>
      </c>
      <c r="S425" s="501">
        <f t="shared" si="55"/>
        <v>80</v>
      </c>
      <c r="T425" s="433"/>
      <c r="U425" s="434"/>
      <c r="W425" s="598"/>
      <c r="X425" s="598"/>
      <c r="Y425" s="734"/>
    </row>
    <row r="426" spans="2:25" s="22" customFormat="1" ht="15.6" x14ac:dyDescent="0.3">
      <c r="B426" s="1637"/>
      <c r="C426" s="1640"/>
      <c r="D426" s="1643"/>
      <c r="E426" s="1645"/>
      <c r="F426" s="278" t="s">
        <v>37</v>
      </c>
      <c r="G426" s="10" t="s">
        <v>422</v>
      </c>
      <c r="H426" s="11"/>
      <c r="I426" s="13"/>
      <c r="J426" s="20"/>
      <c r="K426" s="21"/>
      <c r="L426" s="1030"/>
      <c r="M426" s="92"/>
      <c r="N426" s="924"/>
      <c r="O426" s="92"/>
      <c r="P426" s="924"/>
      <c r="Q426" s="92"/>
      <c r="R426" s="924"/>
      <c r="S426" s="501">
        <f t="shared" si="55"/>
        <v>0</v>
      </c>
      <c r="T426" s="437"/>
      <c r="U426" s="442"/>
      <c r="W426" s="598"/>
      <c r="Y426" s="734"/>
    </row>
    <row r="427" spans="2:25" s="22" customFormat="1" ht="15.6" x14ac:dyDescent="0.3">
      <c r="B427" s="1637"/>
      <c r="C427" s="1640"/>
      <c r="D427" s="1643"/>
      <c r="E427" s="1645"/>
      <c r="F427" s="19">
        <v>1</v>
      </c>
      <c r="G427" s="9" t="s">
        <v>401</v>
      </c>
      <c r="H427" s="11" t="s">
        <v>340</v>
      </c>
      <c r="I427" s="13">
        <f>60%/2</f>
        <v>0.3</v>
      </c>
      <c r="J427" s="20">
        <v>20</v>
      </c>
      <c r="K427" s="21">
        <f>$K$419*I427*J427/(J427+J430)*2</f>
        <v>11671049.999999998</v>
      </c>
      <c r="L427" s="1030">
        <f t="shared" si="49"/>
        <v>583552.49999999988</v>
      </c>
      <c r="M427" s="91">
        <v>0</v>
      </c>
      <c r="N427" s="921">
        <f>ROUND(L427*M427,0)</f>
        <v>0</v>
      </c>
      <c r="O427" s="91">
        <v>0</v>
      </c>
      <c r="P427" s="921">
        <v>0</v>
      </c>
      <c r="Q427" s="91">
        <f>M427-O427</f>
        <v>0</v>
      </c>
      <c r="R427" s="921">
        <f t="shared" si="54"/>
        <v>0</v>
      </c>
      <c r="S427" s="501">
        <f t="shared" si="55"/>
        <v>20</v>
      </c>
      <c r="T427" s="433"/>
      <c r="U427" s="434"/>
      <c r="W427" s="598"/>
      <c r="Y427" s="734"/>
    </row>
    <row r="428" spans="2:25" s="22" customFormat="1" ht="15.6" x14ac:dyDescent="0.3">
      <c r="B428" s="1637"/>
      <c r="C428" s="1640"/>
      <c r="D428" s="1643"/>
      <c r="E428" s="1645"/>
      <c r="F428" s="19">
        <v>2</v>
      </c>
      <c r="G428" s="9" t="s">
        <v>402</v>
      </c>
      <c r="H428" s="11" t="s">
        <v>340</v>
      </c>
      <c r="I428" s="13">
        <f>20%/2</f>
        <v>0.1</v>
      </c>
      <c r="J428" s="20">
        <f>J427</f>
        <v>20</v>
      </c>
      <c r="K428" s="21">
        <f>$K$419*I428*J428/(J428+J431)*2</f>
        <v>3890350</v>
      </c>
      <c r="L428" s="1030">
        <f t="shared" si="49"/>
        <v>194517.5</v>
      </c>
      <c r="M428" s="91">
        <v>0</v>
      </c>
      <c r="N428" s="921">
        <f>ROUND(L428*M428,0)</f>
        <v>0</v>
      </c>
      <c r="O428" s="91">
        <v>0</v>
      </c>
      <c r="P428" s="921">
        <v>0</v>
      </c>
      <c r="Q428" s="91">
        <f>M428-O428</f>
        <v>0</v>
      </c>
      <c r="R428" s="921">
        <f t="shared" si="54"/>
        <v>0</v>
      </c>
      <c r="S428" s="501">
        <f t="shared" si="55"/>
        <v>20</v>
      </c>
      <c r="T428" s="433"/>
      <c r="U428" s="434"/>
      <c r="W428" s="598"/>
      <c r="Y428" s="734"/>
    </row>
    <row r="429" spans="2:25" s="22" customFormat="1" ht="15.6" x14ac:dyDescent="0.3">
      <c r="B429" s="1637"/>
      <c r="C429" s="1640"/>
      <c r="D429" s="1643"/>
      <c r="E429" s="1645"/>
      <c r="F429" s="278" t="s">
        <v>39</v>
      </c>
      <c r="G429" s="10" t="s">
        <v>425</v>
      </c>
      <c r="H429" s="11"/>
      <c r="I429" s="13"/>
      <c r="J429" s="20"/>
      <c r="K429" s="21"/>
      <c r="L429" s="1030"/>
      <c r="M429" s="92"/>
      <c r="N429" s="924"/>
      <c r="O429" s="92"/>
      <c r="P429" s="924"/>
      <c r="Q429" s="92"/>
      <c r="R429" s="924"/>
      <c r="S429" s="501">
        <f t="shared" si="55"/>
        <v>0</v>
      </c>
      <c r="T429" s="437"/>
      <c r="U429" s="442"/>
      <c r="W429" s="598"/>
      <c r="Y429" s="734"/>
    </row>
    <row r="430" spans="2:25" s="22" customFormat="1" ht="15.6" x14ac:dyDescent="0.3">
      <c r="B430" s="1637"/>
      <c r="C430" s="1640"/>
      <c r="D430" s="1643"/>
      <c r="E430" s="1645"/>
      <c r="F430" s="19">
        <v>1</v>
      </c>
      <c r="G430" s="9" t="s">
        <v>401</v>
      </c>
      <c r="H430" s="11" t="s">
        <v>340</v>
      </c>
      <c r="I430" s="13">
        <f>60%/2</f>
        <v>0.3</v>
      </c>
      <c r="J430" s="20">
        <v>8</v>
      </c>
      <c r="K430" s="21">
        <f>$K$419*I430*J430/(J430+J427)*2</f>
        <v>4668419.9999999991</v>
      </c>
      <c r="L430" s="1030">
        <f t="shared" si="49"/>
        <v>583552.49999999988</v>
      </c>
      <c r="M430" s="91">
        <v>0</v>
      </c>
      <c r="N430" s="921">
        <f>ROUND(L430*M430,0)</f>
        <v>0</v>
      </c>
      <c r="O430" s="91">
        <v>0</v>
      </c>
      <c r="P430" s="921">
        <v>0</v>
      </c>
      <c r="Q430" s="91">
        <f>M430-O430</f>
        <v>0</v>
      </c>
      <c r="R430" s="921">
        <f t="shared" si="54"/>
        <v>0</v>
      </c>
      <c r="S430" s="501">
        <f t="shared" si="55"/>
        <v>8</v>
      </c>
      <c r="T430" s="433"/>
      <c r="U430" s="434"/>
      <c r="W430" s="598"/>
      <c r="Y430" s="734"/>
    </row>
    <row r="431" spans="2:25" s="22" customFormat="1" ht="15.6" x14ac:dyDescent="0.3">
      <c r="B431" s="1637"/>
      <c r="C431" s="1640"/>
      <c r="D431" s="1643"/>
      <c r="E431" s="1645"/>
      <c r="F431" s="19">
        <v>2</v>
      </c>
      <c r="G431" s="9" t="s">
        <v>402</v>
      </c>
      <c r="H431" s="11" t="s">
        <v>340</v>
      </c>
      <c r="I431" s="13">
        <f>20%/2</f>
        <v>0.1</v>
      </c>
      <c r="J431" s="20">
        <f>J430</f>
        <v>8</v>
      </c>
      <c r="K431" s="25">
        <f>$K$419*I431*J431/(J431+J428)*2</f>
        <v>1556140</v>
      </c>
      <c r="L431" s="1030">
        <f t="shared" si="49"/>
        <v>194517.5</v>
      </c>
      <c r="M431" s="91">
        <v>0</v>
      </c>
      <c r="N431" s="921">
        <f>ROUND(L431*M431,0)</f>
        <v>0</v>
      </c>
      <c r="O431" s="91">
        <v>0</v>
      </c>
      <c r="P431" s="921">
        <v>0</v>
      </c>
      <c r="Q431" s="91">
        <f>M431-O431</f>
        <v>0</v>
      </c>
      <c r="R431" s="921">
        <f t="shared" si="54"/>
        <v>0</v>
      </c>
      <c r="S431" s="501">
        <f t="shared" si="55"/>
        <v>8</v>
      </c>
      <c r="T431" s="433"/>
      <c r="U431" s="434"/>
      <c r="W431" s="598"/>
      <c r="Y431" s="734"/>
    </row>
    <row r="432" spans="2:25" s="22" customFormat="1" ht="15.6" x14ac:dyDescent="0.3">
      <c r="B432" s="1638"/>
      <c r="C432" s="1641"/>
      <c r="D432" s="1643"/>
      <c r="E432" s="1645"/>
      <c r="F432" s="14">
        <v>508</v>
      </c>
      <c r="G432" s="8" t="s">
        <v>443</v>
      </c>
      <c r="H432" s="15" t="s">
        <v>188</v>
      </c>
      <c r="I432" s="16">
        <v>1.2E-2</v>
      </c>
      <c r="J432" s="17"/>
      <c r="K432" s="18">
        <f>I432*$E$378</f>
        <v>46684199.999999993</v>
      </c>
      <c r="L432" s="1029"/>
      <c r="M432" s="95"/>
      <c r="N432" s="923"/>
      <c r="O432" s="95"/>
      <c r="P432" s="923"/>
      <c r="Q432" s="95"/>
      <c r="R432" s="923"/>
      <c r="S432" s="501">
        <f t="shared" si="55"/>
        <v>0</v>
      </c>
      <c r="T432" s="435"/>
      <c r="U432" s="436"/>
      <c r="W432" s="598"/>
      <c r="Y432" s="734"/>
    </row>
    <row r="433" spans="2:25" s="22" customFormat="1" ht="15.6" x14ac:dyDescent="0.3">
      <c r="B433" s="1637"/>
      <c r="C433" s="1640"/>
      <c r="D433" s="1643"/>
      <c r="E433" s="1645"/>
      <c r="F433" s="278" t="s">
        <v>32</v>
      </c>
      <c r="G433" s="10" t="s">
        <v>422</v>
      </c>
      <c r="H433" s="11"/>
      <c r="I433" s="13"/>
      <c r="J433" s="20"/>
      <c r="K433" s="21"/>
      <c r="L433" s="1030"/>
      <c r="M433" s="92"/>
      <c r="N433" s="924"/>
      <c r="O433" s="92"/>
      <c r="P433" s="924"/>
      <c r="Q433" s="92"/>
      <c r="R433" s="924"/>
      <c r="S433" s="501">
        <f t="shared" si="55"/>
        <v>0</v>
      </c>
      <c r="T433" s="437"/>
      <c r="U433" s="442"/>
      <c r="W433" s="598"/>
      <c r="Y433" s="734"/>
    </row>
    <row r="434" spans="2:25" s="22" customFormat="1" ht="15.6" x14ac:dyDescent="0.3">
      <c r="B434" s="1637"/>
      <c r="C434" s="1640"/>
      <c r="D434" s="1643"/>
      <c r="E434" s="1645"/>
      <c r="F434" s="19">
        <v>1</v>
      </c>
      <c r="G434" s="9" t="s">
        <v>407</v>
      </c>
      <c r="H434" s="11" t="s">
        <v>320</v>
      </c>
      <c r="I434" s="13">
        <f>70%/2</f>
        <v>0.35</v>
      </c>
      <c r="J434" s="20">
        <v>3456</v>
      </c>
      <c r="K434" s="25">
        <f>$K$432*I434*$J$434/($J$434+$J$437)*2</f>
        <v>21785959.999999993</v>
      </c>
      <c r="L434" s="1030">
        <f t="shared" si="49"/>
        <v>6303.8078703703686</v>
      </c>
      <c r="M434" s="91">
        <v>0</v>
      </c>
      <c r="N434" s="921">
        <f>ROUND(L434*M434,0)</f>
        <v>0</v>
      </c>
      <c r="O434" s="91">
        <v>0</v>
      </c>
      <c r="P434" s="921">
        <v>0</v>
      </c>
      <c r="Q434" s="91">
        <f>M434-O434</f>
        <v>0</v>
      </c>
      <c r="R434" s="921">
        <f t="shared" si="54"/>
        <v>0</v>
      </c>
      <c r="S434" s="501">
        <f t="shared" si="55"/>
        <v>3456</v>
      </c>
      <c r="T434" s="433"/>
      <c r="U434" s="434"/>
      <c r="W434" s="598"/>
      <c r="Y434" s="734"/>
    </row>
    <row r="435" spans="2:25" s="22" customFormat="1" ht="15.6" x14ac:dyDescent="0.3">
      <c r="B435" s="1637"/>
      <c r="C435" s="1640"/>
      <c r="D435" s="1643"/>
      <c r="E435" s="1645"/>
      <c r="F435" s="19">
        <v>2</v>
      </c>
      <c r="G435" s="9" t="s">
        <v>444</v>
      </c>
      <c r="H435" s="11" t="s">
        <v>320</v>
      </c>
      <c r="I435" s="13">
        <f>30%/2</f>
        <v>0.15</v>
      </c>
      <c r="J435" s="20">
        <v>1728</v>
      </c>
      <c r="K435" s="25">
        <f>$K$432*I435*$J$434/($J$434+$J$437)*2</f>
        <v>9336839.9999999981</v>
      </c>
      <c r="L435" s="1030">
        <f t="shared" si="49"/>
        <v>5403.2638888888878</v>
      </c>
      <c r="M435" s="91">
        <v>0</v>
      </c>
      <c r="N435" s="921">
        <f>ROUND(L435*M435,0)</f>
        <v>0</v>
      </c>
      <c r="O435" s="91">
        <v>0</v>
      </c>
      <c r="P435" s="921">
        <v>0</v>
      </c>
      <c r="Q435" s="91">
        <f>M435-O435</f>
        <v>0</v>
      </c>
      <c r="R435" s="921">
        <f t="shared" si="54"/>
        <v>0</v>
      </c>
      <c r="S435" s="501">
        <f t="shared" si="55"/>
        <v>1728</v>
      </c>
      <c r="T435" s="433"/>
      <c r="U435" s="434"/>
      <c r="W435" s="598"/>
      <c r="Y435" s="734"/>
    </row>
    <row r="436" spans="2:25" s="22" customFormat="1" ht="15.6" x14ac:dyDescent="0.3">
      <c r="B436" s="1637"/>
      <c r="C436" s="1640"/>
      <c r="D436" s="1643"/>
      <c r="E436" s="1645"/>
      <c r="F436" s="278" t="s">
        <v>34</v>
      </c>
      <c r="G436" s="10" t="s">
        <v>425</v>
      </c>
      <c r="H436" s="11"/>
      <c r="I436" s="13"/>
      <c r="J436" s="20"/>
      <c r="K436" s="21"/>
      <c r="L436" s="1030"/>
      <c r="M436" s="92"/>
      <c r="N436" s="924"/>
      <c r="O436" s="92"/>
      <c r="P436" s="924"/>
      <c r="Q436" s="92"/>
      <c r="R436" s="924"/>
      <c r="S436" s="501">
        <f t="shared" si="55"/>
        <v>0</v>
      </c>
      <c r="T436" s="437"/>
      <c r="U436" s="442"/>
      <c r="W436" s="598"/>
      <c r="Y436" s="734"/>
    </row>
    <row r="437" spans="2:25" s="22" customFormat="1" ht="15.6" x14ac:dyDescent="0.3">
      <c r="B437" s="1637"/>
      <c r="C437" s="1640"/>
      <c r="D437" s="1643"/>
      <c r="E437" s="1645"/>
      <c r="F437" s="19">
        <v>1</v>
      </c>
      <c r="G437" s="9" t="s">
        <v>407</v>
      </c>
      <c r="H437" s="11" t="s">
        <v>320</v>
      </c>
      <c r="I437" s="13">
        <f>70%/2</f>
        <v>0.35</v>
      </c>
      <c r="J437" s="20">
        <v>1728</v>
      </c>
      <c r="K437" s="25">
        <f>$K$432*I437*$J$437/($J$434+$J$437)*2</f>
        <v>10892979.999999996</v>
      </c>
      <c r="L437" s="1030">
        <f t="shared" si="49"/>
        <v>6303.8078703703686</v>
      </c>
      <c r="M437" s="91">
        <v>0</v>
      </c>
      <c r="N437" s="921">
        <f>ROUND(L437*M437,0)</f>
        <v>0</v>
      </c>
      <c r="O437" s="91">
        <v>0</v>
      </c>
      <c r="P437" s="921">
        <v>0</v>
      </c>
      <c r="Q437" s="91">
        <f>M437-O437</f>
        <v>0</v>
      </c>
      <c r="R437" s="921">
        <f t="shared" si="54"/>
        <v>0</v>
      </c>
      <c r="S437" s="501">
        <f t="shared" si="55"/>
        <v>1728</v>
      </c>
      <c r="T437" s="433"/>
      <c r="U437" s="434"/>
      <c r="W437" s="598"/>
      <c r="Y437" s="734"/>
    </row>
    <row r="438" spans="2:25" s="22" customFormat="1" ht="15.6" x14ac:dyDescent="0.3">
      <c r="B438" s="1637"/>
      <c r="C438" s="1640"/>
      <c r="D438" s="1643"/>
      <c r="E438" s="1645"/>
      <c r="F438" s="19">
        <v>2</v>
      </c>
      <c r="G438" s="9" t="s">
        <v>444</v>
      </c>
      <c r="H438" s="11" t="s">
        <v>320</v>
      </c>
      <c r="I438" s="13">
        <f>30%/2</f>
        <v>0.15</v>
      </c>
      <c r="J438" s="20">
        <v>864</v>
      </c>
      <c r="K438" s="25">
        <f>$K$432*I438*$J$437/($J$434+$J$437)*2</f>
        <v>4668419.9999999991</v>
      </c>
      <c r="L438" s="1030">
        <f>IFERROR(K438/J438,0)</f>
        <v>5403.2638888888878</v>
      </c>
      <c r="M438" s="91">
        <v>0</v>
      </c>
      <c r="N438" s="921">
        <f>ROUND(L438*M438,0)</f>
        <v>0</v>
      </c>
      <c r="O438" s="91">
        <v>0</v>
      </c>
      <c r="P438" s="921">
        <v>0</v>
      </c>
      <c r="Q438" s="91">
        <f>M438-O438</f>
        <v>0</v>
      </c>
      <c r="R438" s="921">
        <f t="shared" si="54"/>
        <v>0</v>
      </c>
      <c r="S438" s="501">
        <f t="shared" si="55"/>
        <v>864</v>
      </c>
      <c r="T438" s="433"/>
      <c r="U438" s="434"/>
      <c r="W438" s="598"/>
      <c r="Y438" s="734"/>
    </row>
    <row r="439" spans="2:25" s="22" customFormat="1" ht="15.6" x14ac:dyDescent="0.3">
      <c r="B439" s="1638"/>
      <c r="C439" s="1641"/>
      <c r="D439" s="1643"/>
      <c r="E439" s="1645"/>
      <c r="F439" s="14">
        <v>509</v>
      </c>
      <c r="G439" s="8" t="s">
        <v>410</v>
      </c>
      <c r="H439" s="15" t="s">
        <v>188</v>
      </c>
      <c r="I439" s="16">
        <v>4.9999999999999992E-3</v>
      </c>
      <c r="J439" s="17"/>
      <c r="K439" s="18">
        <f>I439*$E$378</f>
        <v>19451749.999999996</v>
      </c>
      <c r="L439" s="1029"/>
      <c r="M439" s="95"/>
      <c r="N439" s="923"/>
      <c r="O439" s="95"/>
      <c r="P439" s="923"/>
      <c r="Q439" s="95"/>
      <c r="R439" s="923"/>
      <c r="S439" s="501">
        <f t="shared" si="55"/>
        <v>0</v>
      </c>
      <c r="T439" s="435"/>
      <c r="U439" s="436"/>
      <c r="W439" s="598"/>
      <c r="Y439" s="734"/>
    </row>
    <row r="440" spans="2:25" s="22" customFormat="1" ht="15.6" x14ac:dyDescent="0.3">
      <c r="B440" s="1637"/>
      <c r="C440" s="1640"/>
      <c r="D440" s="1643"/>
      <c r="E440" s="1645"/>
      <c r="F440" s="278" t="s">
        <v>32</v>
      </c>
      <c r="G440" s="10" t="s">
        <v>422</v>
      </c>
      <c r="H440" s="11"/>
      <c r="I440" s="13"/>
      <c r="J440" s="20"/>
      <c r="K440" s="21"/>
      <c r="L440" s="1030"/>
      <c r="M440" s="92"/>
      <c r="N440" s="924"/>
      <c r="O440" s="92"/>
      <c r="P440" s="924"/>
      <c r="Q440" s="92"/>
      <c r="R440" s="924"/>
      <c r="S440" s="501">
        <f t="shared" si="55"/>
        <v>0</v>
      </c>
      <c r="T440" s="437"/>
      <c r="U440" s="442"/>
      <c r="W440" s="598"/>
      <c r="Y440" s="734"/>
    </row>
    <row r="441" spans="2:25" s="22" customFormat="1" ht="15.6" x14ac:dyDescent="0.3">
      <c r="B441" s="1637"/>
      <c r="C441" s="1640"/>
      <c r="D441" s="1643"/>
      <c r="E441" s="1645"/>
      <c r="F441" s="19">
        <v>1</v>
      </c>
      <c r="G441" s="9" t="s">
        <v>411</v>
      </c>
      <c r="H441" s="11" t="s">
        <v>320</v>
      </c>
      <c r="I441" s="13">
        <v>0.2</v>
      </c>
      <c r="J441" s="20">
        <v>1728</v>
      </c>
      <c r="K441" s="21">
        <f>$K$439*I441*J441/(J441+J445)*2</f>
        <v>5187133.333333333</v>
      </c>
      <c r="L441" s="1030">
        <f>IFERROR(K441/J441,0)</f>
        <v>3001.8132716049381</v>
      </c>
      <c r="M441" s="91">
        <v>0</v>
      </c>
      <c r="N441" s="921">
        <f>ROUND(L441*M441,0)</f>
        <v>0</v>
      </c>
      <c r="O441" s="91">
        <v>0</v>
      </c>
      <c r="P441" s="921">
        <v>0</v>
      </c>
      <c r="Q441" s="91">
        <f>M441-O441</f>
        <v>0</v>
      </c>
      <c r="R441" s="921">
        <f t="shared" si="54"/>
        <v>0</v>
      </c>
      <c r="S441" s="501">
        <f t="shared" si="55"/>
        <v>1728</v>
      </c>
      <c r="T441" s="433"/>
      <c r="U441" s="434"/>
      <c r="W441" s="598"/>
      <c r="Y441" s="734"/>
    </row>
    <row r="442" spans="2:25" s="22" customFormat="1" ht="15.6" x14ac:dyDescent="0.3">
      <c r="B442" s="1637"/>
      <c r="C442" s="1640"/>
      <c r="D442" s="1643"/>
      <c r="E442" s="1645"/>
      <c r="F442" s="19">
        <v>2</v>
      </c>
      <c r="G442" s="9" t="s">
        <v>445</v>
      </c>
      <c r="H442" s="11" t="s">
        <v>320</v>
      </c>
      <c r="I442" s="13">
        <v>0.1</v>
      </c>
      <c r="J442" s="20">
        <v>1728</v>
      </c>
      <c r="K442" s="21">
        <f>$K$439*I442*J442/(J442+J446)*2</f>
        <v>2593566.6666666665</v>
      </c>
      <c r="L442" s="1030">
        <f>IFERROR(K442/J442,0)</f>
        <v>1500.9066358024691</v>
      </c>
      <c r="M442" s="91">
        <v>0</v>
      </c>
      <c r="N442" s="921">
        <f>ROUND(L442*M442,0)</f>
        <v>0</v>
      </c>
      <c r="O442" s="91">
        <v>0</v>
      </c>
      <c r="P442" s="921">
        <v>0</v>
      </c>
      <c r="Q442" s="91">
        <f>M442-O442</f>
        <v>0</v>
      </c>
      <c r="R442" s="921">
        <f>N442-P442</f>
        <v>0</v>
      </c>
      <c r="S442" s="501">
        <f t="shared" si="55"/>
        <v>1728</v>
      </c>
      <c r="T442" s="433"/>
      <c r="U442" s="434"/>
      <c r="W442" s="598"/>
      <c r="Y442" s="734"/>
    </row>
    <row r="443" spans="2:25" s="22" customFormat="1" ht="15.6" x14ac:dyDescent="0.3">
      <c r="B443" s="1637"/>
      <c r="C443" s="1640"/>
      <c r="D443" s="1643"/>
      <c r="E443" s="1645"/>
      <c r="F443" s="19">
        <v>3</v>
      </c>
      <c r="G443" s="9" t="s">
        <v>446</v>
      </c>
      <c r="H443" s="11" t="s">
        <v>320</v>
      </c>
      <c r="I443" s="13">
        <f>40%/2</f>
        <v>0.2</v>
      </c>
      <c r="J443" s="20">
        <v>1728</v>
      </c>
      <c r="K443" s="21">
        <f>$K$439*I443*J443/(J443+J447)*2</f>
        <v>5187133.333333333</v>
      </c>
      <c r="L443" s="1030">
        <f>IFERROR(K443/J443,0)</f>
        <v>3001.8132716049381</v>
      </c>
      <c r="M443" s="91">
        <v>0</v>
      </c>
      <c r="N443" s="921">
        <f>ROUND(L443*M443,0)</f>
        <v>0</v>
      </c>
      <c r="O443" s="91">
        <v>0</v>
      </c>
      <c r="P443" s="921">
        <v>0</v>
      </c>
      <c r="Q443" s="91">
        <f>M443-O443</f>
        <v>0</v>
      </c>
      <c r="R443" s="921">
        <f t="shared" si="54"/>
        <v>0</v>
      </c>
      <c r="S443" s="501">
        <f t="shared" si="55"/>
        <v>1728</v>
      </c>
      <c r="T443" s="433"/>
      <c r="U443" s="434"/>
      <c r="W443" s="598"/>
      <c r="Y443" s="734"/>
    </row>
    <row r="444" spans="2:25" s="22" customFormat="1" ht="15.6" x14ac:dyDescent="0.3">
      <c r="B444" s="1637"/>
      <c r="C444" s="1640"/>
      <c r="D444" s="1643"/>
      <c r="E444" s="1645"/>
      <c r="F444" s="278" t="s">
        <v>34</v>
      </c>
      <c r="G444" s="10" t="s">
        <v>425</v>
      </c>
      <c r="H444" s="11"/>
      <c r="I444" s="13"/>
      <c r="J444" s="20"/>
      <c r="K444" s="21"/>
      <c r="L444" s="1030"/>
      <c r="M444" s="92"/>
      <c r="N444" s="924"/>
      <c r="O444" s="92"/>
      <c r="P444" s="924"/>
      <c r="Q444" s="92"/>
      <c r="R444" s="924"/>
      <c r="S444" s="501">
        <f t="shared" si="55"/>
        <v>0</v>
      </c>
      <c r="T444" s="437"/>
      <c r="U444" s="442"/>
      <c r="W444" s="598"/>
      <c r="Y444" s="734"/>
    </row>
    <row r="445" spans="2:25" s="22" customFormat="1" ht="15.6" x14ac:dyDescent="0.3">
      <c r="B445" s="1637"/>
      <c r="C445" s="1640"/>
      <c r="D445" s="1643"/>
      <c r="E445" s="1645"/>
      <c r="F445" s="19">
        <v>1</v>
      </c>
      <c r="G445" s="9" t="s">
        <v>411</v>
      </c>
      <c r="H445" s="11" t="s">
        <v>320</v>
      </c>
      <c r="I445" s="13">
        <v>0.2</v>
      </c>
      <c r="J445" s="20">
        <v>864</v>
      </c>
      <c r="K445" s="21">
        <f>$K$439*I445*J445/(J445+J441)*2</f>
        <v>2593566.6666666665</v>
      </c>
      <c r="L445" s="1030">
        <f>IFERROR(K445/J445,0)</f>
        <v>3001.8132716049381</v>
      </c>
      <c r="M445" s="91">
        <v>0</v>
      </c>
      <c r="N445" s="921">
        <f>ROUND(L445*M445,0)</f>
        <v>0</v>
      </c>
      <c r="O445" s="91">
        <v>0</v>
      </c>
      <c r="P445" s="921">
        <v>0</v>
      </c>
      <c r="Q445" s="91">
        <f>M445-O445</f>
        <v>0</v>
      </c>
      <c r="R445" s="921">
        <f t="shared" si="54"/>
        <v>0</v>
      </c>
      <c r="S445" s="501">
        <f t="shared" si="55"/>
        <v>864</v>
      </c>
      <c r="T445" s="433"/>
      <c r="U445" s="434"/>
      <c r="W445" s="598"/>
      <c r="Y445" s="734"/>
    </row>
    <row r="446" spans="2:25" s="22" customFormat="1" ht="15.6" x14ac:dyDescent="0.3">
      <c r="B446" s="1637"/>
      <c r="C446" s="1640"/>
      <c r="D446" s="1643"/>
      <c r="E446" s="1645"/>
      <c r="F446" s="19">
        <v>2</v>
      </c>
      <c r="G446" s="9" t="s">
        <v>445</v>
      </c>
      <c r="H446" s="11" t="s">
        <v>320</v>
      </c>
      <c r="I446" s="13">
        <v>0.1</v>
      </c>
      <c r="J446" s="20">
        <v>864</v>
      </c>
      <c r="K446" s="21">
        <f>$K$439*I446*J446/(J446+J442)*2</f>
        <v>1296783.3333333333</v>
      </c>
      <c r="L446" s="1030">
        <f>IFERROR(K446/J446,0)</f>
        <v>1500.9066358024691</v>
      </c>
      <c r="M446" s="91">
        <v>0</v>
      </c>
      <c r="N446" s="921">
        <f>ROUND(L446*M446,0)</f>
        <v>0</v>
      </c>
      <c r="O446" s="91">
        <v>0</v>
      </c>
      <c r="P446" s="921">
        <v>0</v>
      </c>
      <c r="Q446" s="91">
        <f>M446-O446</f>
        <v>0</v>
      </c>
      <c r="R446" s="921">
        <f>N446-P446</f>
        <v>0</v>
      </c>
      <c r="S446" s="501">
        <f t="shared" si="55"/>
        <v>864</v>
      </c>
      <c r="T446" s="433"/>
      <c r="U446" s="434"/>
      <c r="W446" s="598"/>
      <c r="Y446" s="734"/>
    </row>
    <row r="447" spans="2:25" s="22" customFormat="1" ht="15.6" x14ac:dyDescent="0.3">
      <c r="B447" s="1637"/>
      <c r="C447" s="1640"/>
      <c r="D447" s="1643"/>
      <c r="E447" s="1645"/>
      <c r="F447" s="19">
        <v>3</v>
      </c>
      <c r="G447" s="9" t="s">
        <v>446</v>
      </c>
      <c r="H447" s="11" t="s">
        <v>320</v>
      </c>
      <c r="I447" s="13">
        <f>40%/2</f>
        <v>0.2</v>
      </c>
      <c r="J447" s="20">
        <v>864</v>
      </c>
      <c r="K447" s="21">
        <f>$K$439*I447*J447/(J447+J443)*2</f>
        <v>2593566.6666666665</v>
      </c>
      <c r="L447" s="1030">
        <f>IFERROR(K447/J447,0)</f>
        <v>3001.8132716049381</v>
      </c>
      <c r="M447" s="91">
        <v>0</v>
      </c>
      <c r="N447" s="921">
        <f>ROUND(L447*M447,0)</f>
        <v>0</v>
      </c>
      <c r="O447" s="91">
        <v>0</v>
      </c>
      <c r="P447" s="921">
        <v>0</v>
      </c>
      <c r="Q447" s="91">
        <f>M447-O447</f>
        <v>0</v>
      </c>
      <c r="R447" s="921">
        <f t="shared" si="54"/>
        <v>0</v>
      </c>
      <c r="S447" s="501">
        <f t="shared" si="55"/>
        <v>864</v>
      </c>
      <c r="T447" s="433"/>
      <c r="U447" s="434"/>
      <c r="W447" s="598"/>
      <c r="Y447" s="734"/>
    </row>
    <row r="448" spans="2:25" s="22" customFormat="1" ht="15.6" x14ac:dyDescent="0.3">
      <c r="B448" s="1638"/>
      <c r="C448" s="1641"/>
      <c r="D448" s="1643"/>
      <c r="E448" s="1645"/>
      <c r="F448" s="14">
        <v>510</v>
      </c>
      <c r="G448" s="8" t="s">
        <v>414</v>
      </c>
      <c r="H448" s="15" t="s">
        <v>188</v>
      </c>
      <c r="I448" s="16">
        <v>6.0000000000000001E-3</v>
      </c>
      <c r="J448" s="17"/>
      <c r="K448" s="18">
        <f>I448*$E$378</f>
        <v>23342099.999999996</v>
      </c>
      <c r="L448" s="1029"/>
      <c r="M448" s="95"/>
      <c r="N448" s="923"/>
      <c r="O448" s="95"/>
      <c r="P448" s="923"/>
      <c r="Q448" s="95"/>
      <c r="R448" s="923"/>
      <c r="S448" s="501">
        <f t="shared" si="55"/>
        <v>0</v>
      </c>
      <c r="T448" s="435"/>
      <c r="U448" s="436"/>
      <c r="W448" s="598"/>
      <c r="Y448" s="734"/>
    </row>
    <row r="449" spans="2:25" s="22" customFormat="1" ht="15.6" x14ac:dyDescent="0.3">
      <c r="B449" s="1637"/>
      <c r="C449" s="1640"/>
      <c r="D449" s="1643"/>
      <c r="E449" s="1645"/>
      <c r="F449" s="278" t="s">
        <v>32</v>
      </c>
      <c r="G449" s="10" t="s">
        <v>422</v>
      </c>
      <c r="H449" s="11"/>
      <c r="I449" s="13"/>
      <c r="J449" s="20"/>
      <c r="K449" s="21"/>
      <c r="L449" s="1030"/>
      <c r="M449" s="91"/>
      <c r="N449" s="921"/>
      <c r="O449" s="91"/>
      <c r="P449" s="921"/>
      <c r="Q449" s="91"/>
      <c r="R449" s="921"/>
      <c r="S449" s="501">
        <f t="shared" si="55"/>
        <v>0</v>
      </c>
      <c r="T449" s="433"/>
      <c r="U449" s="434"/>
      <c r="W449" s="598"/>
      <c r="Y449" s="734"/>
    </row>
    <row r="450" spans="2:25" s="22" customFormat="1" ht="15.6" x14ac:dyDescent="0.3">
      <c r="B450" s="1637"/>
      <c r="C450" s="1640"/>
      <c r="D450" s="1643"/>
      <c r="E450" s="1645"/>
      <c r="F450" s="19">
        <v>1</v>
      </c>
      <c r="G450" s="9" t="s">
        <v>415</v>
      </c>
      <c r="H450" s="11" t="s">
        <v>324</v>
      </c>
      <c r="I450" s="13">
        <v>0.4</v>
      </c>
      <c r="J450" s="20">
        <f>$J$412</f>
        <v>48</v>
      </c>
      <c r="K450" s="21">
        <f>$K$448*I450*J450/(J450+J454)*2</f>
        <v>12449119.999999996</v>
      </c>
      <c r="L450" s="1030">
        <f t="shared" ref="L450:L456" si="69">IFERROR(K450/J450,0)</f>
        <v>259356.6666666666</v>
      </c>
      <c r="M450" s="91">
        <v>0</v>
      </c>
      <c r="N450" s="921">
        <f t="shared" ref="N450:N456" si="70">ROUND(L450*M450,0)</f>
        <v>0</v>
      </c>
      <c r="O450" s="91">
        <v>0</v>
      </c>
      <c r="P450" s="921">
        <v>0</v>
      </c>
      <c r="Q450" s="91">
        <f t="shared" ref="Q450:Q456" si="71">M450-O450</f>
        <v>0</v>
      </c>
      <c r="R450" s="921">
        <f t="shared" ref="R450:R456" si="72">N450-P450</f>
        <v>0</v>
      </c>
      <c r="S450" s="501">
        <f t="shared" si="55"/>
        <v>48</v>
      </c>
      <c r="T450" s="433"/>
      <c r="U450" s="434"/>
      <c r="W450" s="598"/>
      <c r="Y450" s="734"/>
    </row>
    <row r="451" spans="2:25" s="22" customFormat="1" ht="15.6" x14ac:dyDescent="0.3">
      <c r="B451" s="1637"/>
      <c r="C451" s="1640"/>
      <c r="D451" s="1643"/>
      <c r="E451" s="1645"/>
      <c r="F451" s="19">
        <v>2</v>
      </c>
      <c r="G451" s="9" t="s">
        <v>416</v>
      </c>
      <c r="H451" s="11" t="s">
        <v>324</v>
      </c>
      <c r="I451" s="13">
        <v>7.4999999999999997E-2</v>
      </c>
      <c r="J451" s="20">
        <f>$J$413</f>
        <v>48</v>
      </c>
      <c r="K451" s="21">
        <f>$K$448*I451*J451/(J451+J455)*2</f>
        <v>2334209.9999999995</v>
      </c>
      <c r="L451" s="1030">
        <f t="shared" si="69"/>
        <v>48629.374999999993</v>
      </c>
      <c r="M451" s="91">
        <v>0</v>
      </c>
      <c r="N451" s="921">
        <f t="shared" si="70"/>
        <v>0</v>
      </c>
      <c r="O451" s="91">
        <v>0</v>
      </c>
      <c r="P451" s="921">
        <v>0</v>
      </c>
      <c r="Q451" s="91">
        <f t="shared" si="71"/>
        <v>0</v>
      </c>
      <c r="R451" s="921">
        <f t="shared" si="72"/>
        <v>0</v>
      </c>
      <c r="S451" s="501">
        <f t="shared" si="55"/>
        <v>48</v>
      </c>
      <c r="T451" s="433"/>
      <c r="U451" s="434"/>
      <c r="W451" s="598"/>
      <c r="Y451" s="734"/>
    </row>
    <row r="452" spans="2:25" s="22" customFormat="1" ht="15.6" x14ac:dyDescent="0.3">
      <c r="B452" s="1637"/>
      <c r="C452" s="1640"/>
      <c r="D452" s="1643"/>
      <c r="E452" s="1645"/>
      <c r="F452" s="19">
        <v>3</v>
      </c>
      <c r="G452" s="9" t="s">
        <v>384</v>
      </c>
      <c r="H452" s="11" t="s">
        <v>324</v>
      </c>
      <c r="I452" s="13">
        <v>2.5000000000000001E-2</v>
      </c>
      <c r="J452" s="20">
        <f>$J$414</f>
        <v>48</v>
      </c>
      <c r="K452" s="21">
        <f>$K$448*I452*J452/(J452+J456)*2</f>
        <v>778069.99999999977</v>
      </c>
      <c r="L452" s="1030">
        <f t="shared" si="69"/>
        <v>16209.791666666662</v>
      </c>
      <c r="M452" s="91">
        <v>0</v>
      </c>
      <c r="N452" s="921">
        <f t="shared" si="70"/>
        <v>0</v>
      </c>
      <c r="O452" s="91">
        <v>0</v>
      </c>
      <c r="P452" s="921">
        <v>0</v>
      </c>
      <c r="Q452" s="91">
        <f t="shared" si="71"/>
        <v>0</v>
      </c>
      <c r="R452" s="921">
        <f t="shared" si="72"/>
        <v>0</v>
      </c>
      <c r="S452" s="501">
        <f t="shared" si="55"/>
        <v>48</v>
      </c>
      <c r="T452" s="433"/>
      <c r="U452" s="434"/>
      <c r="W452" s="598"/>
      <c r="Y452" s="734"/>
    </row>
    <row r="453" spans="2:25" s="22" customFormat="1" ht="15.6" x14ac:dyDescent="0.3">
      <c r="B453" s="1637"/>
      <c r="C453" s="1640"/>
      <c r="D453" s="1643"/>
      <c r="E453" s="1645"/>
      <c r="F453" s="278" t="s">
        <v>34</v>
      </c>
      <c r="G453" s="10" t="s">
        <v>425</v>
      </c>
      <c r="H453" s="11"/>
      <c r="I453" s="13"/>
      <c r="J453" s="20"/>
      <c r="K453" s="21"/>
      <c r="L453" s="1030"/>
      <c r="M453" s="91"/>
      <c r="N453" s="921"/>
      <c r="O453" s="91"/>
      <c r="P453" s="921"/>
      <c r="Q453" s="91"/>
      <c r="R453" s="921"/>
      <c r="S453" s="501">
        <f t="shared" si="55"/>
        <v>0</v>
      </c>
      <c r="T453" s="433"/>
      <c r="U453" s="434"/>
      <c r="W453" s="598"/>
      <c r="Y453" s="734"/>
    </row>
    <row r="454" spans="2:25" s="22" customFormat="1" ht="15.6" x14ac:dyDescent="0.3">
      <c r="B454" s="1637"/>
      <c r="C454" s="1640"/>
      <c r="D454" s="1643"/>
      <c r="E454" s="1645"/>
      <c r="F454" s="19">
        <v>1</v>
      </c>
      <c r="G454" s="9" t="s">
        <v>415</v>
      </c>
      <c r="H454" s="11" t="s">
        <v>324</v>
      </c>
      <c r="I454" s="13">
        <v>0.4</v>
      </c>
      <c r="J454" s="20">
        <f>$J$416</f>
        <v>24</v>
      </c>
      <c r="K454" s="21">
        <f>$K$448*I454*J454/(J454+J450)*2</f>
        <v>6224559.9999999981</v>
      </c>
      <c r="L454" s="1030">
        <f t="shared" si="69"/>
        <v>259356.6666666666</v>
      </c>
      <c r="M454" s="91">
        <v>0</v>
      </c>
      <c r="N454" s="921">
        <f t="shared" si="70"/>
        <v>0</v>
      </c>
      <c r="O454" s="91">
        <v>0</v>
      </c>
      <c r="P454" s="921">
        <v>0</v>
      </c>
      <c r="Q454" s="91">
        <f t="shared" si="71"/>
        <v>0</v>
      </c>
      <c r="R454" s="921">
        <f t="shared" si="72"/>
        <v>0</v>
      </c>
      <c r="S454" s="501">
        <f t="shared" si="55"/>
        <v>24</v>
      </c>
      <c r="T454" s="433"/>
      <c r="U454" s="434"/>
      <c r="W454" s="598"/>
      <c r="Y454" s="734"/>
    </row>
    <row r="455" spans="2:25" s="22" customFormat="1" ht="15.6" x14ac:dyDescent="0.3">
      <c r="B455" s="1637"/>
      <c r="C455" s="1640"/>
      <c r="D455" s="1643"/>
      <c r="E455" s="1645"/>
      <c r="F455" s="19">
        <v>2</v>
      </c>
      <c r="G455" s="9" t="s">
        <v>416</v>
      </c>
      <c r="H455" s="11" t="s">
        <v>324</v>
      </c>
      <c r="I455" s="13">
        <v>7.4999999999999997E-2</v>
      </c>
      <c r="J455" s="20">
        <f>$J$417</f>
        <v>24</v>
      </c>
      <c r="K455" s="21">
        <f>$K$448*I455*J455/(J455+J451)*2</f>
        <v>1167104.9999999998</v>
      </c>
      <c r="L455" s="1030">
        <f t="shared" si="69"/>
        <v>48629.374999999993</v>
      </c>
      <c r="M455" s="91">
        <v>0</v>
      </c>
      <c r="N455" s="921">
        <f t="shared" si="70"/>
        <v>0</v>
      </c>
      <c r="O455" s="91">
        <v>0</v>
      </c>
      <c r="P455" s="921">
        <v>0</v>
      </c>
      <c r="Q455" s="91">
        <f t="shared" si="71"/>
        <v>0</v>
      </c>
      <c r="R455" s="921">
        <f t="shared" si="72"/>
        <v>0</v>
      </c>
      <c r="S455" s="501">
        <f t="shared" si="55"/>
        <v>24</v>
      </c>
      <c r="T455" s="433"/>
      <c r="U455" s="434"/>
      <c r="W455" s="598"/>
      <c r="Y455" s="734"/>
    </row>
    <row r="456" spans="2:25" s="22" customFormat="1" ht="15.6" x14ac:dyDescent="0.3">
      <c r="B456" s="1637"/>
      <c r="C456" s="1640"/>
      <c r="D456" s="1643"/>
      <c r="E456" s="1645"/>
      <c r="F456" s="19">
        <v>3</v>
      </c>
      <c r="G456" s="9" t="s">
        <v>384</v>
      </c>
      <c r="H456" s="11" t="s">
        <v>324</v>
      </c>
      <c r="I456" s="13">
        <v>2.5000000000000001E-2</v>
      </c>
      <c r="J456" s="20">
        <f>$J$418</f>
        <v>24</v>
      </c>
      <c r="K456" s="21">
        <f>$K$448*I456*J456/(J456+J452)*2</f>
        <v>389034.99999999988</v>
      </c>
      <c r="L456" s="1030">
        <f t="shared" si="69"/>
        <v>16209.791666666662</v>
      </c>
      <c r="M456" s="91">
        <v>0</v>
      </c>
      <c r="N456" s="921">
        <f t="shared" si="70"/>
        <v>0</v>
      </c>
      <c r="O456" s="91">
        <v>0</v>
      </c>
      <c r="P456" s="921">
        <v>0</v>
      </c>
      <c r="Q456" s="91">
        <f t="shared" si="71"/>
        <v>0</v>
      </c>
      <c r="R456" s="921">
        <f t="shared" si="72"/>
        <v>0</v>
      </c>
      <c r="S456" s="501">
        <f t="shared" si="55"/>
        <v>24</v>
      </c>
      <c r="T456" s="433"/>
      <c r="U456" s="434"/>
      <c r="W456" s="598"/>
      <c r="Y456" s="734"/>
    </row>
    <row r="457" spans="2:25" s="22" customFormat="1" ht="46.8" x14ac:dyDescent="0.3">
      <c r="B457" s="1638"/>
      <c r="C457" s="1641"/>
      <c r="D457" s="1643"/>
      <c r="E457" s="1645"/>
      <c r="F457" s="14">
        <v>511</v>
      </c>
      <c r="G457" s="8" t="s">
        <v>447</v>
      </c>
      <c r="H457" s="15" t="s">
        <v>188</v>
      </c>
      <c r="I457" s="16">
        <v>4.9999999999999992E-3</v>
      </c>
      <c r="J457" s="17"/>
      <c r="K457" s="18">
        <f>I457*$E$378</f>
        <v>19451749.999999996</v>
      </c>
      <c r="L457" s="1029"/>
      <c r="M457" s="95"/>
      <c r="N457" s="923"/>
      <c r="O457" s="95"/>
      <c r="P457" s="923"/>
      <c r="Q457" s="95"/>
      <c r="R457" s="923"/>
      <c r="S457" s="501">
        <f t="shared" si="55"/>
        <v>0</v>
      </c>
      <c r="T457" s="435"/>
      <c r="U457" s="436"/>
      <c r="W457" s="598"/>
      <c r="Y457" s="734"/>
    </row>
    <row r="458" spans="2:25" s="22" customFormat="1" ht="15.6" x14ac:dyDescent="0.3">
      <c r="B458" s="1637"/>
      <c r="C458" s="1640"/>
      <c r="D458" s="1643"/>
      <c r="E458" s="1645"/>
      <c r="F458" s="278" t="s">
        <v>32</v>
      </c>
      <c r="G458" s="10" t="s">
        <v>291</v>
      </c>
      <c r="H458" s="33" t="s">
        <v>320</v>
      </c>
      <c r="I458" s="34">
        <v>1</v>
      </c>
      <c r="J458" s="35">
        <v>1000</v>
      </c>
      <c r="K458" s="21">
        <f>$K$457*I458*J458/(J458)</f>
        <v>19451749.999999996</v>
      </c>
      <c r="L458" s="1030">
        <f>IFERROR(K458/J458,0)</f>
        <v>19451.749999999996</v>
      </c>
      <c r="M458" s="91">
        <v>0</v>
      </c>
      <c r="N458" s="921">
        <f>ROUND(L458*M458,0)</f>
        <v>0</v>
      </c>
      <c r="O458" s="91">
        <v>0</v>
      </c>
      <c r="P458" s="921">
        <v>0</v>
      </c>
      <c r="Q458" s="91">
        <f>M458-O458</f>
        <v>0</v>
      </c>
      <c r="R458" s="921">
        <f t="shared" si="54"/>
        <v>0</v>
      </c>
      <c r="S458" s="501">
        <f t="shared" si="55"/>
        <v>1000</v>
      </c>
      <c r="T458" s="433"/>
      <c r="U458" s="434"/>
      <c r="W458" s="598"/>
      <c r="Y458" s="734"/>
    </row>
    <row r="459" spans="2:25" s="97" customFormat="1" ht="15.6" x14ac:dyDescent="0.3">
      <c r="B459" s="211" t="s">
        <v>158</v>
      </c>
      <c r="C459" s="212"/>
      <c r="D459" s="212"/>
      <c r="E459" s="212"/>
      <c r="F459" s="213"/>
      <c r="G459" s="103"/>
      <c r="H459" s="214"/>
      <c r="I459" s="215"/>
      <c r="J459" s="216"/>
      <c r="K459" s="217"/>
      <c r="L459" s="1027"/>
      <c r="M459" s="218"/>
      <c r="N459" s="927">
        <f>SUM(N379:N458)</f>
        <v>2928149367</v>
      </c>
      <c r="O459" s="218"/>
      <c r="P459" s="927">
        <f>SUM(P379:P458)</f>
        <v>2834648310</v>
      </c>
      <c r="Q459" s="218"/>
      <c r="R459" s="927">
        <f>SUM(R379:R458)</f>
        <v>93501057</v>
      </c>
      <c r="S459" s="501">
        <f t="shared" si="55"/>
        <v>0</v>
      </c>
      <c r="T459" s="438"/>
      <c r="U459" s="439"/>
      <c r="W459" s="1008"/>
      <c r="Y459" s="734"/>
    </row>
    <row r="460" spans="2:25" s="22" customFormat="1" ht="7.5" customHeight="1" x14ac:dyDescent="0.3">
      <c r="B460" s="2"/>
      <c r="C460" s="152"/>
      <c r="D460" s="194"/>
      <c r="E460" s="3"/>
      <c r="F460" s="195"/>
      <c r="G460" s="4"/>
      <c r="H460" s="196"/>
      <c r="I460" s="197"/>
      <c r="J460" s="198"/>
      <c r="K460" s="199"/>
      <c r="L460" s="1022"/>
      <c r="M460" s="200"/>
      <c r="N460" s="928"/>
      <c r="O460" s="200"/>
      <c r="P460" s="928"/>
      <c r="Q460" s="200"/>
      <c r="R460" s="929"/>
      <c r="S460" s="501">
        <f t="shared" si="55"/>
        <v>0</v>
      </c>
      <c r="T460" s="440"/>
      <c r="U460" s="441"/>
      <c r="W460" s="598"/>
      <c r="Y460" s="734"/>
    </row>
    <row r="461" spans="2:25" s="22" customFormat="1" ht="15.6" x14ac:dyDescent="0.3">
      <c r="B461" s="1691" t="s">
        <v>159</v>
      </c>
      <c r="C461" s="1651" t="s">
        <v>160</v>
      </c>
      <c r="D461" s="1687">
        <v>2.5000000000000001E-2</v>
      </c>
      <c r="E461" s="1674">
        <f>D461*(26885400000-55400000)</f>
        <v>670750000</v>
      </c>
      <c r="F461" s="26">
        <v>601</v>
      </c>
      <c r="G461" s="6" t="s">
        <v>448</v>
      </c>
      <c r="H461" s="27" t="s">
        <v>188</v>
      </c>
      <c r="I461" s="28">
        <v>0.01</v>
      </c>
      <c r="J461" s="29"/>
      <c r="K461" s="30">
        <f>I461*$E$461</f>
        <v>6707500</v>
      </c>
      <c r="L461" s="1028"/>
      <c r="M461" s="94"/>
      <c r="N461" s="922"/>
      <c r="O461" s="94"/>
      <c r="P461" s="922"/>
      <c r="Q461" s="94"/>
      <c r="R461" s="922"/>
      <c r="S461" s="501">
        <f t="shared" si="55"/>
        <v>0</v>
      </c>
      <c r="T461" s="435"/>
      <c r="U461" s="436"/>
      <c r="W461" s="598"/>
      <c r="Y461" s="734"/>
    </row>
    <row r="462" spans="2:25" s="22" customFormat="1" ht="15.6" x14ac:dyDescent="0.3">
      <c r="B462" s="1692"/>
      <c r="C462" s="1652"/>
      <c r="D462" s="1688"/>
      <c r="E462" s="1675"/>
      <c r="F462" s="278" t="s">
        <v>32</v>
      </c>
      <c r="G462" s="10" t="s">
        <v>449</v>
      </c>
      <c r="H462" s="11" t="s">
        <v>320</v>
      </c>
      <c r="I462" s="13">
        <v>0.5</v>
      </c>
      <c r="J462" s="20">
        <f>12+12+36</f>
        <v>60</v>
      </c>
      <c r="K462" s="21">
        <f>$K$461*I462*J462/(J462+J463)*2</f>
        <v>3353750</v>
      </c>
      <c r="L462" s="1030">
        <f>IFERROR(K462/J462,0)</f>
        <v>55895.833333333336</v>
      </c>
      <c r="M462" s="91">
        <v>0</v>
      </c>
      <c r="N462" s="921">
        <f t="shared" ref="N462:N490" si="73">ROUND(L462*M462,0)</f>
        <v>0</v>
      </c>
      <c r="O462" s="91">
        <v>0</v>
      </c>
      <c r="P462" s="921">
        <v>0</v>
      </c>
      <c r="Q462" s="91">
        <f>M462-O462</f>
        <v>0</v>
      </c>
      <c r="R462" s="921">
        <f>N462-P462</f>
        <v>0</v>
      </c>
      <c r="S462" s="501">
        <f t="shared" si="55"/>
        <v>60</v>
      </c>
      <c r="T462" s="433"/>
      <c r="U462" s="434"/>
      <c r="W462" s="598"/>
      <c r="Y462" s="734"/>
    </row>
    <row r="463" spans="2:25" s="22" customFormat="1" ht="15.6" x14ac:dyDescent="0.3">
      <c r="B463" s="1692"/>
      <c r="C463" s="1652"/>
      <c r="D463" s="1688"/>
      <c r="E463" s="1675"/>
      <c r="F463" s="278" t="s">
        <v>34</v>
      </c>
      <c r="G463" s="10" t="s">
        <v>450</v>
      </c>
      <c r="H463" s="11" t="s">
        <v>320</v>
      </c>
      <c r="I463" s="13">
        <v>0.5</v>
      </c>
      <c r="J463" s="20">
        <f>12+12+36</f>
        <v>60</v>
      </c>
      <c r="K463" s="21">
        <f>$K$461*I463*J463/(J463+J462)*2</f>
        <v>3353750</v>
      </c>
      <c r="L463" s="1032">
        <f>IFERROR(K463/J463,0)</f>
        <v>55895.833333333336</v>
      </c>
      <c r="M463" s="91">
        <v>0</v>
      </c>
      <c r="N463" s="921">
        <f t="shared" si="73"/>
        <v>0</v>
      </c>
      <c r="O463" s="91">
        <v>0</v>
      </c>
      <c r="P463" s="921">
        <v>0</v>
      </c>
      <c r="Q463" s="91">
        <f>M463-O463</f>
        <v>0</v>
      </c>
      <c r="R463" s="921">
        <f>N463-P463</f>
        <v>0</v>
      </c>
      <c r="S463" s="501">
        <f t="shared" si="55"/>
        <v>60</v>
      </c>
      <c r="T463" s="433"/>
      <c r="U463" s="434"/>
      <c r="W463" s="598"/>
      <c r="Y463" s="734"/>
    </row>
    <row r="464" spans="2:25" s="22" customFormat="1" ht="15.6" x14ac:dyDescent="0.3">
      <c r="B464" s="1692"/>
      <c r="C464" s="1652"/>
      <c r="D464" s="1688"/>
      <c r="E464" s="1675"/>
      <c r="F464" s="14">
        <f>F461+1</f>
        <v>602</v>
      </c>
      <c r="G464" s="8" t="s">
        <v>451</v>
      </c>
      <c r="H464" s="15" t="s">
        <v>188</v>
      </c>
      <c r="I464" s="16">
        <v>1E-3</v>
      </c>
      <c r="J464" s="17"/>
      <c r="K464" s="18">
        <f>I464*$E$461</f>
        <v>670750</v>
      </c>
      <c r="L464" s="1029"/>
      <c r="M464" s="95"/>
      <c r="N464" s="923"/>
      <c r="O464" s="95"/>
      <c r="P464" s="923"/>
      <c r="Q464" s="95"/>
      <c r="R464" s="923"/>
      <c r="S464" s="501">
        <f t="shared" si="55"/>
        <v>0</v>
      </c>
      <c r="T464" s="435"/>
      <c r="U464" s="436"/>
      <c r="W464" s="598"/>
      <c r="Y464" s="734"/>
    </row>
    <row r="465" spans="2:25" s="22" customFormat="1" ht="15.6" x14ac:dyDescent="0.3">
      <c r="B465" s="1692"/>
      <c r="C465" s="1652"/>
      <c r="D465" s="1688"/>
      <c r="E465" s="1675"/>
      <c r="F465" s="278" t="s">
        <v>32</v>
      </c>
      <c r="G465" s="10" t="s">
        <v>451</v>
      </c>
      <c r="H465" s="11" t="s">
        <v>320</v>
      </c>
      <c r="I465" s="13">
        <v>1</v>
      </c>
      <c r="J465" s="20">
        <f>12+12+36</f>
        <v>60</v>
      </c>
      <c r="K465" s="21">
        <f>$K$464*I465</f>
        <v>670750</v>
      </c>
      <c r="L465" s="1032">
        <f>IFERROR(K465/J465,0)</f>
        <v>11179.166666666666</v>
      </c>
      <c r="M465" s="91">
        <v>0</v>
      </c>
      <c r="N465" s="921">
        <f t="shared" si="73"/>
        <v>0</v>
      </c>
      <c r="O465" s="91">
        <v>0</v>
      </c>
      <c r="P465" s="921">
        <v>0</v>
      </c>
      <c r="Q465" s="91">
        <f>M465-O465</f>
        <v>0</v>
      </c>
      <c r="R465" s="921">
        <f>N465-P465</f>
        <v>0</v>
      </c>
      <c r="S465" s="501">
        <f t="shared" si="55"/>
        <v>60</v>
      </c>
      <c r="T465" s="433"/>
      <c r="U465" s="434"/>
      <c r="W465" s="598"/>
      <c r="Y465" s="734"/>
    </row>
    <row r="466" spans="2:25" s="22" customFormat="1" ht="15.6" x14ac:dyDescent="0.3">
      <c r="B466" s="1692"/>
      <c r="C466" s="1652"/>
      <c r="D466" s="1688"/>
      <c r="E466" s="1675"/>
      <c r="F466" s="14">
        <f>F464+1</f>
        <v>603</v>
      </c>
      <c r="G466" s="8" t="s">
        <v>371</v>
      </c>
      <c r="H466" s="15" t="s">
        <v>188</v>
      </c>
      <c r="I466" s="16">
        <v>0.49</v>
      </c>
      <c r="J466" s="17"/>
      <c r="K466" s="18">
        <f>I466*$E$461</f>
        <v>328667500</v>
      </c>
      <c r="L466" s="1029"/>
      <c r="M466" s="95"/>
      <c r="N466" s="923"/>
      <c r="O466" s="95"/>
      <c r="P466" s="923"/>
      <c r="Q466" s="95"/>
      <c r="R466" s="923"/>
      <c r="S466" s="501">
        <f t="shared" si="55"/>
        <v>0</v>
      </c>
      <c r="T466" s="435"/>
      <c r="U466" s="436"/>
      <c r="W466" s="598"/>
      <c r="Y466" s="734"/>
    </row>
    <row r="467" spans="2:25" s="22" customFormat="1" ht="15.6" x14ac:dyDescent="0.3">
      <c r="B467" s="1692"/>
      <c r="C467" s="1652"/>
      <c r="D467" s="1688"/>
      <c r="E467" s="1675"/>
      <c r="F467" s="278" t="s">
        <v>32</v>
      </c>
      <c r="G467" s="10" t="s">
        <v>452</v>
      </c>
      <c r="H467" s="11" t="s">
        <v>190</v>
      </c>
      <c r="I467" s="13">
        <f>90%*60%</f>
        <v>0.54</v>
      </c>
      <c r="J467" s="20">
        <v>16</v>
      </c>
      <c r="K467" s="25">
        <f>I467*$K$466</f>
        <v>177480450</v>
      </c>
      <c r="L467" s="1030">
        <f>IFERROR(K467/J467,0)</f>
        <v>11092528.125</v>
      </c>
      <c r="M467" s="91">
        <f>'Schedule 6'!$F$26</f>
        <v>16</v>
      </c>
      <c r="N467" s="921">
        <f t="shared" si="73"/>
        <v>177480450</v>
      </c>
      <c r="O467" s="91">
        <f>'Schedule 6'!$F$27</f>
        <v>16</v>
      </c>
      <c r="P467" s="921">
        <v>177480450</v>
      </c>
      <c r="Q467" s="91">
        <f t="shared" ref="Q467:R469" si="74">M467-O467</f>
        <v>0</v>
      </c>
      <c r="R467" s="921">
        <f t="shared" si="74"/>
        <v>0</v>
      </c>
      <c r="S467" s="501">
        <f t="shared" si="55"/>
        <v>0</v>
      </c>
      <c r="T467" s="433"/>
      <c r="U467" s="434"/>
      <c r="W467" s="598"/>
      <c r="Y467" s="734"/>
    </row>
    <row r="468" spans="2:25" s="22" customFormat="1" ht="15.6" x14ac:dyDescent="0.3">
      <c r="B468" s="1692"/>
      <c r="C468" s="1652"/>
      <c r="D468" s="1688"/>
      <c r="E468" s="1675"/>
      <c r="F468" s="278" t="s">
        <v>34</v>
      </c>
      <c r="G468" s="10" t="s">
        <v>453</v>
      </c>
      <c r="H468" s="11" t="s">
        <v>190</v>
      </c>
      <c r="I468" s="13">
        <f>90%*40%</f>
        <v>0.36000000000000004</v>
      </c>
      <c r="J468" s="20">
        <v>2</v>
      </c>
      <c r="K468" s="25">
        <f>I468*$K$466</f>
        <v>118320300.00000001</v>
      </c>
      <c r="L468" s="1030">
        <f>IFERROR(K468/J468,0)</f>
        <v>59160150.000000007</v>
      </c>
      <c r="M468" s="91">
        <f>'Schedule 6'!$F$35</f>
        <v>2</v>
      </c>
      <c r="N468" s="921">
        <f t="shared" si="73"/>
        <v>118320300</v>
      </c>
      <c r="O468" s="91">
        <f>'Schedule 6'!$F$36</f>
        <v>2</v>
      </c>
      <c r="P468" s="921">
        <v>118320300</v>
      </c>
      <c r="Q468" s="91">
        <f t="shared" si="74"/>
        <v>0</v>
      </c>
      <c r="R468" s="921">
        <f t="shared" si="74"/>
        <v>0</v>
      </c>
      <c r="S468" s="501">
        <f t="shared" si="55"/>
        <v>0</v>
      </c>
      <c r="T468" s="433"/>
      <c r="U468" s="434"/>
      <c r="W468" s="598"/>
      <c r="Y468" s="734"/>
    </row>
    <row r="469" spans="2:25" s="22" customFormat="1" ht="15.6" x14ac:dyDescent="0.3">
      <c r="B469" s="1692"/>
      <c r="C469" s="1652"/>
      <c r="D469" s="1688"/>
      <c r="E469" s="1675"/>
      <c r="F469" s="278" t="s">
        <v>37</v>
      </c>
      <c r="G469" s="10" t="s">
        <v>454</v>
      </c>
      <c r="H469" s="11" t="s">
        <v>190</v>
      </c>
      <c r="I469" s="13">
        <v>0.1</v>
      </c>
      <c r="J469" s="20">
        <v>4</v>
      </c>
      <c r="K469" s="25">
        <f>I469*$K$466</f>
        <v>32866750</v>
      </c>
      <c r="L469" s="1030">
        <f>IFERROR(K469/J469,0)</f>
        <v>8216687.5</v>
      </c>
      <c r="M469" s="91">
        <f>'Schedule 6'!$F$44</f>
        <v>4</v>
      </c>
      <c r="N469" s="921">
        <f>ROUND(L469*M469,0)</f>
        <v>32866750</v>
      </c>
      <c r="O469" s="91">
        <f>'Schedule 6'!$F$45</f>
        <v>4</v>
      </c>
      <c r="P469" s="921">
        <v>32866750</v>
      </c>
      <c r="Q469" s="91">
        <f t="shared" si="74"/>
        <v>0</v>
      </c>
      <c r="R469" s="921">
        <f t="shared" si="74"/>
        <v>0</v>
      </c>
      <c r="S469" s="501">
        <f>J469-M469</f>
        <v>0</v>
      </c>
      <c r="T469" s="433"/>
      <c r="U469" s="434"/>
      <c r="W469" s="598"/>
      <c r="Y469" s="734"/>
    </row>
    <row r="470" spans="2:25" s="22" customFormat="1" ht="15.6" customHeight="1" x14ac:dyDescent="0.3">
      <c r="B470" s="1692"/>
      <c r="C470" s="1652"/>
      <c r="D470" s="1688"/>
      <c r="E470" s="1675"/>
      <c r="F470" s="14">
        <f>F466+1</f>
        <v>604</v>
      </c>
      <c r="G470" s="8" t="s">
        <v>455</v>
      </c>
      <c r="H470" s="15" t="s">
        <v>188</v>
      </c>
      <c r="I470" s="16">
        <v>0.378</v>
      </c>
      <c r="J470" s="17"/>
      <c r="K470" s="18">
        <f>I470*$E$461</f>
        <v>253543500</v>
      </c>
      <c r="L470" s="1029"/>
      <c r="M470" s="95"/>
      <c r="N470" s="923"/>
      <c r="O470" s="95"/>
      <c r="P470" s="923"/>
      <c r="Q470" s="95"/>
      <c r="R470" s="923"/>
      <c r="S470" s="501">
        <f t="shared" si="55"/>
        <v>0</v>
      </c>
      <c r="T470" s="435"/>
      <c r="U470" s="436"/>
      <c r="W470" s="598"/>
      <c r="Y470" s="734"/>
    </row>
    <row r="471" spans="2:25" s="22" customFormat="1" ht="15.6" x14ac:dyDescent="0.3">
      <c r="B471" s="1692"/>
      <c r="C471" s="1652"/>
      <c r="D471" s="1688"/>
      <c r="E471" s="1675"/>
      <c r="F471" s="278" t="s">
        <v>32</v>
      </c>
      <c r="G471" s="10" t="s">
        <v>456</v>
      </c>
      <c r="H471" s="11" t="s">
        <v>190</v>
      </c>
      <c r="I471" s="13">
        <f>80%*60%</f>
        <v>0.48</v>
      </c>
      <c r="J471" s="20">
        <v>2</v>
      </c>
      <c r="K471" s="25">
        <f>I471*$K$470</f>
        <v>121700880</v>
      </c>
      <c r="L471" s="1030">
        <f>IFERROR(K471/J471,0)</f>
        <v>60850440</v>
      </c>
      <c r="M471" s="91">
        <f>'Schedule 6'!$F$54</f>
        <v>2</v>
      </c>
      <c r="N471" s="921">
        <f t="shared" si="73"/>
        <v>121700880</v>
      </c>
      <c r="O471" s="91">
        <f>'Schedule 6'!$F$55</f>
        <v>2</v>
      </c>
      <c r="P471" s="921">
        <v>121700880</v>
      </c>
      <c r="Q471" s="91">
        <f t="shared" ref="Q471:R473" si="75">M471-O471</f>
        <v>0</v>
      </c>
      <c r="R471" s="921">
        <f t="shared" si="75"/>
        <v>0</v>
      </c>
      <c r="S471" s="501">
        <f t="shared" si="55"/>
        <v>0</v>
      </c>
      <c r="T471" s="433"/>
      <c r="U471" s="434"/>
      <c r="W471" s="598"/>
      <c r="Y471" s="734"/>
    </row>
    <row r="472" spans="2:25" s="22" customFormat="1" ht="15.6" x14ac:dyDescent="0.3">
      <c r="B472" s="1692"/>
      <c r="C472" s="1652"/>
      <c r="D472" s="1688"/>
      <c r="E472" s="1675"/>
      <c r="F472" s="278" t="s">
        <v>34</v>
      </c>
      <c r="G472" s="10" t="s">
        <v>457</v>
      </c>
      <c r="H472" s="11" t="s">
        <v>190</v>
      </c>
      <c r="I472" s="13">
        <f>80%*40%</f>
        <v>0.32000000000000006</v>
      </c>
      <c r="J472" s="20">
        <v>4</v>
      </c>
      <c r="K472" s="21">
        <f>I472*$K$470</f>
        <v>81133920.000000015</v>
      </c>
      <c r="L472" s="1030">
        <f>IFERROR(K472/J472,0)</f>
        <v>20283480.000000004</v>
      </c>
      <c r="M472" s="92">
        <f>'Schedule 6'!$F$65</f>
        <v>4</v>
      </c>
      <c r="N472" s="924">
        <f t="shared" si="73"/>
        <v>81133920</v>
      </c>
      <c r="O472" s="92">
        <f>'Schedule 6'!$F$66</f>
        <v>4</v>
      </c>
      <c r="P472" s="924">
        <v>81133920</v>
      </c>
      <c r="Q472" s="92">
        <f t="shared" si="75"/>
        <v>0</v>
      </c>
      <c r="R472" s="924">
        <f t="shared" si="75"/>
        <v>0</v>
      </c>
      <c r="S472" s="1147">
        <f t="shared" si="55"/>
        <v>0</v>
      </c>
      <c r="T472" s="1150"/>
      <c r="U472" s="1151"/>
      <c r="W472" s="1149"/>
      <c r="Y472" s="734"/>
    </row>
    <row r="473" spans="2:25" s="22" customFormat="1" ht="15.6" x14ac:dyDescent="0.3">
      <c r="B473" s="1692"/>
      <c r="C473" s="1652"/>
      <c r="D473" s="1688"/>
      <c r="E473" s="1675"/>
      <c r="F473" s="278" t="s">
        <v>37</v>
      </c>
      <c r="G473" s="10" t="s">
        <v>458</v>
      </c>
      <c r="H473" s="11" t="s">
        <v>190</v>
      </c>
      <c r="I473" s="13">
        <v>0.2</v>
      </c>
      <c r="J473" s="20">
        <v>2</v>
      </c>
      <c r="K473" s="25">
        <f>I473*$K$470</f>
        <v>50708700</v>
      </c>
      <c r="L473" s="1030">
        <f>IFERROR(K473/J473,0)</f>
        <v>25354350</v>
      </c>
      <c r="M473" s="91">
        <f>'Schedule 6'!$F$74</f>
        <v>2</v>
      </c>
      <c r="N473" s="921">
        <f>ROUND(L473*M473,0)</f>
        <v>50708700</v>
      </c>
      <c r="O473" s="91">
        <f>'Schedule 6'!$F$75</f>
        <v>2</v>
      </c>
      <c r="P473" s="921">
        <v>50708700</v>
      </c>
      <c r="Q473" s="91">
        <f t="shared" si="75"/>
        <v>0</v>
      </c>
      <c r="R473" s="921">
        <f t="shared" si="75"/>
        <v>0</v>
      </c>
      <c r="S473" s="501">
        <f>J473-M473</f>
        <v>0</v>
      </c>
      <c r="T473" s="433"/>
      <c r="U473" s="434"/>
      <c r="W473" s="598"/>
      <c r="Y473" s="734"/>
    </row>
    <row r="474" spans="2:25" s="22" customFormat="1" ht="31.2" x14ac:dyDescent="0.3">
      <c r="B474" s="1692"/>
      <c r="C474" s="1652"/>
      <c r="D474" s="1688"/>
      <c r="E474" s="1675"/>
      <c r="F474" s="14">
        <f>F470+1</f>
        <v>605</v>
      </c>
      <c r="G474" s="8" t="s">
        <v>382</v>
      </c>
      <c r="H474" s="15" t="s">
        <v>188</v>
      </c>
      <c r="I474" s="16">
        <v>8.9999999999999993E-3</v>
      </c>
      <c r="J474" s="17"/>
      <c r="K474" s="18">
        <f>I474*$E$461</f>
        <v>6036750</v>
      </c>
      <c r="L474" s="1029"/>
      <c r="M474" s="95"/>
      <c r="N474" s="923"/>
      <c r="O474" s="95"/>
      <c r="P474" s="923"/>
      <c r="Q474" s="95"/>
      <c r="R474" s="923"/>
      <c r="S474" s="501">
        <f t="shared" si="55"/>
        <v>0</v>
      </c>
      <c r="T474" s="435"/>
      <c r="U474" s="436"/>
      <c r="W474" s="598"/>
      <c r="Y474" s="734"/>
    </row>
    <row r="475" spans="2:25" s="22" customFormat="1" ht="15.6" x14ac:dyDescent="0.3">
      <c r="B475" s="1692"/>
      <c r="C475" s="1652"/>
      <c r="D475" s="1688"/>
      <c r="E475" s="1675"/>
      <c r="F475" s="278" t="s">
        <v>32</v>
      </c>
      <c r="G475" s="10" t="s">
        <v>459</v>
      </c>
      <c r="H475" s="11" t="s">
        <v>333</v>
      </c>
      <c r="I475" s="23">
        <v>0.5</v>
      </c>
      <c r="J475" s="20">
        <v>32</v>
      </c>
      <c r="K475" s="25">
        <f>I475*$K$474</f>
        <v>3018375</v>
      </c>
      <c r="L475" s="988">
        <f>IFERROR(K475/J475,0)</f>
        <v>94324.21875</v>
      </c>
      <c r="M475" s="91">
        <v>0</v>
      </c>
      <c r="N475" s="921">
        <f t="shared" si="73"/>
        <v>0</v>
      </c>
      <c r="O475" s="91">
        <v>0</v>
      </c>
      <c r="P475" s="921">
        <v>0</v>
      </c>
      <c r="Q475" s="91">
        <f t="shared" ref="Q475:R477" si="76">M475-O475</f>
        <v>0</v>
      </c>
      <c r="R475" s="921">
        <f t="shared" si="76"/>
        <v>0</v>
      </c>
      <c r="S475" s="501">
        <f t="shared" ref="S475:S528" si="77">J475-M475</f>
        <v>32</v>
      </c>
      <c r="T475" s="433"/>
      <c r="U475" s="434"/>
      <c r="W475" s="598"/>
      <c r="Y475" s="734"/>
    </row>
    <row r="476" spans="2:25" s="22" customFormat="1" ht="15.6" x14ac:dyDescent="0.3">
      <c r="B476" s="1692"/>
      <c r="C476" s="1652"/>
      <c r="D476" s="1688"/>
      <c r="E476" s="1675"/>
      <c r="F476" s="278" t="s">
        <v>34</v>
      </c>
      <c r="G476" s="10" t="s">
        <v>384</v>
      </c>
      <c r="H476" s="11" t="s">
        <v>333</v>
      </c>
      <c r="I476" s="23">
        <v>0.3</v>
      </c>
      <c r="J476" s="20">
        <f>J475</f>
        <v>32</v>
      </c>
      <c r="K476" s="25">
        <f>I476*$K$474</f>
        <v>1811025</v>
      </c>
      <c r="L476" s="988">
        <f>IFERROR(K476/J476,0)</f>
        <v>56594.53125</v>
      </c>
      <c r="M476" s="91">
        <v>0</v>
      </c>
      <c r="N476" s="921">
        <f t="shared" si="73"/>
        <v>0</v>
      </c>
      <c r="O476" s="91">
        <v>0</v>
      </c>
      <c r="P476" s="921">
        <v>0</v>
      </c>
      <c r="Q476" s="91">
        <f t="shared" si="76"/>
        <v>0</v>
      </c>
      <c r="R476" s="921">
        <f t="shared" si="76"/>
        <v>0</v>
      </c>
      <c r="S476" s="501">
        <f t="shared" si="77"/>
        <v>32</v>
      </c>
      <c r="T476" s="433"/>
      <c r="U476" s="434"/>
      <c r="W476" s="598"/>
      <c r="Y476" s="734"/>
    </row>
    <row r="477" spans="2:25" s="22" customFormat="1" ht="15.6" x14ac:dyDescent="0.3">
      <c r="B477" s="1692"/>
      <c r="C477" s="1652"/>
      <c r="D477" s="1688"/>
      <c r="E477" s="1675"/>
      <c r="F477" s="278" t="s">
        <v>37</v>
      </c>
      <c r="G477" s="10" t="s">
        <v>460</v>
      </c>
      <c r="H477" s="11" t="s">
        <v>324</v>
      </c>
      <c r="I477" s="23">
        <v>0.2</v>
      </c>
      <c r="J477" s="20">
        <f>4*2*3*0+3*2</f>
        <v>6</v>
      </c>
      <c r="K477" s="25">
        <f>I477*$K$474</f>
        <v>1207350</v>
      </c>
      <c r="L477" s="988">
        <f>IFERROR(K477/J477,0)</f>
        <v>201225</v>
      </c>
      <c r="M477" s="91">
        <v>0</v>
      </c>
      <c r="N477" s="921">
        <f t="shared" si="73"/>
        <v>0</v>
      </c>
      <c r="O477" s="91">
        <v>0</v>
      </c>
      <c r="P477" s="921">
        <v>0</v>
      </c>
      <c r="Q477" s="91">
        <f t="shared" si="76"/>
        <v>0</v>
      </c>
      <c r="R477" s="921">
        <f t="shared" si="76"/>
        <v>0</v>
      </c>
      <c r="S477" s="501">
        <f t="shared" si="77"/>
        <v>6</v>
      </c>
      <c r="T477" s="433"/>
      <c r="U477" s="434"/>
      <c r="W477" s="598"/>
      <c r="Y477" s="734"/>
    </row>
    <row r="478" spans="2:25" s="22" customFormat="1" ht="15.6" x14ac:dyDescent="0.3">
      <c r="B478" s="1692"/>
      <c r="C478" s="1652"/>
      <c r="D478" s="1688"/>
      <c r="E478" s="1675"/>
      <c r="F478" s="14">
        <f>F474+1</f>
        <v>606</v>
      </c>
      <c r="G478" s="8" t="s">
        <v>461</v>
      </c>
      <c r="H478" s="15" t="s">
        <v>188</v>
      </c>
      <c r="I478" s="16">
        <v>0.10100000000000001</v>
      </c>
      <c r="J478" s="17"/>
      <c r="K478" s="18">
        <f>I478*$E$461</f>
        <v>67745750</v>
      </c>
      <c r="L478" s="1029"/>
      <c r="M478" s="95"/>
      <c r="N478" s="923"/>
      <c r="O478" s="95"/>
      <c r="P478" s="923"/>
      <c r="Q478" s="95"/>
      <c r="R478" s="923"/>
      <c r="S478" s="501">
        <f t="shared" si="77"/>
        <v>0</v>
      </c>
      <c r="T478" s="435"/>
      <c r="U478" s="436"/>
      <c r="W478" s="598"/>
      <c r="Y478" s="734"/>
    </row>
    <row r="479" spans="2:25" s="22" customFormat="1" ht="15.6" x14ac:dyDescent="0.3">
      <c r="B479" s="1692"/>
      <c r="C479" s="1652"/>
      <c r="D479" s="1688"/>
      <c r="E479" s="1675"/>
      <c r="F479" s="278" t="s">
        <v>32</v>
      </c>
      <c r="G479" s="10" t="s">
        <v>462</v>
      </c>
      <c r="H479" s="11" t="s">
        <v>340</v>
      </c>
      <c r="I479" s="23">
        <v>0.4</v>
      </c>
      <c r="J479" s="20">
        <v>8</v>
      </c>
      <c r="K479" s="25">
        <f>I479*$K$478</f>
        <v>27098300</v>
      </c>
      <c r="L479" s="988">
        <f>IFERROR(K479/J479,0)</f>
        <v>3387287.5</v>
      </c>
      <c r="M479" s="92">
        <v>0</v>
      </c>
      <c r="N479" s="921">
        <f t="shared" si="73"/>
        <v>0</v>
      </c>
      <c r="O479" s="91">
        <v>0</v>
      </c>
      <c r="P479" s="921">
        <v>0</v>
      </c>
      <c r="Q479" s="91">
        <f t="shared" ref="Q479:R482" si="78">M479-O479</f>
        <v>0</v>
      </c>
      <c r="R479" s="921">
        <f t="shared" si="78"/>
        <v>0</v>
      </c>
      <c r="S479" s="501">
        <f t="shared" si="77"/>
        <v>8</v>
      </c>
      <c r="T479" s="433"/>
      <c r="U479" s="434"/>
      <c r="W479" s="598"/>
      <c r="Y479" s="734"/>
    </row>
    <row r="480" spans="2:25" s="22" customFormat="1" ht="15.6" x14ac:dyDescent="0.3">
      <c r="B480" s="1692"/>
      <c r="C480" s="1652"/>
      <c r="D480" s="1688"/>
      <c r="E480" s="1675"/>
      <c r="F480" s="278" t="s">
        <v>34</v>
      </c>
      <c r="G480" s="10" t="s">
        <v>463</v>
      </c>
      <c r="H480" s="11" t="s">
        <v>340</v>
      </c>
      <c r="I480" s="23">
        <v>0.2</v>
      </c>
      <c r="J480" s="20">
        <v>8</v>
      </c>
      <c r="K480" s="25">
        <f>I480*$K$478</f>
        <v>13549150</v>
      </c>
      <c r="L480" s="988">
        <f>IFERROR(K480/J480,0)</f>
        <v>1693643.75</v>
      </c>
      <c r="M480" s="91">
        <v>0</v>
      </c>
      <c r="N480" s="921">
        <f>ROUND(L480*M480,0)</f>
        <v>0</v>
      </c>
      <c r="O480" s="91">
        <v>0</v>
      </c>
      <c r="P480" s="921">
        <v>0</v>
      </c>
      <c r="Q480" s="91">
        <f t="shared" si="78"/>
        <v>0</v>
      </c>
      <c r="R480" s="921">
        <f t="shared" si="78"/>
        <v>0</v>
      </c>
      <c r="S480" s="501">
        <f t="shared" si="77"/>
        <v>8</v>
      </c>
      <c r="T480" s="433"/>
      <c r="U480" s="434"/>
      <c r="W480" s="598"/>
      <c r="Y480" s="734"/>
    </row>
    <row r="481" spans="2:27" s="22" customFormat="1" ht="15.6" x14ac:dyDescent="0.3">
      <c r="B481" s="1692"/>
      <c r="C481" s="1652"/>
      <c r="D481" s="1688"/>
      <c r="E481" s="1675"/>
      <c r="F481" s="278" t="s">
        <v>37</v>
      </c>
      <c r="G481" s="10" t="s">
        <v>464</v>
      </c>
      <c r="H481" s="11" t="s">
        <v>324</v>
      </c>
      <c r="I481" s="23">
        <v>0.24</v>
      </c>
      <c r="J481" s="20">
        <v>2</v>
      </c>
      <c r="K481" s="25">
        <f>I481*$K$478</f>
        <v>16258980</v>
      </c>
      <c r="L481" s="988">
        <f>IFERROR(K481/J481,0)</f>
        <v>8129490</v>
      </c>
      <c r="M481" s="91">
        <v>0</v>
      </c>
      <c r="N481" s="921">
        <f>ROUND(L481*M481,0)</f>
        <v>0</v>
      </c>
      <c r="O481" s="91">
        <v>0</v>
      </c>
      <c r="P481" s="921">
        <v>0</v>
      </c>
      <c r="Q481" s="91">
        <f t="shared" si="78"/>
        <v>0</v>
      </c>
      <c r="R481" s="921">
        <f t="shared" si="78"/>
        <v>0</v>
      </c>
      <c r="S481" s="501">
        <f t="shared" si="77"/>
        <v>2</v>
      </c>
      <c r="T481" s="433"/>
      <c r="U481" s="434"/>
      <c r="W481" s="598"/>
      <c r="Y481" s="734"/>
    </row>
    <row r="482" spans="2:27" s="22" customFormat="1" ht="15.6" x14ac:dyDescent="0.3">
      <c r="B482" s="1692"/>
      <c r="C482" s="1652"/>
      <c r="D482" s="1688"/>
      <c r="E482" s="1675"/>
      <c r="F482" s="278" t="s">
        <v>39</v>
      </c>
      <c r="G482" s="10" t="s">
        <v>465</v>
      </c>
      <c r="H482" s="11" t="s">
        <v>324</v>
      </c>
      <c r="I482" s="13">
        <v>0.16000000000000003</v>
      </c>
      <c r="J482" s="20">
        <v>4</v>
      </c>
      <c r="K482" s="21">
        <f>I482*$K$478</f>
        <v>10839320.000000002</v>
      </c>
      <c r="L482" s="1030">
        <f>IFERROR(K482/J482,0)</f>
        <v>2709830.0000000005</v>
      </c>
      <c r="M482" s="92">
        <f>'Schedule 6'!$F$84</f>
        <v>4</v>
      </c>
      <c r="N482" s="924">
        <f>ROUND(L482*M482,0)</f>
        <v>10839320</v>
      </c>
      <c r="O482" s="92">
        <f>'Schedule 6'!$F$85</f>
        <v>4</v>
      </c>
      <c r="P482" s="924">
        <v>10839320</v>
      </c>
      <c r="Q482" s="92">
        <f t="shared" si="78"/>
        <v>0</v>
      </c>
      <c r="R482" s="924">
        <f t="shared" si="78"/>
        <v>0</v>
      </c>
      <c r="S482" s="1147">
        <f>J482-M482</f>
        <v>0</v>
      </c>
      <c r="T482" s="437"/>
      <c r="U482" s="442"/>
      <c r="W482" s="1149"/>
      <c r="Y482" s="734"/>
    </row>
    <row r="483" spans="2:27" s="22" customFormat="1" ht="15.6" x14ac:dyDescent="0.3">
      <c r="B483" s="1692"/>
      <c r="C483" s="1652"/>
      <c r="D483" s="1688"/>
      <c r="E483" s="1675"/>
      <c r="F483" s="14">
        <f>F478+1</f>
        <v>607</v>
      </c>
      <c r="G483" s="8" t="s">
        <v>441</v>
      </c>
      <c r="H483" s="15" t="s">
        <v>188</v>
      </c>
      <c r="I483" s="16">
        <v>7.0000000000000001E-3</v>
      </c>
      <c r="J483" s="17"/>
      <c r="K483" s="18">
        <f>I483*$E$461</f>
        <v>4695250</v>
      </c>
      <c r="L483" s="1029"/>
      <c r="M483" s="95"/>
      <c r="N483" s="923"/>
      <c r="O483" s="95"/>
      <c r="P483" s="923"/>
      <c r="Q483" s="95"/>
      <c r="R483" s="923"/>
      <c r="S483" s="501">
        <f t="shared" si="77"/>
        <v>0</v>
      </c>
      <c r="T483" s="435"/>
      <c r="U483" s="436"/>
      <c r="W483" s="598"/>
      <c r="Y483" s="734"/>
    </row>
    <row r="484" spans="2:27" s="22" customFormat="1" ht="15.6" x14ac:dyDescent="0.3">
      <c r="B484" s="1692"/>
      <c r="C484" s="1652"/>
      <c r="D484" s="1688"/>
      <c r="E484" s="1675"/>
      <c r="F484" s="278" t="s">
        <v>32</v>
      </c>
      <c r="G484" s="10" t="s">
        <v>442</v>
      </c>
      <c r="H484" s="11" t="s">
        <v>190</v>
      </c>
      <c r="I484" s="23">
        <v>0.15</v>
      </c>
      <c r="J484" s="20">
        <f>4*2*2</f>
        <v>16</v>
      </c>
      <c r="K484" s="25">
        <f>I484*$K$483</f>
        <v>704287.5</v>
      </c>
      <c r="L484" s="988">
        <f>IFERROR(K484/J484,0)</f>
        <v>44017.96875</v>
      </c>
      <c r="M484" s="91">
        <v>0</v>
      </c>
      <c r="N484" s="921">
        <f t="shared" si="73"/>
        <v>0</v>
      </c>
      <c r="O484" s="91">
        <v>0</v>
      </c>
      <c r="P484" s="921">
        <v>0</v>
      </c>
      <c r="Q484" s="91">
        <f>M484-O484</f>
        <v>0</v>
      </c>
      <c r="R484" s="921">
        <f t="shared" ref="R484:R490" si="79">N484-P484</f>
        <v>0</v>
      </c>
      <c r="S484" s="501">
        <f t="shared" si="77"/>
        <v>16</v>
      </c>
      <c r="T484" s="433"/>
      <c r="U484" s="434"/>
      <c r="W484" s="598"/>
      <c r="Y484" s="734"/>
    </row>
    <row r="485" spans="2:27" s="22" customFormat="1" ht="15.6" x14ac:dyDescent="0.3">
      <c r="B485" s="1692"/>
      <c r="C485" s="1652"/>
      <c r="D485" s="1688"/>
      <c r="E485" s="1675"/>
      <c r="F485" s="278" t="s">
        <v>34</v>
      </c>
      <c r="G485" s="10" t="s">
        <v>400</v>
      </c>
      <c r="H485" s="11" t="s">
        <v>190</v>
      </c>
      <c r="I485" s="23">
        <v>0.05</v>
      </c>
      <c r="J485" s="20">
        <f>J484</f>
        <v>16</v>
      </c>
      <c r="K485" s="25">
        <f>I485*$K$483</f>
        <v>234762.5</v>
      </c>
      <c r="L485" s="988">
        <f>IFERROR(K485/J485,0)</f>
        <v>14672.65625</v>
      </c>
      <c r="M485" s="91">
        <v>0</v>
      </c>
      <c r="N485" s="921">
        <f t="shared" si="73"/>
        <v>0</v>
      </c>
      <c r="O485" s="91">
        <v>0</v>
      </c>
      <c r="P485" s="921">
        <v>0</v>
      </c>
      <c r="Q485" s="91">
        <f>M485-O485</f>
        <v>0</v>
      </c>
      <c r="R485" s="921">
        <f t="shared" si="79"/>
        <v>0</v>
      </c>
      <c r="S485" s="501">
        <f t="shared" si="77"/>
        <v>16</v>
      </c>
      <c r="T485" s="433"/>
      <c r="U485" s="434"/>
      <c r="W485" s="598"/>
      <c r="Y485" s="734"/>
    </row>
    <row r="486" spans="2:27" s="22" customFormat="1" ht="15.6" x14ac:dyDescent="0.3">
      <c r="B486" s="1692"/>
      <c r="C486" s="1652"/>
      <c r="D486" s="1688"/>
      <c r="E486" s="1675"/>
      <c r="F486" s="278" t="s">
        <v>37</v>
      </c>
      <c r="G486" s="10" t="s">
        <v>401</v>
      </c>
      <c r="H486" s="11" t="s">
        <v>190</v>
      </c>
      <c r="I486" s="23">
        <v>0.6</v>
      </c>
      <c r="J486" s="20">
        <v>4</v>
      </c>
      <c r="K486" s="25">
        <f>I486*$K$483</f>
        <v>2817150</v>
      </c>
      <c r="L486" s="988">
        <f>IFERROR(K486/J486,0)</f>
        <v>704287.5</v>
      </c>
      <c r="M486" s="91">
        <v>0</v>
      </c>
      <c r="N486" s="921">
        <f t="shared" si="73"/>
        <v>0</v>
      </c>
      <c r="O486" s="91">
        <v>0</v>
      </c>
      <c r="P486" s="921">
        <v>0</v>
      </c>
      <c r="Q486" s="91">
        <f>M486-O486</f>
        <v>0</v>
      </c>
      <c r="R486" s="921">
        <f t="shared" si="79"/>
        <v>0</v>
      </c>
      <c r="S486" s="501">
        <f t="shared" si="77"/>
        <v>4</v>
      </c>
      <c r="T486" s="433"/>
      <c r="U486" s="434"/>
      <c r="W486" s="598"/>
      <c r="Y486" s="734"/>
    </row>
    <row r="487" spans="2:27" s="22" customFormat="1" ht="15.6" x14ac:dyDescent="0.3">
      <c r="B487" s="1692"/>
      <c r="C487" s="1652"/>
      <c r="D487" s="1688"/>
      <c r="E487" s="1675"/>
      <c r="F487" s="278" t="s">
        <v>39</v>
      </c>
      <c r="G487" s="10" t="s">
        <v>402</v>
      </c>
      <c r="H487" s="11" t="s">
        <v>190</v>
      </c>
      <c r="I487" s="23">
        <v>0.2</v>
      </c>
      <c r="J487" s="20">
        <f>J486</f>
        <v>4</v>
      </c>
      <c r="K487" s="25">
        <f>I487*$K$483</f>
        <v>939050</v>
      </c>
      <c r="L487" s="988">
        <f>IFERROR(K487/J487,0)</f>
        <v>234762.5</v>
      </c>
      <c r="M487" s="91">
        <v>0</v>
      </c>
      <c r="N487" s="921">
        <f t="shared" si="73"/>
        <v>0</v>
      </c>
      <c r="O487" s="91">
        <v>0</v>
      </c>
      <c r="P487" s="921">
        <v>0</v>
      </c>
      <c r="Q487" s="91">
        <f>M487-O487</f>
        <v>0</v>
      </c>
      <c r="R487" s="921">
        <f t="shared" si="79"/>
        <v>0</v>
      </c>
      <c r="S487" s="501">
        <f t="shared" si="77"/>
        <v>4</v>
      </c>
      <c r="T487" s="433"/>
      <c r="U487" s="434"/>
      <c r="W487" s="598"/>
      <c r="Y487" s="734"/>
    </row>
    <row r="488" spans="2:27" s="22" customFormat="1" ht="15.6" x14ac:dyDescent="0.3">
      <c r="B488" s="1692"/>
      <c r="C488" s="1652"/>
      <c r="D488" s="1688"/>
      <c r="E488" s="1675"/>
      <c r="F488" s="14">
        <f>F483+1</f>
        <v>608</v>
      </c>
      <c r="G488" s="8" t="s">
        <v>466</v>
      </c>
      <c r="H488" s="15" t="s">
        <v>188</v>
      </c>
      <c r="I488" s="16">
        <v>4.0000000000000001E-3</v>
      </c>
      <c r="J488" s="17"/>
      <c r="K488" s="18">
        <f>I488*$E$461</f>
        <v>2683000</v>
      </c>
      <c r="L488" s="1029"/>
      <c r="M488" s="95"/>
      <c r="N488" s="923"/>
      <c r="O488" s="95"/>
      <c r="P488" s="923"/>
      <c r="Q488" s="95"/>
      <c r="R488" s="923"/>
      <c r="S488" s="501">
        <f t="shared" si="77"/>
        <v>0</v>
      </c>
      <c r="T488" s="435"/>
      <c r="U488" s="436"/>
      <c r="W488" s="598"/>
      <c r="Y488" s="734"/>
    </row>
    <row r="489" spans="2:27" s="22" customFormat="1" ht="15.6" x14ac:dyDescent="0.3">
      <c r="B489" s="1692"/>
      <c r="C489" s="1652"/>
      <c r="D489" s="1688"/>
      <c r="E489" s="1675"/>
      <c r="F489" s="278" t="s">
        <v>32</v>
      </c>
      <c r="G489" s="10" t="s">
        <v>407</v>
      </c>
      <c r="H489" s="11" t="s">
        <v>324</v>
      </c>
      <c r="I489" s="13">
        <v>0.7</v>
      </c>
      <c r="J489" s="20">
        <v>6</v>
      </c>
      <c r="K489" s="21">
        <f>I489*$K$488</f>
        <v>1878099.9999999998</v>
      </c>
      <c r="L489" s="988">
        <f>IFERROR(K489/J489,0)</f>
        <v>313016.66666666663</v>
      </c>
      <c r="M489" s="91">
        <v>0</v>
      </c>
      <c r="N489" s="921">
        <f t="shared" si="73"/>
        <v>0</v>
      </c>
      <c r="O489" s="91">
        <v>0</v>
      </c>
      <c r="P489" s="921">
        <v>0</v>
      </c>
      <c r="Q489" s="91">
        <f>M489-O489</f>
        <v>0</v>
      </c>
      <c r="R489" s="921">
        <f t="shared" si="79"/>
        <v>0</v>
      </c>
      <c r="S489" s="501">
        <f t="shared" si="77"/>
        <v>6</v>
      </c>
      <c r="T489" s="433"/>
      <c r="U489" s="434"/>
      <c r="W489" s="598"/>
      <c r="Y489" s="734"/>
    </row>
    <row r="490" spans="2:27" s="22" customFormat="1" ht="15.6" x14ac:dyDescent="0.3">
      <c r="B490" s="1693"/>
      <c r="C490" s="1690"/>
      <c r="D490" s="1689"/>
      <c r="E490" s="1676"/>
      <c r="F490" s="387" t="s">
        <v>34</v>
      </c>
      <c r="G490" s="32" t="s">
        <v>444</v>
      </c>
      <c r="H490" s="33" t="s">
        <v>324</v>
      </c>
      <c r="I490" s="34">
        <v>0.3</v>
      </c>
      <c r="J490" s="35">
        <v>6</v>
      </c>
      <c r="K490" s="36">
        <f>I490*$K$488</f>
        <v>804900</v>
      </c>
      <c r="L490" s="1033">
        <f>IFERROR(K490/J490,0)</f>
        <v>134150</v>
      </c>
      <c r="M490" s="91">
        <v>0</v>
      </c>
      <c r="N490" s="921">
        <f t="shared" si="73"/>
        <v>0</v>
      </c>
      <c r="O490" s="91">
        <v>0</v>
      </c>
      <c r="P490" s="921">
        <v>0</v>
      </c>
      <c r="Q490" s="91">
        <f>M490-O490</f>
        <v>0</v>
      </c>
      <c r="R490" s="921">
        <f t="shared" si="79"/>
        <v>0</v>
      </c>
      <c r="S490" s="501">
        <f t="shared" si="77"/>
        <v>6</v>
      </c>
      <c r="T490" s="433"/>
      <c r="U490" s="434"/>
      <c r="W490" s="598"/>
      <c r="Y490" s="734"/>
    </row>
    <row r="491" spans="2:27" s="97" customFormat="1" ht="15.6" x14ac:dyDescent="0.3">
      <c r="B491" s="211" t="s">
        <v>160</v>
      </c>
      <c r="C491" s="212"/>
      <c r="D491" s="212"/>
      <c r="E491" s="212"/>
      <c r="F491" s="213"/>
      <c r="G491" s="103"/>
      <c r="H491" s="214"/>
      <c r="I491" s="215"/>
      <c r="J491" s="216"/>
      <c r="K491" s="217"/>
      <c r="L491" s="1027"/>
      <c r="M491" s="218"/>
      <c r="N491" s="927">
        <f>SUM(N462:N490)</f>
        <v>593050320</v>
      </c>
      <c r="O491" s="218"/>
      <c r="P491" s="927">
        <f>SUM(P462:P490)</f>
        <v>593050320</v>
      </c>
      <c r="Q491" s="218"/>
      <c r="R491" s="927">
        <f>SUM(R462:R490)</f>
        <v>0</v>
      </c>
      <c r="S491" s="501">
        <f t="shared" si="77"/>
        <v>0</v>
      </c>
      <c r="T491" s="438"/>
      <c r="U491" s="439"/>
      <c r="W491" s="1008"/>
      <c r="Y491" s="734"/>
    </row>
    <row r="492" spans="2:27" s="22" customFormat="1" ht="7.5" customHeight="1" x14ac:dyDescent="0.3">
      <c r="B492" s="2"/>
      <c r="C492" s="152"/>
      <c r="D492" s="194"/>
      <c r="E492" s="3"/>
      <c r="F492" s="195"/>
      <c r="G492" s="4"/>
      <c r="H492" s="196"/>
      <c r="I492" s="197"/>
      <c r="J492" s="198"/>
      <c r="K492" s="199"/>
      <c r="L492" s="1022"/>
      <c r="M492" s="200"/>
      <c r="N492" s="928"/>
      <c r="O492" s="200"/>
      <c r="P492" s="928"/>
      <c r="Q492" s="200"/>
      <c r="R492" s="929"/>
      <c r="S492" s="501">
        <f t="shared" si="77"/>
        <v>0</v>
      </c>
      <c r="T492" s="440"/>
      <c r="U492" s="441"/>
      <c r="W492" s="598"/>
      <c r="Y492" s="734"/>
    </row>
    <row r="493" spans="2:27" s="22" customFormat="1" ht="15.6" x14ac:dyDescent="0.3">
      <c r="B493" s="1658" t="s">
        <v>161</v>
      </c>
      <c r="C493" s="1680" t="s">
        <v>162</v>
      </c>
      <c r="D493" s="1677">
        <v>0.06</v>
      </c>
      <c r="E493" s="1674">
        <f>D493*(26885400000-55400000)</f>
        <v>1609800000</v>
      </c>
      <c r="F493" s="219">
        <v>701</v>
      </c>
      <c r="G493" s="48" t="s">
        <v>467</v>
      </c>
      <c r="H493" s="27" t="s">
        <v>267</v>
      </c>
      <c r="I493" s="28">
        <v>0.24099999999999999</v>
      </c>
      <c r="J493" s="29"/>
      <c r="K493" s="30">
        <f>I493*$E$493</f>
        <v>387961800</v>
      </c>
      <c r="L493" s="1028"/>
      <c r="M493" s="94"/>
      <c r="N493" s="922"/>
      <c r="O493" s="94"/>
      <c r="P493" s="922"/>
      <c r="Q493" s="94"/>
      <c r="R493" s="922"/>
      <c r="S493" s="501">
        <f t="shared" si="77"/>
        <v>0</v>
      </c>
      <c r="T493" s="435"/>
      <c r="U493" s="436"/>
      <c r="W493" s="598"/>
      <c r="Y493" s="734"/>
    </row>
    <row r="494" spans="2:27" s="22" customFormat="1" ht="15.6" x14ac:dyDescent="0.3">
      <c r="B494" s="1658"/>
      <c r="C494" s="1680"/>
      <c r="D494" s="1678"/>
      <c r="E494" s="1675"/>
      <c r="F494" s="388" t="s">
        <v>32</v>
      </c>
      <c r="G494" s="40" t="s">
        <v>468</v>
      </c>
      <c r="H494" s="11" t="s">
        <v>267</v>
      </c>
      <c r="I494" s="13">
        <v>0.8</v>
      </c>
      <c r="J494" s="20">
        <f>(7.314-62.4/1000)*2</f>
        <v>14.5032</v>
      </c>
      <c r="K494" s="25">
        <f>I494*$K$493</f>
        <v>310369440</v>
      </c>
      <c r="L494" s="988">
        <f>IFERROR(K494/J494,0)</f>
        <v>21400066.1922886</v>
      </c>
      <c r="M494" s="92">
        <f>'Schedule 7'!$I$57</f>
        <v>7.6020000000000003</v>
      </c>
      <c r="N494" s="921">
        <f>ROUND(L494*M494,0)</f>
        <v>162683303</v>
      </c>
      <c r="O494" s="91">
        <f>'Schedule 7'!$I$58</f>
        <v>7.6020000000000003</v>
      </c>
      <c r="P494" s="921">
        <v>162683303</v>
      </c>
      <c r="Q494" s="92">
        <f>M494-O494</f>
        <v>0</v>
      </c>
      <c r="R494" s="921">
        <f>N494-P494</f>
        <v>0</v>
      </c>
      <c r="S494" s="501">
        <f t="shared" si="77"/>
        <v>6.9011999999999993</v>
      </c>
      <c r="T494" s="433"/>
      <c r="U494" s="434"/>
      <c r="V494" s="414"/>
      <c r="W494" s="598"/>
      <c r="X494" s="394"/>
      <c r="Y494" s="734"/>
      <c r="Z494" s="598"/>
      <c r="AA494" s="414"/>
    </row>
    <row r="495" spans="2:27" s="22" customFormat="1" ht="15.6" x14ac:dyDescent="0.3">
      <c r="B495" s="1658"/>
      <c r="C495" s="1680"/>
      <c r="D495" s="1678"/>
      <c r="E495" s="1675"/>
      <c r="F495" s="386" t="s">
        <v>34</v>
      </c>
      <c r="G495" s="40" t="s">
        <v>469</v>
      </c>
      <c r="H495" s="11" t="s">
        <v>267</v>
      </c>
      <c r="I495" s="13">
        <v>0.2</v>
      </c>
      <c r="J495" s="20">
        <f>J494</f>
        <v>14.5032</v>
      </c>
      <c r="K495" s="25">
        <f>I495*$K$493</f>
        <v>77592360</v>
      </c>
      <c r="L495" s="988">
        <f>IFERROR(K495/J495,0)</f>
        <v>5350016.54807215</v>
      </c>
      <c r="M495" s="91">
        <v>0</v>
      </c>
      <c r="N495" s="921">
        <f>ROUND(L495*M495,0)</f>
        <v>0</v>
      </c>
      <c r="O495" s="91">
        <v>0</v>
      </c>
      <c r="P495" s="921">
        <v>0</v>
      </c>
      <c r="Q495" s="91">
        <f>M495-O495</f>
        <v>0</v>
      </c>
      <c r="R495" s="921">
        <f>N495-P495</f>
        <v>0</v>
      </c>
      <c r="S495" s="501">
        <f t="shared" si="77"/>
        <v>14.5032</v>
      </c>
      <c r="T495" s="433"/>
      <c r="U495" s="434"/>
      <c r="V495" s="598"/>
      <c r="W495" s="1009"/>
      <c r="Y495" s="734"/>
      <c r="Z495" s="598"/>
    </row>
    <row r="496" spans="2:27" s="22" customFormat="1" ht="15.6" x14ac:dyDescent="0.3">
      <c r="B496" s="1658"/>
      <c r="C496" s="1680"/>
      <c r="D496" s="1678"/>
      <c r="E496" s="1675"/>
      <c r="F496" s="42">
        <f>F493+1</f>
        <v>702</v>
      </c>
      <c r="G496" s="39" t="s">
        <v>470</v>
      </c>
      <c r="H496" s="15" t="s">
        <v>267</v>
      </c>
      <c r="I496" s="16">
        <v>7.6999999999999999E-2</v>
      </c>
      <c r="J496" s="17"/>
      <c r="K496" s="18">
        <f>I496*$E$493</f>
        <v>123954600</v>
      </c>
      <c r="L496" s="1029"/>
      <c r="M496" s="95"/>
      <c r="N496" s="923"/>
      <c r="O496" s="95"/>
      <c r="P496" s="923"/>
      <c r="Q496" s="95"/>
      <c r="R496" s="923"/>
      <c r="S496" s="501">
        <f t="shared" si="77"/>
        <v>0</v>
      </c>
      <c r="T496" s="435"/>
      <c r="U496" s="436"/>
      <c r="W496" s="598"/>
      <c r="Y496" s="734"/>
    </row>
    <row r="497" spans="2:25" s="22" customFormat="1" ht="15.6" x14ac:dyDescent="0.3">
      <c r="B497" s="1658"/>
      <c r="C497" s="1680"/>
      <c r="D497" s="1678"/>
      <c r="E497" s="1675"/>
      <c r="F497" s="386" t="s">
        <v>32</v>
      </c>
      <c r="G497" s="40" t="s">
        <v>470</v>
      </c>
      <c r="H497" s="11" t="s">
        <v>267</v>
      </c>
      <c r="I497" s="13">
        <v>1</v>
      </c>
      <c r="J497" s="20">
        <f>J495</f>
        <v>14.5032</v>
      </c>
      <c r="K497" s="25">
        <f>I497*$K$496</f>
        <v>123954600</v>
      </c>
      <c r="L497" s="988">
        <f>IFERROR(K497/J497,0)</f>
        <v>8546706.9336422309</v>
      </c>
      <c r="M497" s="91">
        <v>0</v>
      </c>
      <c r="N497" s="921">
        <f>ROUND(L497*M497,0)</f>
        <v>0</v>
      </c>
      <c r="O497" s="91">
        <v>0</v>
      </c>
      <c r="P497" s="921">
        <v>0</v>
      </c>
      <c r="Q497" s="91">
        <f>M497-O497</f>
        <v>0</v>
      </c>
      <c r="R497" s="921">
        <f>N497-P497</f>
        <v>0</v>
      </c>
      <c r="S497" s="501">
        <f t="shared" si="77"/>
        <v>14.5032</v>
      </c>
      <c r="T497" s="433"/>
      <c r="U497" s="434"/>
      <c r="W497" s="598"/>
      <c r="Y497" s="734"/>
    </row>
    <row r="498" spans="2:25" s="22" customFormat="1" ht="15.6" x14ac:dyDescent="0.3">
      <c r="B498" s="1658"/>
      <c r="C498" s="1680"/>
      <c r="D498" s="1678"/>
      <c r="E498" s="1675"/>
      <c r="F498" s="42">
        <f>F496+1</f>
        <v>703</v>
      </c>
      <c r="G498" s="39" t="s">
        <v>471</v>
      </c>
      <c r="H498" s="15" t="s">
        <v>267</v>
      </c>
      <c r="I498" s="16">
        <v>8.2000000000000003E-2</v>
      </c>
      <c r="J498" s="17"/>
      <c r="K498" s="18">
        <f>I498*$E$493</f>
        <v>132003600</v>
      </c>
      <c r="L498" s="1029"/>
      <c r="M498" s="95"/>
      <c r="N498" s="923"/>
      <c r="O498" s="95"/>
      <c r="P498" s="923"/>
      <c r="Q498" s="95"/>
      <c r="R498" s="923"/>
      <c r="S498" s="501">
        <f t="shared" si="77"/>
        <v>0</v>
      </c>
      <c r="T498" s="435"/>
      <c r="U498" s="436"/>
      <c r="W498" s="598"/>
      <c r="Y498" s="734"/>
    </row>
    <row r="499" spans="2:25" s="97" customFormat="1" ht="15.6" x14ac:dyDescent="0.3">
      <c r="B499" s="1658"/>
      <c r="C499" s="1680"/>
      <c r="D499" s="1678"/>
      <c r="E499" s="1675"/>
      <c r="F499" s="386" t="s">
        <v>32</v>
      </c>
      <c r="G499" s="40" t="s">
        <v>472</v>
      </c>
      <c r="H499" s="11" t="s">
        <v>267</v>
      </c>
      <c r="I499" s="13">
        <v>0.5</v>
      </c>
      <c r="J499" s="20">
        <f>J497</f>
        <v>14.5032</v>
      </c>
      <c r="K499" s="25">
        <f>I499*$K$498</f>
        <v>66001800</v>
      </c>
      <c r="L499" s="1030">
        <f>IFERROR(K499/J499,0)</f>
        <v>4550843.9516796293</v>
      </c>
      <c r="M499" s="91">
        <v>0</v>
      </c>
      <c r="N499" s="921">
        <f>ROUND(L499*M499,0)</f>
        <v>0</v>
      </c>
      <c r="O499" s="91">
        <v>0</v>
      </c>
      <c r="P499" s="921">
        <v>0</v>
      </c>
      <c r="Q499" s="91">
        <f>M499-O499</f>
        <v>0</v>
      </c>
      <c r="R499" s="921">
        <f>N499-P499</f>
        <v>0</v>
      </c>
      <c r="S499" s="501">
        <f t="shared" si="77"/>
        <v>14.5032</v>
      </c>
      <c r="T499" s="433"/>
      <c r="U499" s="434"/>
      <c r="W499" s="1008"/>
      <c r="Y499" s="734"/>
    </row>
    <row r="500" spans="2:25" s="97" customFormat="1" ht="15.6" x14ac:dyDescent="0.3">
      <c r="B500" s="1658"/>
      <c r="C500" s="1680"/>
      <c r="D500" s="1678"/>
      <c r="E500" s="1675"/>
      <c r="F500" s="386" t="s">
        <v>34</v>
      </c>
      <c r="G500" s="40" t="s">
        <v>473</v>
      </c>
      <c r="H500" s="11" t="s">
        <v>267</v>
      </c>
      <c r="I500" s="13">
        <v>0.5</v>
      </c>
      <c r="J500" s="20">
        <f>J499</f>
        <v>14.5032</v>
      </c>
      <c r="K500" s="25">
        <f>I500*$K$498</f>
        <v>66001800</v>
      </c>
      <c r="L500" s="1030">
        <f>IFERROR(K500/J500,0)</f>
        <v>4550843.9516796293</v>
      </c>
      <c r="M500" s="91">
        <v>0</v>
      </c>
      <c r="N500" s="921">
        <f>ROUND(L500*M500,0)</f>
        <v>0</v>
      </c>
      <c r="O500" s="91">
        <v>0</v>
      </c>
      <c r="P500" s="921">
        <v>0</v>
      </c>
      <c r="Q500" s="91">
        <f>M500-O500</f>
        <v>0</v>
      </c>
      <c r="R500" s="921">
        <f>N500-P500</f>
        <v>0</v>
      </c>
      <c r="S500" s="501">
        <f t="shared" si="77"/>
        <v>14.5032</v>
      </c>
      <c r="T500" s="433"/>
      <c r="U500" s="434"/>
      <c r="W500" s="1008"/>
      <c r="Y500" s="734"/>
    </row>
    <row r="501" spans="2:25" s="22" customFormat="1" ht="15.6" x14ac:dyDescent="0.3">
      <c r="B501" s="1658"/>
      <c r="C501" s="1680"/>
      <c r="D501" s="1678"/>
      <c r="E501" s="1675"/>
      <c r="F501" s="42">
        <f>F498+1</f>
        <v>704</v>
      </c>
      <c r="G501" s="39" t="s">
        <v>451</v>
      </c>
      <c r="H501" s="15" t="s">
        <v>267</v>
      </c>
      <c r="I501" s="16">
        <v>0.123</v>
      </c>
      <c r="J501" s="17"/>
      <c r="K501" s="18">
        <f>I501*$E$493</f>
        <v>198005400</v>
      </c>
      <c r="L501" s="1029"/>
      <c r="M501" s="95"/>
      <c r="N501" s="923"/>
      <c r="O501" s="95"/>
      <c r="P501" s="923"/>
      <c r="Q501" s="95"/>
      <c r="R501" s="923"/>
      <c r="S501" s="501">
        <f t="shared" si="77"/>
        <v>0</v>
      </c>
      <c r="T501" s="435"/>
      <c r="U501" s="436"/>
      <c r="W501" s="598"/>
      <c r="Y501" s="734"/>
    </row>
    <row r="502" spans="2:25" s="22" customFormat="1" ht="15.6" x14ac:dyDescent="0.3">
      <c r="B502" s="1658"/>
      <c r="C502" s="1680"/>
      <c r="D502" s="1678"/>
      <c r="E502" s="1675"/>
      <c r="F502" s="386" t="s">
        <v>32</v>
      </c>
      <c r="G502" s="40" t="s">
        <v>472</v>
      </c>
      <c r="H502" s="11" t="s">
        <v>267</v>
      </c>
      <c r="I502" s="13">
        <v>0.6</v>
      </c>
      <c r="J502" s="20">
        <f>J500</f>
        <v>14.5032</v>
      </c>
      <c r="K502" s="25">
        <f>I502*$K$501</f>
        <v>118803240</v>
      </c>
      <c r="L502" s="1030">
        <f>IFERROR(K502/J502,0)</f>
        <v>8191519.1130233333</v>
      </c>
      <c r="M502" s="91">
        <v>0</v>
      </c>
      <c r="N502" s="921">
        <f>ROUND(L502*M502,0)</f>
        <v>0</v>
      </c>
      <c r="O502" s="91">
        <v>0</v>
      </c>
      <c r="P502" s="921">
        <v>0</v>
      </c>
      <c r="Q502" s="91">
        <f>M502-O502</f>
        <v>0</v>
      </c>
      <c r="R502" s="921">
        <f>N502-P502</f>
        <v>0</v>
      </c>
      <c r="S502" s="501">
        <f t="shared" si="77"/>
        <v>14.5032</v>
      </c>
      <c r="T502" s="433"/>
      <c r="U502" s="434"/>
      <c r="W502" s="598"/>
      <c r="Y502" s="734"/>
    </row>
    <row r="503" spans="2:25" s="22" customFormat="1" ht="15.6" x14ac:dyDescent="0.3">
      <c r="B503" s="1658"/>
      <c r="C503" s="1680"/>
      <c r="D503" s="1678"/>
      <c r="E503" s="1675"/>
      <c r="F503" s="386" t="s">
        <v>34</v>
      </c>
      <c r="G503" s="40" t="s">
        <v>473</v>
      </c>
      <c r="H503" s="11" t="s">
        <v>267</v>
      </c>
      <c r="I503" s="13">
        <v>0.4</v>
      </c>
      <c r="J503" s="20">
        <f>J502</f>
        <v>14.5032</v>
      </c>
      <c r="K503" s="25">
        <f>I503*$K$501</f>
        <v>79202160</v>
      </c>
      <c r="L503" s="1030">
        <f>IFERROR(K503/J503,0)</f>
        <v>5461012.7420155555</v>
      </c>
      <c r="M503" s="91">
        <v>0</v>
      </c>
      <c r="N503" s="921">
        <f>ROUND(L503*M503,0)</f>
        <v>0</v>
      </c>
      <c r="O503" s="91">
        <v>0</v>
      </c>
      <c r="P503" s="921">
        <v>0</v>
      </c>
      <c r="Q503" s="91">
        <f>M503-O503</f>
        <v>0</v>
      </c>
      <c r="R503" s="921">
        <f>N503-P503</f>
        <v>0</v>
      </c>
      <c r="S503" s="501">
        <f t="shared" si="77"/>
        <v>14.5032</v>
      </c>
      <c r="T503" s="433"/>
      <c r="U503" s="434"/>
      <c r="W503" s="598"/>
      <c r="Y503" s="734"/>
    </row>
    <row r="504" spans="2:25" s="22" customFormat="1" ht="15.6" x14ac:dyDescent="0.3">
      <c r="B504" s="1658"/>
      <c r="C504" s="1680"/>
      <c r="D504" s="1678"/>
      <c r="E504" s="1675"/>
      <c r="F504" s="42">
        <f>F501+1</f>
        <v>705</v>
      </c>
      <c r="G504" s="39" t="s">
        <v>474</v>
      </c>
      <c r="H504" s="15" t="s">
        <v>267</v>
      </c>
      <c r="I504" s="16">
        <v>5.5E-2</v>
      </c>
      <c r="J504" s="17"/>
      <c r="K504" s="18">
        <f>I504*$E$493</f>
        <v>88539000</v>
      </c>
      <c r="L504" s="1029"/>
      <c r="M504" s="95"/>
      <c r="N504" s="923"/>
      <c r="O504" s="95"/>
      <c r="P504" s="923"/>
      <c r="Q504" s="95"/>
      <c r="R504" s="923"/>
      <c r="S504" s="501">
        <f t="shared" si="77"/>
        <v>0</v>
      </c>
      <c r="T504" s="435"/>
      <c r="U504" s="436"/>
      <c r="W504" s="598"/>
      <c r="Y504" s="734"/>
    </row>
    <row r="505" spans="2:25" s="22" customFormat="1" ht="15.6" x14ac:dyDescent="0.3">
      <c r="B505" s="1658"/>
      <c r="C505" s="1680"/>
      <c r="D505" s="1678"/>
      <c r="E505" s="1675"/>
      <c r="F505" s="386" t="s">
        <v>32</v>
      </c>
      <c r="G505" s="40" t="s">
        <v>474</v>
      </c>
      <c r="H505" s="11" t="s">
        <v>267</v>
      </c>
      <c r="I505" s="13">
        <v>1</v>
      </c>
      <c r="J505" s="20">
        <f>J503</f>
        <v>14.5032</v>
      </c>
      <c r="K505" s="25">
        <f>I505*$K$504</f>
        <v>88539000</v>
      </c>
      <c r="L505" s="1030">
        <f>IFERROR(K505/J505,0)</f>
        <v>6104790.6668873075</v>
      </c>
      <c r="M505" s="91">
        <v>0</v>
      </c>
      <c r="N505" s="921">
        <f>ROUND(L505*M505,0)</f>
        <v>0</v>
      </c>
      <c r="O505" s="91">
        <v>0</v>
      </c>
      <c r="P505" s="921">
        <v>0</v>
      </c>
      <c r="Q505" s="91">
        <f t="shared" ref="Q505:Q516" si="80">M505-O505</f>
        <v>0</v>
      </c>
      <c r="R505" s="921">
        <f>N505-P505</f>
        <v>0</v>
      </c>
      <c r="S505" s="501">
        <f t="shared" si="77"/>
        <v>14.5032</v>
      </c>
      <c r="T505" s="433"/>
      <c r="U505" s="434"/>
      <c r="W505" s="598"/>
      <c r="Y505" s="734"/>
    </row>
    <row r="506" spans="2:25" s="22" customFormat="1" ht="31.2" x14ac:dyDescent="0.3">
      <c r="B506" s="1658"/>
      <c r="C506" s="1680"/>
      <c r="D506" s="1678"/>
      <c r="E506" s="1675"/>
      <c r="F506" s="42">
        <f>F504+1</f>
        <v>706</v>
      </c>
      <c r="G506" s="39" t="s">
        <v>475</v>
      </c>
      <c r="H506" s="15" t="s">
        <v>188</v>
      </c>
      <c r="I506" s="16">
        <v>0.33800000000000002</v>
      </c>
      <c r="J506" s="17"/>
      <c r="K506" s="18">
        <f>I506*$E$493</f>
        <v>544112400</v>
      </c>
      <c r="L506" s="1029"/>
      <c r="M506" s="95"/>
      <c r="N506" s="923"/>
      <c r="O506" s="95"/>
      <c r="P506" s="923"/>
      <c r="Q506" s="95"/>
      <c r="R506" s="923"/>
      <c r="S506" s="501">
        <f t="shared" si="77"/>
        <v>0</v>
      </c>
      <c r="T506" s="435"/>
      <c r="U506" s="436"/>
      <c r="W506" s="598"/>
      <c r="Y506" s="734"/>
    </row>
    <row r="507" spans="2:25" s="22" customFormat="1" ht="31.2" x14ac:dyDescent="0.3">
      <c r="B507" s="1658"/>
      <c r="C507" s="1680"/>
      <c r="D507" s="1678"/>
      <c r="E507" s="1675"/>
      <c r="F507" s="386" t="s">
        <v>32</v>
      </c>
      <c r="G507" s="40" t="s">
        <v>476</v>
      </c>
      <c r="H507" s="11" t="s">
        <v>340</v>
      </c>
      <c r="I507" s="13">
        <v>0.2</v>
      </c>
      <c r="J507" s="20">
        <f>18</f>
        <v>18</v>
      </c>
      <c r="K507" s="21">
        <f>I507*$K$506</f>
        <v>108822480</v>
      </c>
      <c r="L507" s="1030">
        <f>IFERROR(K507/J507,0)</f>
        <v>6045693.333333333</v>
      </c>
      <c r="M507" s="92">
        <f>'Schedule 7'!$I$81</f>
        <v>9</v>
      </c>
      <c r="N507" s="924">
        <f>ROUND(L507*M507,0)</f>
        <v>54411240</v>
      </c>
      <c r="O507" s="92">
        <f>'Schedule 7'!$I$82</f>
        <v>8.5</v>
      </c>
      <c r="P507" s="924">
        <v>51388393</v>
      </c>
      <c r="Q507" s="92">
        <f t="shared" si="80"/>
        <v>0.5</v>
      </c>
      <c r="R507" s="924">
        <f>N507-P507</f>
        <v>3022847</v>
      </c>
      <c r="S507" s="1147">
        <f t="shared" si="77"/>
        <v>9</v>
      </c>
      <c r="T507" s="1150"/>
      <c r="U507" s="1151"/>
      <c r="W507" s="1149"/>
      <c r="Y507" s="734"/>
    </row>
    <row r="508" spans="2:25" s="22" customFormat="1" ht="15.6" x14ac:dyDescent="0.3">
      <c r="B508" s="1658"/>
      <c r="C508" s="1680"/>
      <c r="D508" s="1678"/>
      <c r="E508" s="1675"/>
      <c r="F508" s="386" t="s">
        <v>34</v>
      </c>
      <c r="G508" s="40" t="s">
        <v>477</v>
      </c>
      <c r="H508" s="24" t="s">
        <v>320</v>
      </c>
      <c r="I508" s="23">
        <v>0.2</v>
      </c>
      <c r="J508" s="12">
        <v>4200</v>
      </c>
      <c r="K508" s="25">
        <f>I508*$K$506</f>
        <v>108822480</v>
      </c>
      <c r="L508" s="988">
        <f>IFERROR(K508/J508,0)</f>
        <v>25910.114285714284</v>
      </c>
      <c r="M508" s="91">
        <v>0</v>
      </c>
      <c r="N508" s="921">
        <f>ROUND(L508*M508,0)</f>
        <v>0</v>
      </c>
      <c r="O508" s="91">
        <v>0</v>
      </c>
      <c r="P508" s="921">
        <v>0</v>
      </c>
      <c r="Q508" s="91">
        <f t="shared" si="80"/>
        <v>0</v>
      </c>
      <c r="R508" s="921">
        <f>N508-P508</f>
        <v>0</v>
      </c>
      <c r="S508" s="501">
        <f t="shared" si="77"/>
        <v>4200</v>
      </c>
      <c r="T508" s="433"/>
      <c r="U508" s="434"/>
      <c r="W508" s="598"/>
      <c r="Y508" s="734"/>
    </row>
    <row r="509" spans="2:25" s="22" customFormat="1" ht="15.6" x14ac:dyDescent="0.3">
      <c r="B509" s="1658"/>
      <c r="C509" s="1680"/>
      <c r="D509" s="1678"/>
      <c r="E509" s="1675"/>
      <c r="F509" s="386" t="s">
        <v>37</v>
      </c>
      <c r="G509" s="40" t="s">
        <v>478</v>
      </c>
      <c r="H509" s="24" t="s">
        <v>320</v>
      </c>
      <c r="I509" s="23">
        <v>0.2</v>
      </c>
      <c r="J509" s="12">
        <v>1000</v>
      </c>
      <c r="K509" s="25">
        <f>I509*$K$506</f>
        <v>108822480</v>
      </c>
      <c r="L509" s="988">
        <f>IFERROR(K509/J509,0)</f>
        <v>108822.48</v>
      </c>
      <c r="M509" s="91">
        <v>0</v>
      </c>
      <c r="N509" s="921">
        <f>ROUND(L509*M509,0)</f>
        <v>0</v>
      </c>
      <c r="O509" s="91">
        <v>0</v>
      </c>
      <c r="P509" s="921">
        <v>0</v>
      </c>
      <c r="Q509" s="91">
        <f>M509-O509</f>
        <v>0</v>
      </c>
      <c r="R509" s="921">
        <f>N509-P509</f>
        <v>0</v>
      </c>
      <c r="S509" s="501">
        <f t="shared" si="77"/>
        <v>1000</v>
      </c>
      <c r="T509" s="433"/>
      <c r="U509" s="434"/>
      <c r="W509" s="598"/>
      <c r="Y509" s="734"/>
    </row>
    <row r="510" spans="2:25" s="22" customFormat="1" ht="15.6" x14ac:dyDescent="0.3">
      <c r="B510" s="1658"/>
      <c r="C510" s="1680"/>
      <c r="D510" s="1678"/>
      <c r="E510" s="1675"/>
      <c r="F510" s="386" t="s">
        <v>39</v>
      </c>
      <c r="G510" s="40" t="s">
        <v>479</v>
      </c>
      <c r="H510" s="24" t="s">
        <v>320</v>
      </c>
      <c r="I510" s="23">
        <v>0.2</v>
      </c>
      <c r="J510" s="12">
        <v>800</v>
      </c>
      <c r="K510" s="25">
        <f>I510*$K$506</f>
        <v>108822480</v>
      </c>
      <c r="L510" s="988">
        <f>IFERROR(K510/J510,0)</f>
        <v>136028.1</v>
      </c>
      <c r="M510" s="91">
        <v>0</v>
      </c>
      <c r="N510" s="921">
        <f>ROUND(L510*M510,0)</f>
        <v>0</v>
      </c>
      <c r="O510" s="91">
        <v>0</v>
      </c>
      <c r="P510" s="921">
        <v>0</v>
      </c>
      <c r="Q510" s="91">
        <f>M510-O510</f>
        <v>0</v>
      </c>
      <c r="R510" s="921">
        <f>N510-P510</f>
        <v>0</v>
      </c>
      <c r="S510" s="501">
        <f t="shared" si="77"/>
        <v>800</v>
      </c>
      <c r="T510" s="433"/>
      <c r="U510" s="434"/>
      <c r="W510" s="598"/>
      <c r="Y510" s="734"/>
    </row>
    <row r="511" spans="2:25" s="22" customFormat="1" ht="31.2" x14ac:dyDescent="0.3">
      <c r="B511" s="1658"/>
      <c r="C511" s="1680"/>
      <c r="D511" s="1678"/>
      <c r="E511" s="1675"/>
      <c r="F511" s="386" t="s">
        <v>41</v>
      </c>
      <c r="G511" s="40" t="s">
        <v>480</v>
      </c>
      <c r="H511" s="24" t="s">
        <v>340</v>
      </c>
      <c r="I511" s="23">
        <v>0.2</v>
      </c>
      <c r="J511" s="12">
        <f>18</f>
        <v>18</v>
      </c>
      <c r="K511" s="25">
        <f>I511*$K$506</f>
        <v>108822480</v>
      </c>
      <c r="L511" s="988">
        <f>IFERROR(K511/J511,0)</f>
        <v>6045693.333333333</v>
      </c>
      <c r="M511" s="91">
        <v>0</v>
      </c>
      <c r="N511" s="921">
        <f>ROUND(L511*M511,0)</f>
        <v>0</v>
      </c>
      <c r="O511" s="91">
        <v>0</v>
      </c>
      <c r="P511" s="921">
        <v>0</v>
      </c>
      <c r="Q511" s="91">
        <f t="shared" si="80"/>
        <v>0</v>
      </c>
      <c r="R511" s="921">
        <f>N511-P511</f>
        <v>0</v>
      </c>
      <c r="S511" s="501">
        <f t="shared" si="77"/>
        <v>18</v>
      </c>
      <c r="T511" s="433"/>
      <c r="U511" s="434"/>
      <c r="W511" s="598"/>
      <c r="Y511" s="734"/>
    </row>
    <row r="512" spans="2:25" s="22" customFormat="1" ht="31.2" x14ac:dyDescent="0.3">
      <c r="B512" s="1658"/>
      <c r="C512" s="1680"/>
      <c r="D512" s="1678"/>
      <c r="E512" s="1675"/>
      <c r="F512" s="42">
        <f>F506+1</f>
        <v>707</v>
      </c>
      <c r="G512" s="39" t="s">
        <v>481</v>
      </c>
      <c r="H512" s="15" t="s">
        <v>188</v>
      </c>
      <c r="I512" s="16">
        <v>8.4000000000000005E-2</v>
      </c>
      <c r="J512" s="17"/>
      <c r="K512" s="18">
        <f>I512*$E$493</f>
        <v>135223200</v>
      </c>
      <c r="L512" s="1029"/>
      <c r="M512" s="95"/>
      <c r="N512" s="923"/>
      <c r="O512" s="95"/>
      <c r="P512" s="923"/>
      <c r="Q512" s="95"/>
      <c r="R512" s="923"/>
      <c r="S512" s="501">
        <f t="shared" si="77"/>
        <v>0</v>
      </c>
      <c r="T512" s="435"/>
      <c r="U512" s="436"/>
      <c r="W512" s="598"/>
      <c r="Y512" s="734"/>
    </row>
    <row r="513" spans="2:28" s="22" customFormat="1" ht="15.6" x14ac:dyDescent="0.3">
      <c r="B513" s="1658"/>
      <c r="C513" s="1680"/>
      <c r="D513" s="1678"/>
      <c r="E513" s="1675"/>
      <c r="F513" s="386" t="s">
        <v>32</v>
      </c>
      <c r="G513" s="40" t="s">
        <v>297</v>
      </c>
      <c r="H513" s="24" t="s">
        <v>267</v>
      </c>
      <c r="I513" s="23">
        <v>0.3</v>
      </c>
      <c r="J513" s="12">
        <f>J505</f>
        <v>14.5032</v>
      </c>
      <c r="K513" s="25">
        <f>I513*$K$512</f>
        <v>40566960</v>
      </c>
      <c r="L513" s="988">
        <f>IFERROR(K513/J513,0)</f>
        <v>2797104.0873738211</v>
      </c>
      <c r="M513" s="91">
        <v>0</v>
      </c>
      <c r="N513" s="921">
        <f>ROUND(L513*M513,0)</f>
        <v>0</v>
      </c>
      <c r="O513" s="91">
        <v>0</v>
      </c>
      <c r="P513" s="921">
        <v>0</v>
      </c>
      <c r="Q513" s="91">
        <f t="shared" si="80"/>
        <v>0</v>
      </c>
      <c r="R513" s="921">
        <f>N513-P513</f>
        <v>0</v>
      </c>
      <c r="S513" s="501">
        <f t="shared" si="77"/>
        <v>14.5032</v>
      </c>
      <c r="T513" s="433"/>
      <c r="U513" s="434"/>
      <c r="W513" s="598"/>
      <c r="Y513" s="734"/>
    </row>
    <row r="514" spans="2:28" s="22" customFormat="1" ht="15.6" x14ac:dyDescent="0.3">
      <c r="B514" s="1658"/>
      <c r="C514" s="1680"/>
      <c r="D514" s="1678"/>
      <c r="E514" s="1675"/>
      <c r="F514" s="386" t="s">
        <v>34</v>
      </c>
      <c r="G514" s="40" t="s">
        <v>295</v>
      </c>
      <c r="H514" s="24" t="s">
        <v>267</v>
      </c>
      <c r="I514" s="23">
        <v>0.3</v>
      </c>
      <c r="J514" s="12">
        <f>J513</f>
        <v>14.5032</v>
      </c>
      <c r="K514" s="25">
        <f>I514*$K$512</f>
        <v>40566960</v>
      </c>
      <c r="L514" s="988">
        <f>IFERROR(K514/J514,0)</f>
        <v>2797104.0873738211</v>
      </c>
      <c r="M514" s="91">
        <v>0</v>
      </c>
      <c r="N514" s="921">
        <f>ROUND(L514*M514,0)</f>
        <v>0</v>
      </c>
      <c r="O514" s="91">
        <v>0</v>
      </c>
      <c r="P514" s="921">
        <v>0</v>
      </c>
      <c r="Q514" s="91">
        <f t="shared" si="80"/>
        <v>0</v>
      </c>
      <c r="R514" s="921">
        <f>N514-P514</f>
        <v>0</v>
      </c>
      <c r="S514" s="501">
        <f t="shared" si="77"/>
        <v>14.5032</v>
      </c>
      <c r="T514" s="433"/>
      <c r="U514" s="434"/>
      <c r="W514" s="598"/>
      <c r="Y514" s="734"/>
    </row>
    <row r="515" spans="2:28" s="22" customFormat="1" ht="15.6" x14ac:dyDescent="0.3">
      <c r="B515" s="1658"/>
      <c r="C515" s="1680"/>
      <c r="D515" s="1678"/>
      <c r="E515" s="1675"/>
      <c r="F515" s="386" t="s">
        <v>37</v>
      </c>
      <c r="G515" s="40" t="s">
        <v>482</v>
      </c>
      <c r="H515" s="24" t="s">
        <v>267</v>
      </c>
      <c r="I515" s="23">
        <v>0.3</v>
      </c>
      <c r="J515" s="12">
        <f>J513</f>
        <v>14.5032</v>
      </c>
      <c r="K515" s="25">
        <f>I515*$K$512</f>
        <v>40566960</v>
      </c>
      <c r="L515" s="988">
        <f>IFERROR(K515/J515,0)</f>
        <v>2797104.0873738211</v>
      </c>
      <c r="M515" s="91">
        <v>0</v>
      </c>
      <c r="N515" s="921">
        <f>ROUND(L515*M515,0)</f>
        <v>0</v>
      </c>
      <c r="O515" s="91">
        <v>0</v>
      </c>
      <c r="P515" s="921">
        <v>0</v>
      </c>
      <c r="Q515" s="91">
        <f>M515-O515</f>
        <v>0</v>
      </c>
      <c r="R515" s="921">
        <f>N515-P515</f>
        <v>0</v>
      </c>
      <c r="S515" s="501">
        <f t="shared" si="77"/>
        <v>14.5032</v>
      </c>
      <c r="T515" s="433"/>
      <c r="U515" s="434"/>
      <c r="W515" s="1008"/>
      <c r="X515" s="97"/>
      <c r="Y515" s="734"/>
      <c r="Z515" s="97"/>
      <c r="AA515" s="97"/>
      <c r="AB515" s="97"/>
    </row>
    <row r="516" spans="2:28" s="22" customFormat="1" ht="15.6" x14ac:dyDescent="0.3">
      <c r="B516" s="1658"/>
      <c r="C516" s="1680"/>
      <c r="D516" s="1679"/>
      <c r="E516" s="1676"/>
      <c r="F516" s="386" t="s">
        <v>39</v>
      </c>
      <c r="G516" s="40" t="s">
        <v>483</v>
      </c>
      <c r="H516" s="24" t="s">
        <v>267</v>
      </c>
      <c r="I516" s="23">
        <v>0.1</v>
      </c>
      <c r="J516" s="12">
        <f>J514</f>
        <v>14.5032</v>
      </c>
      <c r="K516" s="25">
        <f>I516*$K$512</f>
        <v>13522320</v>
      </c>
      <c r="L516" s="988">
        <f>IFERROR(K516/J516,0)</f>
        <v>932368.02912460698</v>
      </c>
      <c r="M516" s="91">
        <v>0</v>
      </c>
      <c r="N516" s="921">
        <f>ROUND(L516*M516,0)</f>
        <v>0</v>
      </c>
      <c r="O516" s="91">
        <v>0</v>
      </c>
      <c r="P516" s="921">
        <v>0</v>
      </c>
      <c r="Q516" s="91">
        <f t="shared" si="80"/>
        <v>0</v>
      </c>
      <c r="R516" s="921">
        <f>N516-P516</f>
        <v>0</v>
      </c>
      <c r="S516" s="501">
        <f t="shared" si="77"/>
        <v>14.5032</v>
      </c>
      <c r="T516" s="433"/>
      <c r="U516" s="434"/>
      <c r="W516" s="598"/>
      <c r="Y516" s="734"/>
    </row>
    <row r="517" spans="2:28" s="97" customFormat="1" ht="15.6" x14ac:dyDescent="0.3">
      <c r="B517" s="211" t="s">
        <v>162</v>
      </c>
      <c r="C517" s="212"/>
      <c r="D517" s="212"/>
      <c r="E517" s="212"/>
      <c r="F517" s="213"/>
      <c r="G517" s="103"/>
      <c r="H517" s="214"/>
      <c r="I517" s="215"/>
      <c r="J517" s="216"/>
      <c r="K517" s="217"/>
      <c r="L517" s="1027"/>
      <c r="M517" s="218"/>
      <c r="N517" s="927">
        <f>SUM(N494:N516)</f>
        <v>217094543</v>
      </c>
      <c r="O517" s="218"/>
      <c r="P517" s="927">
        <f>SUM(P494:P516)</f>
        <v>214071696</v>
      </c>
      <c r="Q517" s="218"/>
      <c r="R517" s="927">
        <f>SUM(R494:R516)</f>
        <v>3022847</v>
      </c>
      <c r="S517" s="501">
        <f t="shared" si="77"/>
        <v>0</v>
      </c>
      <c r="T517" s="438"/>
      <c r="U517" s="439"/>
      <c r="W517" s="598"/>
      <c r="X517" s="22"/>
      <c r="Y517" s="734"/>
      <c r="Z517" s="22"/>
      <c r="AA517" s="22"/>
      <c r="AB517" s="22"/>
    </row>
    <row r="518" spans="2:28" s="22" customFormat="1" ht="7.5" customHeight="1" x14ac:dyDescent="0.3">
      <c r="B518" s="2"/>
      <c r="C518" s="152"/>
      <c r="D518" s="194"/>
      <c r="E518" s="3"/>
      <c r="F518" s="195"/>
      <c r="G518" s="4"/>
      <c r="H518" s="196"/>
      <c r="I518" s="197"/>
      <c r="J518" s="198"/>
      <c r="K518" s="199"/>
      <c r="L518" s="1022"/>
      <c r="M518" s="200"/>
      <c r="N518" s="928"/>
      <c r="O518" s="200"/>
      <c r="P518" s="928"/>
      <c r="Q518" s="200"/>
      <c r="R518" s="929"/>
      <c r="S518" s="501">
        <f t="shared" si="77"/>
        <v>0</v>
      </c>
      <c r="T518" s="440"/>
      <c r="U518" s="441"/>
      <c r="W518" s="598"/>
      <c r="Y518" s="734"/>
    </row>
    <row r="519" spans="2:28" s="22" customFormat="1" ht="30.6" customHeight="1" x14ac:dyDescent="0.3">
      <c r="B519" s="1658" t="s">
        <v>163</v>
      </c>
      <c r="C519" s="1680" t="s">
        <v>164</v>
      </c>
      <c r="D519" s="1649"/>
      <c r="E519" s="1674">
        <f>55400000</f>
        <v>55400000</v>
      </c>
      <c r="F519" s="26">
        <v>801</v>
      </c>
      <c r="G519" s="6" t="s">
        <v>484</v>
      </c>
      <c r="H519" s="222" t="s">
        <v>188</v>
      </c>
      <c r="I519" s="28">
        <v>1</v>
      </c>
      <c r="J519" s="29"/>
      <c r="K519" s="30">
        <f>5.04*10^7</f>
        <v>50400000</v>
      </c>
      <c r="L519" s="1028"/>
      <c r="M519" s="94"/>
      <c r="N519" s="922"/>
      <c r="O519" s="94"/>
      <c r="P519" s="922"/>
      <c r="Q519" s="94"/>
      <c r="R519" s="922"/>
      <c r="S519" s="501">
        <f t="shared" si="77"/>
        <v>0</v>
      </c>
      <c r="T519" s="435"/>
      <c r="U519" s="436"/>
      <c r="W519" s="598"/>
      <c r="Y519" s="734"/>
    </row>
    <row r="520" spans="2:28" s="22" customFormat="1" ht="15.6" x14ac:dyDescent="0.3">
      <c r="B520" s="1658"/>
      <c r="C520" s="1680"/>
      <c r="D520" s="1650"/>
      <c r="E520" s="1675"/>
      <c r="F520" s="278" t="s">
        <v>32</v>
      </c>
      <c r="G520" s="10" t="s">
        <v>485</v>
      </c>
      <c r="H520" s="223" t="s">
        <v>340</v>
      </c>
      <c r="I520" s="13">
        <v>0.4</v>
      </c>
      <c r="J520" s="20">
        <v>5</v>
      </c>
      <c r="K520" s="25">
        <f>I520*$K$519</f>
        <v>20160000</v>
      </c>
      <c r="L520" s="988">
        <f>IFERROR(K520/J520,0)</f>
        <v>4032000</v>
      </c>
      <c r="M520" s="91">
        <v>0</v>
      </c>
      <c r="N520" s="921">
        <f>ROUND(L520*M520,0)</f>
        <v>0</v>
      </c>
      <c r="O520" s="91">
        <v>0</v>
      </c>
      <c r="P520" s="921">
        <v>0</v>
      </c>
      <c r="Q520" s="91">
        <f t="shared" ref="Q520:R528" si="81">M520-O520</f>
        <v>0</v>
      </c>
      <c r="R520" s="921">
        <f t="shared" si="81"/>
        <v>0</v>
      </c>
      <c r="S520" s="501">
        <f t="shared" si="77"/>
        <v>5</v>
      </c>
      <c r="T520" s="433"/>
      <c r="U520" s="434"/>
      <c r="W520" s="598"/>
      <c r="Y520" s="734"/>
    </row>
    <row r="521" spans="2:28" s="22" customFormat="1" ht="15.6" x14ac:dyDescent="0.3">
      <c r="B521" s="1658"/>
      <c r="C521" s="1680"/>
      <c r="D521" s="1650"/>
      <c r="E521" s="1675"/>
      <c r="F521" s="278" t="s">
        <v>34</v>
      </c>
      <c r="G521" s="10" t="s">
        <v>486</v>
      </c>
      <c r="H521" s="223" t="s">
        <v>340</v>
      </c>
      <c r="I521" s="13">
        <v>0.4</v>
      </c>
      <c r="J521" s="20">
        <v>2</v>
      </c>
      <c r="K521" s="25">
        <f>I521*$K$519</f>
        <v>20160000</v>
      </c>
      <c r="L521" s="988">
        <f>IFERROR(K521/J521,0)</f>
        <v>10080000</v>
      </c>
      <c r="M521" s="91">
        <v>0</v>
      </c>
      <c r="N521" s="921">
        <f>ROUND(L521*M521,0)</f>
        <v>0</v>
      </c>
      <c r="O521" s="91">
        <v>0</v>
      </c>
      <c r="P521" s="921">
        <v>0</v>
      </c>
      <c r="Q521" s="91">
        <f t="shared" si="81"/>
        <v>0</v>
      </c>
      <c r="R521" s="921">
        <f t="shared" si="81"/>
        <v>0</v>
      </c>
      <c r="S521" s="501">
        <f t="shared" si="77"/>
        <v>2</v>
      </c>
      <c r="T521" s="433"/>
      <c r="U521" s="434"/>
      <c r="W521" s="598"/>
      <c r="Y521" s="734"/>
    </row>
    <row r="522" spans="2:28" s="22" customFormat="1" ht="31.2" x14ac:dyDescent="0.3">
      <c r="B522" s="1658"/>
      <c r="C522" s="1680"/>
      <c r="D522" s="1650"/>
      <c r="E522" s="1675"/>
      <c r="F522" s="278" t="s">
        <v>37</v>
      </c>
      <c r="G522" s="10" t="s">
        <v>487</v>
      </c>
      <c r="H522" s="223"/>
      <c r="I522" s="13"/>
      <c r="J522" s="20"/>
      <c r="K522" s="21"/>
      <c r="L522" s="1030"/>
      <c r="M522" s="91"/>
      <c r="N522" s="921"/>
      <c r="O522" s="91"/>
      <c r="P522" s="921"/>
      <c r="Q522" s="96"/>
      <c r="R522" s="921"/>
      <c r="S522" s="501">
        <f t="shared" si="77"/>
        <v>0</v>
      </c>
      <c r="T522" s="433"/>
      <c r="U522" s="434"/>
      <c r="W522" s="598"/>
      <c r="Y522" s="734"/>
    </row>
    <row r="523" spans="2:28" s="22" customFormat="1" ht="15.6" x14ac:dyDescent="0.3">
      <c r="B523" s="1658"/>
      <c r="C523" s="1680"/>
      <c r="D523" s="1650"/>
      <c r="E523" s="1675"/>
      <c r="F523" s="19">
        <v>1</v>
      </c>
      <c r="G523" s="9" t="s">
        <v>488</v>
      </c>
      <c r="H523" s="223" t="s">
        <v>340</v>
      </c>
      <c r="I523" s="13">
        <v>0.05</v>
      </c>
      <c r="J523" s="20">
        <v>10</v>
      </c>
      <c r="K523" s="25">
        <f>I523*$K$519</f>
        <v>2520000</v>
      </c>
      <c r="L523" s="988">
        <f>IFERROR(K523/J523,0)</f>
        <v>252000</v>
      </c>
      <c r="M523" s="91">
        <v>0</v>
      </c>
      <c r="N523" s="921">
        <f>ROUND(L523*M523,0)</f>
        <v>0</v>
      </c>
      <c r="O523" s="91">
        <v>0</v>
      </c>
      <c r="P523" s="921">
        <v>0</v>
      </c>
      <c r="Q523" s="91">
        <f>M523-O523</f>
        <v>0</v>
      </c>
      <c r="R523" s="921">
        <f t="shared" si="81"/>
        <v>0</v>
      </c>
      <c r="S523" s="501">
        <f t="shared" si="77"/>
        <v>10</v>
      </c>
      <c r="T523" s="433"/>
      <c r="U523" s="434"/>
      <c r="W523" s="598"/>
      <c r="Y523" s="734"/>
    </row>
    <row r="524" spans="2:28" s="22" customFormat="1" ht="15.6" x14ac:dyDescent="0.3">
      <c r="B524" s="1658"/>
      <c r="C524" s="1680"/>
      <c r="D524" s="1650"/>
      <c r="E524" s="1675"/>
      <c r="F524" s="19">
        <v>2</v>
      </c>
      <c r="G524" s="9" t="s">
        <v>489</v>
      </c>
      <c r="H524" s="223" t="s">
        <v>340</v>
      </c>
      <c r="I524" s="13">
        <v>7.0000000000000007E-2</v>
      </c>
      <c r="J524" s="20">
        <v>14</v>
      </c>
      <c r="K524" s="25">
        <f>I524*$K$519</f>
        <v>3528000.0000000005</v>
      </c>
      <c r="L524" s="988">
        <f>IFERROR(K524/J524,0)</f>
        <v>252000.00000000003</v>
      </c>
      <c r="M524" s="91">
        <v>0</v>
      </c>
      <c r="N524" s="921">
        <f>ROUND(L524*M524,0)</f>
        <v>0</v>
      </c>
      <c r="O524" s="91">
        <v>0</v>
      </c>
      <c r="P524" s="921">
        <v>0</v>
      </c>
      <c r="Q524" s="91">
        <f>M524-O524</f>
        <v>0</v>
      </c>
      <c r="R524" s="921">
        <f t="shared" si="81"/>
        <v>0</v>
      </c>
      <c r="S524" s="501">
        <f t="shared" si="77"/>
        <v>14</v>
      </c>
      <c r="T524" s="433"/>
      <c r="U524" s="434"/>
      <c r="W524" s="598"/>
      <c r="Y524" s="734"/>
    </row>
    <row r="525" spans="2:28" s="22" customFormat="1" ht="15.6" x14ac:dyDescent="0.3">
      <c r="B525" s="1658"/>
      <c r="C525" s="1680"/>
      <c r="D525" s="1650"/>
      <c r="E525" s="1675"/>
      <c r="F525" s="19">
        <v>3</v>
      </c>
      <c r="G525" s="9" t="s">
        <v>490</v>
      </c>
      <c r="H525" s="223" t="s">
        <v>340</v>
      </c>
      <c r="I525" s="13">
        <v>0.03</v>
      </c>
      <c r="J525" s="20">
        <v>1</v>
      </c>
      <c r="K525" s="25">
        <f>I525*$K$519</f>
        <v>1512000</v>
      </c>
      <c r="L525" s="988">
        <f>IFERROR(K525/J525,0)</f>
        <v>1512000</v>
      </c>
      <c r="M525" s="91">
        <v>0</v>
      </c>
      <c r="N525" s="921">
        <f>ROUND(L525*M525,0)</f>
        <v>0</v>
      </c>
      <c r="O525" s="91">
        <v>0</v>
      </c>
      <c r="P525" s="921">
        <v>0</v>
      </c>
      <c r="Q525" s="91">
        <f>M525-O525</f>
        <v>0</v>
      </c>
      <c r="R525" s="921">
        <f t="shared" si="81"/>
        <v>0</v>
      </c>
      <c r="S525" s="501">
        <f t="shared" si="77"/>
        <v>1</v>
      </c>
      <c r="T525" s="433"/>
      <c r="U525" s="434"/>
      <c r="W525" s="598"/>
      <c r="Y525" s="734"/>
    </row>
    <row r="526" spans="2:28" s="22" customFormat="1" ht="15.6" x14ac:dyDescent="0.3">
      <c r="B526" s="1658"/>
      <c r="C526" s="1680"/>
      <c r="D526" s="1650"/>
      <c r="E526" s="1675"/>
      <c r="F526" s="19">
        <v>4</v>
      </c>
      <c r="G526" s="9" t="s">
        <v>491</v>
      </c>
      <c r="H526" s="223" t="s">
        <v>340</v>
      </c>
      <c r="I526" s="13">
        <v>0.05</v>
      </c>
      <c r="J526" s="51">
        <v>1</v>
      </c>
      <c r="K526" s="25">
        <f>I526*$K$519</f>
        <v>2520000</v>
      </c>
      <c r="L526" s="988">
        <f>IFERROR(K526/J526,0)</f>
        <v>2520000</v>
      </c>
      <c r="M526" s="91">
        <v>0</v>
      </c>
      <c r="N526" s="921">
        <f>ROUND(L526*M526,0)</f>
        <v>0</v>
      </c>
      <c r="O526" s="91">
        <v>0</v>
      </c>
      <c r="P526" s="921">
        <v>0</v>
      </c>
      <c r="Q526" s="91">
        <f>M526-O526</f>
        <v>0</v>
      </c>
      <c r="R526" s="921">
        <f t="shared" si="81"/>
        <v>0</v>
      </c>
      <c r="S526" s="501">
        <f t="shared" si="77"/>
        <v>1</v>
      </c>
      <c r="T526" s="433"/>
      <c r="U526" s="434"/>
      <c r="W526" s="598"/>
      <c r="Y526" s="734"/>
    </row>
    <row r="527" spans="2:28" s="22" customFormat="1" ht="15.6" x14ac:dyDescent="0.3">
      <c r="B527" s="1658"/>
      <c r="C527" s="1680"/>
      <c r="D527" s="1650"/>
      <c r="E527" s="1675"/>
      <c r="F527" s="42">
        <f>F519+1</f>
        <v>802</v>
      </c>
      <c r="G527" s="39" t="s">
        <v>492</v>
      </c>
      <c r="H527" s="224" t="s">
        <v>188</v>
      </c>
      <c r="I527" s="16">
        <v>1</v>
      </c>
      <c r="J527" s="225"/>
      <c r="K527" s="18">
        <f>0.5*10^7</f>
        <v>5000000</v>
      </c>
      <c r="L527" s="1029"/>
      <c r="M527" s="257"/>
      <c r="N527" s="923"/>
      <c r="O527" s="257"/>
      <c r="P527" s="923"/>
      <c r="Q527" s="257"/>
      <c r="R527" s="923"/>
      <c r="S527" s="501">
        <f t="shared" si="77"/>
        <v>0</v>
      </c>
      <c r="T527" s="435"/>
      <c r="U527" s="436"/>
      <c r="W527" s="1008"/>
      <c r="X527" s="97"/>
      <c r="Y527" s="734"/>
      <c r="Z527" s="97"/>
      <c r="AA527" s="97"/>
      <c r="AB527" s="97"/>
    </row>
    <row r="528" spans="2:28" s="22" customFormat="1" ht="15.6" x14ac:dyDescent="0.3">
      <c r="B528" s="1658"/>
      <c r="C528" s="1680"/>
      <c r="D528" s="1653"/>
      <c r="E528" s="1676"/>
      <c r="F528" s="389" t="s">
        <v>32</v>
      </c>
      <c r="G528" s="390" t="s">
        <v>493</v>
      </c>
      <c r="H528" s="391" t="s">
        <v>188</v>
      </c>
      <c r="I528" s="392">
        <v>1</v>
      </c>
      <c r="J528" s="393">
        <v>1</v>
      </c>
      <c r="K528" s="226">
        <f>I528*$K$527</f>
        <v>5000000</v>
      </c>
      <c r="L528" s="1033">
        <f>IFERROR(K528/J528,0)</f>
        <v>5000000</v>
      </c>
      <c r="M528" s="91">
        <f>'Schedule 8'!$F$14</f>
        <v>0.32326959999999999</v>
      </c>
      <c r="N528" s="921">
        <f>ROUND(L528*M528,0)</f>
        <v>1616348</v>
      </c>
      <c r="O528" s="91">
        <f>'Schedule 8'!$F$15</f>
        <v>0.32326959999999999</v>
      </c>
      <c r="P528" s="921">
        <v>1616348</v>
      </c>
      <c r="Q528" s="96">
        <f>M528-O528</f>
        <v>0</v>
      </c>
      <c r="R528" s="921">
        <f t="shared" si="81"/>
        <v>0</v>
      </c>
      <c r="S528" s="501">
        <f t="shared" si="77"/>
        <v>0.67673040000000007</v>
      </c>
      <c r="T528" s="433"/>
      <c r="U528" s="434"/>
      <c r="W528" s="598"/>
      <c r="Y528" s="734"/>
    </row>
    <row r="529" spans="2:28" s="97" customFormat="1" ht="15.6" x14ac:dyDescent="0.3">
      <c r="B529" s="211" t="s">
        <v>164</v>
      </c>
      <c r="C529" s="212"/>
      <c r="D529" s="212"/>
      <c r="E529" s="212"/>
      <c r="F529" s="213"/>
      <c r="G529" s="103"/>
      <c r="H529" s="214"/>
      <c r="I529" s="215"/>
      <c r="J529" s="216"/>
      <c r="K529" s="217"/>
      <c r="L529" s="1027"/>
      <c r="M529" s="218"/>
      <c r="N529" s="927">
        <f>SUM(N520:N528)</f>
        <v>1616348</v>
      </c>
      <c r="O529" s="218"/>
      <c r="P529" s="927">
        <f>SUM(P520:P528)</f>
        <v>1616348</v>
      </c>
      <c r="Q529" s="218"/>
      <c r="R529" s="927">
        <f>SUM(R520:R528)</f>
        <v>0</v>
      </c>
      <c r="S529" s="501"/>
      <c r="T529" s="427"/>
      <c r="U529" s="428"/>
      <c r="W529" s="1008"/>
      <c r="Y529" s="734"/>
    </row>
    <row r="530" spans="2:28" s="22" customFormat="1" ht="7.5" customHeight="1" x14ac:dyDescent="0.3">
      <c r="B530" s="2"/>
      <c r="C530" s="152"/>
      <c r="D530" s="194"/>
      <c r="E530" s="3"/>
      <c r="F530" s="195"/>
      <c r="G530" s="4"/>
      <c r="H530" s="196"/>
      <c r="I530" s="197"/>
      <c r="J530" s="198"/>
      <c r="K530" s="199"/>
      <c r="L530" s="1022"/>
      <c r="M530" s="200"/>
      <c r="N530" s="928"/>
      <c r="O530" s="200"/>
      <c r="P530" s="928"/>
      <c r="Q530" s="200"/>
      <c r="R530" s="929"/>
      <c r="S530" s="501"/>
      <c r="T530" s="427"/>
      <c r="U530" s="428"/>
      <c r="W530" s="1008"/>
      <c r="X530" s="97"/>
      <c r="Y530" s="734"/>
      <c r="Z530" s="97"/>
      <c r="AA530" s="97"/>
      <c r="AB530" s="97"/>
    </row>
    <row r="531" spans="2:28" s="97" customFormat="1" ht="15.6" x14ac:dyDescent="0.3">
      <c r="B531" s="227" t="s">
        <v>494</v>
      </c>
      <c r="C531" s="228"/>
      <c r="D531" s="228"/>
      <c r="E531" s="228"/>
      <c r="F531" s="229"/>
      <c r="G531" s="159"/>
      <c r="H531" s="230"/>
      <c r="I531" s="231"/>
      <c r="J531" s="232"/>
      <c r="K531" s="162">
        <f>SUM(K8,K29,K68,K77,K121,K114,K126,K135,K194,K267,K271,K277,K280,K292,K299,K304,K307,K310,K315,K319,K323,K325,K327,K329,K332,K338,K343,K348,K356,K360,K364,K369,K373,K378,K387,K394,K401,K410,K419,K432,K439,K448,K457,K461,K464,K466,K470,K474,K478,K483,K488,K493,K496,K498,K501,K504,K506,K512,K519,K527)</f>
        <v>26885400000</v>
      </c>
      <c r="L531" s="1034"/>
      <c r="M531" s="161"/>
      <c r="N531" s="931">
        <f>SUM(N119,N275,N313,N376,N459,N491,N517)</f>
        <v>20327140948</v>
      </c>
      <c r="O531" s="161"/>
      <c r="P531" s="931">
        <f>SUM(P119,P275,P313,P376,P459,P491,P517)</f>
        <v>12995429147</v>
      </c>
      <c r="Q531" s="161"/>
      <c r="R531" s="931">
        <f>SUM(R119,R275,R313,R376,R459,R491,R517)</f>
        <v>7331711801</v>
      </c>
      <c r="S531" s="502"/>
      <c r="T531" s="427"/>
      <c r="U531" s="428"/>
      <c r="W531" s="1008"/>
      <c r="Y531" s="735"/>
    </row>
    <row r="532" spans="2:28" s="97" customFormat="1" ht="15.6" x14ac:dyDescent="0.3">
      <c r="B532" s="234" t="s">
        <v>495</v>
      </c>
      <c r="C532" s="235"/>
      <c r="D532" s="235"/>
      <c r="E532" s="235"/>
      <c r="F532" s="236"/>
      <c r="G532" s="160"/>
      <c r="H532" s="237"/>
      <c r="I532" s="238"/>
      <c r="J532" s="239"/>
      <c r="K532" s="240"/>
      <c r="L532" s="1035"/>
      <c r="M532" s="936"/>
      <c r="N532" s="932">
        <f>N529</f>
        <v>1616348</v>
      </c>
      <c r="O532" s="936"/>
      <c r="P532" s="932">
        <f>P529</f>
        <v>1616348</v>
      </c>
      <c r="Q532" s="936"/>
      <c r="R532" s="932">
        <f>R529</f>
        <v>0</v>
      </c>
      <c r="S532" s="501"/>
      <c r="T532" s="427"/>
      <c r="U532" s="428"/>
      <c r="W532" s="697"/>
      <c r="X532" s="185"/>
      <c r="Y532" s="733"/>
      <c r="Z532" s="185"/>
      <c r="AA532" s="185"/>
      <c r="AB532" s="185"/>
    </row>
    <row r="533" spans="2:28" s="97" customFormat="1" ht="15.6" x14ac:dyDescent="0.3">
      <c r="B533" s="270" t="s">
        <v>496</v>
      </c>
      <c r="C533" s="271"/>
      <c r="D533" s="271"/>
      <c r="E533" s="271"/>
      <c r="F533" s="272"/>
      <c r="G533" s="273"/>
      <c r="H533" s="274"/>
      <c r="I533" s="275"/>
      <c r="J533" s="335"/>
      <c r="K533" s="276"/>
      <c r="L533" s="1036"/>
      <c r="M533" s="937"/>
      <c r="N533" s="933">
        <f>N531+N532</f>
        <v>20328757296</v>
      </c>
      <c r="O533" s="937"/>
      <c r="P533" s="933">
        <f>P531+P532</f>
        <v>12997045495</v>
      </c>
      <c r="Q533" s="937"/>
      <c r="R533" s="933">
        <f>R531+R532</f>
        <v>7331711801</v>
      </c>
      <c r="S533" s="501">
        <f>56.22-5</f>
        <v>51.22</v>
      </c>
      <c r="T533" s="427"/>
      <c r="U533" s="428"/>
      <c r="W533" s="697"/>
      <c r="X533" s="697"/>
      <c r="Y533" s="697"/>
      <c r="Z533" s="185"/>
      <c r="AA533" s="185"/>
      <c r="AB533" s="185"/>
    </row>
    <row r="534" spans="2:28" ht="15.6" x14ac:dyDescent="0.3"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M534" s="242"/>
      <c r="N534" s="370">
        <f>N533/1.18</f>
        <v>17227760420.338985</v>
      </c>
      <c r="O534" s="242"/>
      <c r="P534" s="241"/>
      <c r="Q534" s="369" t="s">
        <v>497</v>
      </c>
      <c r="R534" s="370">
        <f>R533/1.18</f>
        <v>6213315085.5932207</v>
      </c>
      <c r="S534" s="501">
        <f>S533*0.73</f>
        <v>37.390599999999999</v>
      </c>
      <c r="T534" s="427"/>
      <c r="U534" s="428"/>
    </row>
    <row r="535" spans="2:28" ht="15.6" x14ac:dyDescent="0.3">
      <c r="S535" s="502"/>
    </row>
    <row r="536" spans="2:28" ht="15.6" x14ac:dyDescent="0.3">
      <c r="Q536" s="498"/>
      <c r="R536" s="368"/>
      <c r="S536" s="501"/>
      <c r="X536" s="368"/>
    </row>
    <row r="537" spans="2:28" ht="15.6" x14ac:dyDescent="0.3">
      <c r="Q537" s="498"/>
      <c r="R537" s="368"/>
      <c r="S537" s="502"/>
      <c r="X537" s="736"/>
    </row>
    <row r="538" spans="2:28" ht="15.6" x14ac:dyDescent="0.3">
      <c r="S538" s="502"/>
    </row>
    <row r="539" spans="2:28" ht="15.6" x14ac:dyDescent="0.3">
      <c r="R539" s="978"/>
      <c r="S539" s="502"/>
    </row>
    <row r="540" spans="2:28" x14ac:dyDescent="0.3">
      <c r="P540" s="578"/>
      <c r="R540" s="578"/>
    </row>
    <row r="541" spans="2:28" x14ac:dyDescent="0.3">
      <c r="P541" s="578"/>
      <c r="R541" s="578"/>
    </row>
  </sheetData>
  <autoFilter ref="A6:R529" xr:uid="{F141B5CC-1329-44C1-BCBB-E54289374FA2}"/>
  <mergeCells count="47">
    <mergeCell ref="E519:E528"/>
    <mergeCell ref="D519:D528"/>
    <mergeCell ref="C519:C528"/>
    <mergeCell ref="B519:B528"/>
    <mergeCell ref="E315:E375"/>
    <mergeCell ref="D315:D375"/>
    <mergeCell ref="C315:C375"/>
    <mergeCell ref="B315:B375"/>
    <mergeCell ref="E493:E516"/>
    <mergeCell ref="D493:D516"/>
    <mergeCell ref="C493:C516"/>
    <mergeCell ref="B493:B516"/>
    <mergeCell ref="E461:E490"/>
    <mergeCell ref="D461:D490"/>
    <mergeCell ref="C461:C490"/>
    <mergeCell ref="B461:B490"/>
    <mergeCell ref="Q2:R2"/>
    <mergeCell ref="C277:C312"/>
    <mergeCell ref="K5:K6"/>
    <mergeCell ref="J5:J6"/>
    <mergeCell ref="H5:H6"/>
    <mergeCell ref="E121:E274"/>
    <mergeCell ref="D121:D274"/>
    <mergeCell ref="C121:C274"/>
    <mergeCell ref="I5:I6"/>
    <mergeCell ref="E277:E312"/>
    <mergeCell ref="O5:P5"/>
    <mergeCell ref="Q5:R5"/>
    <mergeCell ref="M5:N5"/>
    <mergeCell ref="G5:G6"/>
    <mergeCell ref="T5:U5"/>
    <mergeCell ref="B121:B274"/>
    <mergeCell ref="B277:B312"/>
    <mergeCell ref="L5:L6"/>
    <mergeCell ref="C5:C6"/>
    <mergeCell ref="D5:E5"/>
    <mergeCell ref="F5:F6"/>
    <mergeCell ref="B5:B6"/>
    <mergeCell ref="B378:B458"/>
    <mergeCell ref="C378:C458"/>
    <mergeCell ref="D378:D458"/>
    <mergeCell ref="E378:E458"/>
    <mergeCell ref="E8:E118"/>
    <mergeCell ref="D8:D118"/>
    <mergeCell ref="C8:C118"/>
    <mergeCell ref="D277:D312"/>
    <mergeCell ref="B8:B118"/>
  </mergeCells>
  <printOptions horizontalCentered="1"/>
  <pageMargins left="0.35433070866141736" right="0.35433070866141736" top="0.35433070866141736" bottom="0.94488188976377963" header="0.31496062992125984" footer="0.31496062992125984"/>
  <pageSetup paperSize="9" scale="50" fitToHeight="0" orientation="landscape" r:id="rId1"/>
  <rowBreaks count="5" manualBreakCount="5">
    <brk id="144" min="1" max="17" man="1"/>
    <brk id="198" min="1" max="17" man="1"/>
    <brk id="254" min="1" max="17" man="1"/>
    <brk id="405" min="1" max="17" man="1"/>
    <brk id="511" min="1" max="17" man="1"/>
  </rowBreaks>
  <ignoredErrors>
    <ignoredError sqref="K78 N10 K316 K324 K326 K328 J335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F68F-3F55-4475-BED9-575B48E45A1D}">
  <sheetPr codeName="Sheet16">
    <pageSetUpPr fitToPage="1"/>
  </sheetPr>
  <dimension ref="A1:Q1484"/>
  <sheetViews>
    <sheetView view="pageBreakPreview" zoomScale="85" zoomScaleNormal="70" zoomScaleSheetLayoutView="85" workbookViewId="0">
      <pane ySplit="1" topLeftCell="A13" activePane="bottomLeft" state="frozen"/>
      <selection activeCell="K16" sqref="K16"/>
      <selection pane="bottomLeft" activeCell="A3" sqref="A3"/>
    </sheetView>
  </sheetViews>
  <sheetFormatPr defaultColWidth="9.109375" defaultRowHeight="14.4" x14ac:dyDescent="0.3"/>
  <cols>
    <col min="1" max="1" width="24" style="132" customWidth="1"/>
    <col min="2" max="2" width="15.44140625" style="62" customWidth="1"/>
    <col min="3" max="3" width="9.6640625" style="62" customWidth="1"/>
    <col min="4" max="4" width="43.109375" style="62" customWidth="1"/>
    <col min="5" max="5" width="10.33203125" style="425" customWidth="1"/>
    <col min="6" max="6" width="10.44140625" style="642" customWidth="1"/>
    <col min="7" max="7" width="9.88671875" style="643" customWidth="1"/>
    <col min="8" max="8" width="15.6640625" style="747" customWidth="1"/>
    <col min="9" max="9" width="10.44140625" style="748" customWidth="1"/>
    <col min="10" max="10" width="9.109375" style="425" hidden="1" customWidth="1"/>
    <col min="11" max="11" width="9.88671875" style="748" customWidth="1"/>
    <col min="12" max="12" width="25.44140625" style="425" bestFit="1" customWidth="1"/>
    <col min="13" max="14" width="9.109375" style="819"/>
    <col min="15" max="15" width="9.109375" style="425"/>
    <col min="16" max="16384" width="9.109375" style="132"/>
  </cols>
  <sheetData>
    <row r="1" spans="1:15" s="58" customFormat="1" ht="28.8" x14ac:dyDescent="0.3">
      <c r="B1" s="743" t="s">
        <v>498</v>
      </c>
      <c r="C1" s="743" t="s">
        <v>499</v>
      </c>
      <c r="D1" s="743" t="s">
        <v>176</v>
      </c>
      <c r="E1" s="741" t="s">
        <v>500</v>
      </c>
      <c r="F1" s="741" t="s">
        <v>501</v>
      </c>
      <c r="G1" s="742" t="s">
        <v>502</v>
      </c>
      <c r="H1" s="743" t="s">
        <v>503</v>
      </c>
      <c r="I1" s="744" t="s">
        <v>504</v>
      </c>
      <c r="J1" s="741" t="s">
        <v>505</v>
      </c>
      <c r="K1" s="744" t="s">
        <v>506</v>
      </c>
      <c r="L1" s="741" t="s">
        <v>507</v>
      </c>
      <c r="M1" s="817"/>
      <c r="N1" s="817"/>
      <c r="O1" s="741"/>
    </row>
    <row r="2" spans="1:15" s="481" customFormat="1" ht="28.8" x14ac:dyDescent="0.3">
      <c r="B2" s="1532" t="s">
        <v>508</v>
      </c>
      <c r="C2" s="1532">
        <v>75</v>
      </c>
      <c r="D2" s="86" t="s">
        <v>509</v>
      </c>
      <c r="E2" s="638" t="s">
        <v>190</v>
      </c>
      <c r="F2" s="639" t="s">
        <v>510</v>
      </c>
      <c r="G2" s="1110">
        <v>1</v>
      </c>
      <c r="H2" s="86" t="s">
        <v>511</v>
      </c>
      <c r="I2" s="1423">
        <v>45940</v>
      </c>
      <c r="J2" s="638" t="s">
        <v>119</v>
      </c>
      <c r="K2" s="1423">
        <v>45942</v>
      </c>
      <c r="L2" s="521" t="s">
        <v>512</v>
      </c>
      <c r="M2" s="638">
        <f t="shared" ref="M2:M33" si="0">K2-I2</f>
        <v>2</v>
      </c>
      <c r="N2" s="818"/>
      <c r="O2" s="638"/>
    </row>
    <row r="3" spans="1:15" s="481" customFormat="1" ht="78" x14ac:dyDescent="0.3">
      <c r="A3" s="8" t="s">
        <v>437</v>
      </c>
      <c r="B3" s="1532" t="s">
        <v>513</v>
      </c>
      <c r="C3" s="1532">
        <v>75</v>
      </c>
      <c r="D3" s="86" t="s">
        <v>514</v>
      </c>
      <c r="E3" s="638" t="s">
        <v>324</v>
      </c>
      <c r="F3" s="639" t="s">
        <v>515</v>
      </c>
      <c r="G3" s="1110">
        <v>1</v>
      </c>
      <c r="H3" s="86" t="s">
        <v>516</v>
      </c>
      <c r="I3" s="1423">
        <v>46193</v>
      </c>
      <c r="J3" s="638" t="s">
        <v>119</v>
      </c>
      <c r="K3" s="1423">
        <v>46193</v>
      </c>
      <c r="L3" s="521" t="s">
        <v>517</v>
      </c>
      <c r="M3" s="638">
        <f t="shared" si="0"/>
        <v>0</v>
      </c>
      <c r="N3" s="818"/>
      <c r="O3" s="638"/>
    </row>
    <row r="4" spans="1:15" s="481" customFormat="1" ht="78" x14ac:dyDescent="0.3">
      <c r="A4" s="8" t="s">
        <v>429</v>
      </c>
      <c r="B4" s="1532" t="s">
        <v>518</v>
      </c>
      <c r="C4" s="1532">
        <v>76</v>
      </c>
      <c r="D4" s="86" t="s">
        <v>519</v>
      </c>
      <c r="E4" s="638" t="s">
        <v>190</v>
      </c>
      <c r="F4" s="639" t="s">
        <v>515</v>
      </c>
      <c r="G4" s="1110">
        <v>1</v>
      </c>
      <c r="H4" s="86" t="s">
        <v>520</v>
      </c>
      <c r="I4" s="1423">
        <v>46193</v>
      </c>
      <c r="J4" s="1527" t="s">
        <v>119</v>
      </c>
      <c r="K4" s="1423">
        <v>46199</v>
      </c>
      <c r="L4" s="521" t="s">
        <v>521</v>
      </c>
      <c r="M4" s="638">
        <f t="shared" si="0"/>
        <v>6</v>
      </c>
      <c r="N4" s="818"/>
      <c r="O4" s="638"/>
    </row>
    <row r="5" spans="1:15" s="481" customFormat="1" ht="62.4" x14ac:dyDescent="0.3">
      <c r="A5" s="8" t="s">
        <v>382</v>
      </c>
      <c r="B5" s="1532" t="s">
        <v>522</v>
      </c>
      <c r="C5" s="1532">
        <v>76</v>
      </c>
      <c r="D5" s="86" t="s">
        <v>523</v>
      </c>
      <c r="E5" s="638" t="s">
        <v>190</v>
      </c>
      <c r="F5" s="639" t="s">
        <v>515</v>
      </c>
      <c r="G5" s="1110">
        <v>1</v>
      </c>
      <c r="H5" s="86" t="s">
        <v>524</v>
      </c>
      <c r="I5" s="1423">
        <v>46206</v>
      </c>
      <c r="J5" s="638" t="s">
        <v>119</v>
      </c>
      <c r="K5" s="1423">
        <v>46206</v>
      </c>
      <c r="L5" s="521" t="s">
        <v>525</v>
      </c>
      <c r="M5" s="638">
        <f t="shared" si="0"/>
        <v>0</v>
      </c>
      <c r="N5" s="818"/>
      <c r="O5" s="638"/>
    </row>
    <row r="6" spans="1:15" s="481" customFormat="1" x14ac:dyDescent="0.3">
      <c r="B6" s="1532" t="s">
        <v>526</v>
      </c>
      <c r="C6" s="1532">
        <v>77</v>
      </c>
      <c r="D6" s="86" t="s">
        <v>527</v>
      </c>
      <c r="E6" s="638" t="s">
        <v>324</v>
      </c>
      <c r="F6" s="639" t="s">
        <v>515</v>
      </c>
      <c r="G6" s="1110">
        <v>3</v>
      </c>
      <c r="H6" s="86" t="s">
        <v>528</v>
      </c>
      <c r="I6" s="1423">
        <v>46206</v>
      </c>
      <c r="J6" s="638" t="s">
        <v>119</v>
      </c>
      <c r="K6" s="1423">
        <v>46206</v>
      </c>
      <c r="L6" s="521" t="s">
        <v>529</v>
      </c>
      <c r="M6" s="638">
        <f t="shared" si="0"/>
        <v>0</v>
      </c>
      <c r="N6" s="818"/>
      <c r="O6" s="638"/>
    </row>
    <row r="7" spans="1:15" s="481" customFormat="1" ht="31.2" x14ac:dyDescent="0.3">
      <c r="A7" s="8" t="s">
        <v>441</v>
      </c>
      <c r="B7" s="1532" t="s">
        <v>530</v>
      </c>
      <c r="C7" s="1532">
        <v>77</v>
      </c>
      <c r="D7" s="86" t="s">
        <v>531</v>
      </c>
      <c r="E7" s="638" t="s">
        <v>190</v>
      </c>
      <c r="F7" s="639" t="s">
        <v>515</v>
      </c>
      <c r="G7" s="1110">
        <v>2</v>
      </c>
      <c r="H7" s="86" t="s">
        <v>532</v>
      </c>
      <c r="I7" s="1423">
        <v>46206</v>
      </c>
      <c r="J7" s="638" t="s">
        <v>119</v>
      </c>
      <c r="K7" s="1423">
        <v>46206</v>
      </c>
      <c r="L7" s="521" t="s">
        <v>533</v>
      </c>
      <c r="M7" s="638">
        <f t="shared" si="0"/>
        <v>0</v>
      </c>
      <c r="N7" s="818"/>
      <c r="O7" s="638"/>
    </row>
    <row r="8" spans="1:15" s="481" customFormat="1" x14ac:dyDescent="0.3">
      <c r="B8" s="1532" t="s">
        <v>513</v>
      </c>
      <c r="C8" s="1532">
        <v>77</v>
      </c>
      <c r="D8" s="86" t="s">
        <v>514</v>
      </c>
      <c r="E8" s="638" t="s">
        <v>324</v>
      </c>
      <c r="F8" s="639" t="s">
        <v>515</v>
      </c>
      <c r="G8" s="1110">
        <v>1</v>
      </c>
      <c r="H8" s="86" t="s">
        <v>534</v>
      </c>
      <c r="I8" s="1423">
        <v>46206</v>
      </c>
      <c r="J8" s="638" t="s">
        <v>119</v>
      </c>
      <c r="K8" s="1423">
        <v>46207</v>
      </c>
      <c r="L8" s="521" t="s">
        <v>535</v>
      </c>
      <c r="M8" s="638">
        <f t="shared" si="0"/>
        <v>1</v>
      </c>
      <c r="N8" s="818"/>
      <c r="O8" s="638"/>
    </row>
    <row r="9" spans="1:15" s="481" customFormat="1" x14ac:dyDescent="0.3">
      <c r="B9" s="1532" t="s">
        <v>530</v>
      </c>
      <c r="C9" s="1532">
        <v>78</v>
      </c>
      <c r="D9" s="86" t="s">
        <v>531</v>
      </c>
      <c r="E9" s="638" t="s">
        <v>190</v>
      </c>
      <c r="F9" s="639" t="s">
        <v>515</v>
      </c>
      <c r="G9" s="1110">
        <v>2</v>
      </c>
      <c r="H9" s="86" t="s">
        <v>536</v>
      </c>
      <c r="I9" s="1423">
        <v>46206</v>
      </c>
      <c r="J9" s="638" t="s">
        <v>119</v>
      </c>
      <c r="K9" s="1423">
        <v>46210</v>
      </c>
      <c r="L9" s="521" t="s">
        <v>537</v>
      </c>
      <c r="M9" s="638">
        <f t="shared" si="0"/>
        <v>4</v>
      </c>
      <c r="N9" s="818"/>
      <c r="O9" s="638"/>
    </row>
    <row r="10" spans="1:15" s="481" customFormat="1" ht="28.8" x14ac:dyDescent="0.3">
      <c r="B10" s="1532" t="s">
        <v>522</v>
      </c>
      <c r="C10" s="1532">
        <v>78</v>
      </c>
      <c r="D10" s="86" t="s">
        <v>523</v>
      </c>
      <c r="E10" s="638" t="s">
        <v>190</v>
      </c>
      <c r="F10" s="639" t="s">
        <v>515</v>
      </c>
      <c r="G10" s="1110">
        <v>1</v>
      </c>
      <c r="H10" s="86" t="s">
        <v>538</v>
      </c>
      <c r="I10" s="1423">
        <v>46210</v>
      </c>
      <c r="J10" s="638" t="s">
        <v>119</v>
      </c>
      <c r="K10" s="1423">
        <v>46211</v>
      </c>
      <c r="L10" s="521" t="s">
        <v>539</v>
      </c>
      <c r="M10" s="638">
        <f t="shared" si="0"/>
        <v>1</v>
      </c>
      <c r="N10" s="818"/>
      <c r="O10" s="638"/>
    </row>
    <row r="11" spans="1:15" s="481" customFormat="1" ht="46.8" x14ac:dyDescent="0.3">
      <c r="A11" s="39" t="s">
        <v>375</v>
      </c>
      <c r="B11" s="1532" t="s">
        <v>540</v>
      </c>
      <c r="C11" s="1532">
        <v>78</v>
      </c>
      <c r="D11" s="86" t="s">
        <v>376</v>
      </c>
      <c r="E11" s="638" t="s">
        <v>320</v>
      </c>
      <c r="F11" s="639" t="s">
        <v>510</v>
      </c>
      <c r="G11" s="1110">
        <v>2</v>
      </c>
      <c r="H11" s="86" t="s">
        <v>541</v>
      </c>
      <c r="I11" s="1423">
        <v>46212</v>
      </c>
      <c r="J11" s="638" t="s">
        <v>119</v>
      </c>
      <c r="K11" s="1423">
        <v>46214</v>
      </c>
      <c r="L11" s="521" t="s">
        <v>542</v>
      </c>
      <c r="M11" s="638">
        <f t="shared" si="0"/>
        <v>2</v>
      </c>
      <c r="N11" s="818"/>
      <c r="O11" s="638"/>
    </row>
    <row r="12" spans="1:15" s="481" customFormat="1" x14ac:dyDescent="0.3">
      <c r="B12" s="1532" t="s">
        <v>540</v>
      </c>
      <c r="C12" s="1532">
        <v>79</v>
      </c>
      <c r="D12" s="86" t="s">
        <v>376</v>
      </c>
      <c r="E12" s="638" t="s">
        <v>320</v>
      </c>
      <c r="F12" s="639" t="s">
        <v>515</v>
      </c>
      <c r="G12" s="1110">
        <v>2.1150000000000002</v>
      </c>
      <c r="H12" s="86" t="s">
        <v>543</v>
      </c>
      <c r="I12" s="1423">
        <v>46212</v>
      </c>
      <c r="J12" s="638" t="s">
        <v>119</v>
      </c>
      <c r="K12" s="1423">
        <v>46214</v>
      </c>
      <c r="L12" s="521" t="s">
        <v>544</v>
      </c>
      <c r="M12" s="638">
        <f t="shared" si="0"/>
        <v>2</v>
      </c>
      <c r="N12" s="818"/>
      <c r="O12" s="638"/>
    </row>
    <row r="13" spans="1:15" s="481" customFormat="1" ht="28.8" x14ac:dyDescent="0.3">
      <c r="B13" s="1532" t="s">
        <v>508</v>
      </c>
      <c r="C13" s="1532">
        <v>79</v>
      </c>
      <c r="D13" s="86" t="s">
        <v>509</v>
      </c>
      <c r="E13" s="638" t="s">
        <v>190</v>
      </c>
      <c r="F13" s="639" t="s">
        <v>510</v>
      </c>
      <c r="G13" s="1110">
        <v>1</v>
      </c>
      <c r="H13" s="86" t="s">
        <v>545</v>
      </c>
      <c r="I13" s="1423">
        <v>46212</v>
      </c>
      <c r="J13" s="638" t="s">
        <v>119</v>
      </c>
      <c r="K13" s="1423">
        <v>46214</v>
      </c>
      <c r="L13" s="521" t="s">
        <v>546</v>
      </c>
      <c r="M13" s="638">
        <f t="shared" si="0"/>
        <v>2</v>
      </c>
      <c r="N13" s="818"/>
      <c r="O13" s="638"/>
    </row>
    <row r="14" spans="1:15" s="481" customFormat="1" ht="28.8" x14ac:dyDescent="0.3">
      <c r="B14" s="1532" t="s">
        <v>508</v>
      </c>
      <c r="C14" s="1532">
        <v>79</v>
      </c>
      <c r="D14" s="86" t="s">
        <v>509</v>
      </c>
      <c r="E14" s="638" t="s">
        <v>190</v>
      </c>
      <c r="F14" s="639" t="s">
        <v>510</v>
      </c>
      <c r="G14" s="1110">
        <v>1</v>
      </c>
      <c r="H14" s="86" t="s">
        <v>547</v>
      </c>
      <c r="I14" s="1423">
        <v>46212</v>
      </c>
      <c r="J14" s="638" t="s">
        <v>119</v>
      </c>
      <c r="K14" s="1423">
        <v>46215</v>
      </c>
      <c r="L14" s="521" t="s">
        <v>548</v>
      </c>
      <c r="M14" s="638">
        <f t="shared" si="0"/>
        <v>3</v>
      </c>
      <c r="N14" s="818"/>
      <c r="O14" s="638"/>
    </row>
    <row r="15" spans="1:15" s="481" customFormat="1" ht="28.8" x14ac:dyDescent="0.3">
      <c r="B15" s="1532" t="s">
        <v>508</v>
      </c>
      <c r="C15" s="1532">
        <v>79</v>
      </c>
      <c r="D15" s="86" t="s">
        <v>509</v>
      </c>
      <c r="E15" s="638" t="s">
        <v>190</v>
      </c>
      <c r="F15" s="639" t="s">
        <v>510</v>
      </c>
      <c r="G15" s="1110">
        <v>1</v>
      </c>
      <c r="H15" s="86" t="s">
        <v>549</v>
      </c>
      <c r="I15" s="1423">
        <v>46211</v>
      </c>
      <c r="J15" s="638" t="s">
        <v>119</v>
      </c>
      <c r="K15" s="1423">
        <v>46215</v>
      </c>
      <c r="L15" s="521" t="s">
        <v>550</v>
      </c>
      <c r="M15" s="638">
        <f t="shared" si="0"/>
        <v>4</v>
      </c>
      <c r="N15" s="818"/>
      <c r="O15" s="638"/>
    </row>
    <row r="16" spans="1:15" s="481" customFormat="1" ht="46.8" x14ac:dyDescent="0.3">
      <c r="A16" s="8" t="s">
        <v>432</v>
      </c>
      <c r="B16" s="1532" t="s">
        <v>551</v>
      </c>
      <c r="C16" s="1532">
        <v>80</v>
      </c>
      <c r="D16" s="86" t="s">
        <v>552</v>
      </c>
      <c r="E16" s="638" t="s">
        <v>190</v>
      </c>
      <c r="F16" s="639" t="s">
        <v>515</v>
      </c>
      <c r="G16" s="1110">
        <v>1</v>
      </c>
      <c r="H16" s="86" t="s">
        <v>553</v>
      </c>
      <c r="I16" s="1423">
        <v>46212</v>
      </c>
      <c r="J16" s="638" t="s">
        <v>119</v>
      </c>
      <c r="K16" s="1423">
        <v>46215</v>
      </c>
      <c r="L16" s="521" t="s">
        <v>554</v>
      </c>
      <c r="M16" s="638">
        <f t="shared" si="0"/>
        <v>3</v>
      </c>
      <c r="N16" s="818"/>
      <c r="O16" s="638"/>
    </row>
    <row r="17" spans="1:15" s="481" customFormat="1" ht="28.8" x14ac:dyDescent="0.3">
      <c r="B17" s="1532" t="s">
        <v>508</v>
      </c>
      <c r="C17" s="1532">
        <v>80</v>
      </c>
      <c r="D17" s="86" t="s">
        <v>509</v>
      </c>
      <c r="E17" s="638" t="s">
        <v>190</v>
      </c>
      <c r="F17" s="639" t="s">
        <v>510</v>
      </c>
      <c r="G17" s="1110">
        <v>1</v>
      </c>
      <c r="H17" s="86" t="s">
        <v>555</v>
      </c>
      <c r="I17" s="1423">
        <v>46213</v>
      </c>
      <c r="J17" s="638" t="s">
        <v>119</v>
      </c>
      <c r="K17" s="1423">
        <v>46216</v>
      </c>
      <c r="L17" s="521" t="s">
        <v>556</v>
      </c>
      <c r="M17" s="638">
        <f t="shared" si="0"/>
        <v>3</v>
      </c>
      <c r="N17" s="818"/>
      <c r="O17" s="638"/>
    </row>
    <row r="18" spans="1:15" s="481" customFormat="1" ht="31.2" x14ac:dyDescent="0.3">
      <c r="A18" s="6" t="s">
        <v>371</v>
      </c>
      <c r="B18" s="1532" t="s">
        <v>557</v>
      </c>
      <c r="C18" s="1532">
        <v>81</v>
      </c>
      <c r="D18" s="86" t="s">
        <v>558</v>
      </c>
      <c r="E18" s="638" t="s">
        <v>190</v>
      </c>
      <c r="F18" s="639" t="s">
        <v>515</v>
      </c>
      <c r="G18" s="1110">
        <v>1</v>
      </c>
      <c r="H18" s="86" t="s">
        <v>559</v>
      </c>
      <c r="I18" s="1423">
        <v>46211</v>
      </c>
      <c r="J18" s="638" t="s">
        <v>119</v>
      </c>
      <c r="K18" s="1423">
        <v>46216</v>
      </c>
      <c r="L18" s="521" t="s">
        <v>560</v>
      </c>
      <c r="M18" s="638">
        <f t="shared" si="0"/>
        <v>5</v>
      </c>
      <c r="N18" s="818"/>
      <c r="O18" s="638"/>
    </row>
    <row r="19" spans="1:15" s="481" customFormat="1" ht="43.2" x14ac:dyDescent="0.3">
      <c r="B19" s="1532" t="s">
        <v>561</v>
      </c>
      <c r="C19" s="1532">
        <v>81</v>
      </c>
      <c r="D19" s="86" t="s">
        <v>509</v>
      </c>
      <c r="E19" s="638" t="s">
        <v>190</v>
      </c>
      <c r="F19" s="639" t="s">
        <v>515</v>
      </c>
      <c r="G19" s="1110">
        <v>1</v>
      </c>
      <c r="H19" s="86" t="s">
        <v>562</v>
      </c>
      <c r="I19" s="1423">
        <v>46213</v>
      </c>
      <c r="J19" s="638" t="s">
        <v>119</v>
      </c>
      <c r="K19" s="1423">
        <v>46216</v>
      </c>
      <c r="L19" s="521" t="s">
        <v>563</v>
      </c>
      <c r="M19" s="638">
        <f t="shared" si="0"/>
        <v>3</v>
      </c>
      <c r="N19" s="818"/>
      <c r="O19" s="638"/>
    </row>
    <row r="20" spans="1:15" s="481" customFormat="1" ht="43.2" x14ac:dyDescent="0.3">
      <c r="B20" s="1532" t="s">
        <v>561</v>
      </c>
      <c r="C20" s="1532">
        <v>81</v>
      </c>
      <c r="D20" s="86" t="s">
        <v>509</v>
      </c>
      <c r="E20" s="638" t="s">
        <v>190</v>
      </c>
      <c r="F20" s="639" t="s">
        <v>515</v>
      </c>
      <c r="G20" s="1110">
        <v>1</v>
      </c>
      <c r="H20" s="86" t="s">
        <v>564</v>
      </c>
      <c r="I20" s="1423">
        <v>46214</v>
      </c>
      <c r="J20" s="638" t="s">
        <v>119</v>
      </c>
      <c r="K20" s="1423">
        <v>46217</v>
      </c>
      <c r="L20" s="521" t="s">
        <v>565</v>
      </c>
      <c r="M20" s="638">
        <f t="shared" si="0"/>
        <v>3</v>
      </c>
      <c r="N20" s="818"/>
      <c r="O20" s="638"/>
    </row>
    <row r="21" spans="1:15" s="481" customFormat="1" ht="15.6" x14ac:dyDescent="0.3">
      <c r="A21" s="6"/>
      <c r="B21" s="1532" t="s">
        <v>566</v>
      </c>
      <c r="C21" s="1532">
        <v>81</v>
      </c>
      <c r="D21" s="86" t="s">
        <v>567</v>
      </c>
      <c r="E21" s="638" t="s">
        <v>320</v>
      </c>
      <c r="F21" s="639" t="s">
        <v>510</v>
      </c>
      <c r="G21" s="1110">
        <v>1.05</v>
      </c>
      <c r="H21" s="86" t="s">
        <v>568</v>
      </c>
      <c r="I21" s="1423">
        <v>46216</v>
      </c>
      <c r="J21" s="638" t="s">
        <v>119</v>
      </c>
      <c r="K21" s="1423">
        <v>46217</v>
      </c>
      <c r="L21" s="521" t="s">
        <v>569</v>
      </c>
      <c r="M21" s="638">
        <f t="shared" si="0"/>
        <v>1</v>
      </c>
      <c r="N21" s="818"/>
      <c r="O21" s="638"/>
    </row>
    <row r="22" spans="1:15" s="481" customFormat="1" x14ac:dyDescent="0.3">
      <c r="B22" s="1532" t="s">
        <v>530</v>
      </c>
      <c r="C22" s="1532">
        <v>82</v>
      </c>
      <c r="D22" s="86" t="s">
        <v>531</v>
      </c>
      <c r="E22" s="638" t="s">
        <v>190</v>
      </c>
      <c r="F22" s="639" t="s">
        <v>515</v>
      </c>
      <c r="G22" s="1110">
        <v>4</v>
      </c>
      <c r="H22" s="86" t="s">
        <v>570</v>
      </c>
      <c r="I22" s="1423">
        <v>46217</v>
      </c>
      <c r="J22" s="638" t="s">
        <v>119</v>
      </c>
      <c r="K22" s="1423">
        <v>46217</v>
      </c>
      <c r="L22" s="521" t="s">
        <v>571</v>
      </c>
      <c r="M22" s="638">
        <f t="shared" si="0"/>
        <v>0</v>
      </c>
      <c r="N22" s="818"/>
      <c r="O22" s="638"/>
    </row>
    <row r="23" spans="1:15" s="481" customFormat="1" ht="43.2" x14ac:dyDescent="0.3">
      <c r="B23" s="1532" t="s">
        <v>561</v>
      </c>
      <c r="C23" s="1532">
        <v>82</v>
      </c>
      <c r="D23" s="86" t="s">
        <v>509</v>
      </c>
      <c r="E23" s="638" t="s">
        <v>190</v>
      </c>
      <c r="F23" s="639" t="s">
        <v>510</v>
      </c>
      <c r="G23" s="1110">
        <v>1</v>
      </c>
      <c r="H23" s="86" t="s">
        <v>572</v>
      </c>
      <c r="I23" s="1423">
        <v>46218</v>
      </c>
      <c r="J23" s="638" t="s">
        <v>119</v>
      </c>
      <c r="K23" s="1423">
        <v>46218</v>
      </c>
      <c r="L23" s="521" t="s">
        <v>573</v>
      </c>
      <c r="M23" s="638">
        <f t="shared" si="0"/>
        <v>0</v>
      </c>
      <c r="N23" s="818"/>
      <c r="O23" s="638"/>
    </row>
    <row r="24" spans="1:15" s="481" customFormat="1" ht="28.8" x14ac:dyDescent="0.3">
      <c r="B24" s="1532" t="s">
        <v>518</v>
      </c>
      <c r="C24" s="1532">
        <v>82</v>
      </c>
      <c r="D24" s="86" t="s">
        <v>519</v>
      </c>
      <c r="E24" s="638" t="s">
        <v>190</v>
      </c>
      <c r="F24" s="639" t="s">
        <v>515</v>
      </c>
      <c r="G24" s="1110">
        <v>1</v>
      </c>
      <c r="H24" s="86" t="s">
        <v>574</v>
      </c>
      <c r="I24" s="1423">
        <v>46213</v>
      </c>
      <c r="J24" s="638" t="s">
        <v>119</v>
      </c>
      <c r="K24" s="1423">
        <v>46218</v>
      </c>
      <c r="L24" s="521" t="s">
        <v>575</v>
      </c>
      <c r="M24" s="638">
        <f t="shared" si="0"/>
        <v>5</v>
      </c>
      <c r="N24" s="818"/>
      <c r="O24" s="638"/>
    </row>
    <row r="25" spans="1:15" s="481" customFormat="1" ht="28.8" x14ac:dyDescent="0.3">
      <c r="B25" s="1532" t="s">
        <v>576</v>
      </c>
      <c r="C25" s="1532">
        <v>83</v>
      </c>
      <c r="D25" s="86" t="s">
        <v>577</v>
      </c>
      <c r="E25" s="638" t="s">
        <v>190</v>
      </c>
      <c r="F25" s="639" t="s">
        <v>510</v>
      </c>
      <c r="G25" s="1110">
        <v>1</v>
      </c>
      <c r="H25" s="86" t="s">
        <v>578</v>
      </c>
      <c r="I25" s="1423">
        <v>46218</v>
      </c>
      <c r="J25" s="638" t="s">
        <v>119</v>
      </c>
      <c r="K25" s="1423">
        <v>46218</v>
      </c>
      <c r="L25" s="521" t="s">
        <v>579</v>
      </c>
      <c r="M25" s="638">
        <f t="shared" si="0"/>
        <v>0</v>
      </c>
      <c r="N25" s="818"/>
      <c r="O25" s="638"/>
    </row>
    <row r="26" spans="1:15" s="481" customFormat="1" ht="28.8" x14ac:dyDescent="0.3">
      <c r="B26" s="1532" t="s">
        <v>576</v>
      </c>
      <c r="C26" s="1532">
        <v>83</v>
      </c>
      <c r="D26" s="86" t="s">
        <v>577</v>
      </c>
      <c r="E26" s="638" t="s">
        <v>190</v>
      </c>
      <c r="F26" s="639" t="s">
        <v>510</v>
      </c>
      <c r="G26" s="1110">
        <v>1</v>
      </c>
      <c r="H26" s="86" t="s">
        <v>580</v>
      </c>
      <c r="I26" s="1423">
        <v>46218</v>
      </c>
      <c r="J26" s="638" t="s">
        <v>119</v>
      </c>
      <c r="K26" s="1423">
        <v>46218</v>
      </c>
      <c r="L26" s="521" t="s">
        <v>581</v>
      </c>
      <c r="M26" s="638">
        <f t="shared" si="0"/>
        <v>0</v>
      </c>
      <c r="N26" s="818"/>
      <c r="O26" s="638"/>
    </row>
    <row r="27" spans="1:15" s="481" customFormat="1" x14ac:dyDescent="0.3">
      <c r="B27" s="1532" t="s">
        <v>513</v>
      </c>
      <c r="C27" s="1532">
        <v>83</v>
      </c>
      <c r="D27" s="86" t="s">
        <v>514</v>
      </c>
      <c r="E27" s="638" t="s">
        <v>324</v>
      </c>
      <c r="F27" s="639" t="s">
        <v>515</v>
      </c>
      <c r="G27" s="1110">
        <v>1</v>
      </c>
      <c r="H27" s="86" t="s">
        <v>582</v>
      </c>
      <c r="I27" s="1423">
        <v>46217</v>
      </c>
      <c r="J27" s="638" t="s">
        <v>119</v>
      </c>
      <c r="K27" s="1423">
        <v>46218</v>
      </c>
      <c r="L27" s="521" t="s">
        <v>583</v>
      </c>
      <c r="M27" s="638">
        <f t="shared" si="0"/>
        <v>1</v>
      </c>
      <c r="N27" s="818"/>
      <c r="O27" s="638"/>
    </row>
    <row r="28" spans="1:15" s="481" customFormat="1" ht="28.8" x14ac:dyDescent="0.3">
      <c r="B28" s="1532" t="s">
        <v>508</v>
      </c>
      <c r="C28" s="1532">
        <v>84</v>
      </c>
      <c r="D28" s="86" t="s">
        <v>509</v>
      </c>
      <c r="E28" s="638" t="s">
        <v>190</v>
      </c>
      <c r="F28" s="639" t="s">
        <v>510</v>
      </c>
      <c r="G28" s="1110">
        <v>1</v>
      </c>
      <c r="H28" s="86" t="s">
        <v>584</v>
      </c>
      <c r="I28" s="1423">
        <v>46214</v>
      </c>
      <c r="J28" s="1527" t="s">
        <v>119</v>
      </c>
      <c r="K28" s="1423">
        <v>46218</v>
      </c>
      <c r="L28" s="521" t="s">
        <v>585</v>
      </c>
      <c r="M28" s="638">
        <f t="shared" si="0"/>
        <v>4</v>
      </c>
      <c r="N28" s="818"/>
      <c r="O28" s="638"/>
    </row>
    <row r="29" spans="1:15" s="481" customFormat="1" ht="28.8" x14ac:dyDescent="0.3">
      <c r="B29" s="1532" t="s">
        <v>508</v>
      </c>
      <c r="C29" s="1532">
        <v>84</v>
      </c>
      <c r="D29" s="86" t="s">
        <v>509</v>
      </c>
      <c r="E29" s="638" t="s">
        <v>190</v>
      </c>
      <c r="F29" s="639" t="s">
        <v>515</v>
      </c>
      <c r="G29" s="1110">
        <v>1</v>
      </c>
      <c r="H29" s="86" t="s">
        <v>586</v>
      </c>
      <c r="I29" s="1423">
        <v>46216</v>
      </c>
      <c r="J29" s="638" t="s">
        <v>119</v>
      </c>
      <c r="K29" s="1423">
        <v>46219</v>
      </c>
      <c r="L29" s="521" t="s">
        <v>587</v>
      </c>
      <c r="M29" s="638">
        <f t="shared" si="0"/>
        <v>3</v>
      </c>
      <c r="N29" s="818"/>
      <c r="O29" s="638"/>
    </row>
    <row r="30" spans="1:15" s="481" customFormat="1" ht="43.2" x14ac:dyDescent="0.3">
      <c r="B30" s="1532" t="s">
        <v>561</v>
      </c>
      <c r="C30" s="1532">
        <v>84</v>
      </c>
      <c r="D30" s="86" t="s">
        <v>509</v>
      </c>
      <c r="E30" s="638" t="s">
        <v>190</v>
      </c>
      <c r="F30" s="639" t="s">
        <v>510</v>
      </c>
      <c r="G30" s="1110">
        <v>1</v>
      </c>
      <c r="H30" s="86" t="s">
        <v>588</v>
      </c>
      <c r="I30" s="1423">
        <v>46216</v>
      </c>
      <c r="J30" s="638" t="s">
        <v>119</v>
      </c>
      <c r="K30" s="1423">
        <v>46219</v>
      </c>
      <c r="L30" s="521" t="s">
        <v>589</v>
      </c>
      <c r="M30" s="638">
        <f t="shared" si="0"/>
        <v>3</v>
      </c>
      <c r="N30" s="818"/>
      <c r="O30" s="638"/>
    </row>
    <row r="31" spans="1:15" s="481" customFormat="1" ht="28.8" x14ac:dyDescent="0.3">
      <c r="B31" s="1532" t="s">
        <v>518</v>
      </c>
      <c r="C31" s="1532">
        <v>84</v>
      </c>
      <c r="D31" s="86" t="s">
        <v>519</v>
      </c>
      <c r="E31" s="638" t="s">
        <v>190</v>
      </c>
      <c r="F31" s="639" t="s">
        <v>515</v>
      </c>
      <c r="G31" s="1110">
        <v>1</v>
      </c>
      <c r="H31" s="86" t="s">
        <v>590</v>
      </c>
      <c r="I31" s="1423">
        <v>46214</v>
      </c>
      <c r="J31" s="638" t="s">
        <v>119</v>
      </c>
      <c r="K31" s="1423">
        <v>46219</v>
      </c>
      <c r="L31" s="521" t="s">
        <v>591</v>
      </c>
      <c r="M31" s="638">
        <f t="shared" si="0"/>
        <v>5</v>
      </c>
      <c r="N31" s="818"/>
      <c r="O31" s="638"/>
    </row>
    <row r="32" spans="1:15" s="481" customFormat="1" ht="28.8" x14ac:dyDescent="0.3">
      <c r="B32" s="1532" t="s">
        <v>592</v>
      </c>
      <c r="C32" s="1532">
        <v>85</v>
      </c>
      <c r="D32" s="86" t="s">
        <v>593</v>
      </c>
      <c r="E32" s="638" t="s">
        <v>190</v>
      </c>
      <c r="F32" s="639" t="s">
        <v>510</v>
      </c>
      <c r="G32" s="1110">
        <v>1</v>
      </c>
      <c r="H32" s="86" t="s">
        <v>594</v>
      </c>
      <c r="I32" s="1423">
        <v>46216</v>
      </c>
      <c r="J32" s="638" t="s">
        <v>119</v>
      </c>
      <c r="K32" s="1423">
        <v>46219</v>
      </c>
      <c r="L32" s="521" t="s">
        <v>595</v>
      </c>
      <c r="M32" s="638">
        <f t="shared" si="0"/>
        <v>3</v>
      </c>
      <c r="N32" s="818"/>
      <c r="O32" s="638"/>
    </row>
    <row r="33" spans="1:15" s="481" customFormat="1" x14ac:dyDescent="0.3">
      <c r="B33" s="1532" t="s">
        <v>513</v>
      </c>
      <c r="C33" s="1532">
        <v>85</v>
      </c>
      <c r="D33" s="86" t="s">
        <v>514</v>
      </c>
      <c r="E33" s="638" t="s">
        <v>324</v>
      </c>
      <c r="F33" s="639" t="s">
        <v>515</v>
      </c>
      <c r="G33" s="1110">
        <v>1</v>
      </c>
      <c r="H33" s="86" t="s">
        <v>596</v>
      </c>
      <c r="I33" s="1423">
        <v>46218</v>
      </c>
      <c r="J33" s="638" t="s">
        <v>119</v>
      </c>
      <c r="K33" s="1423">
        <v>46219</v>
      </c>
      <c r="L33" s="521" t="s">
        <v>597</v>
      </c>
      <c r="M33" s="638">
        <f t="shared" si="0"/>
        <v>1</v>
      </c>
      <c r="N33" s="818"/>
      <c r="O33" s="638"/>
    </row>
    <row r="34" spans="1:15" s="481" customFormat="1" ht="62.4" x14ac:dyDescent="0.3">
      <c r="A34" s="39" t="s">
        <v>475</v>
      </c>
      <c r="B34" s="1532" t="s">
        <v>598</v>
      </c>
      <c r="C34" s="1532">
        <v>86</v>
      </c>
      <c r="D34" s="86" t="s">
        <v>476</v>
      </c>
      <c r="E34" s="638" t="s">
        <v>190</v>
      </c>
      <c r="F34" s="639" t="s">
        <v>510</v>
      </c>
      <c r="G34" s="1110">
        <v>0.5</v>
      </c>
      <c r="H34" s="86" t="s">
        <v>599</v>
      </c>
      <c r="I34" s="1423">
        <v>46217</v>
      </c>
      <c r="J34" s="638" t="s">
        <v>119</v>
      </c>
      <c r="K34" s="1423">
        <v>46219</v>
      </c>
      <c r="L34" s="521" t="s">
        <v>600</v>
      </c>
      <c r="M34" s="638">
        <f t="shared" ref="M34:M65" si="1">K34-I34</f>
        <v>2</v>
      </c>
      <c r="N34" s="818"/>
      <c r="O34" s="638"/>
    </row>
    <row r="35" spans="1:15" s="481" customFormat="1" x14ac:dyDescent="0.3">
      <c r="B35" s="1532" t="s">
        <v>540</v>
      </c>
      <c r="C35" s="1532">
        <v>86</v>
      </c>
      <c r="D35" s="86" t="s">
        <v>376</v>
      </c>
      <c r="E35" s="638" t="s">
        <v>320</v>
      </c>
      <c r="F35" s="639" t="s">
        <v>515</v>
      </c>
      <c r="G35" s="1110">
        <v>0.63</v>
      </c>
      <c r="H35" s="86" t="s">
        <v>601</v>
      </c>
      <c r="I35" s="1423">
        <v>46216</v>
      </c>
      <c r="J35" s="638" t="s">
        <v>119</v>
      </c>
      <c r="K35" s="1423">
        <v>46220</v>
      </c>
      <c r="L35" s="521" t="s">
        <v>602</v>
      </c>
      <c r="M35" s="638">
        <f t="shared" si="1"/>
        <v>4</v>
      </c>
      <c r="N35" s="818"/>
      <c r="O35" s="638"/>
    </row>
    <row r="36" spans="1:15" s="481" customFormat="1" x14ac:dyDescent="0.3">
      <c r="A36" s="1528"/>
      <c r="B36" s="1532" t="s">
        <v>603</v>
      </c>
      <c r="C36" s="1532">
        <v>86</v>
      </c>
      <c r="D36" s="86" t="s">
        <v>604</v>
      </c>
      <c r="E36" s="638" t="s">
        <v>190</v>
      </c>
      <c r="F36" s="639" t="s">
        <v>515</v>
      </c>
      <c r="G36" s="1110">
        <v>4</v>
      </c>
      <c r="H36" s="86" t="s">
        <v>605</v>
      </c>
      <c r="I36" s="1423">
        <v>46210</v>
      </c>
      <c r="J36" s="638" t="s">
        <v>119</v>
      </c>
      <c r="K36" s="1423">
        <v>46220</v>
      </c>
      <c r="L36" s="521" t="s">
        <v>606</v>
      </c>
      <c r="M36" s="638">
        <f t="shared" si="1"/>
        <v>10</v>
      </c>
      <c r="N36" s="818"/>
      <c r="O36" s="638"/>
    </row>
    <row r="37" spans="1:15" s="481" customFormat="1" ht="28.8" x14ac:dyDescent="0.3">
      <c r="B37" s="1532" t="s">
        <v>508</v>
      </c>
      <c r="C37" s="1532">
        <v>87</v>
      </c>
      <c r="D37" s="86" t="s">
        <v>509</v>
      </c>
      <c r="E37" s="638" t="s">
        <v>190</v>
      </c>
      <c r="F37" s="639" t="s">
        <v>510</v>
      </c>
      <c r="G37" s="1110">
        <v>1</v>
      </c>
      <c r="H37" s="86" t="s">
        <v>607</v>
      </c>
      <c r="I37" s="1423">
        <v>46217</v>
      </c>
      <c r="J37" s="638" t="s">
        <v>119</v>
      </c>
      <c r="K37" s="1423">
        <v>46220</v>
      </c>
      <c r="L37" s="521" t="s">
        <v>608</v>
      </c>
      <c r="M37" s="638">
        <f t="shared" si="1"/>
        <v>3</v>
      </c>
      <c r="N37" s="818"/>
      <c r="O37" s="638"/>
    </row>
    <row r="38" spans="1:15" s="481" customFormat="1" ht="28.8" x14ac:dyDescent="0.3">
      <c r="B38" s="1532" t="s">
        <v>508</v>
      </c>
      <c r="C38" s="1532">
        <v>87</v>
      </c>
      <c r="D38" s="86" t="s">
        <v>509</v>
      </c>
      <c r="E38" s="638" t="s">
        <v>190</v>
      </c>
      <c r="F38" s="639" t="s">
        <v>515</v>
      </c>
      <c r="G38" s="1110">
        <v>1</v>
      </c>
      <c r="H38" s="86" t="s">
        <v>609</v>
      </c>
      <c r="I38" s="1423">
        <v>46218</v>
      </c>
      <c r="J38" s="638" t="s">
        <v>119</v>
      </c>
      <c r="K38" s="1423">
        <v>46220</v>
      </c>
      <c r="L38" s="521" t="s">
        <v>610</v>
      </c>
      <c r="M38" s="638">
        <f t="shared" si="1"/>
        <v>2</v>
      </c>
      <c r="N38" s="818"/>
      <c r="O38" s="638"/>
    </row>
    <row r="39" spans="1:15" s="481" customFormat="1" ht="28.8" x14ac:dyDescent="0.3">
      <c r="B39" s="1532" t="s">
        <v>508</v>
      </c>
      <c r="C39" s="1532">
        <v>87</v>
      </c>
      <c r="D39" s="86" t="s">
        <v>509</v>
      </c>
      <c r="E39" s="638" t="s">
        <v>190</v>
      </c>
      <c r="F39" s="639" t="s">
        <v>515</v>
      </c>
      <c r="G39" s="1110">
        <v>1</v>
      </c>
      <c r="H39" s="86" t="s">
        <v>611</v>
      </c>
      <c r="I39" s="1423">
        <v>46220</v>
      </c>
      <c r="J39" s="638" t="s">
        <v>119</v>
      </c>
      <c r="K39" s="1423">
        <v>46221</v>
      </c>
      <c r="L39" s="521" t="s">
        <v>612</v>
      </c>
      <c r="M39" s="638">
        <f t="shared" si="1"/>
        <v>1</v>
      </c>
      <c r="N39" s="818"/>
      <c r="O39" s="638"/>
    </row>
    <row r="40" spans="1:15" s="481" customFormat="1" ht="43.2" x14ac:dyDescent="0.3">
      <c r="B40" s="1532" t="s">
        <v>561</v>
      </c>
      <c r="C40" s="1532">
        <v>87</v>
      </c>
      <c r="D40" s="86" t="s">
        <v>509</v>
      </c>
      <c r="E40" s="638" t="s">
        <v>190</v>
      </c>
      <c r="F40" s="639" t="s">
        <v>515</v>
      </c>
      <c r="G40" s="1110">
        <v>1</v>
      </c>
      <c r="H40" s="86" t="s">
        <v>613</v>
      </c>
      <c r="I40" s="1423">
        <v>46218</v>
      </c>
      <c r="J40" s="638" t="s">
        <v>119</v>
      </c>
      <c r="K40" s="1423">
        <v>46221</v>
      </c>
      <c r="L40" s="521" t="s">
        <v>614</v>
      </c>
      <c r="M40" s="638">
        <f t="shared" si="1"/>
        <v>3</v>
      </c>
      <c r="N40" s="818"/>
      <c r="O40" s="638"/>
    </row>
    <row r="41" spans="1:15" s="481" customFormat="1" ht="28.8" x14ac:dyDescent="0.3">
      <c r="B41" s="1532" t="s">
        <v>551</v>
      </c>
      <c r="C41" s="1532">
        <v>88</v>
      </c>
      <c r="D41" s="86" t="s">
        <v>552</v>
      </c>
      <c r="E41" s="638" t="s">
        <v>190</v>
      </c>
      <c r="F41" s="639" t="s">
        <v>515</v>
      </c>
      <c r="G41" s="1110">
        <v>1</v>
      </c>
      <c r="H41" s="86" t="s">
        <v>615</v>
      </c>
      <c r="I41" s="1423">
        <v>46217</v>
      </c>
      <c r="J41" s="638" t="s">
        <v>119</v>
      </c>
      <c r="K41" s="1423">
        <v>46221</v>
      </c>
      <c r="L41" s="521" t="s">
        <v>616</v>
      </c>
      <c r="M41" s="638">
        <f t="shared" si="1"/>
        <v>4</v>
      </c>
      <c r="N41" s="818"/>
      <c r="O41" s="638"/>
    </row>
    <row r="42" spans="1:15" s="481" customFormat="1" x14ac:dyDescent="0.3">
      <c r="B42" s="1532" t="s">
        <v>540</v>
      </c>
      <c r="C42" s="1532">
        <v>88</v>
      </c>
      <c r="D42" s="86" t="s">
        <v>376</v>
      </c>
      <c r="E42" s="638" t="s">
        <v>320</v>
      </c>
      <c r="F42" s="639" t="s">
        <v>510</v>
      </c>
      <c r="G42" s="1110">
        <v>4.3289999999999997</v>
      </c>
      <c r="H42" s="86" t="s">
        <v>617</v>
      </c>
      <c r="I42" s="1423">
        <v>46218</v>
      </c>
      <c r="J42" s="638" t="s">
        <v>119</v>
      </c>
      <c r="K42" s="1423">
        <v>46222</v>
      </c>
      <c r="L42" s="521" t="s">
        <v>618</v>
      </c>
      <c r="M42" s="638">
        <f t="shared" si="1"/>
        <v>4</v>
      </c>
      <c r="N42" s="818"/>
      <c r="O42" s="638"/>
    </row>
    <row r="43" spans="1:15" s="481" customFormat="1" ht="43.2" x14ac:dyDescent="0.3">
      <c r="B43" s="1532" t="s">
        <v>561</v>
      </c>
      <c r="C43" s="1532">
        <v>88</v>
      </c>
      <c r="D43" s="86" t="s">
        <v>509</v>
      </c>
      <c r="E43" s="638" t="s">
        <v>190</v>
      </c>
      <c r="F43" s="639" t="s">
        <v>510</v>
      </c>
      <c r="G43" s="1110">
        <v>1</v>
      </c>
      <c r="H43" s="86" t="s">
        <v>619</v>
      </c>
      <c r="I43" s="1423">
        <v>46218</v>
      </c>
      <c r="J43" s="638" t="s">
        <v>119</v>
      </c>
      <c r="K43" s="1423">
        <v>46222</v>
      </c>
      <c r="L43" s="521" t="s">
        <v>620</v>
      </c>
      <c r="M43" s="638">
        <f t="shared" si="1"/>
        <v>4</v>
      </c>
      <c r="N43" s="818"/>
      <c r="O43" s="638"/>
    </row>
    <row r="44" spans="1:15" s="481" customFormat="1" ht="28.8" x14ac:dyDescent="0.3">
      <c r="B44" s="1532" t="s">
        <v>508</v>
      </c>
      <c r="C44" s="1532">
        <v>89</v>
      </c>
      <c r="D44" s="86" t="s">
        <v>509</v>
      </c>
      <c r="E44" s="638" t="s">
        <v>190</v>
      </c>
      <c r="F44" s="639" t="s">
        <v>510</v>
      </c>
      <c r="G44" s="1110">
        <v>1</v>
      </c>
      <c r="H44" s="86" t="s">
        <v>621</v>
      </c>
      <c r="I44" s="1423">
        <v>46220</v>
      </c>
      <c r="J44" s="638" t="s">
        <v>119</v>
      </c>
      <c r="K44" s="1423">
        <v>46222</v>
      </c>
      <c r="L44" s="521" t="s">
        <v>622</v>
      </c>
      <c r="M44" s="638">
        <f t="shared" si="1"/>
        <v>2</v>
      </c>
      <c r="N44" s="818"/>
      <c r="O44" s="638"/>
    </row>
    <row r="45" spans="1:15" s="481" customFormat="1" ht="28.8" x14ac:dyDescent="0.3">
      <c r="B45" s="1532" t="s">
        <v>592</v>
      </c>
      <c r="C45" s="1532">
        <v>89</v>
      </c>
      <c r="D45" s="86" t="s">
        <v>593</v>
      </c>
      <c r="E45" s="638" t="s">
        <v>190</v>
      </c>
      <c r="F45" s="639" t="s">
        <v>510</v>
      </c>
      <c r="G45" s="1110">
        <v>1</v>
      </c>
      <c r="H45" s="86" t="s">
        <v>623</v>
      </c>
      <c r="I45" s="1423">
        <v>46221</v>
      </c>
      <c r="J45" s="638" t="s">
        <v>119</v>
      </c>
      <c r="K45" s="1423">
        <v>46222</v>
      </c>
      <c r="L45" s="521" t="s">
        <v>624</v>
      </c>
      <c r="M45" s="638">
        <f t="shared" si="1"/>
        <v>1</v>
      </c>
      <c r="N45" s="818"/>
      <c r="O45" s="638"/>
    </row>
    <row r="46" spans="1:15" s="481" customFormat="1" ht="28.8" x14ac:dyDescent="0.3">
      <c r="B46" s="1532" t="s">
        <v>508</v>
      </c>
      <c r="C46" s="1532">
        <v>89</v>
      </c>
      <c r="D46" s="86" t="s">
        <v>509</v>
      </c>
      <c r="E46" s="638" t="s">
        <v>190</v>
      </c>
      <c r="F46" s="639" t="s">
        <v>515</v>
      </c>
      <c r="G46" s="1110">
        <v>1</v>
      </c>
      <c r="H46" s="86" t="s">
        <v>625</v>
      </c>
      <c r="I46" s="1423">
        <v>46221</v>
      </c>
      <c r="J46" s="638" t="s">
        <v>119</v>
      </c>
      <c r="K46" s="1423">
        <v>46223</v>
      </c>
      <c r="L46" s="521" t="s">
        <v>626</v>
      </c>
      <c r="M46" s="638">
        <f t="shared" si="1"/>
        <v>2</v>
      </c>
      <c r="N46" s="818"/>
      <c r="O46" s="638"/>
    </row>
    <row r="47" spans="1:15" s="481" customFormat="1" ht="28.8" x14ac:dyDescent="0.3">
      <c r="B47" s="1532" t="s">
        <v>508</v>
      </c>
      <c r="C47" s="1532">
        <v>90</v>
      </c>
      <c r="D47" s="86" t="s">
        <v>509</v>
      </c>
      <c r="E47" s="638" t="s">
        <v>190</v>
      </c>
      <c r="F47" s="639" t="s">
        <v>515</v>
      </c>
      <c r="G47" s="1110">
        <v>1</v>
      </c>
      <c r="H47" s="86" t="s">
        <v>627</v>
      </c>
      <c r="I47" s="1423">
        <v>46219</v>
      </c>
      <c r="J47" s="638" t="s">
        <v>119</v>
      </c>
      <c r="K47" s="1423">
        <v>46223</v>
      </c>
      <c r="L47" s="521" t="s">
        <v>628</v>
      </c>
      <c r="M47" s="638">
        <f t="shared" si="1"/>
        <v>4</v>
      </c>
      <c r="N47" s="818"/>
      <c r="O47" s="638"/>
    </row>
    <row r="48" spans="1:15" s="481" customFormat="1" ht="28.8" x14ac:dyDescent="0.3">
      <c r="B48" s="1532" t="s">
        <v>551</v>
      </c>
      <c r="C48" s="1532">
        <v>90</v>
      </c>
      <c r="D48" s="86" t="s">
        <v>552</v>
      </c>
      <c r="E48" s="638" t="s">
        <v>190</v>
      </c>
      <c r="F48" s="639" t="s">
        <v>515</v>
      </c>
      <c r="G48" s="1110">
        <v>1</v>
      </c>
      <c r="H48" s="86" t="s">
        <v>629</v>
      </c>
      <c r="I48" s="1423">
        <v>46221</v>
      </c>
      <c r="J48" s="638" t="s">
        <v>119</v>
      </c>
      <c r="K48" s="1423">
        <v>46223</v>
      </c>
      <c r="L48" s="521" t="s">
        <v>630</v>
      </c>
      <c r="M48" s="638">
        <f t="shared" si="1"/>
        <v>2</v>
      </c>
      <c r="N48" s="818"/>
      <c r="O48" s="638"/>
    </row>
    <row r="49" spans="2:15" s="481" customFormat="1" x14ac:dyDescent="0.3">
      <c r="B49" s="1532" t="s">
        <v>603</v>
      </c>
      <c r="C49" s="1532">
        <v>90</v>
      </c>
      <c r="D49" s="86" t="s">
        <v>604</v>
      </c>
      <c r="E49" s="638" t="s">
        <v>190</v>
      </c>
      <c r="F49" s="639" t="s">
        <v>515</v>
      </c>
      <c r="G49" s="1110">
        <v>4</v>
      </c>
      <c r="H49" s="86" t="s">
        <v>631</v>
      </c>
      <c r="I49" s="1423">
        <v>46220</v>
      </c>
      <c r="J49" s="638" t="s">
        <v>119</v>
      </c>
      <c r="K49" s="1423">
        <v>46223</v>
      </c>
      <c r="L49" s="521" t="s">
        <v>632</v>
      </c>
      <c r="M49" s="638">
        <f t="shared" si="1"/>
        <v>3</v>
      </c>
      <c r="N49" s="818"/>
      <c r="O49" s="638"/>
    </row>
    <row r="50" spans="2:15" s="481" customFormat="1" ht="28.8" x14ac:dyDescent="0.3">
      <c r="B50" s="1532" t="s">
        <v>633</v>
      </c>
      <c r="C50" s="1532">
        <v>91</v>
      </c>
      <c r="D50" s="86" t="s">
        <v>634</v>
      </c>
      <c r="E50" s="638" t="s">
        <v>190</v>
      </c>
      <c r="F50" s="639" t="s">
        <v>515</v>
      </c>
      <c r="G50" s="1110">
        <v>1</v>
      </c>
      <c r="H50" s="86" t="s">
        <v>635</v>
      </c>
      <c r="I50" s="1423">
        <v>46220</v>
      </c>
      <c r="J50" s="638" t="s">
        <v>119</v>
      </c>
      <c r="K50" s="1423">
        <v>46224</v>
      </c>
      <c r="L50" s="521" t="s">
        <v>636</v>
      </c>
      <c r="M50" s="638">
        <f t="shared" si="1"/>
        <v>4</v>
      </c>
      <c r="N50" s="818"/>
      <c r="O50" s="638"/>
    </row>
    <row r="51" spans="2:15" s="481" customFormat="1" ht="28.8" x14ac:dyDescent="0.3">
      <c r="B51" s="1532" t="s">
        <v>508</v>
      </c>
      <c r="C51" s="1532">
        <v>91</v>
      </c>
      <c r="D51" s="86" t="s">
        <v>509</v>
      </c>
      <c r="E51" s="638" t="s">
        <v>190</v>
      </c>
      <c r="F51" s="639" t="s">
        <v>510</v>
      </c>
      <c r="G51" s="1110">
        <v>1</v>
      </c>
      <c r="H51" s="86" t="s">
        <v>637</v>
      </c>
      <c r="I51" s="1423">
        <v>46221</v>
      </c>
      <c r="J51" s="638" t="s">
        <v>119</v>
      </c>
      <c r="K51" s="1423">
        <v>46224</v>
      </c>
      <c r="L51" s="521" t="s">
        <v>638</v>
      </c>
      <c r="M51" s="638">
        <f t="shared" si="1"/>
        <v>3</v>
      </c>
      <c r="N51" s="818"/>
      <c r="O51" s="638"/>
    </row>
    <row r="52" spans="2:15" s="481" customFormat="1" ht="28.8" x14ac:dyDescent="0.3">
      <c r="B52" s="1532" t="s">
        <v>508</v>
      </c>
      <c r="C52" s="1532">
        <v>91</v>
      </c>
      <c r="D52" s="86" t="s">
        <v>509</v>
      </c>
      <c r="E52" s="638" t="s">
        <v>190</v>
      </c>
      <c r="F52" s="639" t="s">
        <v>510</v>
      </c>
      <c r="G52" s="1110">
        <v>1</v>
      </c>
      <c r="H52" s="86" t="s">
        <v>639</v>
      </c>
      <c r="I52" s="1423">
        <v>46223</v>
      </c>
      <c r="J52" s="638" t="s">
        <v>119</v>
      </c>
      <c r="K52" s="1423">
        <v>46225</v>
      </c>
      <c r="L52" s="521" t="s">
        <v>640</v>
      </c>
      <c r="M52" s="638">
        <f t="shared" si="1"/>
        <v>2</v>
      </c>
      <c r="N52" s="818"/>
      <c r="O52" s="638"/>
    </row>
    <row r="53" spans="2:15" s="481" customFormat="1" ht="28.8" x14ac:dyDescent="0.3">
      <c r="B53" s="1532" t="s">
        <v>508</v>
      </c>
      <c r="C53" s="1532">
        <v>91</v>
      </c>
      <c r="D53" s="86" t="s">
        <v>509</v>
      </c>
      <c r="E53" s="638" t="s">
        <v>190</v>
      </c>
      <c r="F53" s="639" t="s">
        <v>510</v>
      </c>
      <c r="G53" s="1110">
        <v>1</v>
      </c>
      <c r="H53" s="86" t="s">
        <v>641</v>
      </c>
      <c r="I53" s="1423">
        <v>46223</v>
      </c>
      <c r="J53" s="638" t="s">
        <v>119</v>
      </c>
      <c r="K53" s="1423">
        <v>46225</v>
      </c>
      <c r="L53" s="521" t="s">
        <v>642</v>
      </c>
      <c r="M53" s="638">
        <f t="shared" si="1"/>
        <v>2</v>
      </c>
      <c r="N53" s="818"/>
      <c r="O53" s="638"/>
    </row>
    <row r="54" spans="2:15" s="481" customFormat="1" ht="28.8" x14ac:dyDescent="0.3">
      <c r="B54" s="1532" t="s">
        <v>551</v>
      </c>
      <c r="C54" s="1532">
        <v>92</v>
      </c>
      <c r="D54" s="86" t="s">
        <v>552</v>
      </c>
      <c r="E54" s="638" t="s">
        <v>190</v>
      </c>
      <c r="F54" s="639" t="s">
        <v>515</v>
      </c>
      <c r="G54" s="1110">
        <v>1</v>
      </c>
      <c r="H54" s="86" t="s">
        <v>643</v>
      </c>
      <c r="I54" s="1423">
        <v>46224</v>
      </c>
      <c r="J54" s="638" t="s">
        <v>119</v>
      </c>
      <c r="K54" s="1423">
        <v>46225</v>
      </c>
      <c r="L54" s="521" t="s">
        <v>644</v>
      </c>
      <c r="M54" s="638">
        <f t="shared" si="1"/>
        <v>1</v>
      </c>
      <c r="N54" s="818"/>
      <c r="O54" s="638"/>
    </row>
    <row r="55" spans="2:15" s="481" customFormat="1" ht="28.8" x14ac:dyDescent="0.3">
      <c r="B55" s="1532" t="s">
        <v>592</v>
      </c>
      <c r="C55" s="1532">
        <v>92</v>
      </c>
      <c r="D55" s="86" t="s">
        <v>593</v>
      </c>
      <c r="E55" s="638" t="s">
        <v>190</v>
      </c>
      <c r="F55" s="639" t="s">
        <v>510</v>
      </c>
      <c r="G55" s="1110">
        <v>1</v>
      </c>
      <c r="H55" s="86" t="s">
        <v>645</v>
      </c>
      <c r="I55" s="1423">
        <v>46225</v>
      </c>
      <c r="J55" s="638" t="s">
        <v>119</v>
      </c>
      <c r="K55" s="1423">
        <v>46225</v>
      </c>
      <c r="L55" s="521" t="s">
        <v>646</v>
      </c>
      <c r="M55" s="638">
        <f t="shared" si="1"/>
        <v>0</v>
      </c>
      <c r="N55" s="818"/>
      <c r="O55" s="638"/>
    </row>
    <row r="56" spans="2:15" s="481" customFormat="1" x14ac:dyDescent="0.3">
      <c r="B56" s="1532" t="s">
        <v>540</v>
      </c>
      <c r="C56" s="1532">
        <v>92</v>
      </c>
      <c r="D56" s="86" t="s">
        <v>376</v>
      </c>
      <c r="E56" s="638" t="s">
        <v>320</v>
      </c>
      <c r="F56" s="639" t="s">
        <v>515</v>
      </c>
      <c r="G56" s="1110">
        <v>2.1150000000000002</v>
      </c>
      <c r="H56" s="86" t="s">
        <v>647</v>
      </c>
      <c r="I56" s="1423">
        <v>46224</v>
      </c>
      <c r="J56" s="638" t="s">
        <v>119</v>
      </c>
      <c r="K56" s="1423">
        <v>46226</v>
      </c>
      <c r="L56" s="521" t="s">
        <v>648</v>
      </c>
      <c r="M56" s="638">
        <f t="shared" si="1"/>
        <v>2</v>
      </c>
      <c r="N56" s="818"/>
      <c r="O56" s="638"/>
    </row>
    <row r="57" spans="2:15" s="481" customFormat="1" ht="28.8" x14ac:dyDescent="0.3">
      <c r="B57" s="1532" t="s">
        <v>508</v>
      </c>
      <c r="C57" s="1532">
        <v>93</v>
      </c>
      <c r="D57" s="86" t="s">
        <v>509</v>
      </c>
      <c r="E57" s="638" t="s">
        <v>190</v>
      </c>
      <c r="F57" s="639" t="s">
        <v>510</v>
      </c>
      <c r="G57" s="1110">
        <v>1</v>
      </c>
      <c r="H57" s="86" t="s">
        <v>649</v>
      </c>
      <c r="I57" s="1423">
        <v>46224</v>
      </c>
      <c r="J57" s="638" t="s">
        <v>119</v>
      </c>
      <c r="K57" s="1423">
        <v>46226</v>
      </c>
      <c r="L57" s="521" t="s">
        <v>650</v>
      </c>
      <c r="M57" s="638">
        <f t="shared" si="1"/>
        <v>2</v>
      </c>
      <c r="N57" s="818"/>
      <c r="O57" s="638"/>
    </row>
    <row r="58" spans="2:15" s="481" customFormat="1" ht="28.8" x14ac:dyDescent="0.3">
      <c r="B58" s="1532" t="s">
        <v>551</v>
      </c>
      <c r="C58" s="1532">
        <v>93</v>
      </c>
      <c r="D58" s="86" t="s">
        <v>552</v>
      </c>
      <c r="E58" s="638" t="s">
        <v>190</v>
      </c>
      <c r="F58" s="639" t="s">
        <v>515</v>
      </c>
      <c r="G58" s="1110">
        <v>1</v>
      </c>
      <c r="H58" s="86" t="s">
        <v>651</v>
      </c>
      <c r="I58" s="1423">
        <v>46224</v>
      </c>
      <c r="J58" s="638" t="s">
        <v>119</v>
      </c>
      <c r="K58" s="1423">
        <v>46226</v>
      </c>
      <c r="L58" s="521" t="s">
        <v>652</v>
      </c>
      <c r="M58" s="638">
        <f t="shared" si="1"/>
        <v>2</v>
      </c>
      <c r="N58" s="818"/>
      <c r="O58" s="638"/>
    </row>
    <row r="59" spans="2:15" s="481" customFormat="1" ht="28.8" x14ac:dyDescent="0.3">
      <c r="B59" s="1532" t="s">
        <v>508</v>
      </c>
      <c r="C59" s="1532">
        <v>93</v>
      </c>
      <c r="D59" s="86" t="s">
        <v>509</v>
      </c>
      <c r="E59" s="638" t="s">
        <v>190</v>
      </c>
      <c r="F59" s="639" t="s">
        <v>510</v>
      </c>
      <c r="G59" s="1110">
        <v>1</v>
      </c>
      <c r="H59" s="86" t="s">
        <v>653</v>
      </c>
      <c r="I59" s="1423">
        <v>46226</v>
      </c>
      <c r="J59" s="638" t="s">
        <v>119</v>
      </c>
      <c r="K59" s="1423">
        <v>46227</v>
      </c>
      <c r="L59" s="521" t="s">
        <v>654</v>
      </c>
      <c r="M59" s="638">
        <f t="shared" si="1"/>
        <v>1</v>
      </c>
      <c r="N59" s="818"/>
      <c r="O59" s="638"/>
    </row>
    <row r="60" spans="2:15" s="481" customFormat="1" ht="43.2" x14ac:dyDescent="0.3">
      <c r="B60" s="1532" t="s">
        <v>561</v>
      </c>
      <c r="C60" s="1532">
        <v>94</v>
      </c>
      <c r="D60" s="86" t="s">
        <v>509</v>
      </c>
      <c r="E60" s="638" t="s">
        <v>190</v>
      </c>
      <c r="F60" s="639" t="s">
        <v>515</v>
      </c>
      <c r="G60" s="1110">
        <v>1</v>
      </c>
      <c r="H60" s="86" t="s">
        <v>655</v>
      </c>
      <c r="I60" s="1423">
        <v>46225</v>
      </c>
      <c r="J60" s="638" t="s">
        <v>119</v>
      </c>
      <c r="K60" s="1423">
        <v>46227</v>
      </c>
      <c r="L60" s="521" t="s">
        <v>656</v>
      </c>
      <c r="M60" s="638">
        <f t="shared" si="1"/>
        <v>2</v>
      </c>
      <c r="N60" s="818"/>
      <c r="O60" s="638"/>
    </row>
    <row r="61" spans="2:15" s="481" customFormat="1" ht="43.2" x14ac:dyDescent="0.3">
      <c r="B61" s="1532" t="s">
        <v>561</v>
      </c>
      <c r="C61" s="1532">
        <v>94</v>
      </c>
      <c r="D61" s="86" t="s">
        <v>509</v>
      </c>
      <c r="E61" s="638" t="s">
        <v>190</v>
      </c>
      <c r="F61" s="639" t="s">
        <v>510</v>
      </c>
      <c r="G61" s="1110">
        <v>1</v>
      </c>
      <c r="H61" s="86" t="s">
        <v>657</v>
      </c>
      <c r="I61" s="1423">
        <v>46226</v>
      </c>
      <c r="J61" s="638" t="s">
        <v>119</v>
      </c>
      <c r="K61" s="1423">
        <v>46228</v>
      </c>
      <c r="L61" s="521" t="s">
        <v>658</v>
      </c>
      <c r="M61" s="638">
        <f t="shared" si="1"/>
        <v>2</v>
      </c>
      <c r="N61" s="818"/>
      <c r="O61" s="638"/>
    </row>
    <row r="62" spans="2:15" s="481" customFormat="1" ht="28.8" x14ac:dyDescent="0.3">
      <c r="B62" s="1532" t="s">
        <v>508</v>
      </c>
      <c r="C62" s="1532">
        <v>94</v>
      </c>
      <c r="D62" s="86" t="s">
        <v>509</v>
      </c>
      <c r="E62" s="638" t="s">
        <v>190</v>
      </c>
      <c r="F62" s="639" t="s">
        <v>515</v>
      </c>
      <c r="G62" s="1110">
        <v>1</v>
      </c>
      <c r="H62" s="86" t="s">
        <v>659</v>
      </c>
      <c r="I62" s="1423">
        <v>46225</v>
      </c>
      <c r="J62" s="638" t="s">
        <v>119</v>
      </c>
      <c r="K62" s="1423">
        <v>46228</v>
      </c>
      <c r="L62" s="521" t="s">
        <v>660</v>
      </c>
      <c r="M62" s="638">
        <f t="shared" si="1"/>
        <v>3</v>
      </c>
      <c r="N62" s="818"/>
      <c r="O62" s="638"/>
    </row>
    <row r="63" spans="2:15" s="481" customFormat="1" ht="28.8" x14ac:dyDescent="0.3">
      <c r="B63" s="1532" t="s">
        <v>576</v>
      </c>
      <c r="C63" s="1532">
        <v>94</v>
      </c>
      <c r="D63" s="86" t="s">
        <v>577</v>
      </c>
      <c r="E63" s="638" t="s">
        <v>190</v>
      </c>
      <c r="F63" s="639" t="s">
        <v>510</v>
      </c>
      <c r="G63" s="1110">
        <v>1</v>
      </c>
      <c r="H63" s="86" t="s">
        <v>661</v>
      </c>
      <c r="I63" s="1423">
        <v>46228</v>
      </c>
      <c r="J63" s="638" t="s">
        <v>119</v>
      </c>
      <c r="K63" s="1423">
        <v>46228</v>
      </c>
      <c r="L63" s="521" t="s">
        <v>662</v>
      </c>
      <c r="M63" s="638">
        <f t="shared" si="1"/>
        <v>0</v>
      </c>
      <c r="N63" s="818"/>
      <c r="O63" s="638"/>
    </row>
    <row r="64" spans="2:15" s="481" customFormat="1" ht="28.8" x14ac:dyDescent="0.3">
      <c r="B64" s="1532" t="s">
        <v>576</v>
      </c>
      <c r="C64" s="1532">
        <v>95</v>
      </c>
      <c r="D64" s="86" t="s">
        <v>577</v>
      </c>
      <c r="E64" s="638" t="s">
        <v>190</v>
      </c>
      <c r="F64" s="639" t="s">
        <v>510</v>
      </c>
      <c r="G64" s="1110">
        <v>1</v>
      </c>
      <c r="H64" s="86" t="s">
        <v>663</v>
      </c>
      <c r="I64" s="1423">
        <v>46228</v>
      </c>
      <c r="J64" s="638" t="s">
        <v>119</v>
      </c>
      <c r="K64" s="1423">
        <v>46228</v>
      </c>
      <c r="L64" s="521" t="s">
        <v>664</v>
      </c>
      <c r="M64" s="638">
        <f t="shared" si="1"/>
        <v>0</v>
      </c>
      <c r="N64" s="818"/>
      <c r="O64" s="638"/>
    </row>
    <row r="65" spans="1:17" s="481" customFormat="1" ht="28.8" x14ac:dyDescent="0.3">
      <c r="B65" s="1532" t="s">
        <v>633</v>
      </c>
      <c r="C65" s="1532">
        <v>95</v>
      </c>
      <c r="D65" s="86" t="s">
        <v>634</v>
      </c>
      <c r="E65" s="638" t="s">
        <v>190</v>
      </c>
      <c r="F65" s="639" t="s">
        <v>515</v>
      </c>
      <c r="G65" s="1110">
        <v>1</v>
      </c>
      <c r="H65" s="86" t="s">
        <v>665</v>
      </c>
      <c r="I65" s="1423">
        <v>46226</v>
      </c>
      <c r="J65" s="638" t="s">
        <v>119</v>
      </c>
      <c r="K65" s="1423">
        <v>46229</v>
      </c>
      <c r="L65" s="521" t="s">
        <v>666</v>
      </c>
      <c r="M65" s="638">
        <f t="shared" si="1"/>
        <v>3</v>
      </c>
      <c r="N65" s="818"/>
      <c r="O65" s="638"/>
    </row>
    <row r="66" spans="1:17" s="481" customFormat="1" ht="28.8" x14ac:dyDescent="0.3">
      <c r="B66" s="1532" t="s">
        <v>551</v>
      </c>
      <c r="C66" s="1532">
        <v>95</v>
      </c>
      <c r="D66" s="86" t="s">
        <v>552</v>
      </c>
      <c r="E66" s="638" t="s">
        <v>190</v>
      </c>
      <c r="F66" s="639" t="s">
        <v>515</v>
      </c>
      <c r="G66" s="1110">
        <v>1</v>
      </c>
      <c r="H66" s="86" t="s">
        <v>667</v>
      </c>
      <c r="I66" s="1423">
        <v>46226</v>
      </c>
      <c r="J66" s="638" t="s">
        <v>119</v>
      </c>
      <c r="K66" s="1423">
        <v>46229</v>
      </c>
      <c r="L66" s="521" t="s">
        <v>668</v>
      </c>
      <c r="M66" s="638">
        <f t="shared" ref="M66:M97" si="2">K66-I66</f>
        <v>3</v>
      </c>
      <c r="N66" s="818"/>
      <c r="O66" s="638"/>
    </row>
    <row r="67" spans="1:17" s="481" customFormat="1" ht="28.8" x14ac:dyDescent="0.3">
      <c r="B67" s="1532" t="s">
        <v>551</v>
      </c>
      <c r="C67" s="1532">
        <v>95</v>
      </c>
      <c r="D67" s="86" t="s">
        <v>552</v>
      </c>
      <c r="E67" s="638" t="s">
        <v>190</v>
      </c>
      <c r="F67" s="639" t="s">
        <v>515</v>
      </c>
      <c r="G67" s="1110">
        <v>1</v>
      </c>
      <c r="H67" s="86" t="s">
        <v>669</v>
      </c>
      <c r="I67" s="1423">
        <v>46227</v>
      </c>
      <c r="J67" s="638" t="s">
        <v>119</v>
      </c>
      <c r="K67" s="1423">
        <v>46229</v>
      </c>
      <c r="L67" s="521" t="s">
        <v>670</v>
      </c>
      <c r="M67" s="638">
        <f t="shared" si="2"/>
        <v>2</v>
      </c>
      <c r="N67" s="818"/>
      <c r="O67" s="638"/>
      <c r="P67" s="644"/>
      <c r="Q67" s="644"/>
    </row>
    <row r="68" spans="1:17" s="481" customFormat="1" ht="28.8" x14ac:dyDescent="0.3">
      <c r="B68" s="1532" t="s">
        <v>508</v>
      </c>
      <c r="C68" s="1532">
        <v>96</v>
      </c>
      <c r="D68" s="86" t="s">
        <v>509</v>
      </c>
      <c r="E68" s="638" t="s">
        <v>190</v>
      </c>
      <c r="F68" s="639" t="s">
        <v>515</v>
      </c>
      <c r="G68" s="1110">
        <v>1</v>
      </c>
      <c r="H68" s="86" t="s">
        <v>671</v>
      </c>
      <c r="I68" s="1423">
        <v>46228</v>
      </c>
      <c r="J68" s="638" t="s">
        <v>119</v>
      </c>
      <c r="K68" s="1423">
        <v>46230</v>
      </c>
      <c r="L68" s="521" t="s">
        <v>672</v>
      </c>
      <c r="M68" s="638">
        <f t="shared" si="2"/>
        <v>2</v>
      </c>
      <c r="N68" s="818"/>
      <c r="O68" s="638"/>
    </row>
    <row r="69" spans="1:17" s="481" customFormat="1" ht="28.8" x14ac:dyDescent="0.3">
      <c r="B69" s="1532" t="s">
        <v>508</v>
      </c>
      <c r="C69" s="1532">
        <v>96</v>
      </c>
      <c r="D69" s="86" t="s">
        <v>509</v>
      </c>
      <c r="E69" s="638" t="s">
        <v>190</v>
      </c>
      <c r="F69" s="639" t="s">
        <v>515</v>
      </c>
      <c r="G69" s="1110">
        <v>1</v>
      </c>
      <c r="H69" s="86" t="s">
        <v>673</v>
      </c>
      <c r="I69" s="1423">
        <v>46227</v>
      </c>
      <c r="J69" s="638" t="s">
        <v>119</v>
      </c>
      <c r="K69" s="1423">
        <v>46230</v>
      </c>
      <c r="L69" s="521" t="s">
        <v>674</v>
      </c>
      <c r="M69" s="638">
        <f t="shared" si="2"/>
        <v>3</v>
      </c>
      <c r="N69" s="818"/>
      <c r="O69" s="638"/>
    </row>
    <row r="70" spans="1:17" s="481" customFormat="1" x14ac:dyDescent="0.3">
      <c r="B70" s="1532" t="s">
        <v>603</v>
      </c>
      <c r="C70" s="1532">
        <v>96</v>
      </c>
      <c r="D70" s="86" t="s">
        <v>604</v>
      </c>
      <c r="E70" s="638" t="s">
        <v>190</v>
      </c>
      <c r="F70" s="639" t="s">
        <v>515</v>
      </c>
      <c r="G70" s="1110">
        <v>4</v>
      </c>
      <c r="H70" s="86" t="s">
        <v>675</v>
      </c>
      <c r="I70" s="1423">
        <v>46227</v>
      </c>
      <c r="J70" s="638" t="s">
        <v>119</v>
      </c>
      <c r="K70" s="1423">
        <v>46230</v>
      </c>
      <c r="L70" s="521" t="s">
        <v>676</v>
      </c>
      <c r="M70" s="638">
        <f t="shared" si="2"/>
        <v>3</v>
      </c>
      <c r="N70" s="818"/>
      <c r="O70" s="638"/>
    </row>
    <row r="71" spans="1:17" s="481" customFormat="1" ht="28.8" x14ac:dyDescent="0.3">
      <c r="B71" s="1532" t="s">
        <v>592</v>
      </c>
      <c r="C71" s="1532">
        <v>97</v>
      </c>
      <c r="D71" s="86" t="s">
        <v>593</v>
      </c>
      <c r="E71" s="638" t="s">
        <v>190</v>
      </c>
      <c r="F71" s="639" t="s">
        <v>510</v>
      </c>
      <c r="G71" s="1110">
        <v>1</v>
      </c>
      <c r="H71" s="86" t="s">
        <v>677</v>
      </c>
      <c r="I71" s="1423">
        <v>46228</v>
      </c>
      <c r="J71" s="638" t="s">
        <v>119</v>
      </c>
      <c r="K71" s="1423">
        <v>46230</v>
      </c>
      <c r="L71" s="521" t="s">
        <v>678</v>
      </c>
      <c r="M71" s="638">
        <f t="shared" si="2"/>
        <v>2</v>
      </c>
      <c r="N71" s="818"/>
      <c r="O71" s="638"/>
    </row>
    <row r="72" spans="1:17" s="481" customFormat="1" ht="43.2" x14ac:dyDescent="0.3">
      <c r="B72" s="1532" t="s">
        <v>561</v>
      </c>
      <c r="C72" s="1532">
        <v>97</v>
      </c>
      <c r="D72" s="86" t="s">
        <v>509</v>
      </c>
      <c r="E72" s="638" t="s">
        <v>190</v>
      </c>
      <c r="F72" s="639" t="s">
        <v>510</v>
      </c>
      <c r="G72" s="1110">
        <v>1</v>
      </c>
      <c r="H72" s="86" t="s">
        <v>679</v>
      </c>
      <c r="I72" s="1423">
        <v>46226</v>
      </c>
      <c r="J72" s="638" t="s">
        <v>119</v>
      </c>
      <c r="K72" s="1423">
        <v>46231</v>
      </c>
      <c r="L72" s="521" t="s">
        <v>680</v>
      </c>
      <c r="M72" s="638">
        <f t="shared" si="2"/>
        <v>5</v>
      </c>
      <c r="N72" s="818"/>
      <c r="O72" s="638"/>
    </row>
    <row r="73" spans="1:17" s="481" customFormat="1" ht="28.8" x14ac:dyDescent="0.3">
      <c r="B73" s="1532" t="s">
        <v>576</v>
      </c>
      <c r="C73" s="1532">
        <v>97</v>
      </c>
      <c r="D73" s="86" t="s">
        <v>577</v>
      </c>
      <c r="E73" s="638" t="s">
        <v>190</v>
      </c>
      <c r="F73" s="639" t="s">
        <v>510</v>
      </c>
      <c r="G73" s="1110">
        <v>1</v>
      </c>
      <c r="H73" s="86" t="s">
        <v>681</v>
      </c>
      <c r="I73" s="1423">
        <v>46231</v>
      </c>
      <c r="J73" s="638" t="s">
        <v>119</v>
      </c>
      <c r="K73" s="1423">
        <v>46231</v>
      </c>
      <c r="L73" s="521" t="s">
        <v>682</v>
      </c>
      <c r="M73" s="638">
        <f t="shared" si="2"/>
        <v>0</v>
      </c>
      <c r="N73" s="818"/>
      <c r="O73" s="638"/>
    </row>
    <row r="74" spans="1:17" s="644" customFormat="1" ht="31.2" x14ac:dyDescent="0.3">
      <c r="A74" s="39" t="s">
        <v>371</v>
      </c>
      <c r="B74" s="1532" t="s">
        <v>683</v>
      </c>
      <c r="C74" s="1532">
        <v>98</v>
      </c>
      <c r="D74" s="86" t="s">
        <v>374</v>
      </c>
      <c r="E74" s="638" t="s">
        <v>190</v>
      </c>
      <c r="F74" s="639" t="s">
        <v>515</v>
      </c>
      <c r="G74" s="1110">
        <v>1</v>
      </c>
      <c r="H74" s="86" t="s">
        <v>684</v>
      </c>
      <c r="I74" s="1423">
        <v>46232</v>
      </c>
      <c r="J74" s="638" t="s">
        <v>119</v>
      </c>
      <c r="K74" s="1423">
        <v>46232</v>
      </c>
      <c r="L74" s="521" t="s">
        <v>685</v>
      </c>
      <c r="M74" s="638">
        <f t="shared" si="2"/>
        <v>0</v>
      </c>
      <c r="N74" s="818"/>
      <c r="O74" s="638"/>
      <c r="P74" s="481"/>
      <c r="Q74" s="481"/>
    </row>
    <row r="75" spans="1:17" s="481" customFormat="1" ht="28.8" x14ac:dyDescent="0.3">
      <c r="B75" s="1532" t="s">
        <v>508</v>
      </c>
      <c r="C75" s="1532">
        <v>98</v>
      </c>
      <c r="D75" s="86" t="s">
        <v>509</v>
      </c>
      <c r="E75" s="638" t="s">
        <v>190</v>
      </c>
      <c r="F75" s="639" t="s">
        <v>510</v>
      </c>
      <c r="G75" s="1110">
        <v>1</v>
      </c>
      <c r="H75" s="86" t="s">
        <v>686</v>
      </c>
      <c r="I75" s="1423">
        <v>46230</v>
      </c>
      <c r="J75" s="638" t="s">
        <v>119</v>
      </c>
      <c r="K75" s="1423">
        <v>46232</v>
      </c>
      <c r="L75" s="521" t="s">
        <v>687</v>
      </c>
      <c r="M75" s="638">
        <f t="shared" si="2"/>
        <v>2</v>
      </c>
      <c r="N75" s="818"/>
      <c r="O75" s="638"/>
    </row>
    <row r="76" spans="1:17" s="481" customFormat="1" ht="43.2" x14ac:dyDescent="0.3">
      <c r="B76" s="1532" t="s">
        <v>561</v>
      </c>
      <c r="C76" s="1532">
        <v>98</v>
      </c>
      <c r="D76" s="86" t="s">
        <v>509</v>
      </c>
      <c r="E76" s="638" t="s">
        <v>190</v>
      </c>
      <c r="F76" s="639" t="s">
        <v>515</v>
      </c>
      <c r="G76" s="1110">
        <v>1</v>
      </c>
      <c r="H76" s="86" t="s">
        <v>688</v>
      </c>
      <c r="I76" s="1423">
        <v>46231</v>
      </c>
      <c r="J76" s="638" t="s">
        <v>119</v>
      </c>
      <c r="K76" s="1423">
        <v>46232</v>
      </c>
      <c r="L76" s="521" t="s">
        <v>689</v>
      </c>
      <c r="M76" s="638">
        <f t="shared" si="2"/>
        <v>1</v>
      </c>
      <c r="N76" s="818"/>
      <c r="O76" s="638"/>
    </row>
    <row r="77" spans="1:17" s="481" customFormat="1" ht="28.8" x14ac:dyDescent="0.3">
      <c r="B77" s="1532" t="s">
        <v>551</v>
      </c>
      <c r="C77" s="1532">
        <v>99</v>
      </c>
      <c r="D77" s="86" t="s">
        <v>552</v>
      </c>
      <c r="E77" s="638" t="s">
        <v>190</v>
      </c>
      <c r="F77" s="639" t="s">
        <v>515</v>
      </c>
      <c r="G77" s="1110">
        <v>1</v>
      </c>
      <c r="H77" s="86" t="s">
        <v>690</v>
      </c>
      <c r="I77" s="1423">
        <v>46232</v>
      </c>
      <c r="J77" s="638" t="s">
        <v>119</v>
      </c>
      <c r="K77" s="1423">
        <v>46232</v>
      </c>
      <c r="L77" s="521" t="s">
        <v>691</v>
      </c>
      <c r="M77" s="638">
        <f t="shared" si="2"/>
        <v>0</v>
      </c>
      <c r="N77" s="818"/>
      <c r="O77" s="638"/>
    </row>
    <row r="78" spans="1:17" s="481" customFormat="1" x14ac:dyDescent="0.3">
      <c r="B78" s="1532" t="s">
        <v>513</v>
      </c>
      <c r="C78" s="1532">
        <v>99</v>
      </c>
      <c r="D78" s="86" t="s">
        <v>514</v>
      </c>
      <c r="E78" s="638" t="s">
        <v>324</v>
      </c>
      <c r="F78" s="639" t="s">
        <v>515</v>
      </c>
      <c r="G78" s="1110">
        <v>1</v>
      </c>
      <c r="H78" s="86" t="s">
        <v>692</v>
      </c>
      <c r="I78" s="1423">
        <v>46231</v>
      </c>
      <c r="J78" s="638" t="s">
        <v>119</v>
      </c>
      <c r="K78" s="1423">
        <v>46232</v>
      </c>
      <c r="L78" s="521" t="s">
        <v>693</v>
      </c>
      <c r="M78" s="638">
        <f t="shared" si="2"/>
        <v>1</v>
      </c>
      <c r="N78" s="818"/>
      <c r="O78" s="638"/>
    </row>
    <row r="79" spans="1:17" s="481" customFormat="1" x14ac:dyDescent="0.3">
      <c r="B79" s="1532" t="s">
        <v>513</v>
      </c>
      <c r="C79" s="1532">
        <v>99</v>
      </c>
      <c r="D79" s="86" t="s">
        <v>514</v>
      </c>
      <c r="E79" s="638" t="s">
        <v>324</v>
      </c>
      <c r="F79" s="639" t="s">
        <v>515</v>
      </c>
      <c r="G79" s="1110">
        <v>1</v>
      </c>
      <c r="H79" s="86" t="s">
        <v>694</v>
      </c>
      <c r="I79" s="1423">
        <v>46231</v>
      </c>
      <c r="J79" s="638" t="s">
        <v>119</v>
      </c>
      <c r="K79" s="1423">
        <v>46232</v>
      </c>
      <c r="L79" s="521" t="s">
        <v>695</v>
      </c>
      <c r="M79" s="638">
        <f t="shared" si="2"/>
        <v>1</v>
      </c>
      <c r="N79" s="818"/>
      <c r="O79" s="638"/>
    </row>
    <row r="80" spans="1:17" s="481" customFormat="1" x14ac:dyDescent="0.3">
      <c r="B80" s="1532" t="s">
        <v>696</v>
      </c>
      <c r="C80" s="1532">
        <v>99</v>
      </c>
      <c r="D80" s="86" t="s">
        <v>697</v>
      </c>
      <c r="E80" s="638" t="s">
        <v>324</v>
      </c>
      <c r="F80" s="639" t="s">
        <v>515</v>
      </c>
      <c r="G80" s="1110">
        <v>3</v>
      </c>
      <c r="H80" s="86" t="s">
        <v>698</v>
      </c>
      <c r="I80" s="1423">
        <v>46228</v>
      </c>
      <c r="J80" s="638" t="s">
        <v>119</v>
      </c>
      <c r="K80" s="1423">
        <v>46232</v>
      </c>
      <c r="L80" s="521" t="s">
        <v>529</v>
      </c>
      <c r="M80" s="638">
        <f t="shared" si="2"/>
        <v>4</v>
      </c>
      <c r="N80" s="818"/>
      <c r="O80" s="638"/>
    </row>
    <row r="81" spans="1:15" s="481" customFormat="1" x14ac:dyDescent="0.3">
      <c r="B81" s="1532" t="s">
        <v>540</v>
      </c>
      <c r="C81" s="1532">
        <v>100</v>
      </c>
      <c r="D81" s="86" t="s">
        <v>376</v>
      </c>
      <c r="E81" s="638" t="s">
        <v>320</v>
      </c>
      <c r="F81" s="639" t="s">
        <v>515</v>
      </c>
      <c r="G81" s="1110">
        <v>5.38</v>
      </c>
      <c r="H81" s="86" t="s">
        <v>699</v>
      </c>
      <c r="I81" s="1423">
        <v>46233</v>
      </c>
      <c r="J81" s="638" t="s">
        <v>119</v>
      </c>
      <c r="K81" s="1423">
        <v>46233</v>
      </c>
      <c r="L81" s="521" t="s">
        <v>700</v>
      </c>
      <c r="M81" s="638">
        <f t="shared" si="2"/>
        <v>0</v>
      </c>
      <c r="N81" s="818"/>
      <c r="O81" s="638"/>
    </row>
    <row r="82" spans="1:15" s="481" customFormat="1" x14ac:dyDescent="0.3">
      <c r="B82" s="1532" t="s">
        <v>540</v>
      </c>
      <c r="C82" s="1532">
        <v>100</v>
      </c>
      <c r="D82" s="86" t="s">
        <v>376</v>
      </c>
      <c r="E82" s="638" t="s">
        <v>320</v>
      </c>
      <c r="F82" s="639" t="s">
        <v>515</v>
      </c>
      <c r="G82" s="1110">
        <v>4</v>
      </c>
      <c r="H82" s="86" t="s">
        <v>701</v>
      </c>
      <c r="I82" s="1423">
        <v>46233</v>
      </c>
      <c r="J82" s="638" t="s">
        <v>119</v>
      </c>
      <c r="K82" s="1423">
        <v>46233</v>
      </c>
      <c r="L82" s="521" t="s">
        <v>702</v>
      </c>
      <c r="M82" s="638">
        <f t="shared" si="2"/>
        <v>0</v>
      </c>
      <c r="N82" s="818"/>
      <c r="O82" s="638"/>
    </row>
    <row r="83" spans="1:15" s="481" customFormat="1" ht="28.8" x14ac:dyDescent="0.3">
      <c r="B83" s="1532" t="s">
        <v>508</v>
      </c>
      <c r="C83" s="1532">
        <v>100</v>
      </c>
      <c r="D83" s="86" t="s">
        <v>509</v>
      </c>
      <c r="E83" s="638" t="s">
        <v>190</v>
      </c>
      <c r="F83" s="639" t="s">
        <v>510</v>
      </c>
      <c r="G83" s="1110">
        <v>1</v>
      </c>
      <c r="H83" s="86" t="s">
        <v>703</v>
      </c>
      <c r="I83" s="1423">
        <v>46231</v>
      </c>
      <c r="J83" s="638" t="s">
        <v>119</v>
      </c>
      <c r="K83" s="1423">
        <v>46233</v>
      </c>
      <c r="L83" s="521" t="s">
        <v>704</v>
      </c>
      <c r="M83" s="638">
        <f t="shared" si="2"/>
        <v>2</v>
      </c>
      <c r="N83" s="818"/>
      <c r="O83" s="638"/>
    </row>
    <row r="84" spans="1:15" s="481" customFormat="1" ht="28.8" x14ac:dyDescent="0.3">
      <c r="B84" s="1532" t="s">
        <v>508</v>
      </c>
      <c r="C84" s="1532">
        <v>100</v>
      </c>
      <c r="D84" s="86" t="s">
        <v>509</v>
      </c>
      <c r="E84" s="638" t="s">
        <v>190</v>
      </c>
      <c r="F84" s="639" t="s">
        <v>510</v>
      </c>
      <c r="G84" s="1110">
        <v>1</v>
      </c>
      <c r="H84" s="86" t="s">
        <v>705</v>
      </c>
      <c r="I84" s="1423">
        <v>46230</v>
      </c>
      <c r="J84" s="638" t="s">
        <v>119</v>
      </c>
      <c r="K84" s="1423">
        <v>46233</v>
      </c>
      <c r="L84" s="521" t="s">
        <v>706</v>
      </c>
      <c r="M84" s="638">
        <f t="shared" si="2"/>
        <v>3</v>
      </c>
      <c r="N84" s="818"/>
      <c r="O84" s="638"/>
    </row>
    <row r="85" spans="1:15" s="481" customFormat="1" ht="28.8" x14ac:dyDescent="0.3">
      <c r="B85" s="1532" t="s">
        <v>551</v>
      </c>
      <c r="C85" s="1532">
        <v>101</v>
      </c>
      <c r="D85" s="86" t="s">
        <v>552</v>
      </c>
      <c r="E85" s="638" t="s">
        <v>190</v>
      </c>
      <c r="F85" s="639" t="s">
        <v>515</v>
      </c>
      <c r="G85" s="1110">
        <v>1</v>
      </c>
      <c r="H85" s="86" t="s">
        <v>707</v>
      </c>
      <c r="I85" s="1423">
        <v>46231</v>
      </c>
      <c r="J85" s="638" t="s">
        <v>119</v>
      </c>
      <c r="K85" s="1423">
        <v>46233</v>
      </c>
      <c r="L85" s="521" t="s">
        <v>708</v>
      </c>
      <c r="M85" s="638">
        <f t="shared" si="2"/>
        <v>2</v>
      </c>
      <c r="N85" s="818"/>
      <c r="O85" s="638"/>
    </row>
    <row r="86" spans="1:15" s="481" customFormat="1" ht="28.8" x14ac:dyDescent="0.3">
      <c r="B86" s="1532" t="s">
        <v>551</v>
      </c>
      <c r="C86" s="1532">
        <v>101</v>
      </c>
      <c r="D86" s="1525" t="s">
        <v>552</v>
      </c>
      <c r="E86" s="1527" t="s">
        <v>190</v>
      </c>
      <c r="F86" s="1529" t="s">
        <v>515</v>
      </c>
      <c r="G86" s="1530">
        <v>1</v>
      </c>
      <c r="H86" s="1525" t="s">
        <v>709</v>
      </c>
      <c r="I86" s="1526">
        <v>46217</v>
      </c>
      <c r="J86" s="1527" t="s">
        <v>119</v>
      </c>
      <c r="K86" s="1526">
        <v>46219</v>
      </c>
      <c r="L86" s="521" t="s">
        <v>710</v>
      </c>
      <c r="M86" s="638">
        <f t="shared" si="2"/>
        <v>2</v>
      </c>
      <c r="N86" s="818"/>
      <c r="O86" s="638"/>
    </row>
    <row r="87" spans="1:15" s="481" customFormat="1" x14ac:dyDescent="0.3">
      <c r="B87" s="1532" t="s">
        <v>603</v>
      </c>
      <c r="C87" s="1532">
        <v>101</v>
      </c>
      <c r="D87" s="86" t="s">
        <v>604</v>
      </c>
      <c r="E87" s="638" t="s">
        <v>190</v>
      </c>
      <c r="F87" s="639" t="s">
        <v>515</v>
      </c>
      <c r="G87" s="1110">
        <v>4</v>
      </c>
      <c r="H87" s="86" t="s">
        <v>711</v>
      </c>
      <c r="I87" s="1423">
        <v>46231</v>
      </c>
      <c r="J87" s="638" t="s">
        <v>119</v>
      </c>
      <c r="K87" s="1423">
        <v>46233</v>
      </c>
      <c r="L87" s="521" t="s">
        <v>712</v>
      </c>
      <c r="M87" s="638">
        <f t="shared" si="2"/>
        <v>2</v>
      </c>
      <c r="N87" s="818"/>
      <c r="O87" s="638"/>
    </row>
    <row r="88" spans="1:15" s="481" customFormat="1" ht="28.8" x14ac:dyDescent="0.3">
      <c r="B88" s="1532" t="s">
        <v>522</v>
      </c>
      <c r="C88" s="1532">
        <v>102</v>
      </c>
      <c r="D88" s="86" t="s">
        <v>523</v>
      </c>
      <c r="E88" s="638" t="s">
        <v>190</v>
      </c>
      <c r="F88" s="639" t="s">
        <v>515</v>
      </c>
      <c r="G88" s="1110">
        <v>1</v>
      </c>
      <c r="H88" s="86" t="s">
        <v>713</v>
      </c>
      <c r="I88" s="1423">
        <v>46232</v>
      </c>
      <c r="J88" s="638" t="s">
        <v>119</v>
      </c>
      <c r="K88" s="1423">
        <v>46233</v>
      </c>
      <c r="L88" s="521" t="s">
        <v>714</v>
      </c>
      <c r="M88" s="638">
        <f t="shared" si="2"/>
        <v>1</v>
      </c>
      <c r="N88" s="818"/>
      <c r="O88" s="638"/>
    </row>
    <row r="89" spans="1:15" s="481" customFormat="1" ht="28.8" x14ac:dyDescent="0.3">
      <c r="B89" s="1532" t="s">
        <v>522</v>
      </c>
      <c r="C89" s="1532">
        <v>102</v>
      </c>
      <c r="D89" s="86" t="s">
        <v>523</v>
      </c>
      <c r="E89" s="638" t="s">
        <v>190</v>
      </c>
      <c r="F89" s="639" t="s">
        <v>515</v>
      </c>
      <c r="G89" s="1110">
        <v>1</v>
      </c>
      <c r="H89" s="86" t="s">
        <v>715</v>
      </c>
      <c r="I89" s="1423">
        <v>46232</v>
      </c>
      <c r="J89" s="638" t="s">
        <v>119</v>
      </c>
      <c r="K89" s="1423">
        <v>46233</v>
      </c>
      <c r="L89" s="521" t="s">
        <v>716</v>
      </c>
      <c r="M89" s="638">
        <f t="shared" si="2"/>
        <v>1</v>
      </c>
      <c r="N89" s="818"/>
      <c r="O89" s="638"/>
    </row>
    <row r="90" spans="1:15" s="481" customFormat="1" ht="98.4" customHeight="1" x14ac:dyDescent="0.3">
      <c r="A90" s="1531" t="s">
        <v>302</v>
      </c>
      <c r="B90" s="1532" t="s">
        <v>717</v>
      </c>
      <c r="C90" s="1532">
        <v>102</v>
      </c>
      <c r="D90" s="86" t="s">
        <v>718</v>
      </c>
      <c r="E90" s="638" t="s">
        <v>190</v>
      </c>
      <c r="F90" s="639"/>
      <c r="G90" s="1110">
        <v>0.25</v>
      </c>
      <c r="H90" s="86" t="s">
        <v>719</v>
      </c>
      <c r="I90" s="1423">
        <v>46234</v>
      </c>
      <c r="J90" s="638" t="s">
        <v>119</v>
      </c>
      <c r="K90" s="1423">
        <v>46234</v>
      </c>
      <c r="L90" s="521" t="s">
        <v>720</v>
      </c>
      <c r="M90" s="638">
        <f t="shared" si="2"/>
        <v>0</v>
      </c>
      <c r="N90" s="818"/>
      <c r="O90" s="638"/>
    </row>
    <row r="91" spans="1:15" s="481" customFormat="1" ht="43.2" x14ac:dyDescent="0.3">
      <c r="B91" s="1532" t="s">
        <v>561</v>
      </c>
      <c r="C91" s="1532">
        <v>103</v>
      </c>
      <c r="D91" s="86" t="s">
        <v>509</v>
      </c>
      <c r="E91" s="638" t="s">
        <v>190</v>
      </c>
      <c r="F91" s="639" t="s">
        <v>510</v>
      </c>
      <c r="G91" s="1110">
        <v>1</v>
      </c>
      <c r="H91" s="86" t="s">
        <v>721</v>
      </c>
      <c r="I91" s="1423">
        <v>46233</v>
      </c>
      <c r="J91" s="638" t="s">
        <v>119</v>
      </c>
      <c r="K91" s="1423">
        <v>46234</v>
      </c>
      <c r="L91" s="521" t="s">
        <v>722</v>
      </c>
      <c r="M91" s="638">
        <f t="shared" si="2"/>
        <v>1</v>
      </c>
      <c r="N91" s="818"/>
      <c r="O91" s="638"/>
    </row>
    <row r="92" spans="1:15" s="481" customFormat="1" ht="43.2" x14ac:dyDescent="0.3">
      <c r="B92" s="1532" t="s">
        <v>561</v>
      </c>
      <c r="C92" s="1532">
        <v>103</v>
      </c>
      <c r="D92" s="86" t="s">
        <v>509</v>
      </c>
      <c r="E92" s="638" t="s">
        <v>190</v>
      </c>
      <c r="F92" s="639" t="s">
        <v>510</v>
      </c>
      <c r="G92" s="1110">
        <v>1</v>
      </c>
      <c r="H92" s="86" t="s">
        <v>723</v>
      </c>
      <c r="I92" s="1423">
        <v>46233</v>
      </c>
      <c r="J92" s="638" t="s">
        <v>119</v>
      </c>
      <c r="K92" s="1423">
        <v>46234</v>
      </c>
      <c r="L92" s="521" t="s">
        <v>724</v>
      </c>
      <c r="M92" s="638">
        <f t="shared" si="2"/>
        <v>1</v>
      </c>
      <c r="N92" s="818"/>
      <c r="O92" s="638"/>
    </row>
    <row r="93" spans="1:15" s="481" customFormat="1" ht="43.2" x14ac:dyDescent="0.3">
      <c r="B93" s="1532" t="s">
        <v>561</v>
      </c>
      <c r="C93" s="1532">
        <v>103</v>
      </c>
      <c r="D93" s="86" t="s">
        <v>509</v>
      </c>
      <c r="E93" s="638" t="s">
        <v>190</v>
      </c>
      <c r="F93" s="639" t="s">
        <v>510</v>
      </c>
      <c r="G93" s="1110">
        <v>1</v>
      </c>
      <c r="H93" s="86" t="s">
        <v>725</v>
      </c>
      <c r="I93" s="1423">
        <v>46234</v>
      </c>
      <c r="J93" s="638" t="s">
        <v>119</v>
      </c>
      <c r="K93" s="1423">
        <v>46234</v>
      </c>
      <c r="L93" s="521" t="s">
        <v>726</v>
      </c>
      <c r="M93" s="638">
        <f t="shared" si="2"/>
        <v>0</v>
      </c>
      <c r="N93" s="818"/>
      <c r="O93" s="638"/>
    </row>
    <row r="94" spans="1:15" s="481" customFormat="1" ht="43.2" x14ac:dyDescent="0.3">
      <c r="B94" s="1532" t="s">
        <v>561</v>
      </c>
      <c r="C94" s="1532">
        <v>103</v>
      </c>
      <c r="D94" s="86" t="s">
        <v>509</v>
      </c>
      <c r="E94" s="638" t="s">
        <v>190</v>
      </c>
      <c r="F94" s="639" t="s">
        <v>515</v>
      </c>
      <c r="G94" s="1110">
        <v>1</v>
      </c>
      <c r="H94" s="86" t="s">
        <v>727</v>
      </c>
      <c r="I94" s="1423">
        <v>46234</v>
      </c>
      <c r="J94" s="638" t="s">
        <v>119</v>
      </c>
      <c r="K94" s="1423">
        <v>46234</v>
      </c>
      <c r="L94" s="521" t="s">
        <v>728</v>
      </c>
      <c r="M94" s="638">
        <f t="shared" si="2"/>
        <v>0</v>
      </c>
      <c r="N94" s="818"/>
      <c r="O94" s="638"/>
    </row>
    <row r="95" spans="1:15" s="481" customFormat="1" ht="43.2" x14ac:dyDescent="0.3">
      <c r="B95" s="1532" t="s">
        <v>561</v>
      </c>
      <c r="C95" s="1532">
        <v>103</v>
      </c>
      <c r="D95" s="86" t="s">
        <v>509</v>
      </c>
      <c r="E95" s="638" t="s">
        <v>190</v>
      </c>
      <c r="F95" s="639" t="s">
        <v>515</v>
      </c>
      <c r="G95" s="1110">
        <v>1</v>
      </c>
      <c r="H95" s="86" t="s">
        <v>729</v>
      </c>
      <c r="I95" s="1423">
        <v>46234</v>
      </c>
      <c r="J95" s="638" t="s">
        <v>119</v>
      </c>
      <c r="K95" s="1423">
        <v>46234</v>
      </c>
      <c r="L95" s="521" t="s">
        <v>730</v>
      </c>
      <c r="M95" s="638">
        <f t="shared" si="2"/>
        <v>0</v>
      </c>
      <c r="N95" s="818"/>
      <c r="O95" s="638"/>
    </row>
    <row r="96" spans="1:15" s="481" customFormat="1" ht="28.8" x14ac:dyDescent="0.3">
      <c r="B96" s="1532" t="s">
        <v>508</v>
      </c>
      <c r="C96" s="1532">
        <v>104</v>
      </c>
      <c r="D96" s="86" t="s">
        <v>509</v>
      </c>
      <c r="E96" s="638" t="s">
        <v>190</v>
      </c>
      <c r="F96" s="639" t="s">
        <v>510</v>
      </c>
      <c r="G96" s="1110">
        <v>1</v>
      </c>
      <c r="H96" s="86" t="s">
        <v>731</v>
      </c>
      <c r="I96" s="1423">
        <v>46234</v>
      </c>
      <c r="J96" s="638" t="s">
        <v>119</v>
      </c>
      <c r="K96" s="1423">
        <v>46234</v>
      </c>
      <c r="L96" s="521" t="s">
        <v>732</v>
      </c>
      <c r="M96" s="638">
        <f t="shared" si="2"/>
        <v>0</v>
      </c>
      <c r="N96" s="818"/>
      <c r="O96" s="638"/>
    </row>
    <row r="97" spans="1:15" s="481" customFormat="1" ht="28.8" x14ac:dyDescent="0.3">
      <c r="B97" s="1532" t="s">
        <v>508</v>
      </c>
      <c r="C97" s="1532">
        <v>104</v>
      </c>
      <c r="D97" s="86" t="s">
        <v>509</v>
      </c>
      <c r="E97" s="638" t="s">
        <v>190</v>
      </c>
      <c r="F97" s="639" t="s">
        <v>510</v>
      </c>
      <c r="G97" s="1110">
        <v>1</v>
      </c>
      <c r="H97" s="86" t="s">
        <v>733</v>
      </c>
      <c r="I97" s="1423">
        <v>46234</v>
      </c>
      <c r="J97" s="638" t="s">
        <v>119</v>
      </c>
      <c r="K97" s="1423">
        <v>46234</v>
      </c>
      <c r="L97" s="521" t="s">
        <v>734</v>
      </c>
      <c r="M97" s="638">
        <f t="shared" si="2"/>
        <v>0</v>
      </c>
      <c r="N97" s="818"/>
      <c r="O97" s="638"/>
    </row>
    <row r="98" spans="1:15" s="481" customFormat="1" ht="28.8" x14ac:dyDescent="0.3">
      <c r="B98" s="1532" t="s">
        <v>508</v>
      </c>
      <c r="C98" s="1532">
        <v>104</v>
      </c>
      <c r="D98" s="86" t="s">
        <v>509</v>
      </c>
      <c r="E98" s="638" t="s">
        <v>190</v>
      </c>
      <c r="F98" s="639" t="s">
        <v>515</v>
      </c>
      <c r="G98" s="1110">
        <v>1</v>
      </c>
      <c r="H98" s="86" t="s">
        <v>735</v>
      </c>
      <c r="I98" s="1423">
        <v>46233</v>
      </c>
      <c r="J98" s="638" t="s">
        <v>119</v>
      </c>
      <c r="K98" s="1423">
        <v>46234</v>
      </c>
      <c r="L98" s="521" t="s">
        <v>736</v>
      </c>
      <c r="M98" s="638">
        <f t="shared" ref="M98:M108" si="3">K98-I98</f>
        <v>1</v>
      </c>
      <c r="N98" s="818"/>
      <c r="O98" s="638"/>
    </row>
    <row r="99" spans="1:15" s="481" customFormat="1" ht="28.8" x14ac:dyDescent="0.3">
      <c r="B99" s="1532" t="s">
        <v>508</v>
      </c>
      <c r="C99" s="1532">
        <v>104</v>
      </c>
      <c r="D99" s="86" t="s">
        <v>509</v>
      </c>
      <c r="E99" s="638" t="s">
        <v>190</v>
      </c>
      <c r="F99" s="639" t="s">
        <v>515</v>
      </c>
      <c r="G99" s="1110">
        <v>1</v>
      </c>
      <c r="H99" s="86" t="s">
        <v>737</v>
      </c>
      <c r="I99" s="1423">
        <v>46232</v>
      </c>
      <c r="J99" s="638" t="s">
        <v>119</v>
      </c>
      <c r="K99" s="1423">
        <v>46234</v>
      </c>
      <c r="L99" s="521" t="s">
        <v>738</v>
      </c>
      <c r="M99" s="638">
        <f t="shared" si="3"/>
        <v>2</v>
      </c>
      <c r="N99" s="818"/>
      <c r="O99" s="638"/>
    </row>
    <row r="100" spans="1:15" s="481" customFormat="1" ht="28.8" x14ac:dyDescent="0.3">
      <c r="B100" s="1532" t="s">
        <v>508</v>
      </c>
      <c r="C100" s="1532">
        <v>104</v>
      </c>
      <c r="D100" s="86" t="s">
        <v>509</v>
      </c>
      <c r="E100" s="638" t="s">
        <v>190</v>
      </c>
      <c r="F100" s="639" t="s">
        <v>515</v>
      </c>
      <c r="G100" s="1110">
        <v>1</v>
      </c>
      <c r="H100" s="86" t="s">
        <v>739</v>
      </c>
      <c r="I100" s="1423">
        <v>46234</v>
      </c>
      <c r="J100" s="638" t="s">
        <v>119</v>
      </c>
      <c r="K100" s="1423">
        <v>46234</v>
      </c>
      <c r="L100" s="521" t="s">
        <v>740</v>
      </c>
      <c r="M100" s="638">
        <f t="shared" si="3"/>
        <v>0</v>
      </c>
      <c r="N100" s="818"/>
      <c r="O100" s="638"/>
    </row>
    <row r="101" spans="1:15" s="481" customFormat="1" ht="28.8" x14ac:dyDescent="0.3">
      <c r="B101" s="1532" t="s">
        <v>741</v>
      </c>
      <c r="C101" s="1532">
        <v>105</v>
      </c>
      <c r="D101" s="86" t="s">
        <v>742</v>
      </c>
      <c r="E101" s="638" t="s">
        <v>190</v>
      </c>
      <c r="F101" s="639" t="s">
        <v>510</v>
      </c>
      <c r="G101" s="1110">
        <v>1</v>
      </c>
      <c r="H101" s="86" t="s">
        <v>743</v>
      </c>
      <c r="I101" s="1423">
        <v>46232</v>
      </c>
      <c r="J101" s="638" t="s">
        <v>119</v>
      </c>
      <c r="K101" s="1423">
        <v>46234</v>
      </c>
      <c r="L101" s="521" t="s">
        <v>744</v>
      </c>
      <c r="M101" s="638">
        <f t="shared" si="3"/>
        <v>2</v>
      </c>
      <c r="N101" s="818"/>
      <c r="O101" s="638"/>
    </row>
    <row r="102" spans="1:15" s="481" customFormat="1" ht="28.8" x14ac:dyDescent="0.3">
      <c r="B102" s="1532" t="s">
        <v>551</v>
      </c>
      <c r="C102" s="1532">
        <v>105</v>
      </c>
      <c r="D102" s="86" t="s">
        <v>552</v>
      </c>
      <c r="E102" s="638" t="s">
        <v>190</v>
      </c>
      <c r="F102" s="639" t="s">
        <v>515</v>
      </c>
      <c r="G102" s="1110">
        <v>1</v>
      </c>
      <c r="H102" s="86" t="s">
        <v>745</v>
      </c>
      <c r="I102" s="1423">
        <v>46232</v>
      </c>
      <c r="J102" s="638" t="s">
        <v>119</v>
      </c>
      <c r="K102" s="1423">
        <v>46234</v>
      </c>
      <c r="L102" s="521" t="s">
        <v>746</v>
      </c>
      <c r="M102" s="638">
        <f t="shared" si="3"/>
        <v>2</v>
      </c>
      <c r="N102" s="818"/>
      <c r="O102" s="638"/>
    </row>
    <row r="103" spans="1:15" s="481" customFormat="1" ht="28.8" x14ac:dyDescent="0.3">
      <c r="B103" s="1532" t="s">
        <v>551</v>
      </c>
      <c r="C103" s="1532">
        <v>105</v>
      </c>
      <c r="D103" s="86" t="s">
        <v>552</v>
      </c>
      <c r="E103" s="638" t="s">
        <v>190</v>
      </c>
      <c r="F103" s="639" t="s">
        <v>515</v>
      </c>
      <c r="G103" s="1110">
        <v>1</v>
      </c>
      <c r="H103" s="86" t="s">
        <v>747</v>
      </c>
      <c r="I103" s="1423">
        <v>46234</v>
      </c>
      <c r="J103" s="638" t="s">
        <v>119</v>
      </c>
      <c r="K103" s="1423">
        <v>46234</v>
      </c>
      <c r="L103" s="521" t="s">
        <v>748</v>
      </c>
      <c r="M103" s="638">
        <f t="shared" si="3"/>
        <v>0</v>
      </c>
      <c r="N103" s="818"/>
      <c r="O103" s="638"/>
    </row>
    <row r="104" spans="1:15" s="481" customFormat="1" ht="28.8" x14ac:dyDescent="0.3">
      <c r="B104" s="1532" t="s">
        <v>551</v>
      </c>
      <c r="C104" s="1532">
        <v>105</v>
      </c>
      <c r="D104" s="86" t="s">
        <v>552</v>
      </c>
      <c r="E104" s="638" t="s">
        <v>190</v>
      </c>
      <c r="F104" s="639" t="s">
        <v>515</v>
      </c>
      <c r="G104" s="1110">
        <v>1</v>
      </c>
      <c r="H104" s="86" t="s">
        <v>749</v>
      </c>
      <c r="I104" s="1423">
        <v>46234</v>
      </c>
      <c r="J104" s="638" t="s">
        <v>119</v>
      </c>
      <c r="K104" s="1423">
        <v>46234</v>
      </c>
      <c r="L104" s="521" t="s">
        <v>750</v>
      </c>
      <c r="M104" s="638">
        <f t="shared" si="3"/>
        <v>0</v>
      </c>
      <c r="N104" s="818"/>
      <c r="O104" s="638"/>
    </row>
    <row r="105" spans="1:15" s="481" customFormat="1" ht="28.8" x14ac:dyDescent="0.3">
      <c r="B105" s="1532" t="s">
        <v>551</v>
      </c>
      <c r="C105" s="1532">
        <v>105</v>
      </c>
      <c r="D105" s="86" t="s">
        <v>552</v>
      </c>
      <c r="E105" s="638" t="s">
        <v>190</v>
      </c>
      <c r="F105" s="639" t="s">
        <v>515</v>
      </c>
      <c r="G105" s="1110">
        <v>1</v>
      </c>
      <c r="H105" s="86" t="s">
        <v>751</v>
      </c>
      <c r="I105" s="1423">
        <v>46234</v>
      </c>
      <c r="J105" s="638" t="s">
        <v>119</v>
      </c>
      <c r="K105" s="1423">
        <v>46234</v>
      </c>
      <c r="L105" s="521" t="s">
        <v>752</v>
      </c>
      <c r="M105" s="638">
        <f t="shared" si="3"/>
        <v>0</v>
      </c>
      <c r="N105" s="818"/>
      <c r="O105" s="638"/>
    </row>
    <row r="106" spans="1:15" s="481" customFormat="1" ht="28.8" x14ac:dyDescent="0.3">
      <c r="B106" s="1532" t="s">
        <v>551</v>
      </c>
      <c r="C106" s="1532">
        <v>106</v>
      </c>
      <c r="D106" s="86" t="s">
        <v>552</v>
      </c>
      <c r="E106" s="638" t="s">
        <v>190</v>
      </c>
      <c r="F106" s="639" t="s">
        <v>515</v>
      </c>
      <c r="G106" s="1110">
        <v>1</v>
      </c>
      <c r="H106" s="86" t="s">
        <v>753</v>
      </c>
      <c r="I106" s="1423">
        <v>46234</v>
      </c>
      <c r="J106" s="638" t="s">
        <v>119</v>
      </c>
      <c r="K106" s="1423">
        <v>46234</v>
      </c>
      <c r="L106" s="521" t="s">
        <v>754</v>
      </c>
      <c r="M106" s="638">
        <f t="shared" si="3"/>
        <v>0</v>
      </c>
      <c r="N106" s="818"/>
      <c r="O106" s="638"/>
    </row>
    <row r="107" spans="1:15" s="481" customFormat="1" x14ac:dyDescent="0.3">
      <c r="B107" s="86" t="s">
        <v>603</v>
      </c>
      <c r="C107" s="1532">
        <v>106</v>
      </c>
      <c r="D107" s="86" t="s">
        <v>604</v>
      </c>
      <c r="E107" s="638" t="s">
        <v>190</v>
      </c>
      <c r="F107" s="639" t="s">
        <v>515</v>
      </c>
      <c r="G107" s="1110">
        <v>4</v>
      </c>
      <c r="H107" s="86" t="s">
        <v>755</v>
      </c>
      <c r="I107" s="1423">
        <v>46233</v>
      </c>
      <c r="J107" s="638" t="s">
        <v>119</v>
      </c>
      <c r="K107" s="1423">
        <v>46234</v>
      </c>
      <c r="L107" s="521" t="s">
        <v>756</v>
      </c>
      <c r="M107" s="638">
        <f t="shared" si="3"/>
        <v>1</v>
      </c>
      <c r="N107" s="818"/>
      <c r="O107" s="638"/>
    </row>
    <row r="108" spans="1:15" s="481" customFormat="1" x14ac:dyDescent="0.3">
      <c r="B108" s="86" t="s">
        <v>513</v>
      </c>
      <c r="C108" s="1532">
        <v>106</v>
      </c>
      <c r="D108" s="86" t="s">
        <v>514</v>
      </c>
      <c r="E108" s="638" t="s">
        <v>324</v>
      </c>
      <c r="F108" s="639" t="s">
        <v>515</v>
      </c>
      <c r="G108" s="1110">
        <v>1</v>
      </c>
      <c r="H108" s="86" t="s">
        <v>757</v>
      </c>
      <c r="I108" s="1423">
        <v>46234</v>
      </c>
      <c r="J108" s="638" t="s">
        <v>119</v>
      </c>
      <c r="K108" s="1423">
        <v>46234</v>
      </c>
      <c r="L108" s="521" t="s">
        <v>758</v>
      </c>
      <c r="M108" s="638">
        <f t="shared" si="3"/>
        <v>0</v>
      </c>
      <c r="N108" s="818"/>
      <c r="O108" s="638"/>
    </row>
    <row r="109" spans="1:15" s="481" customFormat="1" ht="46.8" x14ac:dyDescent="0.3">
      <c r="A109" s="39" t="s">
        <v>388</v>
      </c>
      <c r="B109" s="86" t="s">
        <v>759</v>
      </c>
      <c r="C109" s="86">
        <v>107</v>
      </c>
      <c r="D109" s="86" t="s">
        <v>384</v>
      </c>
      <c r="E109" s="638" t="s">
        <v>333</v>
      </c>
      <c r="F109" s="639"/>
      <c r="G109" s="1110">
        <v>354.34299999999996</v>
      </c>
      <c r="H109" s="86" t="s">
        <v>760</v>
      </c>
      <c r="I109" s="1423"/>
      <c r="J109" s="638" t="s">
        <v>119</v>
      </c>
      <c r="K109" s="1423"/>
      <c r="L109" s="521"/>
      <c r="M109" s="818"/>
      <c r="N109" s="818"/>
      <c r="O109" s="638"/>
    </row>
    <row r="110" spans="1:15" s="481" customFormat="1" x14ac:dyDescent="0.3">
      <c r="B110" s="86"/>
      <c r="C110" s="86"/>
      <c r="D110" s="86"/>
      <c r="E110" s="638"/>
      <c r="F110" s="639"/>
      <c r="G110" s="1110"/>
      <c r="H110" s="86"/>
      <c r="I110" s="1423"/>
      <c r="J110" s="638"/>
      <c r="K110" s="1423"/>
      <c r="L110" s="521"/>
      <c r="M110" s="818"/>
      <c r="N110" s="818"/>
      <c r="O110" s="638"/>
    </row>
    <row r="111" spans="1:15" s="481" customFormat="1" x14ac:dyDescent="0.3">
      <c r="B111" s="86"/>
      <c r="C111" s="86"/>
      <c r="D111" s="86"/>
      <c r="E111" s="638"/>
      <c r="F111" s="639"/>
      <c r="G111" s="1110"/>
      <c r="H111" s="86"/>
      <c r="I111" s="1423"/>
      <c r="J111" s="638"/>
      <c r="K111" s="1423"/>
      <c r="L111" s="521"/>
      <c r="M111" s="818"/>
      <c r="N111" s="818"/>
      <c r="O111" s="638"/>
    </row>
    <row r="112" spans="1:15" s="481" customFormat="1" x14ac:dyDescent="0.3">
      <c r="B112" s="86"/>
      <c r="C112" s="86"/>
      <c r="D112" s="86"/>
      <c r="E112" s="638"/>
      <c r="F112" s="639"/>
      <c r="G112" s="1110"/>
      <c r="H112" s="86"/>
      <c r="I112" s="1423"/>
      <c r="J112" s="638"/>
      <c r="K112" s="1423"/>
      <c r="L112" s="521"/>
      <c r="M112" s="818"/>
      <c r="N112" s="818"/>
      <c r="O112" s="638"/>
    </row>
    <row r="113" spans="2:15" s="481" customFormat="1" x14ac:dyDescent="0.3">
      <c r="B113" s="86"/>
      <c r="C113" s="86"/>
      <c r="D113" s="86"/>
      <c r="E113" s="638"/>
      <c r="F113" s="639"/>
      <c r="G113" s="1110"/>
      <c r="H113" s="86"/>
      <c r="I113" s="1423"/>
      <c r="J113" s="638"/>
      <c r="K113" s="1423"/>
      <c r="L113" s="521"/>
      <c r="M113" s="818"/>
      <c r="N113" s="818"/>
      <c r="O113" s="638"/>
    </row>
    <row r="114" spans="2:15" s="481" customFormat="1" x14ac:dyDescent="0.3">
      <c r="B114" s="86"/>
      <c r="C114" s="86"/>
      <c r="D114" s="86"/>
      <c r="E114" s="638"/>
      <c r="F114" s="639"/>
      <c r="G114" s="1110"/>
      <c r="H114" s="86"/>
      <c r="I114" s="1423"/>
      <c r="J114" s="638"/>
      <c r="K114" s="1423"/>
      <c r="L114" s="521"/>
      <c r="M114" s="818"/>
      <c r="N114" s="818"/>
      <c r="O114" s="638"/>
    </row>
    <row r="115" spans="2:15" s="481" customFormat="1" x14ac:dyDescent="0.3">
      <c r="B115" s="86"/>
      <c r="C115" s="86"/>
      <c r="D115" s="86"/>
      <c r="E115" s="638"/>
      <c r="F115" s="639"/>
      <c r="G115" s="1110"/>
      <c r="H115" s="86"/>
      <c r="I115" s="1423"/>
      <c r="J115" s="638"/>
      <c r="K115" s="1423"/>
      <c r="L115" s="521"/>
      <c r="M115" s="818"/>
      <c r="N115" s="818"/>
      <c r="O115" s="638"/>
    </row>
    <row r="116" spans="2:15" s="481" customFormat="1" x14ac:dyDescent="0.3">
      <c r="B116" s="86"/>
      <c r="C116" s="86"/>
      <c r="D116" s="86"/>
      <c r="E116" s="638"/>
      <c r="F116" s="639"/>
      <c r="G116" s="1110"/>
      <c r="H116" s="86"/>
      <c r="I116" s="1423"/>
      <c r="J116" s="638"/>
      <c r="K116" s="1423"/>
      <c r="L116" s="521"/>
      <c r="M116" s="818"/>
      <c r="N116" s="818"/>
      <c r="O116" s="638"/>
    </row>
    <row r="117" spans="2:15" s="481" customFormat="1" x14ac:dyDescent="0.3">
      <c r="B117" s="86"/>
      <c r="C117" s="86"/>
      <c r="D117" s="86"/>
      <c r="E117" s="638"/>
      <c r="F117" s="639"/>
      <c r="G117" s="1110"/>
      <c r="H117" s="86"/>
      <c r="I117" s="1423"/>
      <c r="J117" s="638"/>
      <c r="K117" s="1423"/>
      <c r="L117" s="521"/>
      <c r="M117" s="818"/>
      <c r="N117" s="818"/>
      <c r="O117" s="638"/>
    </row>
    <row r="118" spans="2:15" s="481" customFormat="1" x14ac:dyDescent="0.3">
      <c r="B118" s="86"/>
      <c r="C118" s="86"/>
      <c r="D118" s="86"/>
      <c r="E118" s="638"/>
      <c r="F118" s="639"/>
      <c r="G118" s="1110"/>
      <c r="H118" s="86"/>
      <c r="I118" s="1423"/>
      <c r="J118" s="638"/>
      <c r="K118" s="1423"/>
      <c r="L118" s="521"/>
      <c r="M118" s="818"/>
      <c r="N118" s="818"/>
      <c r="O118" s="638"/>
    </row>
    <row r="119" spans="2:15" s="481" customFormat="1" x14ac:dyDescent="0.3">
      <c r="B119" s="86"/>
      <c r="C119" s="86"/>
      <c r="D119" s="86"/>
      <c r="E119" s="638"/>
      <c r="F119" s="639"/>
      <c r="G119" s="1110"/>
      <c r="H119" s="86"/>
      <c r="I119" s="1423"/>
      <c r="J119" s="638"/>
      <c r="K119" s="1423"/>
      <c r="L119" s="521"/>
      <c r="M119" s="818"/>
      <c r="N119" s="818"/>
      <c r="O119" s="638"/>
    </row>
    <row r="120" spans="2:15" s="481" customFormat="1" x14ac:dyDescent="0.3">
      <c r="B120" s="86"/>
      <c r="C120" s="86"/>
      <c r="D120" s="86"/>
      <c r="E120" s="638"/>
      <c r="F120" s="639"/>
      <c r="G120" s="1110"/>
      <c r="H120" s="86"/>
      <c r="I120" s="1423"/>
      <c r="J120" s="638"/>
      <c r="K120" s="1423"/>
      <c r="L120" s="521"/>
      <c r="M120" s="818"/>
      <c r="N120" s="818"/>
      <c r="O120" s="638"/>
    </row>
    <row r="121" spans="2:15" s="481" customFormat="1" x14ac:dyDescent="0.3">
      <c r="B121" s="86"/>
      <c r="C121" s="86"/>
      <c r="D121" s="86"/>
      <c r="E121" s="638"/>
      <c r="F121" s="639"/>
      <c r="G121" s="1110"/>
      <c r="H121" s="86"/>
      <c r="I121" s="1423"/>
      <c r="J121" s="638"/>
      <c r="K121" s="1423"/>
      <c r="L121" s="521"/>
      <c r="M121" s="818"/>
      <c r="N121" s="818"/>
      <c r="O121" s="638"/>
    </row>
    <row r="122" spans="2:15" s="481" customFormat="1" x14ac:dyDescent="0.3">
      <c r="B122" s="86"/>
      <c r="C122" s="86"/>
      <c r="D122" s="86"/>
      <c r="E122" s="638"/>
      <c r="F122" s="639"/>
      <c r="G122" s="1110"/>
      <c r="H122" s="86"/>
      <c r="I122" s="1423"/>
      <c r="J122" s="638"/>
      <c r="K122" s="1423"/>
      <c r="L122" s="521"/>
      <c r="M122" s="818"/>
      <c r="N122" s="818"/>
      <c r="O122" s="638"/>
    </row>
    <row r="123" spans="2:15" s="481" customFormat="1" x14ac:dyDescent="0.3">
      <c r="B123" s="86"/>
      <c r="C123" s="86"/>
      <c r="D123" s="86"/>
      <c r="E123" s="638"/>
      <c r="F123" s="639"/>
      <c r="G123" s="1110"/>
      <c r="H123" s="86"/>
      <c r="I123" s="1423"/>
      <c r="J123" s="638"/>
      <c r="K123" s="1423"/>
      <c r="L123" s="521"/>
      <c r="M123" s="818"/>
      <c r="N123" s="818"/>
      <c r="O123" s="638"/>
    </row>
    <row r="124" spans="2:15" s="481" customFormat="1" x14ac:dyDescent="0.3">
      <c r="B124" s="86"/>
      <c r="C124" s="86"/>
      <c r="D124" s="86"/>
      <c r="E124" s="638"/>
      <c r="F124" s="639"/>
      <c r="G124" s="1110"/>
      <c r="H124" s="86"/>
      <c r="I124" s="1423"/>
      <c r="J124" s="638"/>
      <c r="K124" s="1423"/>
      <c r="L124" s="521"/>
      <c r="M124" s="818"/>
      <c r="N124" s="818"/>
      <c r="O124" s="638"/>
    </row>
    <row r="125" spans="2:15" s="481" customFormat="1" x14ac:dyDescent="0.3">
      <c r="B125" s="86"/>
      <c r="C125" s="86"/>
      <c r="D125" s="86"/>
      <c r="E125" s="638"/>
      <c r="F125" s="639"/>
      <c r="G125" s="1110"/>
      <c r="H125" s="86"/>
      <c r="I125" s="1423"/>
      <c r="J125" s="638"/>
      <c r="K125" s="1423"/>
      <c r="L125" s="521"/>
      <c r="M125" s="818"/>
      <c r="N125" s="818"/>
      <c r="O125" s="638"/>
    </row>
    <row r="126" spans="2:15" s="481" customFormat="1" x14ac:dyDescent="0.3">
      <c r="B126" s="86"/>
      <c r="C126" s="86"/>
      <c r="D126" s="86"/>
      <c r="E126" s="638"/>
      <c r="F126" s="639"/>
      <c r="G126" s="1110"/>
      <c r="H126" s="86"/>
      <c r="I126" s="1423"/>
      <c r="J126" s="638"/>
      <c r="K126" s="1423"/>
      <c r="L126" s="521"/>
      <c r="M126" s="818"/>
      <c r="N126" s="818"/>
      <c r="O126" s="638"/>
    </row>
    <row r="127" spans="2:15" s="481" customFormat="1" x14ac:dyDescent="0.3">
      <c r="B127" s="86"/>
      <c r="C127" s="86"/>
      <c r="D127" s="86"/>
      <c r="E127" s="638"/>
      <c r="F127" s="639"/>
      <c r="G127" s="1110"/>
      <c r="H127" s="86"/>
      <c r="I127" s="1423"/>
      <c r="J127" s="638"/>
      <c r="K127" s="1423"/>
      <c r="L127" s="521"/>
      <c r="M127" s="818"/>
      <c r="N127" s="818"/>
      <c r="O127" s="638"/>
    </row>
    <row r="128" spans="2:15" s="481" customFormat="1" x14ac:dyDescent="0.3">
      <c r="B128" s="86"/>
      <c r="C128" s="86"/>
      <c r="D128" s="86"/>
      <c r="E128" s="638"/>
      <c r="F128" s="639"/>
      <c r="G128" s="1110"/>
      <c r="H128" s="86"/>
      <c r="I128" s="1423"/>
      <c r="J128" s="638"/>
      <c r="K128" s="1423"/>
      <c r="L128" s="521"/>
      <c r="M128" s="818"/>
      <c r="N128" s="818"/>
      <c r="O128" s="638"/>
    </row>
    <row r="129" spans="2:15" s="481" customFormat="1" x14ac:dyDescent="0.3">
      <c r="B129" s="86"/>
      <c r="C129" s="86"/>
      <c r="D129" s="86"/>
      <c r="E129" s="638"/>
      <c r="F129" s="639"/>
      <c r="G129" s="1110"/>
      <c r="H129" s="86"/>
      <c r="I129" s="1423"/>
      <c r="J129" s="638"/>
      <c r="K129" s="1423"/>
      <c r="L129" s="521"/>
      <c r="M129" s="818"/>
      <c r="N129" s="818"/>
      <c r="O129" s="638"/>
    </row>
    <row r="130" spans="2:15" s="481" customFormat="1" x14ac:dyDescent="0.3">
      <c r="B130" s="86"/>
      <c r="C130" s="86"/>
      <c r="D130" s="86"/>
      <c r="E130" s="638"/>
      <c r="F130" s="639"/>
      <c r="G130" s="1110"/>
      <c r="H130" s="86"/>
      <c r="I130" s="1423"/>
      <c r="J130" s="638"/>
      <c r="K130" s="1423"/>
      <c r="L130" s="521"/>
      <c r="M130" s="818"/>
      <c r="N130" s="818"/>
      <c r="O130" s="638"/>
    </row>
    <row r="131" spans="2:15" s="481" customFormat="1" x14ac:dyDescent="0.3">
      <c r="B131" s="86"/>
      <c r="C131" s="86"/>
      <c r="D131" s="86"/>
      <c r="E131" s="638"/>
      <c r="F131" s="639"/>
      <c r="G131" s="1110"/>
      <c r="H131" s="86"/>
      <c r="I131" s="1423"/>
      <c r="J131" s="638"/>
      <c r="K131" s="1423"/>
      <c r="L131" s="521"/>
      <c r="M131" s="818"/>
      <c r="N131" s="818"/>
      <c r="O131" s="638"/>
    </row>
    <row r="132" spans="2:15" s="481" customFormat="1" x14ac:dyDescent="0.3">
      <c r="B132" s="86"/>
      <c r="C132" s="86"/>
      <c r="D132" s="86"/>
      <c r="E132" s="638"/>
      <c r="F132" s="639"/>
      <c r="G132" s="1110"/>
      <c r="H132" s="86"/>
      <c r="I132" s="1423"/>
      <c r="J132" s="638"/>
      <c r="K132" s="1423"/>
      <c r="L132" s="521"/>
      <c r="M132" s="818"/>
      <c r="N132" s="818"/>
      <c r="O132" s="638"/>
    </row>
    <row r="133" spans="2:15" s="481" customFormat="1" x14ac:dyDescent="0.3">
      <c r="B133" s="86"/>
      <c r="C133" s="86"/>
      <c r="D133" s="86"/>
      <c r="E133" s="638"/>
      <c r="F133" s="639"/>
      <c r="G133" s="1110"/>
      <c r="H133" s="86"/>
      <c r="I133" s="1423"/>
      <c r="J133" s="638"/>
      <c r="K133" s="1423"/>
      <c r="L133" s="521"/>
      <c r="M133" s="818"/>
      <c r="N133" s="818"/>
      <c r="O133" s="638"/>
    </row>
    <row r="134" spans="2:15" s="481" customFormat="1" x14ac:dyDescent="0.3">
      <c r="B134" s="86"/>
      <c r="C134" s="86"/>
      <c r="D134" s="86"/>
      <c r="E134" s="638"/>
      <c r="F134" s="639"/>
      <c r="G134" s="1110"/>
      <c r="H134" s="86"/>
      <c r="I134" s="1423"/>
      <c r="J134" s="638"/>
      <c r="K134" s="1423"/>
      <c r="L134" s="521"/>
      <c r="M134" s="818"/>
      <c r="N134" s="818"/>
      <c r="O134" s="638"/>
    </row>
    <row r="135" spans="2:15" s="481" customFormat="1" x14ac:dyDescent="0.3">
      <c r="B135" s="86"/>
      <c r="C135" s="86"/>
      <c r="D135" s="86"/>
      <c r="E135" s="638"/>
      <c r="F135" s="639"/>
      <c r="G135" s="1110"/>
      <c r="H135" s="86"/>
      <c r="I135" s="1423"/>
      <c r="J135" s="638"/>
      <c r="K135" s="1423"/>
      <c r="L135" s="521"/>
      <c r="M135" s="818"/>
      <c r="N135" s="818"/>
      <c r="O135" s="638"/>
    </row>
    <row r="136" spans="2:15" s="481" customFormat="1" x14ac:dyDescent="0.3">
      <c r="B136" s="86"/>
      <c r="C136" s="86"/>
      <c r="D136" s="86"/>
      <c r="E136" s="638"/>
      <c r="F136" s="639"/>
      <c r="G136" s="1110"/>
      <c r="H136" s="86"/>
      <c r="I136" s="1423"/>
      <c r="J136" s="638"/>
      <c r="K136" s="1423"/>
      <c r="L136" s="521"/>
      <c r="M136" s="818"/>
      <c r="N136" s="818"/>
      <c r="O136" s="638"/>
    </row>
    <row r="137" spans="2:15" s="481" customFormat="1" x14ac:dyDescent="0.3">
      <c r="B137" s="86"/>
      <c r="C137" s="86"/>
      <c r="D137" s="86"/>
      <c r="E137" s="638"/>
      <c r="F137" s="639"/>
      <c r="G137" s="1110"/>
      <c r="H137" s="86"/>
      <c r="I137" s="1423"/>
      <c r="J137" s="638"/>
      <c r="K137" s="1423"/>
      <c r="L137" s="521"/>
      <c r="M137" s="818"/>
      <c r="N137" s="818"/>
      <c r="O137" s="638"/>
    </row>
    <row r="138" spans="2:15" s="481" customFormat="1" x14ac:dyDescent="0.3">
      <c r="B138" s="86"/>
      <c r="C138" s="86"/>
      <c r="D138" s="86"/>
      <c r="E138" s="638"/>
      <c r="F138" s="639"/>
      <c r="G138" s="1110"/>
      <c r="H138" s="86"/>
      <c r="I138" s="1423"/>
      <c r="J138" s="638"/>
      <c r="K138" s="1423"/>
      <c r="L138" s="521"/>
      <c r="M138" s="818"/>
      <c r="N138" s="818"/>
      <c r="O138" s="638"/>
    </row>
    <row r="139" spans="2:15" s="481" customFormat="1" x14ac:dyDescent="0.3">
      <c r="B139" s="86"/>
      <c r="C139" s="86"/>
      <c r="D139" s="86"/>
      <c r="E139" s="638"/>
      <c r="F139" s="639"/>
      <c r="G139" s="1110"/>
      <c r="H139" s="86"/>
      <c r="I139" s="1423"/>
      <c r="J139" s="638"/>
      <c r="K139" s="1423"/>
      <c r="L139" s="521"/>
      <c r="M139" s="818"/>
      <c r="N139" s="818"/>
      <c r="O139" s="638"/>
    </row>
    <row r="140" spans="2:15" s="481" customFormat="1" x14ac:dyDescent="0.3">
      <c r="B140" s="86"/>
      <c r="C140" s="86"/>
      <c r="D140" s="86"/>
      <c r="E140" s="638"/>
      <c r="F140" s="639"/>
      <c r="G140" s="1110"/>
      <c r="H140" s="86"/>
      <c r="I140" s="1423"/>
      <c r="J140" s="638"/>
      <c r="K140" s="1423"/>
      <c r="L140" s="521"/>
      <c r="M140" s="818"/>
      <c r="N140" s="818"/>
      <c r="O140" s="638"/>
    </row>
    <row r="141" spans="2:15" s="481" customFormat="1" x14ac:dyDescent="0.3">
      <c r="B141" s="86"/>
      <c r="C141" s="86"/>
      <c r="D141" s="86"/>
      <c r="E141" s="638"/>
      <c r="F141" s="639"/>
      <c r="G141" s="1110"/>
      <c r="H141" s="86"/>
      <c r="I141" s="1423"/>
      <c r="J141" s="638"/>
      <c r="K141" s="1423"/>
      <c r="L141" s="521"/>
      <c r="M141" s="818"/>
      <c r="N141" s="818"/>
      <c r="O141" s="638"/>
    </row>
    <row r="142" spans="2:15" s="481" customFormat="1" x14ac:dyDescent="0.3">
      <c r="B142" s="86"/>
      <c r="C142" s="86"/>
      <c r="D142" s="86"/>
      <c r="E142" s="638"/>
      <c r="F142" s="639"/>
      <c r="G142" s="1110"/>
      <c r="H142" s="86"/>
      <c r="I142" s="1423"/>
      <c r="J142" s="638"/>
      <c r="K142" s="1423"/>
      <c r="L142" s="521"/>
      <c r="M142" s="818"/>
      <c r="N142" s="818"/>
      <c r="O142" s="638"/>
    </row>
    <row r="143" spans="2:15" s="481" customFormat="1" x14ac:dyDescent="0.3">
      <c r="B143" s="86"/>
      <c r="C143" s="86"/>
      <c r="D143" s="86"/>
      <c r="E143" s="638"/>
      <c r="F143" s="639"/>
      <c r="G143" s="1110"/>
      <c r="H143" s="86"/>
      <c r="I143" s="1423"/>
      <c r="J143" s="638"/>
      <c r="K143" s="1423"/>
      <c r="L143" s="521"/>
      <c r="M143" s="818"/>
      <c r="N143" s="818"/>
      <c r="O143" s="638"/>
    </row>
    <row r="144" spans="2:15" s="481" customFormat="1" x14ac:dyDescent="0.3">
      <c r="B144" s="86"/>
      <c r="C144" s="86"/>
      <c r="D144" s="86"/>
      <c r="E144" s="638"/>
      <c r="F144" s="639"/>
      <c r="G144" s="1110"/>
      <c r="H144" s="86"/>
      <c r="I144" s="1423"/>
      <c r="J144" s="638"/>
      <c r="K144" s="1423"/>
      <c r="L144" s="521"/>
      <c r="M144" s="818"/>
      <c r="N144" s="818"/>
      <c r="O144" s="638"/>
    </row>
    <row r="145" spans="2:15" s="481" customFormat="1" x14ac:dyDescent="0.3">
      <c r="B145" s="86"/>
      <c r="C145" s="86"/>
      <c r="D145" s="86"/>
      <c r="E145" s="638"/>
      <c r="F145" s="639"/>
      <c r="G145" s="1110"/>
      <c r="H145" s="86"/>
      <c r="I145" s="1423"/>
      <c r="J145" s="638"/>
      <c r="K145" s="1423"/>
      <c r="L145" s="521"/>
      <c r="M145" s="818"/>
      <c r="N145" s="818"/>
      <c r="O145" s="638"/>
    </row>
    <row r="146" spans="2:15" s="481" customFormat="1" x14ac:dyDescent="0.3">
      <c r="B146" s="86"/>
      <c r="C146" s="86"/>
      <c r="D146" s="86"/>
      <c r="E146" s="638"/>
      <c r="F146" s="639"/>
      <c r="G146" s="1110"/>
      <c r="H146" s="86"/>
      <c r="I146" s="1423"/>
      <c r="J146" s="638"/>
      <c r="K146" s="1423"/>
      <c r="L146" s="521"/>
      <c r="M146" s="818"/>
      <c r="N146" s="818"/>
      <c r="O146" s="638"/>
    </row>
    <row r="147" spans="2:15" s="481" customFormat="1" x14ac:dyDescent="0.3">
      <c r="B147" s="86"/>
      <c r="C147" s="86"/>
      <c r="D147" s="86"/>
      <c r="E147" s="638"/>
      <c r="F147" s="639"/>
      <c r="G147" s="1110"/>
      <c r="H147" s="86"/>
      <c r="I147" s="1423"/>
      <c r="J147" s="638"/>
      <c r="K147" s="1423"/>
      <c r="L147" s="521"/>
      <c r="M147" s="818"/>
      <c r="N147" s="818"/>
      <c r="O147" s="638"/>
    </row>
    <row r="148" spans="2:15" s="481" customFormat="1" x14ac:dyDescent="0.3">
      <c r="B148" s="86"/>
      <c r="C148" s="86"/>
      <c r="D148" s="86"/>
      <c r="E148" s="638"/>
      <c r="F148" s="639"/>
      <c r="G148" s="1110"/>
      <c r="H148" s="86"/>
      <c r="I148" s="1423"/>
      <c r="J148" s="638"/>
      <c r="K148" s="1423"/>
      <c r="L148" s="521"/>
      <c r="M148" s="818"/>
      <c r="N148" s="818"/>
      <c r="O148" s="638"/>
    </row>
    <row r="149" spans="2:15" s="481" customFormat="1" x14ac:dyDescent="0.3">
      <c r="B149" s="86"/>
      <c r="C149" s="86"/>
      <c r="D149" s="86"/>
      <c r="E149" s="638"/>
      <c r="F149" s="639"/>
      <c r="G149" s="1110"/>
      <c r="H149" s="86"/>
      <c r="I149" s="1423"/>
      <c r="J149" s="638"/>
      <c r="K149" s="1423"/>
      <c r="L149" s="521"/>
      <c r="M149" s="818"/>
      <c r="N149" s="818"/>
      <c r="O149" s="638"/>
    </row>
    <row r="150" spans="2:15" s="481" customFormat="1" x14ac:dyDescent="0.3">
      <c r="B150" s="86"/>
      <c r="C150" s="86"/>
      <c r="D150" s="86"/>
      <c r="E150" s="638"/>
      <c r="F150" s="639"/>
      <c r="G150" s="1110"/>
      <c r="H150" s="86"/>
      <c r="I150" s="1423"/>
      <c r="J150" s="638"/>
      <c r="K150" s="1423"/>
      <c r="L150" s="521"/>
      <c r="M150" s="818"/>
      <c r="N150" s="818"/>
      <c r="O150" s="638"/>
    </row>
    <row r="151" spans="2:15" s="481" customFormat="1" x14ac:dyDescent="0.3">
      <c r="B151" s="86"/>
      <c r="C151" s="86"/>
      <c r="D151" s="86"/>
      <c r="E151" s="638"/>
      <c r="F151" s="639"/>
      <c r="G151" s="1110"/>
      <c r="H151" s="86"/>
      <c r="I151" s="1423"/>
      <c r="J151" s="638"/>
      <c r="K151" s="1423"/>
      <c r="L151" s="521"/>
      <c r="M151" s="818"/>
      <c r="N151" s="818"/>
      <c r="O151" s="638"/>
    </row>
    <row r="152" spans="2:15" s="481" customFormat="1" x14ac:dyDescent="0.3">
      <c r="B152" s="86"/>
      <c r="C152" s="86"/>
      <c r="D152" s="86"/>
      <c r="E152" s="638"/>
      <c r="F152" s="639"/>
      <c r="G152" s="1110"/>
      <c r="H152" s="86"/>
      <c r="I152" s="1423"/>
      <c r="J152" s="638"/>
      <c r="K152" s="1423"/>
      <c r="L152" s="521"/>
      <c r="M152" s="818"/>
      <c r="N152" s="818"/>
      <c r="O152" s="638"/>
    </row>
    <row r="153" spans="2:15" s="481" customFormat="1" x14ac:dyDescent="0.3">
      <c r="B153" s="86"/>
      <c r="C153" s="86"/>
      <c r="D153" s="86"/>
      <c r="E153" s="638"/>
      <c r="F153" s="639"/>
      <c r="G153" s="1110"/>
      <c r="H153" s="86"/>
      <c r="I153" s="1423"/>
      <c r="J153" s="638"/>
      <c r="K153" s="1423"/>
      <c r="L153" s="521"/>
      <c r="M153" s="818"/>
      <c r="N153" s="818"/>
      <c r="O153" s="638"/>
    </row>
    <row r="154" spans="2:15" s="481" customFormat="1" x14ac:dyDescent="0.3">
      <c r="B154" s="86"/>
      <c r="C154" s="86"/>
      <c r="D154" s="86"/>
      <c r="E154" s="638"/>
      <c r="F154" s="639"/>
      <c r="G154" s="1110"/>
      <c r="H154" s="86"/>
      <c r="I154" s="1423"/>
      <c r="J154" s="638"/>
      <c r="K154" s="1423"/>
      <c r="L154" s="521"/>
      <c r="M154" s="818"/>
      <c r="N154" s="818"/>
      <c r="O154" s="638"/>
    </row>
    <row r="155" spans="2:15" s="481" customFormat="1" x14ac:dyDescent="0.3">
      <c r="B155" s="86"/>
      <c r="C155" s="86"/>
      <c r="D155" s="86"/>
      <c r="E155" s="638"/>
      <c r="F155" s="639"/>
      <c r="G155" s="1110"/>
      <c r="H155" s="86"/>
      <c r="I155" s="1423"/>
      <c r="J155" s="638"/>
      <c r="K155" s="1423"/>
      <c r="L155" s="521"/>
      <c r="M155" s="818"/>
      <c r="N155" s="818"/>
      <c r="O155" s="638"/>
    </row>
    <row r="156" spans="2:15" s="481" customFormat="1" x14ac:dyDescent="0.3">
      <c r="B156" s="86"/>
      <c r="C156" s="86"/>
      <c r="D156" s="86"/>
      <c r="E156" s="638"/>
      <c r="F156" s="639"/>
      <c r="G156" s="1110"/>
      <c r="H156" s="86"/>
      <c r="I156" s="1423"/>
      <c r="J156" s="638"/>
      <c r="K156" s="1423"/>
      <c r="L156" s="521"/>
      <c r="M156" s="818"/>
      <c r="N156" s="818"/>
      <c r="O156" s="638"/>
    </row>
    <row r="157" spans="2:15" s="481" customFormat="1" x14ac:dyDescent="0.3">
      <c r="B157" s="86"/>
      <c r="C157" s="86"/>
      <c r="D157" s="86"/>
      <c r="E157" s="638"/>
      <c r="F157" s="639"/>
      <c r="G157" s="1110"/>
      <c r="H157" s="86"/>
      <c r="I157" s="1423"/>
      <c r="J157" s="638"/>
      <c r="K157" s="1423"/>
      <c r="L157" s="521"/>
      <c r="M157" s="818"/>
      <c r="N157" s="818"/>
      <c r="O157" s="638"/>
    </row>
    <row r="158" spans="2:15" s="481" customFormat="1" x14ac:dyDescent="0.3">
      <c r="B158" s="86"/>
      <c r="C158" s="86"/>
      <c r="D158" s="86"/>
      <c r="E158" s="638"/>
      <c r="F158" s="639"/>
      <c r="G158" s="1110"/>
      <c r="H158" s="86"/>
      <c r="I158" s="1423"/>
      <c r="J158" s="638"/>
      <c r="K158" s="1423"/>
      <c r="L158" s="521"/>
      <c r="M158" s="818"/>
      <c r="N158" s="818"/>
      <c r="O158" s="638"/>
    </row>
    <row r="159" spans="2:15" s="481" customFormat="1" x14ac:dyDescent="0.3">
      <c r="B159" s="86"/>
      <c r="C159" s="86"/>
      <c r="D159" s="86"/>
      <c r="E159" s="638"/>
      <c r="F159" s="639"/>
      <c r="G159" s="1110"/>
      <c r="H159" s="86"/>
      <c r="I159" s="1423"/>
      <c r="J159" s="638"/>
      <c r="K159" s="1423"/>
      <c r="L159" s="521"/>
      <c r="M159" s="818"/>
      <c r="N159" s="818"/>
      <c r="O159" s="638"/>
    </row>
    <row r="160" spans="2:15" s="481" customFormat="1" x14ac:dyDescent="0.3">
      <c r="B160" s="86"/>
      <c r="C160" s="86"/>
      <c r="D160" s="86"/>
      <c r="E160" s="638"/>
      <c r="F160" s="639"/>
      <c r="G160" s="1110"/>
      <c r="H160" s="86"/>
      <c r="I160" s="1423"/>
      <c r="J160" s="638"/>
      <c r="K160" s="1423"/>
      <c r="L160" s="521"/>
      <c r="M160" s="818"/>
      <c r="N160" s="818"/>
      <c r="O160" s="638"/>
    </row>
    <row r="161" spans="2:15" s="481" customFormat="1" x14ac:dyDescent="0.3">
      <c r="B161" s="86"/>
      <c r="C161" s="86"/>
      <c r="D161" s="86"/>
      <c r="E161" s="638"/>
      <c r="F161" s="639"/>
      <c r="G161" s="1110"/>
      <c r="H161" s="86"/>
      <c r="I161" s="1423"/>
      <c r="J161" s="638"/>
      <c r="K161" s="1423"/>
      <c r="L161" s="521"/>
      <c r="M161" s="818"/>
      <c r="N161" s="818"/>
      <c r="O161" s="638"/>
    </row>
    <row r="162" spans="2:15" s="481" customFormat="1" x14ac:dyDescent="0.3">
      <c r="B162" s="86"/>
      <c r="C162" s="86"/>
      <c r="D162" s="86"/>
      <c r="E162" s="638"/>
      <c r="F162" s="639"/>
      <c r="G162" s="1110"/>
      <c r="H162" s="86"/>
      <c r="I162" s="1423"/>
      <c r="J162" s="638"/>
      <c r="K162" s="1423"/>
      <c r="L162" s="521"/>
      <c r="M162" s="818"/>
      <c r="N162" s="818"/>
      <c r="O162" s="638"/>
    </row>
    <row r="163" spans="2:15" s="481" customFormat="1" x14ac:dyDescent="0.3">
      <c r="B163" s="86"/>
      <c r="C163" s="86"/>
      <c r="D163" s="86"/>
      <c r="E163" s="638"/>
      <c r="F163" s="639"/>
      <c r="G163" s="1110"/>
      <c r="H163" s="86"/>
      <c r="I163" s="1423"/>
      <c r="J163" s="638"/>
      <c r="K163" s="1423"/>
      <c r="L163" s="521"/>
      <c r="M163" s="818"/>
      <c r="N163" s="818"/>
      <c r="O163" s="638"/>
    </row>
    <row r="164" spans="2:15" s="481" customFormat="1" x14ac:dyDescent="0.3">
      <c r="B164" s="86"/>
      <c r="C164" s="86"/>
      <c r="D164" s="86"/>
      <c r="E164" s="638"/>
      <c r="F164" s="639"/>
      <c r="G164" s="1110"/>
      <c r="H164" s="86"/>
      <c r="I164" s="1423"/>
      <c r="J164" s="638"/>
      <c r="K164" s="1423"/>
      <c r="L164" s="521"/>
      <c r="M164" s="818"/>
      <c r="N164" s="818"/>
      <c r="O164" s="638"/>
    </row>
    <row r="165" spans="2:15" s="481" customFormat="1" x14ac:dyDescent="0.3">
      <c r="B165" s="86"/>
      <c r="C165" s="86"/>
      <c r="D165" s="86"/>
      <c r="E165" s="638"/>
      <c r="F165" s="639"/>
      <c r="G165" s="1110"/>
      <c r="H165" s="86"/>
      <c r="I165" s="1423"/>
      <c r="J165" s="638"/>
      <c r="K165" s="1423"/>
      <c r="L165" s="521"/>
      <c r="M165" s="818"/>
      <c r="N165" s="818"/>
      <c r="O165" s="638"/>
    </row>
    <row r="166" spans="2:15" s="481" customFormat="1" x14ac:dyDescent="0.3">
      <c r="B166" s="86"/>
      <c r="C166" s="86"/>
      <c r="D166" s="86"/>
      <c r="E166" s="638"/>
      <c r="F166" s="639"/>
      <c r="G166" s="1110"/>
      <c r="H166" s="86"/>
      <c r="I166" s="1423"/>
      <c r="J166" s="638"/>
      <c r="K166" s="1423"/>
      <c r="L166" s="521"/>
      <c r="M166" s="818"/>
      <c r="N166" s="818"/>
      <c r="O166" s="638"/>
    </row>
    <row r="167" spans="2:15" s="481" customFormat="1" x14ac:dyDescent="0.3">
      <c r="B167" s="86"/>
      <c r="C167" s="86"/>
      <c r="D167" s="86"/>
      <c r="E167" s="638"/>
      <c r="F167" s="639"/>
      <c r="G167" s="1110"/>
      <c r="H167" s="86"/>
      <c r="I167" s="1423"/>
      <c r="J167" s="638"/>
      <c r="K167" s="1423"/>
      <c r="L167" s="521"/>
      <c r="M167" s="818"/>
      <c r="N167" s="818"/>
      <c r="O167" s="638"/>
    </row>
    <row r="168" spans="2:15" s="481" customFormat="1" x14ac:dyDescent="0.3">
      <c r="B168" s="1524"/>
      <c r="C168" s="1524"/>
      <c r="D168" s="1524"/>
      <c r="E168" s="582"/>
      <c r="F168" s="889"/>
      <c r="G168" s="1110"/>
      <c r="H168" s="1524"/>
      <c r="I168" s="1424"/>
      <c r="J168" s="582"/>
      <c r="K168" s="1424"/>
      <c r="L168" s="888"/>
      <c r="M168" s="1330"/>
      <c r="N168" s="1330"/>
      <c r="O168" s="582"/>
    </row>
    <row r="169" spans="2:15" s="481" customFormat="1" x14ac:dyDescent="0.3">
      <c r="B169" s="86"/>
      <c r="C169" s="86"/>
      <c r="D169" s="86"/>
      <c r="E169" s="638"/>
      <c r="F169" s="639"/>
      <c r="G169" s="1110"/>
      <c r="H169" s="86"/>
      <c r="I169" s="1423"/>
      <c r="J169" s="638"/>
      <c r="K169" s="1423"/>
      <c r="L169" s="521"/>
      <c r="M169" s="818"/>
      <c r="N169" s="818"/>
      <c r="O169" s="638"/>
    </row>
    <row r="170" spans="2:15" s="481" customFormat="1" x14ac:dyDescent="0.3">
      <c r="B170" s="86"/>
      <c r="C170" s="86"/>
      <c r="D170" s="86"/>
      <c r="E170" s="638"/>
      <c r="F170" s="639"/>
      <c r="G170" s="1110"/>
      <c r="H170" s="86"/>
      <c r="I170" s="1423"/>
      <c r="J170" s="638"/>
      <c r="K170" s="1423"/>
      <c r="L170" s="521"/>
      <c r="M170" s="818"/>
      <c r="N170" s="818"/>
      <c r="O170" s="638"/>
    </row>
    <row r="171" spans="2:15" s="481" customFormat="1" x14ac:dyDescent="0.3">
      <c r="B171" s="86"/>
      <c r="C171" s="86"/>
      <c r="D171" s="86"/>
      <c r="E171" s="638"/>
      <c r="F171" s="639"/>
      <c r="G171" s="1110"/>
      <c r="H171" s="86"/>
      <c r="I171" s="1423"/>
      <c r="J171" s="638"/>
      <c r="K171" s="1423"/>
      <c r="L171" s="521"/>
      <c r="M171" s="818"/>
      <c r="N171" s="818"/>
      <c r="O171" s="638"/>
    </row>
    <row r="172" spans="2:15" s="481" customFormat="1" x14ac:dyDescent="0.3">
      <c r="B172" s="86"/>
      <c r="C172" s="86"/>
      <c r="D172" s="86"/>
      <c r="E172" s="638"/>
      <c r="F172" s="639"/>
      <c r="G172" s="1110"/>
      <c r="H172" s="86"/>
      <c r="I172" s="1423"/>
      <c r="J172" s="638"/>
      <c r="K172" s="1423"/>
      <c r="L172" s="521"/>
      <c r="M172" s="818"/>
      <c r="N172" s="818"/>
      <c r="O172" s="638"/>
    </row>
    <row r="173" spans="2:15" s="481" customFormat="1" x14ac:dyDescent="0.3">
      <c r="B173" s="86"/>
      <c r="C173" s="86"/>
      <c r="D173" s="86"/>
      <c r="E173" s="638"/>
      <c r="F173" s="639"/>
      <c r="G173" s="1110"/>
      <c r="H173" s="86"/>
      <c r="I173" s="1423"/>
      <c r="J173" s="638"/>
      <c r="K173" s="1423"/>
      <c r="L173" s="521"/>
      <c r="M173" s="818"/>
      <c r="N173" s="818"/>
      <c r="O173" s="638"/>
    </row>
    <row r="174" spans="2:15" s="481" customFormat="1" x14ac:dyDescent="0.3">
      <c r="B174" s="86"/>
      <c r="C174" s="86"/>
      <c r="D174" s="86"/>
      <c r="E174" s="638"/>
      <c r="F174" s="639"/>
      <c r="G174" s="1110"/>
      <c r="H174" s="86"/>
      <c r="I174" s="1423"/>
      <c r="J174" s="638"/>
      <c r="K174" s="1423"/>
      <c r="L174" s="521"/>
      <c r="M174" s="818"/>
      <c r="N174" s="818"/>
      <c r="O174" s="638"/>
    </row>
    <row r="175" spans="2:15" s="481" customFormat="1" x14ac:dyDescent="0.3">
      <c r="B175" s="86"/>
      <c r="C175" s="86"/>
      <c r="D175" s="86"/>
      <c r="E175" s="638"/>
      <c r="F175" s="639"/>
      <c r="G175" s="1110"/>
      <c r="H175" s="86"/>
      <c r="I175" s="1423"/>
      <c r="J175" s="638"/>
      <c r="K175" s="1423"/>
      <c r="L175" s="521"/>
      <c r="M175" s="818"/>
      <c r="N175" s="818"/>
      <c r="O175" s="638"/>
    </row>
    <row r="176" spans="2:15" s="481" customFormat="1" x14ac:dyDescent="0.3">
      <c r="B176" s="86"/>
      <c r="C176" s="86"/>
      <c r="D176" s="86"/>
      <c r="E176" s="638"/>
      <c r="F176" s="639"/>
      <c r="G176" s="1110"/>
      <c r="H176" s="86"/>
      <c r="I176" s="1423"/>
      <c r="J176" s="638"/>
      <c r="K176" s="1423"/>
      <c r="L176" s="521"/>
      <c r="M176" s="818"/>
      <c r="N176" s="818"/>
      <c r="O176" s="638"/>
    </row>
    <row r="177" spans="2:15" s="481" customFormat="1" x14ac:dyDescent="0.3">
      <c r="B177" s="86"/>
      <c r="C177" s="86"/>
      <c r="D177" s="86"/>
      <c r="E177" s="638"/>
      <c r="F177" s="639"/>
      <c r="G177" s="1110"/>
      <c r="H177" s="86"/>
      <c r="I177" s="1423"/>
      <c r="J177" s="638"/>
      <c r="K177" s="1423"/>
      <c r="L177" s="521"/>
      <c r="M177" s="818"/>
      <c r="N177" s="818"/>
      <c r="O177" s="638"/>
    </row>
    <row r="178" spans="2:15" s="481" customFormat="1" x14ac:dyDescent="0.3">
      <c r="B178" s="86"/>
      <c r="C178" s="86"/>
      <c r="D178" s="86"/>
      <c r="E178" s="638"/>
      <c r="F178" s="639"/>
      <c r="G178" s="1110"/>
      <c r="H178" s="86"/>
      <c r="I178" s="1423"/>
      <c r="J178" s="638"/>
      <c r="K178" s="1423"/>
      <c r="L178" s="521"/>
      <c r="M178" s="818"/>
      <c r="N178" s="818"/>
      <c r="O178" s="638"/>
    </row>
    <row r="179" spans="2:15" s="481" customFormat="1" x14ac:dyDescent="0.3">
      <c r="B179" s="86"/>
      <c r="C179" s="86"/>
      <c r="D179" s="86"/>
      <c r="E179" s="638"/>
      <c r="F179" s="639"/>
      <c r="G179" s="1110"/>
      <c r="H179" s="745"/>
      <c r="I179" s="746"/>
      <c r="J179" s="638"/>
      <c r="K179" s="746"/>
      <c r="L179" s="521"/>
      <c r="M179" s="818"/>
      <c r="N179" s="818"/>
      <c r="O179" s="638"/>
    </row>
    <row r="180" spans="2:15" s="481" customFormat="1" x14ac:dyDescent="0.3">
      <c r="B180" s="86"/>
      <c r="C180" s="86"/>
      <c r="D180" s="86"/>
      <c r="E180" s="638"/>
      <c r="F180" s="639"/>
      <c r="G180" s="1110"/>
      <c r="H180" s="745"/>
      <c r="I180" s="746"/>
      <c r="J180" s="638"/>
      <c r="K180" s="746"/>
      <c r="L180" s="521"/>
      <c r="M180" s="818"/>
      <c r="N180" s="818"/>
      <c r="O180" s="638"/>
    </row>
    <row r="181" spans="2:15" s="481" customFormat="1" x14ac:dyDescent="0.3">
      <c r="B181" s="86"/>
      <c r="C181" s="86"/>
      <c r="D181" s="86"/>
      <c r="E181" s="638"/>
      <c r="F181" s="639"/>
      <c r="G181" s="1110"/>
      <c r="H181" s="745"/>
      <c r="I181" s="746"/>
      <c r="J181" s="638"/>
      <c r="K181" s="746"/>
      <c r="L181" s="521"/>
      <c r="M181" s="818"/>
      <c r="N181" s="818"/>
      <c r="O181" s="638"/>
    </row>
    <row r="182" spans="2:15" s="481" customFormat="1" x14ac:dyDescent="0.3">
      <c r="B182" s="86"/>
      <c r="C182" s="86"/>
      <c r="D182" s="86"/>
      <c r="E182" s="638"/>
      <c r="F182" s="639"/>
      <c r="G182" s="1110"/>
      <c r="H182" s="745"/>
      <c r="I182" s="746"/>
      <c r="J182" s="638"/>
      <c r="K182" s="746"/>
      <c r="L182" s="521"/>
      <c r="M182" s="818"/>
      <c r="N182" s="818"/>
      <c r="O182" s="638"/>
    </row>
    <row r="183" spans="2:15" s="481" customFormat="1" x14ac:dyDescent="0.3">
      <c r="B183" s="86"/>
      <c r="C183" s="86"/>
      <c r="D183" s="86"/>
      <c r="E183" s="638"/>
      <c r="F183" s="639"/>
      <c r="G183" s="1110"/>
      <c r="H183" s="745"/>
      <c r="I183" s="746"/>
      <c r="J183" s="638"/>
      <c r="K183" s="746"/>
      <c r="L183" s="521"/>
      <c r="M183" s="818"/>
      <c r="N183" s="818"/>
      <c r="O183" s="638"/>
    </row>
    <row r="184" spans="2:15" s="481" customFormat="1" x14ac:dyDescent="0.3">
      <c r="B184" s="86"/>
      <c r="C184" s="86"/>
      <c r="D184" s="86"/>
      <c r="E184" s="638"/>
      <c r="F184" s="639"/>
      <c r="G184" s="1110"/>
      <c r="H184" s="745"/>
      <c r="I184" s="746"/>
      <c r="J184" s="638"/>
      <c r="K184" s="746"/>
      <c r="L184" s="521"/>
      <c r="M184" s="818"/>
      <c r="N184" s="818"/>
      <c r="O184" s="638"/>
    </row>
    <row r="185" spans="2:15" s="481" customFormat="1" x14ac:dyDescent="0.3">
      <c r="B185" s="86"/>
      <c r="C185" s="86"/>
      <c r="D185" s="86"/>
      <c r="E185" s="638"/>
      <c r="F185" s="639"/>
      <c r="G185" s="1110"/>
      <c r="H185" s="745"/>
      <c r="I185" s="746"/>
      <c r="J185" s="638"/>
      <c r="K185" s="746"/>
      <c r="L185" s="521"/>
      <c r="M185" s="818"/>
      <c r="N185" s="818"/>
      <c r="O185" s="638"/>
    </row>
    <row r="186" spans="2:15" s="481" customFormat="1" x14ac:dyDescent="0.3">
      <c r="B186" s="86"/>
      <c r="C186" s="86"/>
      <c r="D186" s="86"/>
      <c r="E186" s="638"/>
      <c r="F186" s="639"/>
      <c r="G186" s="1110"/>
      <c r="H186" s="745"/>
      <c r="I186" s="746"/>
      <c r="J186" s="638"/>
      <c r="K186" s="746"/>
      <c r="L186" s="521"/>
      <c r="M186" s="818"/>
      <c r="N186" s="818"/>
      <c r="O186" s="638"/>
    </row>
    <row r="187" spans="2:15" s="481" customFormat="1" x14ac:dyDescent="0.3">
      <c r="B187" s="86"/>
      <c r="C187" s="86"/>
      <c r="D187" s="86"/>
      <c r="E187" s="638"/>
      <c r="F187" s="639"/>
      <c r="G187" s="1110"/>
      <c r="H187" s="745"/>
      <c r="I187" s="746"/>
      <c r="J187" s="638"/>
      <c r="K187" s="746"/>
      <c r="L187" s="521"/>
      <c r="M187" s="818"/>
      <c r="N187" s="818"/>
      <c r="O187" s="638"/>
    </row>
    <row r="188" spans="2:15" s="481" customFormat="1" x14ac:dyDescent="0.3">
      <c r="B188" s="86"/>
      <c r="C188" s="86"/>
      <c r="D188" s="86"/>
      <c r="E188" s="638"/>
      <c r="F188" s="639"/>
      <c r="G188" s="1110"/>
      <c r="H188" s="745"/>
      <c r="I188" s="746"/>
      <c r="J188" s="638"/>
      <c r="K188" s="746"/>
      <c r="L188" s="521"/>
      <c r="M188" s="818"/>
      <c r="N188" s="818"/>
      <c r="O188" s="638"/>
    </row>
    <row r="189" spans="2:15" s="481" customFormat="1" x14ac:dyDescent="0.3">
      <c r="B189" s="86"/>
      <c r="C189" s="86"/>
      <c r="D189" s="86"/>
      <c r="E189" s="638"/>
      <c r="F189" s="639"/>
      <c r="G189" s="1110"/>
      <c r="H189" s="745"/>
      <c r="I189" s="746"/>
      <c r="J189" s="638"/>
      <c r="K189" s="746"/>
      <c r="L189" s="521"/>
      <c r="M189" s="818"/>
      <c r="N189" s="818"/>
      <c r="O189" s="638"/>
    </row>
    <row r="190" spans="2:15" s="481" customFormat="1" x14ac:dyDescent="0.3">
      <c r="B190" s="86"/>
      <c r="C190" s="86"/>
      <c r="D190" s="86"/>
      <c r="E190" s="638"/>
      <c r="F190" s="639"/>
      <c r="G190" s="1110"/>
      <c r="H190" s="745"/>
      <c r="I190" s="746"/>
      <c r="J190" s="638"/>
      <c r="K190" s="746"/>
      <c r="L190" s="521"/>
      <c r="M190" s="818"/>
      <c r="N190" s="818"/>
      <c r="O190" s="638"/>
    </row>
    <row r="191" spans="2:15" s="481" customFormat="1" x14ac:dyDescent="0.3">
      <c r="B191" s="86"/>
      <c r="C191" s="86"/>
      <c r="D191" s="86"/>
      <c r="E191" s="638"/>
      <c r="F191" s="639"/>
      <c r="G191" s="1110"/>
      <c r="H191" s="745"/>
      <c r="I191" s="746"/>
      <c r="J191" s="638"/>
      <c r="K191" s="746"/>
      <c r="L191" s="521"/>
      <c r="M191" s="818"/>
      <c r="N191" s="818"/>
      <c r="O191" s="638"/>
    </row>
    <row r="192" spans="2:15" s="481" customFormat="1" x14ac:dyDescent="0.3">
      <c r="B192" s="86"/>
      <c r="C192" s="86"/>
      <c r="D192" s="86"/>
      <c r="E192" s="638"/>
      <c r="F192" s="639"/>
      <c r="G192" s="1110"/>
      <c r="H192" s="745"/>
      <c r="I192" s="746"/>
      <c r="J192" s="638"/>
      <c r="K192" s="746"/>
      <c r="L192" s="521"/>
      <c r="M192" s="818"/>
      <c r="N192" s="818"/>
      <c r="O192" s="638"/>
    </row>
    <row r="193" spans="2:15" s="481" customFormat="1" x14ac:dyDescent="0.3">
      <c r="B193" s="86"/>
      <c r="C193" s="86"/>
      <c r="D193" s="86"/>
      <c r="E193" s="638"/>
      <c r="F193" s="639"/>
      <c r="G193" s="1110"/>
      <c r="H193" s="745"/>
      <c r="I193" s="746"/>
      <c r="J193" s="638"/>
      <c r="K193" s="746"/>
      <c r="L193" s="521"/>
      <c r="M193" s="818"/>
      <c r="N193" s="818"/>
      <c r="O193" s="638"/>
    </row>
    <row r="194" spans="2:15" s="481" customFormat="1" x14ac:dyDescent="0.3">
      <c r="B194" s="86"/>
      <c r="C194" s="86"/>
      <c r="D194" s="86"/>
      <c r="E194" s="638"/>
      <c r="F194" s="639"/>
      <c r="G194" s="1110"/>
      <c r="H194" s="745"/>
      <c r="I194" s="746"/>
      <c r="J194" s="638"/>
      <c r="K194" s="746"/>
      <c r="L194" s="521"/>
      <c r="M194" s="818"/>
      <c r="N194" s="818"/>
      <c r="O194" s="638"/>
    </row>
    <row r="195" spans="2:15" s="481" customFormat="1" x14ac:dyDescent="0.3">
      <c r="B195" s="86"/>
      <c r="C195" s="86"/>
      <c r="D195" s="86"/>
      <c r="E195" s="638"/>
      <c r="F195" s="639"/>
      <c r="G195" s="1110"/>
      <c r="H195" s="745"/>
      <c r="I195" s="746"/>
      <c r="J195" s="638"/>
      <c r="K195" s="746"/>
      <c r="L195" s="521"/>
      <c r="M195" s="818"/>
      <c r="N195" s="818"/>
      <c r="O195" s="638"/>
    </row>
    <row r="196" spans="2:15" s="481" customFormat="1" x14ac:dyDescent="0.3">
      <c r="B196" s="86"/>
      <c r="C196" s="86"/>
      <c r="D196" s="86"/>
      <c r="E196" s="638"/>
      <c r="F196" s="639"/>
      <c r="G196" s="1110"/>
      <c r="H196" s="745"/>
      <c r="I196" s="746"/>
      <c r="J196" s="638"/>
      <c r="K196" s="746"/>
      <c r="L196" s="521"/>
      <c r="M196" s="818"/>
      <c r="N196" s="818"/>
      <c r="O196" s="638"/>
    </row>
    <row r="197" spans="2:15" s="481" customFormat="1" x14ac:dyDescent="0.3">
      <c r="B197" s="86"/>
      <c r="C197" s="86"/>
      <c r="D197" s="86"/>
      <c r="E197" s="638"/>
      <c r="F197" s="639"/>
      <c r="G197" s="1110"/>
      <c r="H197" s="745"/>
      <c r="I197" s="746"/>
      <c r="J197" s="638"/>
      <c r="K197" s="746"/>
      <c r="L197" s="521"/>
      <c r="M197" s="818"/>
      <c r="N197" s="818"/>
      <c r="O197" s="638"/>
    </row>
    <row r="198" spans="2:15" s="481" customFormat="1" x14ac:dyDescent="0.3">
      <c r="B198" s="86"/>
      <c r="C198" s="86"/>
      <c r="D198" s="86"/>
      <c r="E198" s="638"/>
      <c r="F198" s="639"/>
      <c r="G198" s="1110"/>
      <c r="H198" s="745"/>
      <c r="I198" s="746"/>
      <c r="J198" s="638"/>
      <c r="K198" s="746"/>
      <c r="L198" s="521"/>
      <c r="M198" s="818"/>
      <c r="N198" s="818"/>
      <c r="O198" s="638"/>
    </row>
    <row r="199" spans="2:15" s="481" customFormat="1" x14ac:dyDescent="0.3">
      <c r="B199" s="86"/>
      <c r="C199" s="86"/>
      <c r="D199" s="86"/>
      <c r="E199" s="638"/>
      <c r="F199" s="639"/>
      <c r="G199" s="1110"/>
      <c r="H199" s="745"/>
      <c r="I199" s="746"/>
      <c r="J199" s="638"/>
      <c r="K199" s="746"/>
      <c r="L199" s="521"/>
      <c r="M199" s="818"/>
      <c r="N199" s="818"/>
      <c r="O199" s="638"/>
    </row>
    <row r="200" spans="2:15" s="481" customFormat="1" x14ac:dyDescent="0.3">
      <c r="B200" s="86"/>
      <c r="C200" s="86"/>
      <c r="D200" s="86"/>
      <c r="E200" s="638"/>
      <c r="F200" s="639"/>
      <c r="G200" s="1110"/>
      <c r="H200" s="745"/>
      <c r="I200" s="746"/>
      <c r="J200" s="638"/>
      <c r="K200" s="746"/>
      <c r="L200" s="521"/>
      <c r="M200" s="818"/>
      <c r="N200" s="818"/>
      <c r="O200" s="638"/>
    </row>
    <row r="201" spans="2:15" s="481" customFormat="1" x14ac:dyDescent="0.3">
      <c r="B201" s="86"/>
      <c r="C201" s="86"/>
      <c r="D201" s="86"/>
      <c r="E201" s="638"/>
      <c r="F201" s="639"/>
      <c r="G201" s="1110"/>
      <c r="H201" s="745"/>
      <c r="I201" s="746"/>
      <c r="J201" s="638"/>
      <c r="K201" s="746"/>
      <c r="L201" s="521"/>
      <c r="M201" s="818"/>
      <c r="N201" s="818"/>
      <c r="O201" s="638"/>
    </row>
    <row r="202" spans="2:15" s="481" customFormat="1" x14ac:dyDescent="0.3">
      <c r="B202" s="86"/>
      <c r="C202" s="86"/>
      <c r="D202" s="86"/>
      <c r="E202" s="638"/>
      <c r="F202" s="639"/>
      <c r="G202" s="1110"/>
      <c r="H202" s="745"/>
      <c r="I202" s="746"/>
      <c r="J202" s="638"/>
      <c r="K202" s="746"/>
      <c r="L202" s="521"/>
      <c r="M202" s="818"/>
      <c r="N202" s="818"/>
      <c r="O202" s="638"/>
    </row>
    <row r="203" spans="2:15" s="481" customFormat="1" x14ac:dyDescent="0.3">
      <c r="B203" s="86"/>
      <c r="C203" s="86"/>
      <c r="D203" s="86"/>
      <c r="E203" s="638"/>
      <c r="F203" s="639"/>
      <c r="G203" s="1110"/>
      <c r="H203" s="745"/>
      <c r="I203" s="746"/>
      <c r="J203" s="638"/>
      <c r="K203" s="746"/>
      <c r="L203" s="521"/>
      <c r="M203" s="818"/>
      <c r="N203" s="818"/>
      <c r="O203" s="638"/>
    </row>
    <row r="204" spans="2:15" s="481" customFormat="1" x14ac:dyDescent="0.3">
      <c r="B204" s="86"/>
      <c r="C204" s="86"/>
      <c r="D204" s="86"/>
      <c r="E204" s="638"/>
      <c r="F204" s="639"/>
      <c r="G204" s="1110"/>
      <c r="H204" s="745"/>
      <c r="I204" s="746"/>
      <c r="J204" s="638"/>
      <c r="K204" s="746"/>
      <c r="L204" s="521"/>
      <c r="M204" s="818"/>
      <c r="N204" s="818"/>
      <c r="O204" s="638"/>
    </row>
    <row r="205" spans="2:15" s="481" customFormat="1" x14ac:dyDescent="0.3">
      <c r="B205" s="86"/>
      <c r="C205" s="86"/>
      <c r="D205" s="86"/>
      <c r="E205" s="638"/>
      <c r="F205" s="639"/>
      <c r="G205" s="1110"/>
      <c r="H205" s="745"/>
      <c r="I205" s="746"/>
      <c r="J205" s="638"/>
      <c r="K205" s="746"/>
      <c r="L205" s="521"/>
      <c r="M205" s="818"/>
      <c r="N205" s="818"/>
      <c r="O205" s="638"/>
    </row>
    <row r="206" spans="2:15" s="481" customFormat="1" x14ac:dyDescent="0.3">
      <c r="B206" s="86"/>
      <c r="C206" s="86"/>
      <c r="D206" s="86"/>
      <c r="E206" s="638"/>
      <c r="F206" s="639"/>
      <c r="G206" s="1110"/>
      <c r="H206" s="745"/>
      <c r="I206" s="746"/>
      <c r="J206" s="638"/>
      <c r="K206" s="746"/>
      <c r="L206" s="521"/>
      <c r="M206" s="818"/>
      <c r="N206" s="818"/>
      <c r="O206" s="638"/>
    </row>
    <row r="207" spans="2:15" s="481" customFormat="1" x14ac:dyDescent="0.3">
      <c r="B207" s="86"/>
      <c r="C207" s="86"/>
      <c r="D207" s="86"/>
      <c r="E207" s="638"/>
      <c r="F207" s="639"/>
      <c r="G207" s="1110"/>
      <c r="H207" s="745"/>
      <c r="I207" s="746"/>
      <c r="J207" s="638"/>
      <c r="K207" s="746"/>
      <c r="L207" s="521"/>
      <c r="M207" s="818"/>
      <c r="N207" s="818"/>
      <c r="O207" s="638"/>
    </row>
    <row r="208" spans="2:15" s="481" customFormat="1" x14ac:dyDescent="0.3">
      <c r="B208" s="86"/>
      <c r="C208" s="86"/>
      <c r="D208" s="86"/>
      <c r="E208" s="638"/>
      <c r="F208" s="639"/>
      <c r="G208" s="1110"/>
      <c r="H208" s="745"/>
      <c r="I208" s="746"/>
      <c r="J208" s="638"/>
      <c r="K208" s="746"/>
      <c r="L208" s="521"/>
      <c r="M208" s="818"/>
      <c r="N208" s="818"/>
      <c r="O208" s="638"/>
    </row>
    <row r="209" spans="2:15" s="481" customFormat="1" x14ac:dyDescent="0.3">
      <c r="B209" s="86"/>
      <c r="C209" s="86"/>
      <c r="D209" s="86"/>
      <c r="E209" s="638"/>
      <c r="F209" s="639"/>
      <c r="G209" s="1110"/>
      <c r="H209" s="745"/>
      <c r="I209" s="746"/>
      <c r="J209" s="638"/>
      <c r="K209" s="746"/>
      <c r="L209" s="521"/>
      <c r="M209" s="818"/>
      <c r="N209" s="818"/>
      <c r="O209" s="638"/>
    </row>
    <row r="210" spans="2:15" s="481" customFormat="1" x14ac:dyDescent="0.3">
      <c r="B210" s="86"/>
      <c r="C210" s="86"/>
      <c r="D210" s="86"/>
      <c r="E210" s="638"/>
      <c r="F210" s="639"/>
      <c r="G210" s="1110"/>
      <c r="H210" s="745"/>
      <c r="I210" s="746"/>
      <c r="J210" s="638"/>
      <c r="K210" s="746"/>
      <c r="L210" s="521"/>
      <c r="M210" s="818"/>
      <c r="N210" s="818"/>
      <c r="O210" s="638"/>
    </row>
    <row r="211" spans="2:15" s="481" customFormat="1" x14ac:dyDescent="0.3">
      <c r="B211" s="86"/>
      <c r="C211" s="86"/>
      <c r="D211" s="86"/>
      <c r="E211" s="638"/>
      <c r="F211" s="639"/>
      <c r="G211" s="1110"/>
      <c r="H211" s="745"/>
      <c r="I211" s="746"/>
      <c r="J211" s="638"/>
      <c r="K211" s="746"/>
      <c r="L211" s="521"/>
      <c r="M211" s="818"/>
      <c r="N211" s="818"/>
      <c r="O211" s="638"/>
    </row>
    <row r="212" spans="2:15" s="481" customFormat="1" x14ac:dyDescent="0.3">
      <c r="B212" s="86"/>
      <c r="C212" s="86"/>
      <c r="D212" s="86"/>
      <c r="E212" s="638"/>
      <c r="F212" s="639"/>
      <c r="G212" s="1110"/>
      <c r="H212" s="745"/>
      <c r="I212" s="746"/>
      <c r="J212" s="638"/>
      <c r="K212" s="746"/>
      <c r="L212" s="521"/>
      <c r="M212" s="818"/>
      <c r="N212" s="818"/>
      <c r="O212" s="638"/>
    </row>
    <row r="213" spans="2:15" s="481" customFormat="1" x14ac:dyDescent="0.3">
      <c r="B213" s="86"/>
      <c r="C213" s="86"/>
      <c r="D213" s="86"/>
      <c r="E213" s="638"/>
      <c r="F213" s="639"/>
      <c r="G213" s="1110"/>
      <c r="H213" s="745"/>
      <c r="I213" s="746"/>
      <c r="J213" s="638"/>
      <c r="K213" s="746"/>
      <c r="L213" s="521"/>
      <c r="M213" s="818"/>
      <c r="N213" s="818"/>
      <c r="O213" s="638"/>
    </row>
    <row r="214" spans="2:15" s="481" customFormat="1" x14ac:dyDescent="0.3">
      <c r="B214" s="86"/>
      <c r="C214" s="86"/>
      <c r="D214" s="86"/>
      <c r="E214" s="638"/>
      <c r="F214" s="639"/>
      <c r="G214" s="1110"/>
      <c r="H214" s="745"/>
      <c r="I214" s="746"/>
      <c r="J214" s="638"/>
      <c r="K214" s="746"/>
      <c r="L214" s="521"/>
      <c r="M214" s="818"/>
      <c r="N214" s="818"/>
      <c r="O214" s="638"/>
    </row>
    <row r="215" spans="2:15" s="481" customFormat="1" x14ac:dyDescent="0.3">
      <c r="B215" s="86"/>
      <c r="C215" s="86"/>
      <c r="D215" s="86"/>
      <c r="E215" s="638"/>
      <c r="F215" s="639"/>
      <c r="G215" s="1110"/>
      <c r="H215" s="745"/>
      <c r="I215" s="746"/>
      <c r="J215" s="638"/>
      <c r="K215" s="746"/>
      <c r="L215" s="521"/>
      <c r="M215" s="818"/>
      <c r="N215" s="818"/>
      <c r="O215" s="638"/>
    </row>
    <row r="216" spans="2:15" s="481" customFormat="1" x14ac:dyDescent="0.3">
      <c r="B216" s="86"/>
      <c r="C216" s="86"/>
      <c r="D216" s="86"/>
      <c r="E216" s="638"/>
      <c r="F216" s="639"/>
      <c r="G216" s="1110"/>
      <c r="H216" s="745"/>
      <c r="I216" s="746"/>
      <c r="J216" s="638"/>
      <c r="K216" s="746"/>
      <c r="L216" s="521"/>
      <c r="M216" s="818"/>
      <c r="N216" s="818"/>
      <c r="O216" s="638"/>
    </row>
    <row r="217" spans="2:15" s="481" customFormat="1" x14ac:dyDescent="0.3">
      <c r="B217" s="86"/>
      <c r="C217" s="86"/>
      <c r="D217" s="86"/>
      <c r="E217" s="638"/>
      <c r="F217" s="639"/>
      <c r="G217" s="1110"/>
      <c r="H217" s="745"/>
      <c r="I217" s="746"/>
      <c r="J217" s="638"/>
      <c r="K217" s="746"/>
      <c r="L217" s="521"/>
      <c r="M217" s="818"/>
      <c r="N217" s="818"/>
      <c r="O217" s="638"/>
    </row>
    <row r="218" spans="2:15" s="481" customFormat="1" x14ac:dyDescent="0.3">
      <c r="B218" s="86"/>
      <c r="C218" s="86"/>
      <c r="D218" s="86"/>
      <c r="E218" s="638"/>
      <c r="F218" s="639"/>
      <c r="G218" s="1110"/>
      <c r="H218" s="745"/>
      <c r="I218" s="746"/>
      <c r="J218" s="638"/>
      <c r="K218" s="746"/>
      <c r="L218" s="521"/>
      <c r="M218" s="818"/>
      <c r="N218" s="818"/>
      <c r="O218" s="638"/>
    </row>
    <row r="219" spans="2:15" s="481" customFormat="1" x14ac:dyDescent="0.3">
      <c r="B219" s="86"/>
      <c r="C219" s="86"/>
      <c r="D219" s="86"/>
      <c r="E219" s="638"/>
      <c r="F219" s="639"/>
      <c r="G219" s="1110"/>
      <c r="H219" s="745"/>
      <c r="I219" s="746"/>
      <c r="J219" s="638"/>
      <c r="K219" s="746"/>
      <c r="L219" s="521"/>
      <c r="M219" s="818"/>
      <c r="N219" s="818"/>
      <c r="O219" s="638"/>
    </row>
    <row r="220" spans="2:15" s="481" customFormat="1" x14ac:dyDescent="0.3">
      <c r="B220" s="86"/>
      <c r="C220" s="86"/>
      <c r="D220" s="86"/>
      <c r="E220" s="638"/>
      <c r="F220" s="639"/>
      <c r="G220" s="1110"/>
      <c r="H220" s="745"/>
      <c r="I220" s="746"/>
      <c r="J220" s="638"/>
      <c r="K220" s="746"/>
      <c r="L220" s="521"/>
      <c r="M220" s="818"/>
      <c r="N220" s="818"/>
      <c r="O220" s="638"/>
    </row>
    <row r="221" spans="2:15" s="481" customFormat="1" x14ac:dyDescent="0.3">
      <c r="B221" s="86"/>
      <c r="C221" s="86"/>
      <c r="D221" s="86"/>
      <c r="E221" s="638"/>
      <c r="F221" s="639"/>
      <c r="G221" s="1110"/>
      <c r="H221" s="745"/>
      <c r="I221" s="746"/>
      <c r="J221" s="638"/>
      <c r="K221" s="746"/>
      <c r="L221" s="521"/>
      <c r="M221" s="818"/>
      <c r="N221" s="818"/>
      <c r="O221" s="638"/>
    </row>
    <row r="222" spans="2:15" s="481" customFormat="1" x14ac:dyDescent="0.3">
      <c r="B222" s="86"/>
      <c r="C222" s="86"/>
      <c r="D222" s="86"/>
      <c r="E222" s="638"/>
      <c r="F222" s="639"/>
      <c r="G222" s="1110"/>
      <c r="H222" s="745"/>
      <c r="I222" s="746"/>
      <c r="J222" s="638"/>
      <c r="K222" s="746"/>
      <c r="L222" s="521"/>
      <c r="M222" s="818"/>
      <c r="N222" s="818"/>
      <c r="O222" s="638"/>
    </row>
    <row r="223" spans="2:15" s="481" customFormat="1" x14ac:dyDescent="0.3">
      <c r="B223" s="86"/>
      <c r="C223" s="86"/>
      <c r="D223" s="86"/>
      <c r="E223" s="638"/>
      <c r="F223" s="639"/>
      <c r="G223" s="1110"/>
      <c r="H223" s="745"/>
      <c r="I223" s="746"/>
      <c r="J223" s="638"/>
      <c r="K223" s="746"/>
      <c r="L223" s="521"/>
      <c r="M223" s="818"/>
      <c r="N223" s="818"/>
      <c r="O223" s="638"/>
    </row>
    <row r="224" spans="2:15" s="481" customFormat="1" x14ac:dyDescent="0.3">
      <c r="B224" s="86"/>
      <c r="C224" s="86"/>
      <c r="D224" s="86"/>
      <c r="E224" s="638"/>
      <c r="F224" s="639"/>
      <c r="G224" s="1110"/>
      <c r="H224" s="745"/>
      <c r="I224" s="746"/>
      <c r="J224" s="638"/>
      <c r="K224" s="746"/>
      <c r="L224" s="521"/>
      <c r="M224" s="818"/>
      <c r="N224" s="818"/>
      <c r="O224" s="638"/>
    </row>
    <row r="225" spans="2:15" s="481" customFormat="1" x14ac:dyDescent="0.3">
      <c r="B225" s="86"/>
      <c r="C225" s="86"/>
      <c r="D225" s="86"/>
      <c r="E225" s="638"/>
      <c r="F225" s="639"/>
      <c r="G225" s="1110"/>
      <c r="H225" s="745"/>
      <c r="I225" s="746"/>
      <c r="J225" s="638"/>
      <c r="K225" s="746"/>
      <c r="L225" s="521"/>
      <c r="M225" s="818"/>
      <c r="N225" s="818"/>
      <c r="O225" s="638"/>
    </row>
    <row r="226" spans="2:15" s="481" customFormat="1" x14ac:dyDescent="0.3">
      <c r="B226" s="86"/>
      <c r="C226" s="86"/>
      <c r="D226" s="86"/>
      <c r="E226" s="638"/>
      <c r="F226" s="639"/>
      <c r="G226" s="1110"/>
      <c r="H226" s="745"/>
      <c r="I226" s="746"/>
      <c r="J226" s="638"/>
      <c r="K226" s="746"/>
      <c r="L226" s="521"/>
      <c r="M226" s="818"/>
      <c r="N226" s="818"/>
      <c r="O226" s="638"/>
    </row>
    <row r="227" spans="2:15" s="481" customFormat="1" x14ac:dyDescent="0.3">
      <c r="B227" s="86"/>
      <c r="C227" s="86"/>
      <c r="D227" s="86"/>
      <c r="E227" s="638"/>
      <c r="F227" s="639"/>
      <c r="G227" s="1110"/>
      <c r="H227" s="745"/>
      <c r="I227" s="746"/>
      <c r="J227" s="638"/>
      <c r="K227" s="746"/>
      <c r="L227" s="521"/>
      <c r="M227" s="818"/>
      <c r="N227" s="818"/>
      <c r="O227" s="638"/>
    </row>
    <row r="228" spans="2:15" s="481" customFormat="1" x14ac:dyDescent="0.3">
      <c r="B228" s="86"/>
      <c r="C228" s="86"/>
      <c r="D228" s="86"/>
      <c r="E228" s="638"/>
      <c r="F228" s="639"/>
      <c r="G228" s="1110"/>
      <c r="H228" s="745"/>
      <c r="I228" s="746"/>
      <c r="J228" s="638"/>
      <c r="K228" s="746"/>
      <c r="L228" s="521"/>
      <c r="M228" s="818"/>
      <c r="N228" s="818"/>
      <c r="O228" s="638"/>
    </row>
    <row r="229" spans="2:15" s="481" customFormat="1" x14ac:dyDescent="0.3">
      <c r="B229" s="86"/>
      <c r="C229" s="86"/>
      <c r="D229" s="86"/>
      <c r="E229" s="638"/>
      <c r="F229" s="639"/>
      <c r="G229" s="1110"/>
      <c r="H229" s="745"/>
      <c r="I229" s="746"/>
      <c r="J229" s="638"/>
      <c r="K229" s="746"/>
      <c r="L229" s="521"/>
      <c r="M229" s="818"/>
      <c r="N229" s="818"/>
      <c r="O229" s="638"/>
    </row>
    <row r="230" spans="2:15" s="481" customFormat="1" x14ac:dyDescent="0.3">
      <c r="B230" s="86"/>
      <c r="C230" s="86"/>
      <c r="D230" s="86"/>
      <c r="E230" s="638"/>
      <c r="F230" s="639"/>
      <c r="G230" s="1110"/>
      <c r="H230" s="745"/>
      <c r="I230" s="746"/>
      <c r="J230" s="638"/>
      <c r="K230" s="746"/>
      <c r="L230" s="521"/>
      <c r="M230" s="818"/>
      <c r="N230" s="818"/>
      <c r="O230" s="638"/>
    </row>
    <row r="231" spans="2:15" s="481" customFormat="1" x14ac:dyDescent="0.3">
      <c r="B231" s="86"/>
      <c r="C231" s="86"/>
      <c r="D231" s="86"/>
      <c r="E231" s="638"/>
      <c r="F231" s="639"/>
      <c r="G231" s="1110"/>
      <c r="H231" s="745"/>
      <c r="I231" s="746"/>
      <c r="J231" s="638"/>
      <c r="K231" s="746"/>
      <c r="L231" s="521"/>
      <c r="M231" s="818"/>
      <c r="N231" s="818"/>
      <c r="O231" s="638"/>
    </row>
    <row r="232" spans="2:15" s="481" customFormat="1" x14ac:dyDescent="0.3">
      <c r="B232" s="86"/>
      <c r="C232" s="86"/>
      <c r="D232" s="86"/>
      <c r="E232" s="638"/>
      <c r="F232" s="639"/>
      <c r="G232" s="1110"/>
      <c r="H232" s="745"/>
      <c r="I232" s="746"/>
      <c r="J232" s="638"/>
      <c r="K232" s="746"/>
      <c r="L232" s="521"/>
      <c r="M232" s="818"/>
      <c r="N232" s="818"/>
      <c r="O232" s="638"/>
    </row>
    <row r="233" spans="2:15" s="481" customFormat="1" x14ac:dyDescent="0.3">
      <c r="B233" s="86"/>
      <c r="C233" s="86"/>
      <c r="D233" s="86"/>
      <c r="E233" s="638"/>
      <c r="F233" s="639"/>
      <c r="G233" s="1110"/>
      <c r="H233" s="745"/>
      <c r="I233" s="746"/>
      <c r="J233" s="638"/>
      <c r="K233" s="746"/>
      <c r="L233" s="521"/>
      <c r="M233" s="818"/>
      <c r="N233" s="818"/>
      <c r="O233" s="638"/>
    </row>
    <row r="234" spans="2:15" s="481" customFormat="1" x14ac:dyDescent="0.3">
      <c r="B234" s="86"/>
      <c r="C234" s="86"/>
      <c r="D234" s="86"/>
      <c r="E234" s="638"/>
      <c r="F234" s="639"/>
      <c r="G234" s="1110"/>
      <c r="H234" s="745"/>
      <c r="I234" s="746"/>
      <c r="J234" s="638"/>
      <c r="K234" s="746"/>
      <c r="L234" s="521"/>
      <c r="M234" s="818"/>
      <c r="N234" s="818"/>
      <c r="O234" s="638"/>
    </row>
    <row r="235" spans="2:15" s="481" customFormat="1" x14ac:dyDescent="0.3">
      <c r="B235" s="86"/>
      <c r="C235" s="86"/>
      <c r="D235" s="86"/>
      <c r="E235" s="638"/>
      <c r="F235" s="639"/>
      <c r="G235" s="1110"/>
      <c r="H235" s="745"/>
      <c r="I235" s="746"/>
      <c r="J235" s="638"/>
      <c r="K235" s="746"/>
      <c r="L235" s="521"/>
      <c r="M235" s="818"/>
      <c r="N235" s="818"/>
      <c r="O235" s="638"/>
    </row>
    <row r="236" spans="2:15" s="481" customFormat="1" x14ac:dyDescent="0.3">
      <c r="B236" s="86"/>
      <c r="C236" s="86"/>
      <c r="D236" s="86"/>
      <c r="E236" s="638"/>
      <c r="F236" s="639"/>
      <c r="G236" s="1110"/>
      <c r="H236" s="745"/>
      <c r="I236" s="746"/>
      <c r="J236" s="638"/>
      <c r="K236" s="746"/>
      <c r="L236" s="521"/>
      <c r="M236" s="818"/>
      <c r="N236" s="818"/>
      <c r="O236" s="638"/>
    </row>
    <row r="237" spans="2:15" s="481" customFormat="1" x14ac:dyDescent="0.3">
      <c r="B237" s="86"/>
      <c r="C237" s="86"/>
      <c r="D237" s="86"/>
      <c r="E237" s="638"/>
      <c r="F237" s="639"/>
      <c r="G237" s="1110"/>
      <c r="H237" s="745"/>
      <c r="I237" s="746"/>
      <c r="J237" s="638"/>
      <c r="K237" s="746"/>
      <c r="L237" s="521"/>
      <c r="M237" s="818"/>
      <c r="N237" s="818"/>
      <c r="O237" s="638"/>
    </row>
    <row r="238" spans="2:15" s="481" customFormat="1" x14ac:dyDescent="0.3">
      <c r="B238" s="86"/>
      <c r="C238" s="86"/>
      <c r="D238" s="86"/>
      <c r="E238" s="638"/>
      <c r="F238" s="639"/>
      <c r="G238" s="1110"/>
      <c r="H238" s="745"/>
      <c r="I238" s="746"/>
      <c r="J238" s="638"/>
      <c r="K238" s="746"/>
      <c r="L238" s="521"/>
      <c r="M238" s="818"/>
      <c r="N238" s="818"/>
      <c r="O238" s="638"/>
    </row>
    <row r="239" spans="2:15" s="481" customFormat="1" x14ac:dyDescent="0.3">
      <c r="B239" s="86"/>
      <c r="C239" s="86"/>
      <c r="D239" s="86"/>
      <c r="E239" s="638"/>
      <c r="F239" s="639"/>
      <c r="G239" s="1110"/>
      <c r="H239" s="745"/>
      <c r="I239" s="746"/>
      <c r="J239" s="638"/>
      <c r="K239" s="746"/>
      <c r="L239" s="521"/>
      <c r="M239" s="818"/>
      <c r="N239" s="818"/>
      <c r="O239" s="638"/>
    </row>
    <row r="240" spans="2:15" s="481" customFormat="1" x14ac:dyDescent="0.3">
      <c r="B240" s="86"/>
      <c r="C240" s="86"/>
      <c r="D240" s="86"/>
      <c r="E240" s="638"/>
      <c r="F240" s="639"/>
      <c r="G240" s="1110"/>
      <c r="H240" s="745"/>
      <c r="I240" s="746"/>
      <c r="J240" s="638"/>
      <c r="K240" s="746"/>
      <c r="L240" s="521"/>
      <c r="M240" s="818"/>
      <c r="N240" s="818"/>
      <c r="O240" s="638"/>
    </row>
    <row r="241" spans="2:15" s="481" customFormat="1" x14ac:dyDescent="0.3">
      <c r="B241" s="86"/>
      <c r="C241" s="86"/>
      <c r="D241" s="86"/>
      <c r="E241" s="638"/>
      <c r="F241" s="639"/>
      <c r="G241" s="1110"/>
      <c r="H241" s="745"/>
      <c r="I241" s="746"/>
      <c r="J241" s="638"/>
      <c r="K241" s="746"/>
      <c r="L241" s="521"/>
      <c r="M241" s="818"/>
      <c r="N241" s="818"/>
      <c r="O241" s="638"/>
    </row>
    <row r="242" spans="2:15" s="481" customFormat="1" x14ac:dyDescent="0.3">
      <c r="B242" s="86"/>
      <c r="C242" s="86"/>
      <c r="D242" s="86"/>
      <c r="E242" s="638"/>
      <c r="F242" s="639"/>
      <c r="G242" s="1110"/>
      <c r="H242" s="745"/>
      <c r="I242" s="746"/>
      <c r="J242" s="638"/>
      <c r="K242" s="746"/>
      <c r="L242" s="521"/>
      <c r="M242" s="818"/>
      <c r="N242" s="818"/>
      <c r="O242" s="638"/>
    </row>
    <row r="243" spans="2:15" s="481" customFormat="1" x14ac:dyDescent="0.3">
      <c r="B243" s="86"/>
      <c r="C243" s="86"/>
      <c r="D243" s="86"/>
      <c r="E243" s="638"/>
      <c r="F243" s="639"/>
      <c r="G243" s="1110"/>
      <c r="H243" s="745"/>
      <c r="I243" s="746"/>
      <c r="J243" s="638"/>
      <c r="K243" s="746"/>
      <c r="L243" s="521"/>
      <c r="M243" s="818"/>
      <c r="N243" s="818"/>
      <c r="O243" s="638"/>
    </row>
    <row r="244" spans="2:15" s="481" customFormat="1" x14ac:dyDescent="0.3">
      <c r="B244" s="86"/>
      <c r="C244" s="86"/>
      <c r="D244" s="86"/>
      <c r="E244" s="638"/>
      <c r="F244" s="639"/>
      <c r="G244" s="1110"/>
      <c r="H244" s="745"/>
      <c r="I244" s="746"/>
      <c r="J244" s="638"/>
      <c r="K244" s="746"/>
      <c r="L244" s="521"/>
      <c r="M244" s="818"/>
      <c r="N244" s="818"/>
      <c r="O244" s="638"/>
    </row>
    <row r="245" spans="2:15" s="481" customFormat="1" x14ac:dyDescent="0.3">
      <c r="B245" s="86"/>
      <c r="C245" s="86"/>
      <c r="D245" s="86"/>
      <c r="E245" s="638"/>
      <c r="F245" s="639"/>
      <c r="G245" s="1110"/>
      <c r="H245" s="745"/>
      <c r="I245" s="746"/>
      <c r="J245" s="638"/>
      <c r="K245" s="746"/>
      <c r="L245" s="521"/>
      <c r="M245" s="818"/>
      <c r="N245" s="818"/>
      <c r="O245" s="638"/>
    </row>
    <row r="246" spans="2:15" s="481" customFormat="1" x14ac:dyDescent="0.3">
      <c r="B246" s="86"/>
      <c r="C246" s="86"/>
      <c r="D246" s="86"/>
      <c r="E246" s="638"/>
      <c r="F246" s="639"/>
      <c r="G246" s="1110"/>
      <c r="H246" s="745"/>
      <c r="I246" s="746"/>
      <c r="J246" s="638"/>
      <c r="K246" s="746"/>
      <c r="L246" s="521"/>
      <c r="M246" s="818"/>
      <c r="N246" s="818"/>
      <c r="O246" s="638"/>
    </row>
    <row r="247" spans="2:15" s="481" customFormat="1" x14ac:dyDescent="0.3">
      <c r="B247" s="86"/>
      <c r="C247" s="86"/>
      <c r="D247" s="86"/>
      <c r="E247" s="638"/>
      <c r="F247" s="639"/>
      <c r="G247" s="1110"/>
      <c r="H247" s="745"/>
      <c r="I247" s="746"/>
      <c r="J247" s="638"/>
      <c r="K247" s="746"/>
      <c r="L247" s="521"/>
      <c r="M247" s="818"/>
      <c r="N247" s="818"/>
      <c r="O247" s="638"/>
    </row>
    <row r="248" spans="2:15" s="481" customFormat="1" x14ac:dyDescent="0.3">
      <c r="B248" s="86"/>
      <c r="C248" s="86"/>
      <c r="D248" s="86"/>
      <c r="E248" s="638"/>
      <c r="F248" s="639"/>
      <c r="G248" s="1110"/>
      <c r="H248" s="745"/>
      <c r="I248" s="746"/>
      <c r="J248" s="638"/>
      <c r="K248" s="746"/>
      <c r="L248" s="521"/>
      <c r="M248" s="818"/>
      <c r="N248" s="818"/>
      <c r="O248" s="638"/>
    </row>
    <row r="249" spans="2:15" s="481" customFormat="1" x14ac:dyDescent="0.3">
      <c r="B249" s="86"/>
      <c r="C249" s="86"/>
      <c r="D249" s="86"/>
      <c r="E249" s="638"/>
      <c r="F249" s="639"/>
      <c r="G249" s="1110"/>
      <c r="H249" s="745"/>
      <c r="I249" s="746"/>
      <c r="J249" s="638"/>
      <c r="K249" s="746"/>
      <c r="L249" s="521"/>
      <c r="M249" s="818"/>
      <c r="N249" s="818"/>
      <c r="O249" s="638"/>
    </row>
    <row r="250" spans="2:15" s="481" customFormat="1" x14ac:dyDescent="0.3">
      <c r="B250" s="86"/>
      <c r="C250" s="86"/>
      <c r="D250" s="86"/>
      <c r="E250" s="638"/>
      <c r="F250" s="639"/>
      <c r="G250" s="1110"/>
      <c r="H250" s="745"/>
      <c r="I250" s="746"/>
      <c r="J250" s="638"/>
      <c r="K250" s="746"/>
      <c r="L250" s="521"/>
      <c r="M250" s="818"/>
      <c r="N250" s="818"/>
      <c r="O250" s="638"/>
    </row>
    <row r="251" spans="2:15" s="481" customFormat="1" x14ac:dyDescent="0.3">
      <c r="B251" s="86"/>
      <c r="C251" s="86"/>
      <c r="D251" s="86"/>
      <c r="E251" s="638"/>
      <c r="F251" s="639"/>
      <c r="G251" s="1110"/>
      <c r="H251" s="745"/>
      <c r="I251" s="746"/>
      <c r="J251" s="638"/>
      <c r="K251" s="746"/>
      <c r="L251" s="521"/>
      <c r="M251" s="818"/>
      <c r="N251" s="818"/>
      <c r="O251" s="638"/>
    </row>
    <row r="252" spans="2:15" s="481" customFormat="1" x14ac:dyDescent="0.3">
      <c r="B252" s="86"/>
      <c r="C252" s="86"/>
      <c r="D252" s="86"/>
      <c r="E252" s="638"/>
      <c r="F252" s="639"/>
      <c r="G252" s="1110"/>
      <c r="H252" s="745"/>
      <c r="I252" s="746"/>
      <c r="J252" s="638"/>
      <c r="K252" s="746"/>
      <c r="L252" s="521"/>
      <c r="M252" s="818"/>
      <c r="N252" s="818"/>
      <c r="O252" s="638"/>
    </row>
    <row r="253" spans="2:15" s="481" customFormat="1" x14ac:dyDescent="0.3">
      <c r="B253" s="86"/>
      <c r="C253" s="86"/>
      <c r="D253" s="86"/>
      <c r="E253" s="638"/>
      <c r="F253" s="639"/>
      <c r="G253" s="1110"/>
      <c r="H253" s="745"/>
      <c r="I253" s="746"/>
      <c r="J253" s="638"/>
      <c r="K253" s="746"/>
      <c r="L253" s="521"/>
      <c r="M253" s="818"/>
      <c r="N253" s="818"/>
      <c r="O253" s="638"/>
    </row>
    <row r="254" spans="2:15" s="481" customFormat="1" x14ac:dyDescent="0.3">
      <c r="B254" s="86"/>
      <c r="C254" s="86"/>
      <c r="D254" s="86"/>
      <c r="E254" s="638"/>
      <c r="F254" s="639"/>
      <c r="G254" s="1110"/>
      <c r="H254" s="745"/>
      <c r="I254" s="746"/>
      <c r="J254" s="638"/>
      <c r="K254" s="746"/>
      <c r="L254" s="521"/>
      <c r="M254" s="818"/>
      <c r="N254" s="818"/>
      <c r="O254" s="638"/>
    </row>
    <row r="255" spans="2:15" s="481" customFormat="1" x14ac:dyDescent="0.3">
      <c r="B255" s="86"/>
      <c r="C255" s="86"/>
      <c r="D255" s="86"/>
      <c r="E255" s="638"/>
      <c r="F255" s="639"/>
      <c r="G255" s="1110"/>
      <c r="H255" s="745"/>
      <c r="I255" s="746"/>
      <c r="J255" s="638"/>
      <c r="K255" s="746"/>
      <c r="L255" s="521"/>
      <c r="M255" s="818"/>
      <c r="N255" s="818"/>
      <c r="O255" s="638"/>
    </row>
    <row r="256" spans="2:15" s="481" customFormat="1" x14ac:dyDescent="0.3">
      <c r="B256" s="86"/>
      <c r="C256" s="86"/>
      <c r="D256" s="86"/>
      <c r="E256" s="638"/>
      <c r="F256" s="639"/>
      <c r="G256" s="1110"/>
      <c r="H256" s="745"/>
      <c r="I256" s="746"/>
      <c r="J256" s="638"/>
      <c r="K256" s="746"/>
      <c r="L256" s="521"/>
      <c r="M256" s="818"/>
      <c r="N256" s="818"/>
      <c r="O256" s="638"/>
    </row>
    <row r="257" spans="2:15" s="481" customFormat="1" x14ac:dyDescent="0.3">
      <c r="B257" s="86"/>
      <c r="C257" s="86"/>
      <c r="D257" s="86"/>
      <c r="E257" s="638"/>
      <c r="F257" s="639"/>
      <c r="G257" s="1110"/>
      <c r="H257" s="745"/>
      <c r="I257" s="746"/>
      <c r="J257" s="638"/>
      <c r="K257" s="746"/>
      <c r="L257" s="521"/>
      <c r="M257" s="818"/>
      <c r="N257" s="818"/>
      <c r="O257" s="638"/>
    </row>
    <row r="258" spans="2:15" s="481" customFormat="1" x14ac:dyDescent="0.3">
      <c r="B258" s="86"/>
      <c r="C258" s="86"/>
      <c r="D258" s="86"/>
      <c r="E258" s="638"/>
      <c r="F258" s="639"/>
      <c r="G258" s="1110"/>
      <c r="H258" s="745"/>
      <c r="I258" s="746"/>
      <c r="J258" s="638"/>
      <c r="K258" s="746"/>
      <c r="L258" s="521"/>
      <c r="M258" s="818"/>
      <c r="N258" s="818"/>
      <c r="O258" s="638"/>
    </row>
    <row r="259" spans="2:15" s="481" customFormat="1" x14ac:dyDescent="0.3">
      <c r="B259" s="86"/>
      <c r="C259" s="86"/>
      <c r="D259" s="86"/>
      <c r="E259" s="638"/>
      <c r="F259" s="639"/>
      <c r="G259" s="1110"/>
      <c r="H259" s="745"/>
      <c r="I259" s="746"/>
      <c r="J259" s="638"/>
      <c r="K259" s="746"/>
      <c r="L259" s="521"/>
      <c r="M259" s="818"/>
      <c r="N259" s="818"/>
      <c r="O259" s="638"/>
    </row>
    <row r="260" spans="2:15" s="481" customFormat="1" x14ac:dyDescent="0.3">
      <c r="B260" s="86"/>
      <c r="C260" s="86"/>
      <c r="D260" s="86"/>
      <c r="E260" s="638"/>
      <c r="F260" s="639"/>
      <c r="G260" s="1110"/>
      <c r="H260" s="745"/>
      <c r="I260" s="746"/>
      <c r="J260" s="638"/>
      <c r="K260" s="746"/>
      <c r="L260" s="521"/>
      <c r="M260" s="818"/>
      <c r="N260" s="818"/>
      <c r="O260" s="638"/>
    </row>
    <row r="261" spans="2:15" s="481" customFormat="1" x14ac:dyDescent="0.3">
      <c r="B261" s="86"/>
      <c r="C261" s="86"/>
      <c r="D261" s="86"/>
      <c r="E261" s="638"/>
      <c r="F261" s="639"/>
      <c r="G261" s="1110"/>
      <c r="H261" s="745"/>
      <c r="I261" s="746"/>
      <c r="J261" s="638"/>
      <c r="K261" s="746"/>
      <c r="L261" s="521"/>
      <c r="M261" s="818"/>
      <c r="N261" s="818"/>
      <c r="O261" s="638"/>
    </row>
    <row r="262" spans="2:15" s="481" customFormat="1" x14ac:dyDescent="0.3">
      <c r="B262" s="86"/>
      <c r="C262" s="86"/>
      <c r="D262" s="86"/>
      <c r="E262" s="638"/>
      <c r="F262" s="639"/>
      <c r="G262" s="1110"/>
      <c r="H262" s="745"/>
      <c r="I262" s="746"/>
      <c r="J262" s="638"/>
      <c r="K262" s="746"/>
      <c r="L262" s="521"/>
      <c r="M262" s="818"/>
      <c r="N262" s="818"/>
      <c r="O262" s="638"/>
    </row>
    <row r="263" spans="2:15" s="481" customFormat="1" x14ac:dyDescent="0.3">
      <c r="B263" s="86"/>
      <c r="C263" s="86"/>
      <c r="D263" s="86"/>
      <c r="E263" s="638"/>
      <c r="F263" s="639"/>
      <c r="G263" s="1110"/>
      <c r="H263" s="745"/>
      <c r="I263" s="746"/>
      <c r="J263" s="638"/>
      <c r="K263" s="746"/>
      <c r="L263" s="521"/>
      <c r="M263" s="818"/>
      <c r="N263" s="818"/>
      <c r="O263" s="638"/>
    </row>
    <row r="264" spans="2:15" s="481" customFormat="1" x14ac:dyDescent="0.3">
      <c r="B264" s="86"/>
      <c r="C264" s="86"/>
      <c r="D264" s="86"/>
      <c r="E264" s="638"/>
      <c r="F264" s="639"/>
      <c r="G264" s="1110"/>
      <c r="H264" s="745"/>
      <c r="I264" s="746"/>
      <c r="J264" s="638"/>
      <c r="K264" s="746"/>
      <c r="L264" s="521"/>
      <c r="M264" s="818"/>
      <c r="N264" s="818"/>
      <c r="O264" s="638"/>
    </row>
    <row r="265" spans="2:15" s="481" customFormat="1" x14ac:dyDescent="0.3">
      <c r="B265" s="86"/>
      <c r="C265" s="86"/>
      <c r="D265" s="86"/>
      <c r="E265" s="638"/>
      <c r="F265" s="639"/>
      <c r="G265" s="1110"/>
      <c r="H265" s="745"/>
      <c r="I265" s="746"/>
      <c r="J265" s="638"/>
      <c r="K265" s="746"/>
      <c r="L265" s="521"/>
      <c r="M265" s="818"/>
      <c r="N265" s="818"/>
      <c r="O265" s="638"/>
    </row>
    <row r="266" spans="2:15" s="481" customFormat="1" x14ac:dyDescent="0.3">
      <c r="B266" s="86"/>
      <c r="C266" s="86"/>
      <c r="D266" s="86"/>
      <c r="E266" s="638"/>
      <c r="F266" s="639"/>
      <c r="G266" s="1110"/>
      <c r="H266" s="745"/>
      <c r="I266" s="746"/>
      <c r="J266" s="638"/>
      <c r="K266" s="746"/>
      <c r="L266" s="521"/>
      <c r="M266" s="818"/>
      <c r="N266" s="818"/>
      <c r="O266" s="638"/>
    </row>
    <row r="267" spans="2:15" s="481" customFormat="1" x14ac:dyDescent="0.3">
      <c r="B267" s="86"/>
      <c r="C267" s="86"/>
      <c r="D267" s="86"/>
      <c r="E267" s="638"/>
      <c r="F267" s="639"/>
      <c r="G267" s="1110"/>
      <c r="H267" s="745"/>
      <c r="I267" s="746"/>
      <c r="J267" s="638"/>
      <c r="K267" s="746"/>
      <c r="L267" s="521"/>
      <c r="M267" s="818"/>
      <c r="N267" s="818"/>
      <c r="O267" s="638"/>
    </row>
    <row r="268" spans="2:15" s="481" customFormat="1" x14ac:dyDescent="0.3">
      <c r="B268" s="86"/>
      <c r="C268" s="86"/>
      <c r="D268" s="86"/>
      <c r="E268" s="638"/>
      <c r="F268" s="639"/>
      <c r="G268" s="1110"/>
      <c r="H268" s="745"/>
      <c r="I268" s="746"/>
      <c r="J268" s="638"/>
      <c r="K268" s="746"/>
      <c r="L268" s="521"/>
      <c r="M268" s="818"/>
      <c r="N268" s="818"/>
      <c r="O268" s="638"/>
    </row>
    <row r="269" spans="2:15" s="481" customFormat="1" x14ac:dyDescent="0.3">
      <c r="B269" s="86"/>
      <c r="C269" s="86"/>
      <c r="D269" s="86"/>
      <c r="E269" s="638"/>
      <c r="F269" s="639"/>
      <c r="G269" s="1110"/>
      <c r="H269" s="745"/>
      <c r="I269" s="746"/>
      <c r="J269" s="638"/>
      <c r="K269" s="746"/>
      <c r="L269" s="521"/>
      <c r="M269" s="818"/>
      <c r="N269" s="818"/>
      <c r="O269" s="638"/>
    </row>
    <row r="270" spans="2:15" s="481" customFormat="1" x14ac:dyDescent="0.3">
      <c r="B270" s="86"/>
      <c r="C270" s="86"/>
      <c r="D270" s="86"/>
      <c r="E270" s="638"/>
      <c r="F270" s="639"/>
      <c r="G270" s="1110"/>
      <c r="H270" s="745"/>
      <c r="I270" s="746"/>
      <c r="J270" s="638"/>
      <c r="K270" s="746"/>
      <c r="L270" s="521"/>
      <c r="M270" s="818"/>
      <c r="N270" s="818"/>
      <c r="O270" s="638"/>
    </row>
    <row r="271" spans="2:15" s="481" customFormat="1" x14ac:dyDescent="0.3">
      <c r="B271" s="86"/>
      <c r="C271" s="86"/>
      <c r="D271" s="86"/>
      <c r="E271" s="638"/>
      <c r="F271" s="639"/>
      <c r="G271" s="1110"/>
      <c r="H271" s="745"/>
      <c r="I271" s="746"/>
      <c r="J271" s="638"/>
      <c r="K271" s="746"/>
      <c r="L271" s="521"/>
      <c r="M271" s="818"/>
      <c r="N271" s="818"/>
      <c r="O271" s="638"/>
    </row>
    <row r="272" spans="2:15" s="481" customFormat="1" x14ac:dyDescent="0.3">
      <c r="B272" s="86"/>
      <c r="C272" s="86"/>
      <c r="D272" s="86"/>
      <c r="E272" s="638"/>
      <c r="F272" s="639"/>
      <c r="G272" s="1110"/>
      <c r="H272" s="745"/>
      <c r="I272" s="746"/>
      <c r="J272" s="638"/>
      <c r="K272" s="746"/>
      <c r="L272" s="521"/>
      <c r="M272" s="818"/>
      <c r="N272" s="818"/>
      <c r="O272" s="638"/>
    </row>
    <row r="273" spans="2:15" s="481" customFormat="1" x14ac:dyDescent="0.3">
      <c r="B273" s="86"/>
      <c r="C273" s="86"/>
      <c r="D273" s="86"/>
      <c r="E273" s="638"/>
      <c r="F273" s="639"/>
      <c r="G273" s="1110"/>
      <c r="H273" s="745"/>
      <c r="I273" s="746"/>
      <c r="J273" s="638"/>
      <c r="K273" s="746"/>
      <c r="L273" s="521"/>
      <c r="M273" s="818"/>
      <c r="N273" s="818"/>
      <c r="O273" s="638"/>
    </row>
    <row r="274" spans="2:15" s="481" customFormat="1" x14ac:dyDescent="0.3">
      <c r="B274" s="86"/>
      <c r="C274" s="86"/>
      <c r="D274" s="86"/>
      <c r="E274" s="638"/>
      <c r="F274" s="639"/>
      <c r="G274" s="1110"/>
      <c r="H274" s="745"/>
      <c r="I274" s="746"/>
      <c r="J274" s="638"/>
      <c r="K274" s="746"/>
      <c r="L274" s="521"/>
      <c r="M274" s="818"/>
      <c r="N274" s="818"/>
      <c r="O274" s="638"/>
    </row>
    <row r="275" spans="2:15" s="481" customFormat="1" x14ac:dyDescent="0.3">
      <c r="B275" s="86"/>
      <c r="C275" s="86"/>
      <c r="D275" s="86"/>
      <c r="E275" s="638"/>
      <c r="F275" s="639"/>
      <c r="G275" s="1110"/>
      <c r="H275" s="745"/>
      <c r="I275" s="746"/>
      <c r="J275" s="638"/>
      <c r="K275" s="746"/>
      <c r="L275" s="521"/>
      <c r="M275" s="818"/>
      <c r="N275" s="818"/>
      <c r="O275" s="638"/>
    </row>
    <row r="276" spans="2:15" s="481" customFormat="1" x14ac:dyDescent="0.3">
      <c r="B276" s="86"/>
      <c r="C276" s="86"/>
      <c r="D276" s="86"/>
      <c r="E276" s="638"/>
      <c r="F276" s="639"/>
      <c r="G276" s="1110"/>
      <c r="H276" s="745"/>
      <c r="I276" s="746"/>
      <c r="J276" s="638"/>
      <c r="K276" s="746"/>
      <c r="L276" s="521"/>
      <c r="M276" s="818"/>
      <c r="N276" s="818"/>
      <c r="O276" s="638"/>
    </row>
    <row r="277" spans="2:15" s="481" customFormat="1" x14ac:dyDescent="0.3">
      <c r="B277" s="86"/>
      <c r="C277" s="86"/>
      <c r="D277" s="86"/>
      <c r="E277" s="638"/>
      <c r="F277" s="639"/>
      <c r="G277" s="1110"/>
      <c r="H277" s="745"/>
      <c r="I277" s="746"/>
      <c r="J277" s="638"/>
      <c r="K277" s="746"/>
      <c r="L277" s="521"/>
      <c r="M277" s="818"/>
      <c r="N277" s="818"/>
      <c r="O277" s="638"/>
    </row>
    <row r="278" spans="2:15" s="481" customFormat="1" x14ac:dyDescent="0.3">
      <c r="B278" s="86"/>
      <c r="C278" s="86"/>
      <c r="D278" s="86"/>
      <c r="E278" s="638"/>
      <c r="F278" s="639"/>
      <c r="G278" s="1110"/>
      <c r="H278" s="745"/>
      <c r="I278" s="746"/>
      <c r="J278" s="638"/>
      <c r="K278" s="746"/>
      <c r="L278" s="521"/>
      <c r="M278" s="818"/>
      <c r="N278" s="818"/>
      <c r="O278" s="638"/>
    </row>
    <row r="279" spans="2:15" s="481" customFormat="1" x14ac:dyDescent="0.3">
      <c r="B279" s="86"/>
      <c r="C279" s="86"/>
      <c r="D279" s="86"/>
      <c r="E279" s="638"/>
      <c r="F279" s="639"/>
      <c r="G279" s="1110"/>
      <c r="H279" s="745"/>
      <c r="I279" s="746"/>
      <c r="J279" s="638"/>
      <c r="K279" s="746"/>
      <c r="L279" s="521"/>
      <c r="M279" s="818"/>
      <c r="N279" s="818"/>
      <c r="O279" s="638"/>
    </row>
    <row r="280" spans="2:15" s="481" customFormat="1" x14ac:dyDescent="0.3">
      <c r="B280" s="86"/>
      <c r="C280" s="86"/>
      <c r="D280" s="86"/>
      <c r="E280" s="638"/>
      <c r="F280" s="639"/>
      <c r="G280" s="1110"/>
      <c r="H280" s="745"/>
      <c r="I280" s="746"/>
      <c r="J280" s="638"/>
      <c r="K280" s="746"/>
      <c r="L280" s="521"/>
      <c r="M280" s="818"/>
      <c r="N280" s="818"/>
      <c r="O280" s="638"/>
    </row>
    <row r="281" spans="2:15" s="481" customFormat="1" x14ac:dyDescent="0.3">
      <c r="B281" s="86"/>
      <c r="C281" s="86"/>
      <c r="D281" s="86"/>
      <c r="E281" s="638"/>
      <c r="F281" s="639"/>
      <c r="G281" s="1110"/>
      <c r="H281" s="745"/>
      <c r="I281" s="746"/>
      <c r="J281" s="638"/>
      <c r="K281" s="746"/>
      <c r="L281" s="521"/>
      <c r="M281" s="818"/>
      <c r="N281" s="818"/>
      <c r="O281" s="638"/>
    </row>
    <row r="282" spans="2:15" s="481" customFormat="1" x14ac:dyDescent="0.3">
      <c r="B282" s="86"/>
      <c r="C282" s="86"/>
      <c r="D282" s="86"/>
      <c r="E282" s="638"/>
      <c r="F282" s="639"/>
      <c r="G282" s="1110"/>
      <c r="H282" s="745"/>
      <c r="I282" s="746"/>
      <c r="J282" s="638"/>
      <c r="K282" s="746"/>
      <c r="L282" s="521"/>
      <c r="M282" s="818"/>
      <c r="N282" s="818"/>
      <c r="O282" s="638"/>
    </row>
    <row r="283" spans="2:15" s="481" customFormat="1" x14ac:dyDescent="0.3">
      <c r="B283" s="86"/>
      <c r="C283" s="86"/>
      <c r="D283" s="86"/>
      <c r="E283" s="638"/>
      <c r="F283" s="639"/>
      <c r="G283" s="1110"/>
      <c r="H283" s="745"/>
      <c r="I283" s="746"/>
      <c r="J283" s="638"/>
      <c r="K283" s="746"/>
      <c r="L283" s="521"/>
      <c r="M283" s="818"/>
      <c r="N283" s="818"/>
      <c r="O283" s="638"/>
    </row>
    <row r="284" spans="2:15" s="481" customFormat="1" x14ac:dyDescent="0.3">
      <c r="B284" s="86"/>
      <c r="C284" s="86"/>
      <c r="D284" s="86"/>
      <c r="E284" s="638"/>
      <c r="F284" s="639"/>
      <c r="G284" s="1110"/>
      <c r="H284" s="745"/>
      <c r="I284" s="746"/>
      <c r="J284" s="638"/>
      <c r="K284" s="746"/>
      <c r="L284" s="521"/>
      <c r="M284" s="818"/>
      <c r="N284" s="818"/>
      <c r="O284" s="638"/>
    </row>
    <row r="285" spans="2:15" s="481" customFormat="1" x14ac:dyDescent="0.3">
      <c r="B285" s="86"/>
      <c r="C285" s="86"/>
      <c r="D285" s="86"/>
      <c r="E285" s="638"/>
      <c r="F285" s="639"/>
      <c r="G285" s="1110"/>
      <c r="H285" s="745"/>
      <c r="I285" s="746"/>
      <c r="J285" s="638"/>
      <c r="K285" s="746"/>
      <c r="L285" s="521"/>
      <c r="M285" s="818"/>
      <c r="N285" s="818"/>
      <c r="O285" s="638"/>
    </row>
    <row r="286" spans="2:15" s="481" customFormat="1" x14ac:dyDescent="0.3">
      <c r="B286" s="86"/>
      <c r="C286" s="86"/>
      <c r="D286" s="86"/>
      <c r="E286" s="638"/>
      <c r="F286" s="639"/>
      <c r="G286" s="1110"/>
      <c r="H286" s="745"/>
      <c r="I286" s="746"/>
      <c r="J286" s="638"/>
      <c r="K286" s="746"/>
      <c r="L286" s="521"/>
      <c r="M286" s="818"/>
      <c r="N286" s="818"/>
      <c r="O286" s="638"/>
    </row>
    <row r="287" spans="2:15" s="481" customFormat="1" x14ac:dyDescent="0.3">
      <c r="B287" s="86"/>
      <c r="C287" s="86"/>
      <c r="D287" s="86"/>
      <c r="E287" s="638"/>
      <c r="F287" s="639"/>
      <c r="G287" s="1110"/>
      <c r="H287" s="745"/>
      <c r="I287" s="746"/>
      <c r="J287" s="638"/>
      <c r="K287" s="746"/>
      <c r="L287" s="521"/>
      <c r="M287" s="818"/>
      <c r="N287" s="818"/>
      <c r="O287" s="638"/>
    </row>
    <row r="288" spans="2:15" s="481" customFormat="1" x14ac:dyDescent="0.3">
      <c r="B288" s="86"/>
      <c r="C288" s="86"/>
      <c r="D288" s="86"/>
      <c r="E288" s="638"/>
      <c r="F288" s="639"/>
      <c r="G288" s="1110"/>
      <c r="H288" s="745"/>
      <c r="I288" s="746"/>
      <c r="J288" s="638"/>
      <c r="K288" s="746"/>
      <c r="L288" s="521"/>
      <c r="M288" s="818"/>
      <c r="N288" s="818"/>
      <c r="O288" s="638"/>
    </row>
    <row r="289" spans="2:15" s="481" customFormat="1" x14ac:dyDescent="0.3">
      <c r="B289" s="86"/>
      <c r="C289" s="86"/>
      <c r="D289" s="86"/>
      <c r="E289" s="638"/>
      <c r="F289" s="639"/>
      <c r="G289" s="1110"/>
      <c r="H289" s="745"/>
      <c r="I289" s="746"/>
      <c r="J289" s="638"/>
      <c r="K289" s="746"/>
      <c r="L289" s="521"/>
      <c r="M289" s="818"/>
      <c r="N289" s="818"/>
      <c r="O289" s="638"/>
    </row>
    <row r="290" spans="2:15" s="481" customFormat="1" x14ac:dyDescent="0.3">
      <c r="B290" s="86"/>
      <c r="C290" s="86"/>
      <c r="D290" s="86"/>
      <c r="E290" s="638"/>
      <c r="F290" s="639"/>
      <c r="G290" s="1110"/>
      <c r="H290" s="745"/>
      <c r="I290" s="746"/>
      <c r="J290" s="638"/>
      <c r="K290" s="746"/>
      <c r="L290" s="521"/>
      <c r="M290" s="818"/>
      <c r="N290" s="818"/>
      <c r="O290" s="638"/>
    </row>
    <row r="291" spans="2:15" s="481" customFormat="1" x14ac:dyDescent="0.3">
      <c r="B291" s="86"/>
      <c r="C291" s="86"/>
      <c r="D291" s="86"/>
      <c r="E291" s="638"/>
      <c r="F291" s="639"/>
      <c r="G291" s="1110"/>
      <c r="H291" s="745"/>
      <c r="I291" s="746"/>
      <c r="J291" s="638"/>
      <c r="K291" s="746"/>
      <c r="L291" s="521"/>
      <c r="M291" s="818"/>
      <c r="N291" s="818"/>
      <c r="O291" s="638"/>
    </row>
    <row r="292" spans="2:15" s="481" customFormat="1" x14ac:dyDescent="0.3">
      <c r="B292" s="86"/>
      <c r="C292" s="86"/>
      <c r="D292" s="86"/>
      <c r="E292" s="638"/>
      <c r="F292" s="639"/>
      <c r="G292" s="1110"/>
      <c r="H292" s="745"/>
      <c r="I292" s="746"/>
      <c r="J292" s="638"/>
      <c r="K292" s="746"/>
      <c r="L292" s="521"/>
      <c r="M292" s="818"/>
      <c r="N292" s="818"/>
      <c r="O292" s="638"/>
    </row>
    <row r="293" spans="2:15" s="481" customFormat="1" x14ac:dyDescent="0.3">
      <c r="B293" s="86"/>
      <c r="C293" s="86"/>
      <c r="D293" s="86"/>
      <c r="E293" s="638"/>
      <c r="F293" s="639"/>
      <c r="G293" s="1110"/>
      <c r="H293" s="745"/>
      <c r="I293" s="746"/>
      <c r="J293" s="638"/>
      <c r="K293" s="746"/>
      <c r="L293" s="521"/>
      <c r="M293" s="818"/>
      <c r="N293" s="818"/>
      <c r="O293" s="638"/>
    </row>
    <row r="294" spans="2:15" s="481" customFormat="1" x14ac:dyDescent="0.3">
      <c r="B294" s="86"/>
      <c r="C294" s="86"/>
      <c r="D294" s="86"/>
      <c r="E294" s="638"/>
      <c r="F294" s="639"/>
      <c r="G294" s="1110"/>
      <c r="H294" s="745"/>
      <c r="I294" s="746"/>
      <c r="J294" s="638"/>
      <c r="K294" s="746"/>
      <c r="L294" s="521"/>
      <c r="M294" s="818"/>
      <c r="N294" s="818"/>
      <c r="O294" s="638"/>
    </row>
    <row r="295" spans="2:15" s="481" customFormat="1" x14ac:dyDescent="0.3">
      <c r="B295" s="86"/>
      <c r="C295" s="86"/>
      <c r="D295" s="86"/>
      <c r="E295" s="638"/>
      <c r="F295" s="639"/>
      <c r="G295" s="1110"/>
      <c r="H295" s="745"/>
      <c r="I295" s="746"/>
      <c r="J295" s="638"/>
      <c r="K295" s="746"/>
      <c r="L295" s="521"/>
      <c r="M295" s="818"/>
      <c r="N295" s="818"/>
      <c r="O295" s="638"/>
    </row>
    <row r="296" spans="2:15" s="481" customFormat="1" x14ac:dyDescent="0.3">
      <c r="B296" s="86"/>
      <c r="C296" s="86"/>
      <c r="D296" s="86"/>
      <c r="E296" s="638"/>
      <c r="F296" s="639"/>
      <c r="G296" s="1110"/>
      <c r="H296" s="745"/>
      <c r="I296" s="746"/>
      <c r="J296" s="638"/>
      <c r="K296" s="746"/>
      <c r="L296" s="521"/>
      <c r="M296" s="818"/>
      <c r="N296" s="818"/>
      <c r="O296" s="638"/>
    </row>
    <row r="297" spans="2:15" s="481" customFormat="1" x14ac:dyDescent="0.3">
      <c r="B297" s="86"/>
      <c r="C297" s="86"/>
      <c r="D297" s="86"/>
      <c r="E297" s="638"/>
      <c r="F297" s="639"/>
      <c r="G297" s="1110"/>
      <c r="H297" s="745"/>
      <c r="I297" s="746"/>
      <c r="J297" s="638"/>
      <c r="K297" s="746"/>
      <c r="L297" s="521"/>
      <c r="M297" s="818"/>
      <c r="N297" s="818"/>
      <c r="O297" s="638"/>
    </row>
    <row r="298" spans="2:15" s="481" customFormat="1" x14ac:dyDescent="0.3">
      <c r="B298" s="86"/>
      <c r="C298" s="86"/>
      <c r="D298" s="86"/>
      <c r="E298" s="638"/>
      <c r="F298" s="639"/>
      <c r="G298" s="1110"/>
      <c r="H298" s="745"/>
      <c r="I298" s="746"/>
      <c r="J298" s="638"/>
      <c r="K298" s="746"/>
      <c r="L298" s="521"/>
      <c r="M298" s="818"/>
      <c r="N298" s="818"/>
      <c r="O298" s="638"/>
    </row>
    <row r="299" spans="2:15" s="481" customFormat="1" x14ac:dyDescent="0.3">
      <c r="B299" s="86"/>
      <c r="C299" s="86"/>
      <c r="D299" s="86"/>
      <c r="E299" s="638"/>
      <c r="F299" s="639"/>
      <c r="G299" s="1110"/>
      <c r="H299" s="745"/>
      <c r="I299" s="746"/>
      <c r="J299" s="638"/>
      <c r="K299" s="746"/>
      <c r="L299" s="521"/>
      <c r="M299" s="818"/>
      <c r="N299" s="818"/>
      <c r="O299" s="638"/>
    </row>
    <row r="300" spans="2:15" s="481" customFormat="1" x14ac:dyDescent="0.3">
      <c r="B300" s="86"/>
      <c r="C300" s="86"/>
      <c r="D300" s="86"/>
      <c r="E300" s="638"/>
      <c r="F300" s="639"/>
      <c r="G300" s="1110"/>
      <c r="H300" s="745"/>
      <c r="I300" s="746"/>
      <c r="J300" s="638"/>
      <c r="K300" s="746"/>
      <c r="L300" s="521"/>
      <c r="M300" s="818"/>
      <c r="N300" s="818"/>
      <c r="O300" s="638"/>
    </row>
    <row r="301" spans="2:15" s="481" customFormat="1" x14ac:dyDescent="0.3">
      <c r="B301" s="86"/>
      <c r="C301" s="86"/>
      <c r="D301" s="86"/>
      <c r="E301" s="638"/>
      <c r="F301" s="639"/>
      <c r="G301" s="1110"/>
      <c r="H301" s="745"/>
      <c r="I301" s="746"/>
      <c r="J301" s="638"/>
      <c r="K301" s="746"/>
      <c r="L301" s="521"/>
      <c r="M301" s="818"/>
      <c r="N301" s="818"/>
      <c r="O301" s="638"/>
    </row>
    <row r="302" spans="2:15" s="481" customFormat="1" x14ac:dyDescent="0.3">
      <c r="B302" s="86"/>
      <c r="C302" s="86"/>
      <c r="D302" s="86"/>
      <c r="E302" s="638"/>
      <c r="F302" s="639"/>
      <c r="G302" s="1110"/>
      <c r="H302" s="745"/>
      <c r="I302" s="746"/>
      <c r="J302" s="638"/>
      <c r="K302" s="746"/>
      <c r="L302" s="521"/>
      <c r="M302" s="818"/>
      <c r="N302" s="818"/>
      <c r="O302" s="638"/>
    </row>
    <row r="303" spans="2:15" s="481" customFormat="1" x14ac:dyDescent="0.3">
      <c r="B303" s="86"/>
      <c r="C303" s="86"/>
      <c r="D303" s="86"/>
      <c r="E303" s="638"/>
      <c r="F303" s="639"/>
      <c r="G303" s="1110"/>
      <c r="H303" s="745"/>
      <c r="I303" s="746"/>
      <c r="J303" s="638"/>
      <c r="K303" s="746"/>
      <c r="L303" s="521"/>
      <c r="M303" s="818"/>
      <c r="N303" s="818"/>
      <c r="O303" s="638"/>
    </row>
    <row r="304" spans="2:15" s="481" customFormat="1" x14ac:dyDescent="0.3">
      <c r="B304" s="86"/>
      <c r="C304" s="86"/>
      <c r="D304" s="86"/>
      <c r="E304" s="638"/>
      <c r="F304" s="639"/>
      <c r="G304" s="1110"/>
      <c r="H304" s="745"/>
      <c r="I304" s="746"/>
      <c r="J304" s="638"/>
      <c r="K304" s="746"/>
      <c r="L304" s="521"/>
      <c r="M304" s="818"/>
      <c r="N304" s="818"/>
      <c r="O304" s="638"/>
    </row>
    <row r="305" spans="2:15" s="481" customFormat="1" x14ac:dyDescent="0.3">
      <c r="B305" s="86"/>
      <c r="C305" s="86"/>
      <c r="D305" s="86"/>
      <c r="E305" s="638"/>
      <c r="F305" s="639"/>
      <c r="G305" s="1110"/>
      <c r="H305" s="745"/>
      <c r="I305" s="746"/>
      <c r="J305" s="638"/>
      <c r="K305" s="746"/>
      <c r="L305" s="521"/>
      <c r="M305" s="818"/>
      <c r="N305" s="818"/>
      <c r="O305" s="638"/>
    </row>
    <row r="306" spans="2:15" s="481" customFormat="1" x14ac:dyDescent="0.3">
      <c r="B306" s="86"/>
      <c r="C306" s="86"/>
      <c r="D306" s="86"/>
      <c r="E306" s="638"/>
      <c r="F306" s="639"/>
      <c r="G306" s="1110"/>
      <c r="H306" s="745"/>
      <c r="I306" s="746"/>
      <c r="J306" s="638"/>
      <c r="K306" s="746"/>
      <c r="L306" s="521"/>
      <c r="M306" s="818"/>
      <c r="N306" s="818"/>
      <c r="O306" s="638"/>
    </row>
    <row r="307" spans="2:15" s="481" customFormat="1" x14ac:dyDescent="0.3">
      <c r="B307" s="86"/>
      <c r="C307" s="86"/>
      <c r="D307" s="86"/>
      <c r="E307" s="638"/>
      <c r="F307" s="639"/>
      <c r="G307" s="1110"/>
      <c r="H307" s="745"/>
      <c r="I307" s="746"/>
      <c r="J307" s="638"/>
      <c r="K307" s="746"/>
      <c r="L307" s="521"/>
      <c r="M307" s="818"/>
      <c r="N307" s="818"/>
      <c r="O307" s="638"/>
    </row>
    <row r="308" spans="2:15" s="481" customFormat="1" x14ac:dyDescent="0.3">
      <c r="B308" s="86"/>
      <c r="C308" s="86"/>
      <c r="D308" s="86"/>
      <c r="E308" s="638"/>
      <c r="F308" s="639"/>
      <c r="G308" s="1110"/>
      <c r="H308" s="745"/>
      <c r="I308" s="746"/>
      <c r="J308" s="638"/>
      <c r="K308" s="746"/>
      <c r="L308" s="521"/>
      <c r="M308" s="818"/>
      <c r="N308" s="818"/>
      <c r="O308" s="638"/>
    </row>
    <row r="309" spans="2:15" s="481" customFormat="1" x14ac:dyDescent="0.3">
      <c r="B309" s="86"/>
      <c r="C309" s="86"/>
      <c r="D309" s="86"/>
      <c r="E309" s="638"/>
      <c r="F309" s="639"/>
      <c r="G309" s="1110"/>
      <c r="H309" s="745"/>
      <c r="I309" s="746"/>
      <c r="J309" s="638"/>
      <c r="K309" s="746"/>
      <c r="L309" s="521"/>
      <c r="M309" s="818"/>
      <c r="N309" s="818"/>
      <c r="O309" s="638"/>
    </row>
    <row r="310" spans="2:15" s="481" customFormat="1" x14ac:dyDescent="0.3">
      <c r="B310" s="86"/>
      <c r="C310" s="86"/>
      <c r="D310" s="86"/>
      <c r="E310" s="638"/>
      <c r="F310" s="639"/>
      <c r="G310" s="1110"/>
      <c r="H310" s="745"/>
      <c r="I310" s="746"/>
      <c r="J310" s="638"/>
      <c r="K310" s="746"/>
      <c r="L310" s="521"/>
      <c r="M310" s="818"/>
      <c r="N310" s="818"/>
      <c r="O310" s="638"/>
    </row>
    <row r="311" spans="2:15" s="481" customFormat="1" x14ac:dyDescent="0.3">
      <c r="B311" s="86"/>
      <c r="C311" s="86"/>
      <c r="D311" s="86"/>
      <c r="E311" s="638"/>
      <c r="F311" s="639"/>
      <c r="G311" s="1110"/>
      <c r="H311" s="745"/>
      <c r="I311" s="746"/>
      <c r="J311" s="638"/>
      <c r="K311" s="746"/>
      <c r="L311" s="521"/>
      <c r="M311" s="818"/>
      <c r="N311" s="818"/>
      <c r="O311" s="638"/>
    </row>
    <row r="312" spans="2:15" s="481" customFormat="1" x14ac:dyDescent="0.3">
      <c r="B312" s="86"/>
      <c r="C312" s="86"/>
      <c r="D312" s="86"/>
      <c r="E312" s="638"/>
      <c r="F312" s="639"/>
      <c r="G312" s="1110"/>
      <c r="H312" s="745"/>
      <c r="I312" s="746"/>
      <c r="J312" s="638"/>
      <c r="K312" s="746"/>
      <c r="L312" s="521"/>
      <c r="M312" s="818"/>
      <c r="N312" s="818"/>
      <c r="O312" s="638"/>
    </row>
    <row r="313" spans="2:15" s="481" customFormat="1" x14ac:dyDescent="0.3">
      <c r="B313" s="86"/>
      <c r="C313" s="86"/>
      <c r="D313" s="86"/>
      <c r="E313" s="638"/>
      <c r="F313" s="639"/>
      <c r="G313" s="1110"/>
      <c r="H313" s="745"/>
      <c r="I313" s="746"/>
      <c r="J313" s="638"/>
      <c r="K313" s="746"/>
      <c r="L313" s="521"/>
      <c r="M313" s="818"/>
      <c r="N313" s="818"/>
      <c r="O313" s="638"/>
    </row>
    <row r="314" spans="2:15" s="481" customFormat="1" x14ac:dyDescent="0.3">
      <c r="B314" s="86"/>
      <c r="C314" s="86"/>
      <c r="D314" s="86"/>
      <c r="E314" s="638"/>
      <c r="F314" s="639"/>
      <c r="G314" s="1110"/>
      <c r="H314" s="745"/>
      <c r="I314" s="746"/>
      <c r="J314" s="638"/>
      <c r="K314" s="746"/>
      <c r="L314" s="521"/>
      <c r="M314" s="818"/>
      <c r="N314" s="818"/>
      <c r="O314" s="638"/>
    </row>
    <row r="315" spans="2:15" s="481" customFormat="1" x14ac:dyDescent="0.3">
      <c r="B315" s="86"/>
      <c r="C315" s="86"/>
      <c r="D315" s="86"/>
      <c r="E315" s="638"/>
      <c r="F315" s="639"/>
      <c r="G315" s="1110"/>
      <c r="H315" s="745"/>
      <c r="I315" s="746"/>
      <c r="J315" s="638"/>
      <c r="K315" s="746"/>
      <c r="L315" s="521"/>
      <c r="M315" s="818"/>
      <c r="N315" s="818"/>
      <c r="O315" s="638"/>
    </row>
    <row r="316" spans="2:15" s="481" customFormat="1" x14ac:dyDescent="0.3">
      <c r="B316" s="86"/>
      <c r="C316" s="86"/>
      <c r="D316" s="86"/>
      <c r="E316" s="638"/>
      <c r="F316" s="639"/>
      <c r="G316" s="1110"/>
      <c r="H316" s="745"/>
      <c r="I316" s="746"/>
      <c r="J316" s="638"/>
      <c r="K316" s="746"/>
      <c r="L316" s="521"/>
      <c r="M316" s="818"/>
      <c r="N316" s="818"/>
      <c r="O316" s="638"/>
    </row>
    <row r="317" spans="2:15" s="481" customFormat="1" x14ac:dyDescent="0.3">
      <c r="B317" s="86"/>
      <c r="C317" s="86"/>
      <c r="D317" s="86"/>
      <c r="E317" s="638"/>
      <c r="F317" s="639"/>
      <c r="G317" s="1110"/>
      <c r="H317" s="745"/>
      <c r="I317" s="746"/>
      <c r="J317" s="638"/>
      <c r="K317" s="746"/>
      <c r="L317" s="521"/>
      <c r="M317" s="818"/>
      <c r="N317" s="818"/>
      <c r="O317" s="638"/>
    </row>
    <row r="318" spans="2:15" s="481" customFormat="1" x14ac:dyDescent="0.3">
      <c r="B318" s="86"/>
      <c r="C318" s="86"/>
      <c r="D318" s="86"/>
      <c r="E318" s="638"/>
      <c r="F318" s="639"/>
      <c r="G318" s="1110"/>
      <c r="H318" s="745"/>
      <c r="I318" s="746"/>
      <c r="J318" s="638"/>
      <c r="K318" s="746"/>
      <c r="L318" s="521"/>
      <c r="M318" s="818"/>
      <c r="N318" s="818"/>
      <c r="O318" s="638"/>
    </row>
    <row r="319" spans="2:15" s="481" customFormat="1" x14ac:dyDescent="0.3">
      <c r="B319" s="86"/>
      <c r="C319" s="86"/>
      <c r="D319" s="86"/>
      <c r="E319" s="638"/>
      <c r="F319" s="639"/>
      <c r="G319" s="1110"/>
      <c r="H319" s="745"/>
      <c r="I319" s="746"/>
      <c r="J319" s="638"/>
      <c r="K319" s="746"/>
      <c r="L319" s="521"/>
      <c r="M319" s="818"/>
      <c r="N319" s="818"/>
      <c r="O319" s="638"/>
    </row>
    <row r="320" spans="2:15" s="481" customFormat="1" x14ac:dyDescent="0.3">
      <c r="B320" s="86"/>
      <c r="C320" s="86"/>
      <c r="D320" s="86"/>
      <c r="E320" s="638"/>
      <c r="F320" s="639"/>
      <c r="G320" s="1110"/>
      <c r="H320" s="745"/>
      <c r="I320" s="746"/>
      <c r="J320" s="638"/>
      <c r="K320" s="746"/>
      <c r="L320" s="521"/>
      <c r="M320" s="818"/>
      <c r="N320" s="818"/>
      <c r="O320" s="638"/>
    </row>
    <row r="321" spans="2:15" s="481" customFormat="1" x14ac:dyDescent="0.3">
      <c r="B321" s="86"/>
      <c r="C321" s="86"/>
      <c r="D321" s="86"/>
      <c r="E321" s="638"/>
      <c r="F321" s="639"/>
      <c r="G321" s="1110"/>
      <c r="H321" s="745"/>
      <c r="I321" s="746"/>
      <c r="J321" s="638"/>
      <c r="K321" s="746"/>
      <c r="L321" s="521"/>
      <c r="M321" s="818"/>
      <c r="N321" s="818"/>
      <c r="O321" s="638"/>
    </row>
    <row r="322" spans="2:15" s="481" customFormat="1" x14ac:dyDescent="0.3">
      <c r="B322" s="86"/>
      <c r="C322" s="86"/>
      <c r="D322" s="86"/>
      <c r="E322" s="638"/>
      <c r="F322" s="639"/>
      <c r="G322" s="1110"/>
      <c r="H322" s="745"/>
      <c r="I322" s="746"/>
      <c r="J322" s="638"/>
      <c r="K322" s="746"/>
      <c r="L322" s="521"/>
      <c r="M322" s="818"/>
      <c r="N322" s="818"/>
      <c r="O322" s="638"/>
    </row>
    <row r="323" spans="2:15" s="481" customFormat="1" x14ac:dyDescent="0.3">
      <c r="B323" s="86"/>
      <c r="C323" s="86"/>
      <c r="D323" s="86"/>
      <c r="E323" s="638"/>
      <c r="F323" s="639"/>
      <c r="G323" s="1110"/>
      <c r="H323" s="745"/>
      <c r="I323" s="746"/>
      <c r="J323" s="638"/>
      <c r="K323" s="746"/>
      <c r="L323" s="521"/>
      <c r="M323" s="818"/>
      <c r="N323" s="818"/>
      <c r="O323" s="638"/>
    </row>
    <row r="324" spans="2:15" s="481" customFormat="1" x14ac:dyDescent="0.3">
      <c r="B324" s="86"/>
      <c r="C324" s="86"/>
      <c r="D324" s="86"/>
      <c r="E324" s="638"/>
      <c r="F324" s="639"/>
      <c r="G324" s="1110"/>
      <c r="H324" s="745"/>
      <c r="I324" s="746"/>
      <c r="J324" s="638"/>
      <c r="K324" s="746"/>
      <c r="L324" s="521"/>
      <c r="M324" s="818"/>
      <c r="N324" s="818"/>
      <c r="O324" s="638"/>
    </row>
    <row r="325" spans="2:15" s="481" customFormat="1" x14ac:dyDescent="0.3">
      <c r="B325" s="86"/>
      <c r="C325" s="86"/>
      <c r="D325" s="86"/>
      <c r="E325" s="638"/>
      <c r="F325" s="639"/>
      <c r="G325" s="1110"/>
      <c r="H325" s="745"/>
      <c r="I325" s="746"/>
      <c r="J325" s="638"/>
      <c r="K325" s="746"/>
      <c r="L325" s="521"/>
      <c r="M325" s="818"/>
      <c r="N325" s="818"/>
      <c r="O325" s="638"/>
    </row>
    <row r="326" spans="2:15" s="481" customFormat="1" x14ac:dyDescent="0.3">
      <c r="B326" s="86"/>
      <c r="C326" s="86"/>
      <c r="D326" s="86"/>
      <c r="E326" s="638"/>
      <c r="F326" s="639"/>
      <c r="G326" s="1110"/>
      <c r="H326" s="745"/>
      <c r="I326" s="746"/>
      <c r="J326" s="638"/>
      <c r="K326" s="746"/>
      <c r="L326" s="521"/>
      <c r="M326" s="818"/>
      <c r="N326" s="818"/>
      <c r="O326" s="638"/>
    </row>
    <row r="327" spans="2:15" s="481" customFormat="1" x14ac:dyDescent="0.3">
      <c r="B327" s="86"/>
      <c r="C327" s="86"/>
      <c r="D327" s="86"/>
      <c r="E327" s="638"/>
      <c r="F327" s="639"/>
      <c r="G327" s="1110"/>
      <c r="H327" s="745"/>
      <c r="I327" s="746"/>
      <c r="J327" s="638"/>
      <c r="K327" s="746"/>
      <c r="L327" s="521"/>
      <c r="M327" s="818"/>
      <c r="N327" s="818"/>
      <c r="O327" s="638"/>
    </row>
    <row r="328" spans="2:15" s="481" customFormat="1" x14ac:dyDescent="0.3">
      <c r="B328" s="86"/>
      <c r="C328" s="86"/>
      <c r="D328" s="86"/>
      <c r="E328" s="638"/>
      <c r="F328" s="639"/>
      <c r="G328" s="1110"/>
      <c r="H328" s="745"/>
      <c r="I328" s="746"/>
      <c r="J328" s="638"/>
      <c r="K328" s="746"/>
      <c r="L328" s="521"/>
      <c r="M328" s="818"/>
      <c r="N328" s="818"/>
      <c r="O328" s="638"/>
    </row>
    <row r="329" spans="2:15" s="481" customFormat="1" x14ac:dyDescent="0.3">
      <c r="B329" s="86"/>
      <c r="C329" s="86"/>
      <c r="D329" s="86"/>
      <c r="E329" s="638"/>
      <c r="F329" s="639"/>
      <c r="G329" s="1110"/>
      <c r="H329" s="745"/>
      <c r="I329" s="746"/>
      <c r="J329" s="638"/>
      <c r="K329" s="746"/>
      <c r="L329" s="521"/>
      <c r="M329" s="818"/>
      <c r="N329" s="818"/>
      <c r="O329" s="638"/>
    </row>
    <row r="330" spans="2:15" s="481" customFormat="1" x14ac:dyDescent="0.3">
      <c r="B330" s="86"/>
      <c r="C330" s="86"/>
      <c r="D330" s="86"/>
      <c r="E330" s="638"/>
      <c r="F330" s="639"/>
      <c r="G330" s="1110"/>
      <c r="H330" s="745"/>
      <c r="I330" s="746"/>
      <c r="J330" s="638"/>
      <c r="K330" s="746"/>
      <c r="L330" s="521"/>
      <c r="M330" s="818"/>
      <c r="N330" s="818"/>
      <c r="O330" s="638"/>
    </row>
    <row r="331" spans="2:15" s="481" customFormat="1" x14ac:dyDescent="0.3">
      <c r="B331" s="86"/>
      <c r="C331" s="86"/>
      <c r="D331" s="86"/>
      <c r="E331" s="638"/>
      <c r="F331" s="639"/>
      <c r="G331" s="1110"/>
      <c r="H331" s="745"/>
      <c r="I331" s="746"/>
      <c r="J331" s="638"/>
      <c r="K331" s="746"/>
      <c r="L331" s="521"/>
      <c r="M331" s="818"/>
      <c r="N331" s="818"/>
      <c r="O331" s="638"/>
    </row>
    <row r="332" spans="2:15" s="481" customFormat="1" x14ac:dyDescent="0.3">
      <c r="B332" s="86"/>
      <c r="C332" s="86"/>
      <c r="D332" s="86"/>
      <c r="E332" s="638"/>
      <c r="F332" s="639"/>
      <c r="G332" s="1110"/>
      <c r="H332" s="745"/>
      <c r="I332" s="746"/>
      <c r="J332" s="638"/>
      <c r="K332" s="746"/>
      <c r="L332" s="521"/>
      <c r="M332" s="818"/>
      <c r="N332" s="818"/>
      <c r="O332" s="638"/>
    </row>
    <row r="333" spans="2:15" s="481" customFormat="1" x14ac:dyDescent="0.3">
      <c r="B333" s="86"/>
      <c r="C333" s="86"/>
      <c r="D333" s="86"/>
      <c r="E333" s="638"/>
      <c r="F333" s="639"/>
      <c r="G333" s="1110"/>
      <c r="H333" s="745"/>
      <c r="I333" s="746"/>
      <c r="J333" s="638"/>
      <c r="K333" s="746"/>
      <c r="L333" s="521"/>
      <c r="M333" s="818"/>
      <c r="N333" s="818"/>
      <c r="O333" s="638"/>
    </row>
    <row r="334" spans="2:15" s="481" customFormat="1" x14ac:dyDescent="0.3">
      <c r="B334" s="86"/>
      <c r="C334" s="86"/>
      <c r="D334" s="86"/>
      <c r="E334" s="638"/>
      <c r="F334" s="639"/>
      <c r="G334" s="1110"/>
      <c r="H334" s="745"/>
      <c r="I334" s="746"/>
      <c r="J334" s="638"/>
      <c r="K334" s="746"/>
      <c r="L334" s="521"/>
      <c r="M334" s="818"/>
      <c r="N334" s="818"/>
      <c r="O334" s="638"/>
    </row>
    <row r="335" spans="2:15" s="481" customFormat="1" x14ac:dyDescent="0.3">
      <c r="B335" s="86"/>
      <c r="C335" s="86"/>
      <c r="D335" s="86"/>
      <c r="E335" s="638"/>
      <c r="F335" s="639"/>
      <c r="G335" s="1110"/>
      <c r="H335" s="745"/>
      <c r="I335" s="746"/>
      <c r="J335" s="638"/>
      <c r="K335" s="746"/>
      <c r="L335" s="521"/>
      <c r="M335" s="818"/>
      <c r="N335" s="818"/>
      <c r="O335" s="638"/>
    </row>
    <row r="336" spans="2:15" s="481" customFormat="1" x14ac:dyDescent="0.3">
      <c r="B336" s="86"/>
      <c r="C336" s="86"/>
      <c r="D336" s="86"/>
      <c r="E336" s="638"/>
      <c r="F336" s="639"/>
      <c r="G336" s="1110"/>
      <c r="H336" s="745"/>
      <c r="I336" s="746"/>
      <c r="J336" s="638"/>
      <c r="K336" s="746"/>
      <c r="L336" s="521"/>
      <c r="M336" s="818"/>
      <c r="N336" s="818"/>
      <c r="O336" s="638"/>
    </row>
    <row r="337" spans="2:15" s="481" customFormat="1" x14ac:dyDescent="0.3">
      <c r="B337" s="86"/>
      <c r="C337" s="86"/>
      <c r="D337" s="86"/>
      <c r="E337" s="638"/>
      <c r="F337" s="639"/>
      <c r="G337" s="1110"/>
      <c r="H337" s="745"/>
      <c r="I337" s="746"/>
      <c r="J337" s="638"/>
      <c r="K337" s="746"/>
      <c r="L337" s="521"/>
      <c r="M337" s="818"/>
      <c r="N337" s="818"/>
      <c r="O337" s="638"/>
    </row>
    <row r="338" spans="2:15" s="481" customFormat="1" x14ac:dyDescent="0.3">
      <c r="B338" s="86"/>
      <c r="C338" s="86"/>
      <c r="D338" s="86"/>
      <c r="E338" s="638"/>
      <c r="F338" s="639"/>
      <c r="G338" s="1110"/>
      <c r="H338" s="745"/>
      <c r="I338" s="746"/>
      <c r="J338" s="638"/>
      <c r="K338" s="746"/>
      <c r="L338" s="521"/>
      <c r="M338" s="818"/>
      <c r="N338" s="818"/>
      <c r="O338" s="638"/>
    </row>
    <row r="339" spans="2:15" s="481" customFormat="1" x14ac:dyDescent="0.3">
      <c r="B339" s="86"/>
      <c r="C339" s="86"/>
      <c r="D339" s="86"/>
      <c r="E339" s="638"/>
      <c r="F339" s="639"/>
      <c r="G339" s="1110"/>
      <c r="H339" s="745"/>
      <c r="I339" s="746"/>
      <c r="J339" s="638"/>
      <c r="K339" s="746"/>
      <c r="L339" s="521"/>
      <c r="M339" s="818"/>
      <c r="N339" s="818"/>
      <c r="O339" s="638"/>
    </row>
    <row r="340" spans="2:15" s="481" customFormat="1" x14ac:dyDescent="0.3">
      <c r="B340" s="86"/>
      <c r="C340" s="86"/>
      <c r="D340" s="86"/>
      <c r="E340" s="638"/>
      <c r="F340" s="639"/>
      <c r="G340" s="1110"/>
      <c r="H340" s="745"/>
      <c r="I340" s="746"/>
      <c r="J340" s="638"/>
      <c r="K340" s="746"/>
      <c r="L340" s="521"/>
      <c r="M340" s="818"/>
      <c r="N340" s="818"/>
      <c r="O340" s="638"/>
    </row>
    <row r="341" spans="2:15" s="481" customFormat="1" x14ac:dyDescent="0.3">
      <c r="B341" s="86"/>
      <c r="C341" s="86"/>
      <c r="D341" s="86"/>
      <c r="E341" s="638"/>
      <c r="F341" s="639"/>
      <c r="G341" s="1110"/>
      <c r="H341" s="745"/>
      <c r="I341" s="746"/>
      <c r="J341" s="638"/>
      <c r="K341" s="746"/>
      <c r="L341" s="521"/>
      <c r="M341" s="818"/>
      <c r="N341" s="818"/>
      <c r="O341" s="638"/>
    </row>
    <row r="342" spans="2:15" s="481" customFormat="1" x14ac:dyDescent="0.3">
      <c r="B342" s="86"/>
      <c r="C342" s="86"/>
      <c r="D342" s="86"/>
      <c r="E342" s="638"/>
      <c r="F342" s="639"/>
      <c r="G342" s="1110"/>
      <c r="H342" s="745"/>
      <c r="I342" s="746"/>
      <c r="J342" s="638"/>
      <c r="K342" s="746"/>
      <c r="L342" s="521"/>
      <c r="M342" s="818"/>
      <c r="N342" s="818"/>
      <c r="O342" s="638"/>
    </row>
    <row r="343" spans="2:15" s="481" customFormat="1" x14ac:dyDescent="0.3">
      <c r="B343" s="86"/>
      <c r="C343" s="86"/>
      <c r="D343" s="86"/>
      <c r="E343" s="638"/>
      <c r="F343" s="639"/>
      <c r="G343" s="1110"/>
      <c r="H343" s="745"/>
      <c r="I343" s="746"/>
      <c r="J343" s="638"/>
      <c r="K343" s="746"/>
      <c r="L343" s="521"/>
      <c r="M343" s="818"/>
      <c r="N343" s="818"/>
      <c r="O343" s="638"/>
    </row>
    <row r="344" spans="2:15" s="481" customFormat="1" x14ac:dyDescent="0.3">
      <c r="B344" s="86"/>
      <c r="C344" s="86"/>
      <c r="D344" s="86"/>
      <c r="E344" s="638"/>
      <c r="F344" s="639"/>
      <c r="G344" s="1110"/>
      <c r="H344" s="745"/>
      <c r="I344" s="746"/>
      <c r="J344" s="638"/>
      <c r="K344" s="746"/>
      <c r="L344" s="521"/>
      <c r="M344" s="818"/>
      <c r="N344" s="818"/>
      <c r="O344" s="638"/>
    </row>
    <row r="345" spans="2:15" s="481" customFormat="1" x14ac:dyDescent="0.3">
      <c r="B345" s="86"/>
      <c r="C345" s="86"/>
      <c r="D345" s="86"/>
      <c r="E345" s="638"/>
      <c r="F345" s="639"/>
      <c r="G345" s="1110"/>
      <c r="H345" s="745"/>
      <c r="I345" s="746"/>
      <c r="J345" s="638"/>
      <c r="K345" s="746"/>
      <c r="L345" s="521"/>
      <c r="M345" s="818"/>
      <c r="N345" s="818"/>
      <c r="O345" s="638"/>
    </row>
    <row r="346" spans="2:15" s="481" customFormat="1" x14ac:dyDescent="0.3">
      <c r="B346" s="86"/>
      <c r="C346" s="86"/>
      <c r="D346" s="86"/>
      <c r="E346" s="638"/>
      <c r="F346" s="639"/>
      <c r="G346" s="1110"/>
      <c r="H346" s="745"/>
      <c r="I346" s="746"/>
      <c r="J346" s="638"/>
      <c r="K346" s="746"/>
      <c r="L346" s="521"/>
      <c r="M346" s="818"/>
      <c r="N346" s="818"/>
      <c r="O346" s="638"/>
    </row>
    <row r="347" spans="2:15" s="481" customFormat="1" x14ac:dyDescent="0.3">
      <c r="B347" s="86"/>
      <c r="C347" s="86"/>
      <c r="D347" s="86"/>
      <c r="E347" s="638"/>
      <c r="F347" s="639"/>
      <c r="G347" s="1110"/>
      <c r="H347" s="745"/>
      <c r="I347" s="746"/>
      <c r="J347" s="638"/>
      <c r="K347" s="746"/>
      <c r="L347" s="521"/>
      <c r="M347" s="818"/>
      <c r="N347" s="818"/>
      <c r="O347" s="638"/>
    </row>
    <row r="348" spans="2:15" s="481" customFormat="1" x14ac:dyDescent="0.3">
      <c r="B348" s="86"/>
      <c r="C348" s="86"/>
      <c r="D348" s="86"/>
      <c r="E348" s="638"/>
      <c r="F348" s="639"/>
      <c r="G348" s="1110"/>
      <c r="H348" s="745"/>
      <c r="I348" s="746"/>
      <c r="J348" s="638"/>
      <c r="K348" s="746"/>
      <c r="L348" s="521"/>
      <c r="M348" s="818"/>
      <c r="N348" s="818"/>
      <c r="O348" s="638"/>
    </row>
    <row r="349" spans="2:15" s="481" customFormat="1" x14ac:dyDescent="0.3">
      <c r="B349" s="86"/>
      <c r="C349" s="86"/>
      <c r="D349" s="86"/>
      <c r="E349" s="638"/>
      <c r="F349" s="639"/>
      <c r="G349" s="1110"/>
      <c r="H349" s="745"/>
      <c r="I349" s="746"/>
      <c r="J349" s="638"/>
      <c r="K349" s="746"/>
      <c r="L349" s="521"/>
      <c r="M349" s="818"/>
      <c r="N349" s="818"/>
      <c r="O349" s="638"/>
    </row>
    <row r="350" spans="2:15" s="481" customFormat="1" x14ac:dyDescent="0.3">
      <c r="B350" s="86"/>
      <c r="C350" s="86"/>
      <c r="D350" s="86"/>
      <c r="E350" s="638"/>
      <c r="F350" s="639"/>
      <c r="G350" s="1110"/>
      <c r="H350" s="745"/>
      <c r="I350" s="746"/>
      <c r="J350" s="638"/>
      <c r="K350" s="746"/>
      <c r="L350" s="521"/>
      <c r="M350" s="818"/>
      <c r="N350" s="818"/>
      <c r="O350" s="638"/>
    </row>
    <row r="351" spans="2:15" s="481" customFormat="1" x14ac:dyDescent="0.3">
      <c r="B351" s="86"/>
      <c r="C351" s="86"/>
      <c r="D351" s="86"/>
      <c r="E351" s="638"/>
      <c r="F351" s="639"/>
      <c r="G351" s="1110"/>
      <c r="H351" s="745"/>
      <c r="I351" s="746"/>
      <c r="J351" s="638"/>
      <c r="K351" s="746"/>
      <c r="L351" s="521"/>
      <c r="M351" s="818"/>
      <c r="N351" s="818"/>
      <c r="O351" s="638"/>
    </row>
    <row r="352" spans="2:15" s="481" customFormat="1" x14ac:dyDescent="0.3">
      <c r="B352" s="86"/>
      <c r="C352" s="86"/>
      <c r="D352" s="86"/>
      <c r="E352" s="638"/>
      <c r="F352" s="639"/>
      <c r="G352" s="1110"/>
      <c r="H352" s="745"/>
      <c r="I352" s="746"/>
      <c r="J352" s="638"/>
      <c r="K352" s="746"/>
      <c r="L352" s="521"/>
      <c r="M352" s="818"/>
      <c r="N352" s="818"/>
      <c r="O352" s="638"/>
    </row>
    <row r="353" spans="2:15" s="481" customFormat="1" x14ac:dyDescent="0.3">
      <c r="B353" s="86"/>
      <c r="C353" s="86"/>
      <c r="D353" s="86"/>
      <c r="E353" s="638"/>
      <c r="F353" s="639"/>
      <c r="G353" s="1110"/>
      <c r="H353" s="745"/>
      <c r="I353" s="746"/>
      <c r="J353" s="638"/>
      <c r="K353" s="746"/>
      <c r="L353" s="521"/>
      <c r="M353" s="818"/>
      <c r="N353" s="818"/>
      <c r="O353" s="638"/>
    </row>
    <row r="354" spans="2:15" s="481" customFormat="1" x14ac:dyDescent="0.3">
      <c r="B354" s="86"/>
      <c r="C354" s="86"/>
      <c r="D354" s="86"/>
      <c r="E354" s="638"/>
      <c r="F354" s="639"/>
      <c r="G354" s="1110"/>
      <c r="H354" s="745"/>
      <c r="I354" s="746"/>
      <c r="J354" s="638"/>
      <c r="K354" s="746"/>
      <c r="L354" s="521"/>
      <c r="M354" s="818"/>
      <c r="N354" s="818"/>
      <c r="O354" s="638"/>
    </row>
    <row r="355" spans="2:15" s="481" customFormat="1" x14ac:dyDescent="0.3">
      <c r="B355" s="86"/>
      <c r="C355" s="86"/>
      <c r="D355" s="86"/>
      <c r="E355" s="638"/>
      <c r="F355" s="639"/>
      <c r="G355" s="1110"/>
      <c r="H355" s="745"/>
      <c r="I355" s="746"/>
      <c r="J355" s="638"/>
      <c r="K355" s="746"/>
      <c r="L355" s="521"/>
      <c r="M355" s="818"/>
      <c r="N355" s="818"/>
      <c r="O355" s="638"/>
    </row>
    <row r="356" spans="2:15" s="481" customFormat="1" x14ac:dyDescent="0.3">
      <c r="B356" s="86"/>
      <c r="C356" s="86"/>
      <c r="D356" s="86"/>
      <c r="E356" s="638"/>
      <c r="F356" s="639"/>
      <c r="G356" s="1110"/>
      <c r="H356" s="745"/>
      <c r="I356" s="746"/>
      <c r="J356" s="638"/>
      <c r="K356" s="746"/>
      <c r="L356" s="521"/>
      <c r="M356" s="818"/>
      <c r="N356" s="818"/>
      <c r="O356" s="638"/>
    </row>
    <row r="357" spans="2:15" s="481" customFormat="1" x14ac:dyDescent="0.3">
      <c r="B357" s="86"/>
      <c r="C357" s="86"/>
      <c r="D357" s="86"/>
      <c r="E357" s="638"/>
      <c r="F357" s="639"/>
      <c r="G357" s="1110"/>
      <c r="H357" s="745"/>
      <c r="I357" s="746"/>
      <c r="J357" s="638"/>
      <c r="K357" s="746"/>
      <c r="L357" s="521"/>
      <c r="M357" s="818"/>
      <c r="N357" s="818"/>
      <c r="O357" s="638"/>
    </row>
    <row r="358" spans="2:15" s="481" customFormat="1" x14ac:dyDescent="0.3">
      <c r="B358" s="86"/>
      <c r="C358" s="86"/>
      <c r="D358" s="86"/>
      <c r="E358" s="638"/>
      <c r="F358" s="639"/>
      <c r="G358" s="1110"/>
      <c r="H358" s="745"/>
      <c r="I358" s="746"/>
      <c r="J358" s="638"/>
      <c r="K358" s="746"/>
      <c r="L358" s="521"/>
      <c r="M358" s="818"/>
      <c r="N358" s="818"/>
      <c r="O358" s="638"/>
    </row>
    <row r="359" spans="2:15" s="481" customFormat="1" x14ac:dyDescent="0.3">
      <c r="B359" s="86"/>
      <c r="C359" s="86"/>
      <c r="D359" s="86"/>
      <c r="E359" s="638"/>
      <c r="F359" s="639"/>
      <c r="G359" s="1110"/>
      <c r="H359" s="745"/>
      <c r="I359" s="746"/>
      <c r="J359" s="638"/>
      <c r="K359" s="746"/>
      <c r="L359" s="521"/>
      <c r="M359" s="818"/>
      <c r="N359" s="818"/>
      <c r="O359" s="638"/>
    </row>
    <row r="360" spans="2:15" s="481" customFormat="1" x14ac:dyDescent="0.3">
      <c r="B360" s="86"/>
      <c r="C360" s="86"/>
      <c r="D360" s="86"/>
      <c r="E360" s="638"/>
      <c r="F360" s="639"/>
      <c r="G360" s="1110"/>
      <c r="H360" s="745"/>
      <c r="I360" s="746"/>
      <c r="J360" s="638"/>
      <c r="K360" s="746"/>
      <c r="L360" s="521"/>
      <c r="M360" s="818"/>
      <c r="N360" s="818"/>
      <c r="O360" s="638"/>
    </row>
    <row r="361" spans="2:15" s="481" customFormat="1" x14ac:dyDescent="0.3">
      <c r="B361" s="86"/>
      <c r="C361" s="86"/>
      <c r="D361" s="86"/>
      <c r="E361" s="638"/>
      <c r="F361" s="639"/>
      <c r="G361" s="1110"/>
      <c r="H361" s="745"/>
      <c r="I361" s="746"/>
      <c r="J361" s="638"/>
      <c r="K361" s="746"/>
      <c r="L361" s="521"/>
      <c r="M361" s="818"/>
      <c r="N361" s="818"/>
      <c r="O361" s="638"/>
    </row>
    <row r="362" spans="2:15" s="481" customFormat="1" x14ac:dyDescent="0.3">
      <c r="B362" s="86"/>
      <c r="C362" s="86"/>
      <c r="D362" s="86"/>
      <c r="E362" s="638"/>
      <c r="F362" s="639"/>
      <c r="G362" s="1110"/>
      <c r="H362" s="745"/>
      <c r="I362" s="746"/>
      <c r="J362" s="638"/>
      <c r="K362" s="746"/>
      <c r="L362" s="521"/>
      <c r="M362" s="818"/>
      <c r="N362" s="818"/>
      <c r="O362" s="638"/>
    </row>
    <row r="363" spans="2:15" s="481" customFormat="1" x14ac:dyDescent="0.3">
      <c r="B363" s="86"/>
      <c r="C363" s="86"/>
      <c r="D363" s="86"/>
      <c r="E363" s="638"/>
      <c r="F363" s="639"/>
      <c r="G363" s="1110"/>
      <c r="H363" s="745"/>
      <c r="I363" s="746"/>
      <c r="J363" s="638"/>
      <c r="K363" s="746"/>
      <c r="L363" s="521"/>
      <c r="M363" s="818"/>
      <c r="N363" s="818"/>
      <c r="O363" s="638"/>
    </row>
    <row r="364" spans="2:15" s="481" customFormat="1" x14ac:dyDescent="0.3">
      <c r="B364" s="86"/>
      <c r="C364" s="86"/>
      <c r="D364" s="86"/>
      <c r="E364" s="638"/>
      <c r="F364" s="639"/>
      <c r="G364" s="1110"/>
      <c r="H364" s="745"/>
      <c r="I364" s="746"/>
      <c r="J364" s="638"/>
      <c r="K364" s="746"/>
      <c r="L364" s="521"/>
      <c r="M364" s="818"/>
      <c r="N364" s="818"/>
      <c r="O364" s="638"/>
    </row>
    <row r="365" spans="2:15" s="481" customFormat="1" x14ac:dyDescent="0.3">
      <c r="B365" s="86"/>
      <c r="C365" s="86"/>
      <c r="D365" s="86"/>
      <c r="E365" s="638"/>
      <c r="F365" s="639"/>
      <c r="G365" s="1110"/>
      <c r="H365" s="745"/>
      <c r="I365" s="746"/>
      <c r="J365" s="638"/>
      <c r="K365" s="746"/>
      <c r="L365" s="521"/>
      <c r="M365" s="818"/>
      <c r="N365" s="818"/>
      <c r="O365" s="638"/>
    </row>
    <row r="366" spans="2:15" s="481" customFormat="1" x14ac:dyDescent="0.3">
      <c r="B366" s="86"/>
      <c r="C366" s="86"/>
      <c r="D366" s="86"/>
      <c r="E366" s="638"/>
      <c r="F366" s="639"/>
      <c r="G366" s="1110"/>
      <c r="H366" s="745"/>
      <c r="I366" s="746"/>
      <c r="J366" s="638"/>
      <c r="K366" s="746"/>
      <c r="L366" s="521"/>
      <c r="M366" s="818"/>
      <c r="N366" s="818"/>
      <c r="O366" s="638"/>
    </row>
    <row r="367" spans="2:15" s="481" customFormat="1" x14ac:dyDescent="0.3">
      <c r="B367" s="86"/>
      <c r="C367" s="86"/>
      <c r="D367" s="86"/>
      <c r="E367" s="638"/>
      <c r="F367" s="639"/>
      <c r="G367" s="1110"/>
      <c r="H367" s="745"/>
      <c r="I367" s="746"/>
      <c r="J367" s="638"/>
      <c r="K367" s="746"/>
      <c r="L367" s="521"/>
      <c r="M367" s="818"/>
      <c r="N367" s="818"/>
      <c r="O367" s="638"/>
    </row>
    <row r="368" spans="2:15" s="481" customFormat="1" x14ac:dyDescent="0.3">
      <c r="B368" s="86"/>
      <c r="C368" s="86"/>
      <c r="D368" s="86"/>
      <c r="E368" s="638"/>
      <c r="F368" s="639"/>
      <c r="G368" s="1110"/>
      <c r="H368" s="745"/>
      <c r="I368" s="746"/>
      <c r="J368" s="638"/>
      <c r="K368" s="746"/>
      <c r="L368" s="521"/>
      <c r="M368" s="818"/>
      <c r="N368" s="818"/>
      <c r="O368" s="638"/>
    </row>
    <row r="369" spans="2:15" s="481" customFormat="1" x14ac:dyDescent="0.3">
      <c r="B369" s="86"/>
      <c r="C369" s="86"/>
      <c r="D369" s="86"/>
      <c r="E369" s="638"/>
      <c r="F369" s="639"/>
      <c r="G369" s="1110"/>
      <c r="H369" s="745"/>
      <c r="I369" s="746"/>
      <c r="J369" s="638"/>
      <c r="K369" s="746"/>
      <c r="L369" s="521"/>
      <c r="M369" s="818"/>
      <c r="N369" s="818"/>
      <c r="O369" s="638"/>
    </row>
    <row r="370" spans="2:15" s="481" customFormat="1" x14ac:dyDescent="0.3">
      <c r="B370" s="86"/>
      <c r="C370" s="86"/>
      <c r="D370" s="86"/>
      <c r="E370" s="638"/>
      <c r="F370" s="639"/>
      <c r="G370" s="1110"/>
      <c r="H370" s="745"/>
      <c r="I370" s="746"/>
      <c r="J370" s="638"/>
      <c r="K370" s="746"/>
      <c r="L370" s="521"/>
      <c r="M370" s="818"/>
      <c r="N370" s="818"/>
      <c r="O370" s="638"/>
    </row>
    <row r="371" spans="2:15" s="481" customFormat="1" x14ac:dyDescent="0.3">
      <c r="B371" s="86"/>
      <c r="C371" s="86"/>
      <c r="D371" s="86"/>
      <c r="E371" s="638"/>
      <c r="F371" s="639"/>
      <c r="G371" s="1110"/>
      <c r="H371" s="745"/>
      <c r="I371" s="746"/>
      <c r="J371" s="638"/>
      <c r="K371" s="746"/>
      <c r="L371" s="521"/>
      <c r="M371" s="818"/>
      <c r="N371" s="818"/>
      <c r="O371" s="638"/>
    </row>
    <row r="372" spans="2:15" s="481" customFormat="1" x14ac:dyDescent="0.3">
      <c r="B372" s="86"/>
      <c r="C372" s="86"/>
      <c r="D372" s="86"/>
      <c r="E372" s="638"/>
      <c r="F372" s="639"/>
      <c r="G372" s="1110"/>
      <c r="H372" s="745"/>
      <c r="I372" s="746"/>
      <c r="J372" s="638"/>
      <c r="K372" s="746"/>
      <c r="L372" s="521"/>
      <c r="M372" s="818"/>
      <c r="N372" s="818"/>
      <c r="O372" s="638"/>
    </row>
    <row r="373" spans="2:15" s="481" customFormat="1" x14ac:dyDescent="0.3">
      <c r="B373" s="86"/>
      <c r="C373" s="86"/>
      <c r="D373" s="86"/>
      <c r="E373" s="638"/>
      <c r="F373" s="639"/>
      <c r="G373" s="1110"/>
      <c r="H373" s="745"/>
      <c r="I373" s="746"/>
      <c r="J373" s="638"/>
      <c r="K373" s="746"/>
      <c r="L373" s="521"/>
      <c r="M373" s="818"/>
      <c r="N373" s="818"/>
      <c r="O373" s="638"/>
    </row>
    <row r="374" spans="2:15" s="481" customFormat="1" x14ac:dyDescent="0.3">
      <c r="B374" s="86"/>
      <c r="C374" s="86"/>
      <c r="D374" s="86"/>
      <c r="E374" s="638"/>
      <c r="F374" s="639"/>
      <c r="G374" s="1110"/>
      <c r="H374" s="745"/>
      <c r="I374" s="746"/>
      <c r="J374" s="638"/>
      <c r="K374" s="746"/>
      <c r="L374" s="521"/>
      <c r="M374" s="818"/>
      <c r="N374" s="818"/>
      <c r="O374" s="638"/>
    </row>
    <row r="375" spans="2:15" s="481" customFormat="1" x14ac:dyDescent="0.3">
      <c r="B375" s="86"/>
      <c r="C375" s="86"/>
      <c r="D375" s="86"/>
      <c r="E375" s="638"/>
      <c r="F375" s="639"/>
      <c r="G375" s="1110"/>
      <c r="H375" s="745"/>
      <c r="I375" s="746"/>
      <c r="J375" s="638"/>
      <c r="K375" s="746"/>
      <c r="L375" s="521"/>
      <c r="M375" s="818"/>
      <c r="N375" s="818"/>
      <c r="O375" s="638"/>
    </row>
    <row r="376" spans="2:15" s="481" customFormat="1" x14ac:dyDescent="0.3">
      <c r="B376" s="86"/>
      <c r="C376" s="86"/>
      <c r="D376" s="86"/>
      <c r="E376" s="638"/>
      <c r="F376" s="639"/>
      <c r="G376" s="1110"/>
      <c r="H376" s="745"/>
      <c r="I376" s="746"/>
      <c r="J376" s="638"/>
      <c r="K376" s="746"/>
      <c r="L376" s="521"/>
      <c r="M376" s="818"/>
      <c r="N376" s="818"/>
      <c r="O376" s="638"/>
    </row>
    <row r="377" spans="2:15" s="481" customFormat="1" x14ac:dyDescent="0.3">
      <c r="B377" s="86"/>
      <c r="C377" s="86"/>
      <c r="D377" s="86"/>
      <c r="E377" s="638"/>
      <c r="F377" s="639"/>
      <c r="G377" s="1110"/>
      <c r="H377" s="745"/>
      <c r="I377" s="746"/>
      <c r="J377" s="638"/>
      <c r="K377" s="746"/>
      <c r="L377" s="521"/>
      <c r="M377" s="818"/>
      <c r="N377" s="818"/>
      <c r="O377" s="638"/>
    </row>
    <row r="378" spans="2:15" s="481" customFormat="1" x14ac:dyDescent="0.3">
      <c r="B378" s="86"/>
      <c r="C378" s="86"/>
      <c r="D378" s="86"/>
      <c r="E378" s="638"/>
      <c r="F378" s="639"/>
      <c r="G378" s="1110"/>
      <c r="H378" s="745"/>
      <c r="I378" s="746"/>
      <c r="J378" s="638"/>
      <c r="K378" s="746"/>
      <c r="L378" s="521"/>
      <c r="M378" s="818"/>
      <c r="N378" s="818"/>
      <c r="O378" s="638"/>
    </row>
    <row r="379" spans="2:15" s="481" customFormat="1" x14ac:dyDescent="0.3">
      <c r="B379" s="86"/>
      <c r="C379" s="86"/>
      <c r="D379" s="86"/>
      <c r="E379" s="638"/>
      <c r="F379" s="639"/>
      <c r="G379" s="1110"/>
      <c r="H379" s="745"/>
      <c r="I379" s="746"/>
      <c r="J379" s="638"/>
      <c r="K379" s="746"/>
      <c r="L379" s="521"/>
      <c r="M379" s="818"/>
      <c r="N379" s="818"/>
      <c r="O379" s="638"/>
    </row>
    <row r="380" spans="2:15" s="481" customFormat="1" x14ac:dyDescent="0.3">
      <c r="B380" s="86"/>
      <c r="C380" s="86"/>
      <c r="D380" s="86"/>
      <c r="E380" s="638"/>
      <c r="F380" s="639"/>
      <c r="G380" s="1110"/>
      <c r="H380" s="745"/>
      <c r="I380" s="746"/>
      <c r="J380" s="638"/>
      <c r="K380" s="746"/>
      <c r="L380" s="521"/>
      <c r="M380" s="818"/>
      <c r="N380" s="818"/>
      <c r="O380" s="638"/>
    </row>
    <row r="381" spans="2:15" s="481" customFormat="1" x14ac:dyDescent="0.3">
      <c r="B381" s="86"/>
      <c r="C381" s="86"/>
      <c r="D381" s="86"/>
      <c r="E381" s="638"/>
      <c r="F381" s="639"/>
      <c r="G381" s="1110"/>
      <c r="H381" s="745"/>
      <c r="I381" s="746"/>
      <c r="J381" s="638"/>
      <c r="K381" s="746"/>
      <c r="L381" s="521"/>
      <c r="M381" s="818"/>
      <c r="N381" s="818"/>
      <c r="O381" s="638"/>
    </row>
    <row r="382" spans="2:15" s="481" customFormat="1" x14ac:dyDescent="0.3">
      <c r="B382" s="86"/>
      <c r="C382" s="86"/>
      <c r="D382" s="86"/>
      <c r="E382" s="638"/>
      <c r="F382" s="639"/>
      <c r="G382" s="1110"/>
      <c r="H382" s="745"/>
      <c r="I382" s="746"/>
      <c r="J382" s="638"/>
      <c r="K382" s="746"/>
      <c r="L382" s="521"/>
      <c r="M382" s="818"/>
      <c r="N382" s="818"/>
      <c r="O382" s="638"/>
    </row>
    <row r="383" spans="2:15" s="481" customFormat="1" x14ac:dyDescent="0.3">
      <c r="B383" s="86"/>
      <c r="C383" s="86"/>
      <c r="D383" s="86"/>
      <c r="E383" s="638"/>
      <c r="F383" s="639"/>
      <c r="G383" s="1110"/>
      <c r="H383" s="745"/>
      <c r="I383" s="746"/>
      <c r="J383" s="638"/>
      <c r="K383" s="746"/>
      <c r="L383" s="521"/>
      <c r="M383" s="818"/>
      <c r="N383" s="818"/>
      <c r="O383" s="638"/>
    </row>
    <row r="384" spans="2:15" s="481" customFormat="1" x14ac:dyDescent="0.3">
      <c r="B384" s="86"/>
      <c r="C384" s="86"/>
      <c r="D384" s="86"/>
      <c r="E384" s="638"/>
      <c r="F384" s="639"/>
      <c r="G384" s="1110"/>
      <c r="H384" s="745"/>
      <c r="I384" s="746"/>
      <c r="J384" s="638"/>
      <c r="K384" s="746"/>
      <c r="L384" s="521"/>
      <c r="M384" s="818"/>
      <c r="N384" s="818"/>
      <c r="O384" s="638"/>
    </row>
    <row r="385" spans="2:15" s="481" customFormat="1" x14ac:dyDescent="0.3">
      <c r="B385" s="86"/>
      <c r="C385" s="86"/>
      <c r="D385" s="86"/>
      <c r="E385" s="638"/>
      <c r="F385" s="639"/>
      <c r="G385" s="1110"/>
      <c r="H385" s="745"/>
      <c r="I385" s="746"/>
      <c r="J385" s="638"/>
      <c r="K385" s="746"/>
      <c r="L385" s="521"/>
      <c r="M385" s="818"/>
      <c r="N385" s="818"/>
      <c r="O385" s="638"/>
    </row>
    <row r="386" spans="2:15" s="481" customFormat="1" x14ac:dyDescent="0.3">
      <c r="B386" s="86"/>
      <c r="C386" s="86"/>
      <c r="D386" s="86"/>
      <c r="E386" s="638"/>
      <c r="F386" s="639"/>
      <c r="G386" s="1110"/>
      <c r="H386" s="745"/>
      <c r="I386" s="746"/>
      <c r="J386" s="638"/>
      <c r="K386" s="746"/>
      <c r="L386" s="521"/>
      <c r="M386" s="818"/>
      <c r="N386" s="818"/>
      <c r="O386" s="638"/>
    </row>
    <row r="387" spans="2:15" s="481" customFormat="1" x14ac:dyDescent="0.3">
      <c r="B387" s="86"/>
      <c r="C387" s="86"/>
      <c r="D387" s="86"/>
      <c r="E387" s="638"/>
      <c r="F387" s="639"/>
      <c r="G387" s="1110"/>
      <c r="H387" s="745"/>
      <c r="I387" s="746"/>
      <c r="J387" s="638"/>
      <c r="K387" s="746"/>
      <c r="L387" s="521"/>
      <c r="M387" s="818"/>
      <c r="N387" s="818"/>
      <c r="O387" s="638"/>
    </row>
    <row r="388" spans="2:15" s="481" customFormat="1" x14ac:dyDescent="0.3">
      <c r="B388" s="86"/>
      <c r="C388" s="86"/>
      <c r="D388" s="86"/>
      <c r="E388" s="638"/>
      <c r="F388" s="639"/>
      <c r="G388" s="1110"/>
      <c r="H388" s="745"/>
      <c r="I388" s="746"/>
      <c r="J388" s="638"/>
      <c r="K388" s="746"/>
      <c r="L388" s="521"/>
      <c r="M388" s="818"/>
      <c r="N388" s="818"/>
      <c r="O388" s="638"/>
    </row>
    <row r="389" spans="2:15" s="481" customFormat="1" x14ac:dyDescent="0.3">
      <c r="B389" s="86"/>
      <c r="C389" s="86"/>
      <c r="D389" s="86"/>
      <c r="E389" s="638"/>
      <c r="F389" s="639"/>
      <c r="G389" s="1110"/>
      <c r="H389" s="745"/>
      <c r="I389" s="746"/>
      <c r="J389" s="638"/>
      <c r="K389" s="746"/>
      <c r="L389" s="521"/>
      <c r="M389" s="818"/>
      <c r="N389" s="818"/>
      <c r="O389" s="638"/>
    </row>
    <row r="390" spans="2:15" s="481" customFormat="1" x14ac:dyDescent="0.3">
      <c r="B390" s="86"/>
      <c r="C390" s="86"/>
      <c r="D390" s="86"/>
      <c r="E390" s="638"/>
      <c r="F390" s="639"/>
      <c r="G390" s="1110"/>
      <c r="H390" s="745"/>
      <c r="I390" s="746"/>
      <c r="J390" s="638"/>
      <c r="K390" s="746"/>
      <c r="L390" s="521"/>
      <c r="M390" s="818"/>
      <c r="N390" s="818"/>
      <c r="O390" s="638"/>
    </row>
    <row r="391" spans="2:15" s="481" customFormat="1" x14ac:dyDescent="0.3">
      <c r="B391" s="86"/>
      <c r="C391" s="86"/>
      <c r="D391" s="86"/>
      <c r="E391" s="638"/>
      <c r="F391" s="639"/>
      <c r="G391" s="1110"/>
      <c r="H391" s="745"/>
      <c r="I391" s="746"/>
      <c r="J391" s="638"/>
      <c r="K391" s="746"/>
      <c r="L391" s="521"/>
      <c r="M391" s="818"/>
      <c r="N391" s="818"/>
      <c r="O391" s="638"/>
    </row>
    <row r="392" spans="2:15" s="481" customFormat="1" x14ac:dyDescent="0.3">
      <c r="B392" s="86"/>
      <c r="C392" s="86"/>
      <c r="D392" s="86"/>
      <c r="E392" s="638"/>
      <c r="F392" s="639"/>
      <c r="G392" s="1110"/>
      <c r="H392" s="745"/>
      <c r="I392" s="746"/>
      <c r="J392" s="638"/>
      <c r="K392" s="746"/>
      <c r="L392" s="521"/>
      <c r="M392" s="818"/>
      <c r="N392" s="818"/>
      <c r="O392" s="638"/>
    </row>
    <row r="393" spans="2:15" s="481" customFormat="1" x14ac:dyDescent="0.3">
      <c r="B393" s="86"/>
      <c r="C393" s="86"/>
      <c r="D393" s="86"/>
      <c r="E393" s="638"/>
      <c r="F393" s="639"/>
      <c r="G393" s="1110"/>
      <c r="H393" s="745"/>
      <c r="I393" s="746"/>
      <c r="J393" s="638"/>
      <c r="K393" s="746"/>
      <c r="L393" s="521"/>
      <c r="M393" s="818"/>
      <c r="N393" s="818"/>
      <c r="O393" s="638"/>
    </row>
    <row r="394" spans="2:15" s="481" customFormat="1" x14ac:dyDescent="0.3">
      <c r="B394" s="86"/>
      <c r="C394" s="86"/>
      <c r="D394" s="86"/>
      <c r="E394" s="638"/>
      <c r="F394" s="639"/>
      <c r="G394" s="1110"/>
      <c r="H394" s="745"/>
      <c r="I394" s="746"/>
      <c r="J394" s="638"/>
      <c r="K394" s="746"/>
      <c r="L394" s="521"/>
      <c r="M394" s="818"/>
      <c r="N394" s="818"/>
      <c r="O394" s="638"/>
    </row>
    <row r="395" spans="2:15" s="481" customFormat="1" x14ac:dyDescent="0.3">
      <c r="B395" s="86"/>
      <c r="C395" s="86"/>
      <c r="D395" s="86"/>
      <c r="E395" s="638"/>
      <c r="F395" s="639"/>
      <c r="G395" s="1110"/>
      <c r="H395" s="745"/>
      <c r="I395" s="746"/>
      <c r="J395" s="638"/>
      <c r="K395" s="746"/>
      <c r="L395" s="521"/>
      <c r="M395" s="818"/>
      <c r="N395" s="818"/>
      <c r="O395" s="638"/>
    </row>
    <row r="396" spans="2:15" s="481" customFormat="1" x14ac:dyDescent="0.3">
      <c r="B396" s="86"/>
      <c r="C396" s="86"/>
      <c r="D396" s="86"/>
      <c r="E396" s="638"/>
      <c r="F396" s="639"/>
      <c r="G396" s="1110"/>
      <c r="H396" s="745"/>
      <c r="I396" s="746"/>
      <c r="J396" s="638"/>
      <c r="K396" s="746"/>
      <c r="L396" s="521"/>
      <c r="M396" s="818"/>
      <c r="N396" s="818"/>
      <c r="O396" s="638"/>
    </row>
    <row r="397" spans="2:15" s="481" customFormat="1" x14ac:dyDescent="0.3">
      <c r="B397" s="86"/>
      <c r="C397" s="86"/>
      <c r="D397" s="86"/>
      <c r="E397" s="638"/>
      <c r="F397" s="639"/>
      <c r="G397" s="1110"/>
      <c r="H397" s="745"/>
      <c r="I397" s="746"/>
      <c r="J397" s="638"/>
      <c r="K397" s="746"/>
      <c r="L397" s="521"/>
      <c r="M397" s="818"/>
      <c r="N397" s="818"/>
      <c r="O397" s="638"/>
    </row>
    <row r="398" spans="2:15" s="481" customFormat="1" x14ac:dyDescent="0.3">
      <c r="B398" s="86"/>
      <c r="C398" s="86"/>
      <c r="D398" s="86"/>
      <c r="E398" s="638"/>
      <c r="F398" s="639"/>
      <c r="G398" s="1110"/>
      <c r="H398" s="745"/>
      <c r="I398" s="746"/>
      <c r="J398" s="638"/>
      <c r="K398" s="746"/>
      <c r="L398" s="521"/>
      <c r="M398" s="818"/>
      <c r="N398" s="818"/>
      <c r="O398" s="638"/>
    </row>
    <row r="399" spans="2:15" s="481" customFormat="1" x14ac:dyDescent="0.3">
      <c r="B399" s="86"/>
      <c r="C399" s="86"/>
      <c r="D399" s="86"/>
      <c r="E399" s="638"/>
      <c r="F399" s="639"/>
      <c r="G399" s="1110"/>
      <c r="H399" s="745"/>
      <c r="I399" s="746"/>
      <c r="J399" s="638"/>
      <c r="K399" s="746"/>
      <c r="L399" s="521"/>
      <c r="M399" s="818"/>
      <c r="N399" s="818"/>
      <c r="O399" s="638"/>
    </row>
    <row r="400" spans="2:15" s="481" customFormat="1" x14ac:dyDescent="0.3">
      <c r="B400" s="86"/>
      <c r="C400" s="86"/>
      <c r="D400" s="86"/>
      <c r="E400" s="638"/>
      <c r="F400" s="639"/>
      <c r="G400" s="1110"/>
      <c r="H400" s="745"/>
      <c r="I400" s="746"/>
      <c r="J400" s="638"/>
      <c r="K400" s="746"/>
      <c r="L400" s="521"/>
      <c r="M400" s="818"/>
      <c r="N400" s="818"/>
      <c r="O400" s="638"/>
    </row>
    <row r="401" spans="2:15" s="481" customFormat="1" x14ac:dyDescent="0.3">
      <c r="B401" s="86"/>
      <c r="C401" s="86"/>
      <c r="D401" s="86"/>
      <c r="E401" s="638"/>
      <c r="F401" s="639"/>
      <c r="G401" s="1110"/>
      <c r="H401" s="745"/>
      <c r="I401" s="746"/>
      <c r="J401" s="638"/>
      <c r="K401" s="746"/>
      <c r="L401" s="521"/>
      <c r="M401" s="818"/>
      <c r="N401" s="818"/>
      <c r="O401" s="638"/>
    </row>
    <row r="402" spans="2:15" s="481" customFormat="1" x14ac:dyDescent="0.3">
      <c r="B402" s="86"/>
      <c r="C402" s="86"/>
      <c r="D402" s="86"/>
      <c r="E402" s="638"/>
      <c r="F402" s="639"/>
      <c r="G402" s="1110"/>
      <c r="H402" s="745"/>
      <c r="I402" s="746"/>
      <c r="J402" s="638"/>
      <c r="K402" s="746"/>
      <c r="L402" s="521"/>
      <c r="M402" s="818"/>
      <c r="N402" s="818"/>
      <c r="O402" s="638"/>
    </row>
    <row r="403" spans="2:15" s="481" customFormat="1" x14ac:dyDescent="0.3">
      <c r="B403" s="86"/>
      <c r="C403" s="86"/>
      <c r="D403" s="86"/>
      <c r="E403" s="638"/>
      <c r="F403" s="639"/>
      <c r="G403" s="1110"/>
      <c r="H403" s="745"/>
      <c r="I403" s="746"/>
      <c r="J403" s="638"/>
      <c r="K403" s="746"/>
      <c r="L403" s="521"/>
      <c r="M403" s="818"/>
      <c r="N403" s="818"/>
      <c r="O403" s="638"/>
    </row>
    <row r="404" spans="2:15" s="481" customFormat="1" x14ac:dyDescent="0.3">
      <c r="B404" s="86"/>
      <c r="C404" s="86"/>
      <c r="D404" s="86"/>
      <c r="E404" s="638"/>
      <c r="F404" s="639"/>
      <c r="G404" s="1110"/>
      <c r="H404" s="745"/>
      <c r="I404" s="746"/>
      <c r="J404" s="638"/>
      <c r="K404" s="746"/>
      <c r="L404" s="521"/>
      <c r="M404" s="818"/>
      <c r="N404" s="818"/>
      <c r="O404" s="638"/>
    </row>
    <row r="405" spans="2:15" s="481" customFormat="1" x14ac:dyDescent="0.3">
      <c r="B405" s="86"/>
      <c r="C405" s="86"/>
      <c r="D405" s="86"/>
      <c r="E405" s="638"/>
      <c r="F405" s="639"/>
      <c r="G405" s="1110"/>
      <c r="H405" s="745"/>
      <c r="I405" s="746"/>
      <c r="J405" s="638"/>
      <c r="K405" s="746"/>
      <c r="L405" s="521"/>
      <c r="M405" s="818"/>
      <c r="N405" s="818"/>
      <c r="O405" s="638"/>
    </row>
    <row r="406" spans="2:15" s="481" customFormat="1" x14ac:dyDescent="0.3">
      <c r="B406" s="86"/>
      <c r="C406" s="86"/>
      <c r="D406" s="86"/>
      <c r="E406" s="638"/>
      <c r="F406" s="639"/>
      <c r="G406" s="1110"/>
      <c r="H406" s="745"/>
      <c r="I406" s="746"/>
      <c r="J406" s="638"/>
      <c r="K406" s="746"/>
      <c r="L406" s="521"/>
      <c r="M406" s="818"/>
      <c r="N406" s="818"/>
      <c r="O406" s="638"/>
    </row>
    <row r="407" spans="2:15" s="481" customFormat="1" x14ac:dyDescent="0.3">
      <c r="B407" s="86"/>
      <c r="C407" s="86"/>
      <c r="D407" s="86"/>
      <c r="E407" s="638"/>
      <c r="F407" s="639"/>
      <c r="G407" s="1110"/>
      <c r="H407" s="745"/>
      <c r="I407" s="746"/>
      <c r="J407" s="638"/>
      <c r="K407" s="746"/>
      <c r="L407" s="521"/>
      <c r="M407" s="818"/>
      <c r="N407" s="818"/>
      <c r="O407" s="638"/>
    </row>
    <row r="408" spans="2:15" s="481" customFormat="1" x14ac:dyDescent="0.3">
      <c r="B408" s="86"/>
      <c r="C408" s="86"/>
      <c r="D408" s="86"/>
      <c r="E408" s="638"/>
      <c r="F408" s="639"/>
      <c r="G408" s="1110"/>
      <c r="H408" s="745"/>
      <c r="I408" s="746"/>
      <c r="J408" s="638"/>
      <c r="K408" s="746"/>
      <c r="L408" s="521"/>
      <c r="M408" s="818"/>
      <c r="N408" s="818"/>
      <c r="O408" s="638"/>
    </row>
    <row r="409" spans="2:15" s="481" customFormat="1" x14ac:dyDescent="0.3">
      <c r="B409" s="86"/>
      <c r="C409" s="86"/>
      <c r="D409" s="86"/>
      <c r="E409" s="638"/>
      <c r="F409" s="639"/>
      <c r="G409" s="1110"/>
      <c r="H409" s="745"/>
      <c r="I409" s="746"/>
      <c r="J409" s="638"/>
      <c r="K409" s="746"/>
      <c r="L409" s="521"/>
      <c r="M409" s="818"/>
      <c r="N409" s="818"/>
      <c r="O409" s="638"/>
    </row>
    <row r="410" spans="2:15" s="481" customFormat="1" x14ac:dyDescent="0.3">
      <c r="B410" s="86"/>
      <c r="C410" s="86"/>
      <c r="D410" s="86"/>
      <c r="E410" s="638"/>
      <c r="F410" s="639"/>
      <c r="G410" s="1110"/>
      <c r="H410" s="745"/>
      <c r="I410" s="746"/>
      <c r="J410" s="638"/>
      <c r="K410" s="746"/>
      <c r="L410" s="521"/>
      <c r="M410" s="818"/>
      <c r="N410" s="818"/>
      <c r="O410" s="638"/>
    </row>
    <row r="411" spans="2:15" s="481" customFormat="1" x14ac:dyDescent="0.3">
      <c r="B411" s="86"/>
      <c r="C411" s="86"/>
      <c r="D411" s="86"/>
      <c r="E411" s="638"/>
      <c r="F411" s="639"/>
      <c r="G411" s="1110"/>
      <c r="H411" s="745"/>
      <c r="I411" s="746"/>
      <c r="J411" s="638"/>
      <c r="K411" s="746"/>
      <c r="L411" s="521"/>
      <c r="M411" s="818"/>
      <c r="N411" s="818"/>
      <c r="O411" s="638"/>
    </row>
    <row r="412" spans="2:15" s="481" customFormat="1" x14ac:dyDescent="0.3">
      <c r="B412" s="86"/>
      <c r="C412" s="86"/>
      <c r="D412" s="86"/>
      <c r="E412" s="638"/>
      <c r="F412" s="639"/>
      <c r="G412" s="1110"/>
      <c r="H412" s="745"/>
      <c r="I412" s="746"/>
      <c r="J412" s="638"/>
      <c r="K412" s="746"/>
      <c r="L412" s="521"/>
      <c r="M412" s="818"/>
      <c r="N412" s="818"/>
      <c r="O412" s="638"/>
    </row>
    <row r="413" spans="2:15" s="481" customFormat="1" x14ac:dyDescent="0.3">
      <c r="B413" s="86"/>
      <c r="C413" s="86"/>
      <c r="D413" s="86"/>
      <c r="E413" s="638"/>
      <c r="F413" s="639"/>
      <c r="G413" s="1110"/>
      <c r="H413" s="745"/>
      <c r="I413" s="746"/>
      <c r="J413" s="638"/>
      <c r="K413" s="746"/>
      <c r="L413" s="521"/>
      <c r="M413" s="818"/>
      <c r="N413" s="818"/>
      <c r="O413" s="638"/>
    </row>
    <row r="414" spans="2:15" s="481" customFormat="1" x14ac:dyDescent="0.3">
      <c r="B414" s="86"/>
      <c r="C414" s="86"/>
      <c r="D414" s="86"/>
      <c r="E414" s="638"/>
      <c r="F414" s="639"/>
      <c r="G414" s="1110"/>
      <c r="H414" s="745"/>
      <c r="I414" s="746"/>
      <c r="J414" s="638"/>
      <c r="K414" s="746"/>
      <c r="L414" s="521"/>
      <c r="M414" s="818"/>
      <c r="N414" s="818"/>
      <c r="O414" s="638"/>
    </row>
    <row r="415" spans="2:15" s="481" customFormat="1" x14ac:dyDescent="0.3">
      <c r="B415" s="86"/>
      <c r="C415" s="86"/>
      <c r="D415" s="86"/>
      <c r="E415" s="638"/>
      <c r="F415" s="639"/>
      <c r="G415" s="1110"/>
      <c r="H415" s="745"/>
      <c r="I415" s="746"/>
      <c r="J415" s="638"/>
      <c r="K415" s="746"/>
      <c r="L415" s="521"/>
      <c r="M415" s="818"/>
      <c r="N415" s="818"/>
      <c r="O415" s="638"/>
    </row>
    <row r="416" spans="2:15" s="481" customFormat="1" x14ac:dyDescent="0.3">
      <c r="B416" s="86"/>
      <c r="C416" s="86"/>
      <c r="D416" s="86"/>
      <c r="E416" s="638"/>
      <c r="F416" s="639"/>
      <c r="G416" s="1110"/>
      <c r="H416" s="745"/>
      <c r="I416" s="746"/>
      <c r="J416" s="638"/>
      <c r="K416" s="746"/>
      <c r="L416" s="521"/>
      <c r="M416" s="818"/>
      <c r="N416" s="818"/>
      <c r="O416" s="638"/>
    </row>
    <row r="417" spans="2:15" s="481" customFormat="1" x14ac:dyDescent="0.3">
      <c r="B417" s="86"/>
      <c r="C417" s="86"/>
      <c r="D417" s="86"/>
      <c r="E417" s="638"/>
      <c r="F417" s="639"/>
      <c r="G417" s="1110"/>
      <c r="H417" s="745"/>
      <c r="I417" s="746"/>
      <c r="J417" s="638"/>
      <c r="K417" s="746"/>
      <c r="L417" s="521"/>
      <c r="M417" s="818"/>
      <c r="N417" s="818"/>
      <c r="O417" s="638"/>
    </row>
    <row r="418" spans="2:15" s="481" customFormat="1" x14ac:dyDescent="0.3">
      <c r="B418" s="86"/>
      <c r="C418" s="86"/>
      <c r="D418" s="86"/>
      <c r="E418" s="638"/>
      <c r="F418" s="639"/>
      <c r="G418" s="1110"/>
      <c r="H418" s="745"/>
      <c r="I418" s="746"/>
      <c r="J418" s="638"/>
      <c r="K418" s="746"/>
      <c r="L418" s="521"/>
      <c r="M418" s="818"/>
      <c r="N418" s="818"/>
      <c r="O418" s="638"/>
    </row>
    <row r="419" spans="2:15" s="481" customFormat="1" x14ac:dyDescent="0.3">
      <c r="B419" s="86"/>
      <c r="C419" s="86"/>
      <c r="D419" s="86"/>
      <c r="E419" s="638"/>
      <c r="F419" s="639"/>
      <c r="G419" s="1110"/>
      <c r="H419" s="745"/>
      <c r="I419" s="746"/>
      <c r="J419" s="638"/>
      <c r="K419" s="746"/>
      <c r="L419" s="521"/>
      <c r="M419" s="818"/>
      <c r="N419" s="818"/>
      <c r="O419" s="638"/>
    </row>
    <row r="420" spans="2:15" s="481" customFormat="1" x14ac:dyDescent="0.3">
      <c r="B420" s="86"/>
      <c r="C420" s="86"/>
      <c r="D420" s="86"/>
      <c r="E420" s="638"/>
      <c r="F420" s="639"/>
      <c r="G420" s="1110"/>
      <c r="H420" s="745"/>
      <c r="I420" s="746"/>
      <c r="J420" s="638"/>
      <c r="K420" s="746"/>
      <c r="L420" s="521"/>
      <c r="M420" s="818"/>
      <c r="N420" s="818"/>
      <c r="O420" s="638"/>
    </row>
    <row r="421" spans="2:15" s="481" customFormat="1" x14ac:dyDescent="0.3">
      <c r="B421" s="86"/>
      <c r="C421" s="86"/>
      <c r="D421" s="86"/>
      <c r="E421" s="638"/>
      <c r="F421" s="639"/>
      <c r="G421" s="1110"/>
      <c r="H421" s="745"/>
      <c r="I421" s="746"/>
      <c r="J421" s="638"/>
      <c r="K421" s="746"/>
      <c r="L421" s="521"/>
      <c r="M421" s="818"/>
      <c r="N421" s="818"/>
      <c r="O421" s="638"/>
    </row>
    <row r="422" spans="2:15" s="481" customFormat="1" x14ac:dyDescent="0.3">
      <c r="B422" s="86"/>
      <c r="C422" s="86"/>
      <c r="D422" s="86"/>
      <c r="E422" s="638"/>
      <c r="F422" s="639"/>
      <c r="G422" s="1110"/>
      <c r="H422" s="745"/>
      <c r="I422" s="746"/>
      <c r="J422" s="638"/>
      <c r="K422" s="746"/>
      <c r="L422" s="521"/>
      <c r="M422" s="818"/>
      <c r="N422" s="818"/>
      <c r="O422" s="638"/>
    </row>
    <row r="423" spans="2:15" s="481" customFormat="1" x14ac:dyDescent="0.3">
      <c r="B423" s="86"/>
      <c r="C423" s="86"/>
      <c r="D423" s="86"/>
      <c r="E423" s="638"/>
      <c r="F423" s="639"/>
      <c r="G423" s="1110"/>
      <c r="H423" s="745"/>
      <c r="I423" s="746"/>
      <c r="J423" s="638"/>
      <c r="K423" s="746"/>
      <c r="L423" s="521"/>
      <c r="M423" s="818"/>
      <c r="N423" s="818"/>
      <c r="O423" s="638"/>
    </row>
    <row r="424" spans="2:15" s="481" customFormat="1" x14ac:dyDescent="0.3">
      <c r="B424" s="86"/>
      <c r="C424" s="86"/>
      <c r="D424" s="86"/>
      <c r="E424" s="638"/>
      <c r="F424" s="639"/>
      <c r="G424" s="1110"/>
      <c r="H424" s="745"/>
      <c r="I424" s="746"/>
      <c r="J424" s="638"/>
      <c r="K424" s="746"/>
      <c r="L424" s="521"/>
      <c r="M424" s="818"/>
      <c r="N424" s="818"/>
      <c r="O424" s="638"/>
    </row>
    <row r="425" spans="2:15" s="481" customFormat="1" x14ac:dyDescent="0.3">
      <c r="B425" s="86"/>
      <c r="C425" s="86"/>
      <c r="D425" s="86"/>
      <c r="E425" s="638"/>
      <c r="F425" s="639"/>
      <c r="G425" s="1110"/>
      <c r="H425" s="745"/>
      <c r="I425" s="746"/>
      <c r="J425" s="638"/>
      <c r="K425" s="746"/>
      <c r="L425" s="521"/>
      <c r="M425" s="818"/>
      <c r="N425" s="818"/>
      <c r="O425" s="638"/>
    </row>
    <row r="426" spans="2:15" s="481" customFormat="1" x14ac:dyDescent="0.3">
      <c r="B426" s="86"/>
      <c r="C426" s="86"/>
      <c r="D426" s="86"/>
      <c r="E426" s="638"/>
      <c r="F426" s="639"/>
      <c r="G426" s="1110"/>
      <c r="H426" s="745"/>
      <c r="I426" s="746"/>
      <c r="J426" s="638"/>
      <c r="K426" s="746"/>
      <c r="L426" s="521"/>
      <c r="M426" s="818"/>
      <c r="N426" s="818"/>
      <c r="O426" s="638"/>
    </row>
    <row r="427" spans="2:15" s="481" customFormat="1" x14ac:dyDescent="0.3">
      <c r="B427" s="86"/>
      <c r="C427" s="86"/>
      <c r="D427" s="86"/>
      <c r="E427" s="638"/>
      <c r="F427" s="639"/>
      <c r="G427" s="1110"/>
      <c r="H427" s="745"/>
      <c r="I427" s="746"/>
      <c r="J427" s="638"/>
      <c r="K427" s="746"/>
      <c r="L427" s="521"/>
      <c r="M427" s="818"/>
      <c r="N427" s="818"/>
      <c r="O427" s="638"/>
    </row>
    <row r="428" spans="2:15" s="481" customFormat="1" x14ac:dyDescent="0.3">
      <c r="B428" s="86"/>
      <c r="C428" s="86"/>
      <c r="D428" s="86"/>
      <c r="E428" s="638"/>
      <c r="F428" s="639"/>
      <c r="G428" s="1110"/>
      <c r="H428" s="745"/>
      <c r="I428" s="746"/>
      <c r="J428" s="638"/>
      <c r="K428" s="746"/>
      <c r="L428" s="521"/>
      <c r="M428" s="818"/>
      <c r="N428" s="818"/>
      <c r="O428" s="638"/>
    </row>
    <row r="429" spans="2:15" s="481" customFormat="1" x14ac:dyDescent="0.3">
      <c r="B429" s="86"/>
      <c r="C429" s="86"/>
      <c r="D429" s="86"/>
      <c r="E429" s="638"/>
      <c r="F429" s="639"/>
      <c r="G429" s="1110"/>
      <c r="H429" s="745"/>
      <c r="I429" s="746"/>
      <c r="J429" s="638"/>
      <c r="K429" s="746"/>
      <c r="L429" s="521"/>
      <c r="M429" s="818"/>
      <c r="N429" s="818"/>
      <c r="O429" s="638"/>
    </row>
    <row r="430" spans="2:15" s="481" customFormat="1" x14ac:dyDescent="0.3">
      <c r="B430" s="86"/>
      <c r="C430" s="86"/>
      <c r="D430" s="86"/>
      <c r="E430" s="638"/>
      <c r="F430" s="639"/>
      <c r="G430" s="1110"/>
      <c r="H430" s="745"/>
      <c r="I430" s="746"/>
      <c r="J430" s="638"/>
      <c r="K430" s="746"/>
      <c r="L430" s="521"/>
      <c r="M430" s="818"/>
      <c r="N430" s="818"/>
      <c r="O430" s="638"/>
    </row>
    <row r="431" spans="2:15" s="481" customFormat="1" x14ac:dyDescent="0.3">
      <c r="B431" s="86"/>
      <c r="C431" s="86"/>
      <c r="D431" s="86"/>
      <c r="E431" s="638"/>
      <c r="F431" s="639"/>
      <c r="G431" s="1110"/>
      <c r="H431" s="745"/>
      <c r="I431" s="746"/>
      <c r="J431" s="638"/>
      <c r="K431" s="746"/>
      <c r="L431" s="521"/>
      <c r="M431" s="818"/>
      <c r="N431" s="818"/>
      <c r="O431" s="638"/>
    </row>
    <row r="432" spans="2:15" s="481" customFormat="1" x14ac:dyDescent="0.3">
      <c r="B432" s="86"/>
      <c r="C432" s="86"/>
      <c r="D432" s="86"/>
      <c r="E432" s="638"/>
      <c r="F432" s="639"/>
      <c r="G432" s="1110"/>
      <c r="H432" s="745"/>
      <c r="I432" s="746"/>
      <c r="J432" s="638"/>
      <c r="K432" s="746"/>
      <c r="L432" s="521"/>
      <c r="M432" s="818"/>
      <c r="N432" s="818"/>
      <c r="O432" s="638"/>
    </row>
    <row r="433" spans="2:15" s="481" customFormat="1" x14ac:dyDescent="0.3">
      <c r="B433" s="86"/>
      <c r="C433" s="86"/>
      <c r="D433" s="86"/>
      <c r="E433" s="638"/>
      <c r="F433" s="639"/>
      <c r="G433" s="1110"/>
      <c r="H433" s="745"/>
      <c r="I433" s="746"/>
      <c r="J433" s="638"/>
      <c r="K433" s="746"/>
      <c r="L433" s="521"/>
      <c r="M433" s="818"/>
      <c r="N433" s="818"/>
      <c r="O433" s="638"/>
    </row>
    <row r="434" spans="2:15" s="481" customFormat="1" x14ac:dyDescent="0.3">
      <c r="B434" s="86"/>
      <c r="C434" s="86"/>
      <c r="D434" s="86"/>
      <c r="E434" s="638"/>
      <c r="F434" s="639"/>
      <c r="G434" s="1110"/>
      <c r="H434" s="745"/>
      <c r="I434" s="746"/>
      <c r="J434" s="638"/>
      <c r="K434" s="746"/>
      <c r="L434" s="521"/>
      <c r="M434" s="818"/>
      <c r="N434" s="818"/>
      <c r="O434" s="638"/>
    </row>
    <row r="435" spans="2:15" s="481" customFormat="1" x14ac:dyDescent="0.3">
      <c r="B435" s="86"/>
      <c r="C435" s="86"/>
      <c r="D435" s="86"/>
      <c r="E435" s="638"/>
      <c r="F435" s="639"/>
      <c r="G435" s="1110"/>
      <c r="H435" s="745"/>
      <c r="I435" s="746"/>
      <c r="J435" s="638"/>
      <c r="K435" s="746"/>
      <c r="L435" s="521"/>
      <c r="M435" s="818"/>
      <c r="N435" s="818"/>
      <c r="O435" s="638"/>
    </row>
    <row r="436" spans="2:15" s="481" customFormat="1" x14ac:dyDescent="0.3">
      <c r="B436" s="86"/>
      <c r="C436" s="86"/>
      <c r="D436" s="86"/>
      <c r="E436" s="638"/>
      <c r="F436" s="639"/>
      <c r="G436" s="1110"/>
      <c r="H436" s="745"/>
      <c r="I436" s="746"/>
      <c r="J436" s="638"/>
      <c r="K436" s="746"/>
      <c r="L436" s="521"/>
      <c r="M436" s="818"/>
      <c r="N436" s="818"/>
      <c r="O436" s="638"/>
    </row>
    <row r="437" spans="2:15" s="481" customFormat="1" x14ac:dyDescent="0.3">
      <c r="B437" s="86"/>
      <c r="C437" s="86"/>
      <c r="D437" s="86"/>
      <c r="E437" s="638"/>
      <c r="F437" s="639"/>
      <c r="G437" s="1110"/>
      <c r="H437" s="745"/>
      <c r="I437" s="746"/>
      <c r="J437" s="638"/>
      <c r="K437" s="746"/>
      <c r="L437" s="521"/>
      <c r="M437" s="818"/>
      <c r="N437" s="818"/>
      <c r="O437" s="638"/>
    </row>
    <row r="438" spans="2:15" s="481" customFormat="1" x14ac:dyDescent="0.3">
      <c r="B438" s="86"/>
      <c r="C438" s="86"/>
      <c r="D438" s="86"/>
      <c r="E438" s="638"/>
      <c r="F438" s="639"/>
      <c r="G438" s="1110"/>
      <c r="H438" s="745"/>
      <c r="I438" s="746"/>
      <c r="J438" s="638"/>
      <c r="K438" s="746"/>
      <c r="L438" s="521"/>
      <c r="M438" s="818"/>
      <c r="N438" s="818"/>
      <c r="O438" s="638"/>
    </row>
    <row r="439" spans="2:15" s="481" customFormat="1" x14ac:dyDescent="0.3">
      <c r="B439" s="86"/>
      <c r="C439" s="86"/>
      <c r="D439" s="86"/>
      <c r="E439" s="638"/>
      <c r="F439" s="639"/>
      <c r="G439" s="1110"/>
      <c r="H439" s="745"/>
      <c r="I439" s="746"/>
      <c r="J439" s="638"/>
      <c r="K439" s="746"/>
      <c r="L439" s="521"/>
      <c r="M439" s="818"/>
      <c r="N439" s="818"/>
      <c r="O439" s="638"/>
    </row>
    <row r="440" spans="2:15" s="481" customFormat="1" x14ac:dyDescent="0.3">
      <c r="B440" s="86"/>
      <c r="C440" s="86"/>
      <c r="D440" s="86"/>
      <c r="E440" s="638"/>
      <c r="F440" s="639"/>
      <c r="G440" s="1110"/>
      <c r="H440" s="745"/>
      <c r="I440" s="746"/>
      <c r="J440" s="638"/>
      <c r="K440" s="746"/>
      <c r="L440" s="521"/>
      <c r="M440" s="818"/>
      <c r="N440" s="818"/>
      <c r="O440" s="638"/>
    </row>
    <row r="441" spans="2:15" s="481" customFormat="1" x14ac:dyDescent="0.3">
      <c r="B441" s="86"/>
      <c r="C441" s="86"/>
      <c r="D441" s="86"/>
      <c r="E441" s="638"/>
      <c r="F441" s="639"/>
      <c r="G441" s="1110"/>
      <c r="H441" s="745"/>
      <c r="I441" s="746"/>
      <c r="J441" s="638"/>
      <c r="K441" s="746"/>
      <c r="L441" s="521"/>
      <c r="M441" s="818"/>
      <c r="N441" s="818"/>
      <c r="O441" s="638"/>
    </row>
    <row r="442" spans="2:15" s="481" customFormat="1" x14ac:dyDescent="0.3">
      <c r="B442" s="86"/>
      <c r="C442" s="86"/>
      <c r="D442" s="86"/>
      <c r="E442" s="638"/>
      <c r="F442" s="639"/>
      <c r="G442" s="1110"/>
      <c r="H442" s="745"/>
      <c r="I442" s="746"/>
      <c r="J442" s="638"/>
      <c r="K442" s="746"/>
      <c r="L442" s="521"/>
      <c r="M442" s="818"/>
      <c r="N442" s="818"/>
      <c r="O442" s="638"/>
    </row>
    <row r="443" spans="2:15" s="481" customFormat="1" x14ac:dyDescent="0.3">
      <c r="B443" s="86"/>
      <c r="C443" s="86"/>
      <c r="D443" s="86"/>
      <c r="E443" s="638"/>
      <c r="F443" s="639"/>
      <c r="G443" s="1110"/>
      <c r="H443" s="745"/>
      <c r="I443" s="746"/>
      <c r="J443" s="638"/>
      <c r="K443" s="746"/>
      <c r="L443" s="521"/>
      <c r="M443" s="818"/>
      <c r="N443" s="818"/>
      <c r="O443" s="638"/>
    </row>
    <row r="444" spans="2:15" s="481" customFormat="1" x14ac:dyDescent="0.3">
      <c r="B444" s="86"/>
      <c r="C444" s="86"/>
      <c r="D444" s="86"/>
      <c r="E444" s="638"/>
      <c r="F444" s="639"/>
      <c r="G444" s="1110"/>
      <c r="H444" s="745"/>
      <c r="I444" s="746"/>
      <c r="J444" s="638"/>
      <c r="K444" s="746"/>
      <c r="L444" s="521"/>
      <c r="M444" s="818"/>
      <c r="N444" s="818"/>
      <c r="O444" s="638"/>
    </row>
    <row r="445" spans="2:15" s="481" customFormat="1" x14ac:dyDescent="0.3">
      <c r="B445" s="86"/>
      <c r="C445" s="86"/>
      <c r="D445" s="86"/>
      <c r="E445" s="638"/>
      <c r="F445" s="639"/>
      <c r="G445" s="1110"/>
      <c r="H445" s="745"/>
      <c r="I445" s="746"/>
      <c r="J445" s="638"/>
      <c r="K445" s="746"/>
      <c r="L445" s="521"/>
      <c r="M445" s="818"/>
      <c r="N445" s="818"/>
      <c r="O445" s="638"/>
    </row>
    <row r="446" spans="2:15" s="481" customFormat="1" x14ac:dyDescent="0.3">
      <c r="B446" s="86"/>
      <c r="C446" s="86"/>
      <c r="D446" s="86"/>
      <c r="E446" s="638"/>
      <c r="F446" s="639"/>
      <c r="G446" s="1110"/>
      <c r="H446" s="745"/>
      <c r="I446" s="746"/>
      <c r="J446" s="638"/>
      <c r="K446" s="746"/>
      <c r="L446" s="521"/>
      <c r="M446" s="818"/>
      <c r="N446" s="818"/>
      <c r="O446" s="638"/>
    </row>
    <row r="447" spans="2:15" s="481" customFormat="1" x14ac:dyDescent="0.3">
      <c r="B447" s="86"/>
      <c r="C447" s="86"/>
      <c r="D447" s="86"/>
      <c r="E447" s="638"/>
      <c r="F447" s="639"/>
      <c r="G447" s="1110"/>
      <c r="H447" s="745"/>
      <c r="I447" s="746"/>
      <c r="J447" s="638"/>
      <c r="K447" s="746"/>
      <c r="L447" s="521"/>
      <c r="M447" s="818"/>
      <c r="N447" s="818"/>
      <c r="O447" s="638"/>
    </row>
    <row r="448" spans="2:15" s="481" customFormat="1" x14ac:dyDescent="0.3">
      <c r="B448" s="86"/>
      <c r="C448" s="86"/>
      <c r="D448" s="86"/>
      <c r="E448" s="638"/>
      <c r="F448" s="639"/>
      <c r="G448" s="1110"/>
      <c r="H448" s="745"/>
      <c r="I448" s="746"/>
      <c r="J448" s="638"/>
      <c r="K448" s="746"/>
      <c r="L448" s="521"/>
      <c r="M448" s="818"/>
      <c r="N448" s="818"/>
      <c r="O448" s="638"/>
    </row>
    <row r="449" spans="2:15" s="481" customFormat="1" x14ac:dyDescent="0.3">
      <c r="B449" s="86"/>
      <c r="C449" s="86"/>
      <c r="D449" s="86"/>
      <c r="E449" s="638"/>
      <c r="F449" s="639"/>
      <c r="G449" s="1110"/>
      <c r="H449" s="745"/>
      <c r="I449" s="746"/>
      <c r="J449" s="638"/>
      <c r="K449" s="746"/>
      <c r="L449" s="521"/>
      <c r="M449" s="818"/>
      <c r="N449" s="818"/>
      <c r="O449" s="638"/>
    </row>
    <row r="450" spans="2:15" s="481" customFormat="1" x14ac:dyDescent="0.3">
      <c r="B450" s="86"/>
      <c r="C450" s="86"/>
      <c r="D450" s="86"/>
      <c r="E450" s="638"/>
      <c r="F450" s="639"/>
      <c r="G450" s="1110"/>
      <c r="H450" s="745"/>
      <c r="I450" s="746"/>
      <c r="J450" s="638"/>
      <c r="K450" s="746"/>
      <c r="L450" s="521"/>
      <c r="M450" s="818"/>
      <c r="N450" s="818"/>
      <c r="O450" s="638"/>
    </row>
    <row r="451" spans="2:15" s="481" customFormat="1" x14ac:dyDescent="0.3">
      <c r="B451" s="86"/>
      <c r="C451" s="86"/>
      <c r="D451" s="86"/>
      <c r="E451" s="638"/>
      <c r="F451" s="639"/>
      <c r="G451" s="1110"/>
      <c r="H451" s="745"/>
      <c r="I451" s="746"/>
      <c r="J451" s="638"/>
      <c r="K451" s="746"/>
      <c r="L451" s="521"/>
      <c r="M451" s="818"/>
      <c r="N451" s="818"/>
      <c r="O451" s="638"/>
    </row>
    <row r="452" spans="2:15" s="481" customFormat="1" x14ac:dyDescent="0.3">
      <c r="B452" s="86"/>
      <c r="C452" s="86"/>
      <c r="D452" s="86"/>
      <c r="E452" s="638"/>
      <c r="F452" s="639"/>
      <c r="G452" s="1110"/>
      <c r="H452" s="745"/>
      <c r="I452" s="746"/>
      <c r="J452" s="638"/>
      <c r="K452" s="746"/>
      <c r="L452" s="521"/>
      <c r="M452" s="818"/>
      <c r="N452" s="818"/>
      <c r="O452" s="638"/>
    </row>
    <row r="453" spans="2:15" s="481" customFormat="1" x14ac:dyDescent="0.3">
      <c r="B453" s="86"/>
      <c r="C453" s="86"/>
      <c r="D453" s="86"/>
      <c r="E453" s="638"/>
      <c r="F453" s="639"/>
      <c r="G453" s="1110"/>
      <c r="H453" s="745"/>
      <c r="I453" s="746"/>
      <c r="J453" s="638"/>
      <c r="K453" s="746"/>
      <c r="L453" s="521"/>
      <c r="M453" s="818"/>
      <c r="N453" s="818"/>
      <c r="O453" s="638"/>
    </row>
    <row r="454" spans="2:15" s="481" customFormat="1" x14ac:dyDescent="0.3">
      <c r="B454" s="86"/>
      <c r="C454" s="86"/>
      <c r="D454" s="86"/>
      <c r="E454" s="638"/>
      <c r="F454" s="639"/>
      <c r="G454" s="1110"/>
      <c r="H454" s="745"/>
      <c r="I454" s="746"/>
      <c r="J454" s="638"/>
      <c r="K454" s="746"/>
      <c r="L454" s="521"/>
      <c r="M454" s="818"/>
      <c r="N454" s="818"/>
      <c r="O454" s="638"/>
    </row>
    <row r="455" spans="2:15" s="481" customFormat="1" x14ac:dyDescent="0.3">
      <c r="B455" s="86"/>
      <c r="C455" s="86"/>
      <c r="D455" s="86"/>
      <c r="E455" s="638"/>
      <c r="F455" s="639"/>
      <c r="G455" s="1110"/>
      <c r="H455" s="745"/>
      <c r="I455" s="746"/>
      <c r="J455" s="638"/>
      <c r="K455" s="746"/>
      <c r="L455" s="521"/>
      <c r="M455" s="818"/>
      <c r="N455" s="818"/>
      <c r="O455" s="638"/>
    </row>
    <row r="456" spans="2:15" s="481" customFormat="1" x14ac:dyDescent="0.3">
      <c r="B456" s="86"/>
      <c r="C456" s="86"/>
      <c r="D456" s="86"/>
      <c r="E456" s="638"/>
      <c r="F456" s="639"/>
      <c r="G456" s="1110"/>
      <c r="H456" s="745"/>
      <c r="I456" s="746"/>
      <c r="J456" s="638"/>
      <c r="K456" s="746"/>
      <c r="L456" s="521"/>
      <c r="M456" s="818"/>
      <c r="N456" s="818"/>
      <c r="O456" s="638"/>
    </row>
    <row r="457" spans="2:15" s="481" customFormat="1" x14ac:dyDescent="0.3">
      <c r="B457" s="86"/>
      <c r="C457" s="86"/>
      <c r="D457" s="86"/>
      <c r="E457" s="638"/>
      <c r="F457" s="639"/>
      <c r="G457" s="1110"/>
      <c r="H457" s="745"/>
      <c r="I457" s="746"/>
      <c r="J457" s="638"/>
      <c r="K457" s="746"/>
      <c r="L457" s="521"/>
      <c r="M457" s="818"/>
      <c r="N457" s="818"/>
      <c r="O457" s="638"/>
    </row>
    <row r="458" spans="2:15" s="481" customFormat="1" x14ac:dyDescent="0.3">
      <c r="B458" s="86"/>
      <c r="C458" s="86"/>
      <c r="D458" s="86"/>
      <c r="E458" s="638"/>
      <c r="F458" s="639"/>
      <c r="G458" s="1110"/>
      <c r="H458" s="745"/>
      <c r="I458" s="746"/>
      <c r="J458" s="638"/>
      <c r="K458" s="746"/>
      <c r="L458" s="521"/>
      <c r="M458" s="818"/>
      <c r="N458" s="818"/>
      <c r="O458" s="638"/>
    </row>
    <row r="459" spans="2:15" s="481" customFormat="1" x14ac:dyDescent="0.3">
      <c r="B459" s="86"/>
      <c r="C459" s="86"/>
      <c r="D459" s="86"/>
      <c r="E459" s="638"/>
      <c r="F459" s="639"/>
      <c r="G459" s="1110"/>
      <c r="H459" s="745"/>
      <c r="I459" s="746"/>
      <c r="J459" s="638"/>
      <c r="K459" s="746"/>
      <c r="L459" s="521"/>
      <c r="M459" s="818"/>
      <c r="N459" s="818"/>
      <c r="O459" s="638"/>
    </row>
    <row r="460" spans="2:15" s="481" customFormat="1" x14ac:dyDescent="0.3">
      <c r="B460" s="86"/>
      <c r="C460" s="86"/>
      <c r="D460" s="86"/>
      <c r="E460" s="638"/>
      <c r="F460" s="639"/>
      <c r="G460" s="1110"/>
      <c r="H460" s="745"/>
      <c r="I460" s="746"/>
      <c r="J460" s="638"/>
      <c r="K460" s="746"/>
      <c r="L460" s="521"/>
      <c r="M460" s="818"/>
      <c r="N460" s="818"/>
      <c r="O460" s="638"/>
    </row>
    <row r="461" spans="2:15" s="481" customFormat="1" x14ac:dyDescent="0.3">
      <c r="B461" s="86"/>
      <c r="C461" s="86"/>
      <c r="D461" s="86"/>
      <c r="E461" s="638"/>
      <c r="F461" s="639"/>
      <c r="G461" s="1110"/>
      <c r="H461" s="745"/>
      <c r="I461" s="746"/>
      <c r="J461" s="638"/>
      <c r="K461" s="746"/>
      <c r="L461" s="521"/>
      <c r="M461" s="818"/>
      <c r="N461" s="818"/>
      <c r="O461" s="638"/>
    </row>
    <row r="462" spans="2:15" s="481" customFormat="1" x14ac:dyDescent="0.3">
      <c r="B462" s="86"/>
      <c r="C462" s="86"/>
      <c r="D462" s="86"/>
      <c r="E462" s="638"/>
      <c r="F462" s="639"/>
      <c r="G462" s="1110"/>
      <c r="H462" s="745"/>
      <c r="I462" s="746"/>
      <c r="J462" s="638"/>
      <c r="K462" s="746"/>
      <c r="L462" s="521"/>
      <c r="M462" s="818"/>
      <c r="N462" s="818"/>
      <c r="O462" s="638"/>
    </row>
    <row r="463" spans="2:15" s="481" customFormat="1" x14ac:dyDescent="0.3">
      <c r="B463" s="86"/>
      <c r="C463" s="86"/>
      <c r="D463" s="86"/>
      <c r="E463" s="638"/>
      <c r="F463" s="639"/>
      <c r="G463" s="1110"/>
      <c r="H463" s="745"/>
      <c r="I463" s="746"/>
      <c r="J463" s="638"/>
      <c r="K463" s="746"/>
      <c r="L463" s="521"/>
      <c r="M463" s="818"/>
      <c r="N463" s="818"/>
      <c r="O463" s="638"/>
    </row>
    <row r="464" spans="2:15" s="481" customFormat="1" x14ac:dyDescent="0.3">
      <c r="B464" s="86"/>
      <c r="C464" s="86"/>
      <c r="D464" s="86"/>
      <c r="E464" s="638"/>
      <c r="F464" s="639"/>
      <c r="G464" s="1110"/>
      <c r="H464" s="745"/>
      <c r="I464" s="746"/>
      <c r="J464" s="638"/>
      <c r="K464" s="746"/>
      <c r="L464" s="521"/>
      <c r="M464" s="818"/>
      <c r="N464" s="818"/>
      <c r="O464" s="638"/>
    </row>
    <row r="465" spans="2:15" s="481" customFormat="1" x14ac:dyDescent="0.3">
      <c r="B465" s="86"/>
      <c r="C465" s="86"/>
      <c r="D465" s="86"/>
      <c r="E465" s="638"/>
      <c r="F465" s="639"/>
      <c r="G465" s="1110"/>
      <c r="H465" s="745"/>
      <c r="I465" s="746"/>
      <c r="J465" s="638"/>
      <c r="K465" s="746"/>
      <c r="L465" s="521"/>
      <c r="M465" s="818"/>
      <c r="N465" s="818"/>
      <c r="O465" s="638"/>
    </row>
    <row r="466" spans="2:15" s="481" customFormat="1" x14ac:dyDescent="0.3">
      <c r="B466" s="86"/>
      <c r="C466" s="86"/>
      <c r="D466" s="86"/>
      <c r="E466" s="638"/>
      <c r="F466" s="639"/>
      <c r="G466" s="1110"/>
      <c r="H466" s="745"/>
      <c r="I466" s="746"/>
      <c r="J466" s="638"/>
      <c r="K466" s="746"/>
      <c r="L466" s="521"/>
      <c r="M466" s="818"/>
      <c r="N466" s="818"/>
      <c r="O466" s="638"/>
    </row>
    <row r="467" spans="2:15" s="481" customFormat="1" x14ac:dyDescent="0.3">
      <c r="B467" s="86"/>
      <c r="C467" s="86"/>
      <c r="D467" s="86"/>
      <c r="E467" s="638"/>
      <c r="F467" s="639"/>
      <c r="G467" s="1110"/>
      <c r="H467" s="745"/>
      <c r="I467" s="746"/>
      <c r="J467" s="638"/>
      <c r="K467" s="746"/>
      <c r="L467" s="521"/>
      <c r="M467" s="818"/>
      <c r="N467" s="818"/>
      <c r="O467" s="638"/>
    </row>
    <row r="468" spans="2:15" s="481" customFormat="1" x14ac:dyDescent="0.3">
      <c r="B468" s="86"/>
      <c r="C468" s="86"/>
      <c r="D468" s="86"/>
      <c r="E468" s="638"/>
      <c r="F468" s="639"/>
      <c r="G468" s="1110"/>
      <c r="H468" s="745"/>
      <c r="I468" s="746"/>
      <c r="J468" s="638"/>
      <c r="K468" s="746"/>
      <c r="L468" s="521"/>
      <c r="M468" s="818"/>
      <c r="N468" s="818"/>
      <c r="O468" s="638"/>
    </row>
    <row r="469" spans="2:15" s="481" customFormat="1" x14ac:dyDescent="0.3">
      <c r="B469" s="86"/>
      <c r="C469" s="86"/>
      <c r="D469" s="86"/>
      <c r="E469" s="638"/>
      <c r="F469" s="639"/>
      <c r="G469" s="1110"/>
      <c r="H469" s="745"/>
      <c r="I469" s="746"/>
      <c r="J469" s="638"/>
      <c r="K469" s="746"/>
      <c r="L469" s="521"/>
      <c r="M469" s="818"/>
      <c r="N469" s="818"/>
      <c r="O469" s="638"/>
    </row>
    <row r="470" spans="2:15" s="481" customFormat="1" x14ac:dyDescent="0.3">
      <c r="B470" s="86"/>
      <c r="C470" s="86"/>
      <c r="D470" s="86"/>
      <c r="E470" s="638"/>
      <c r="F470" s="639"/>
      <c r="G470" s="1110"/>
      <c r="H470" s="745"/>
      <c r="I470" s="746"/>
      <c r="J470" s="638"/>
      <c r="K470" s="746"/>
      <c r="L470" s="521"/>
      <c r="M470" s="818"/>
      <c r="N470" s="818"/>
      <c r="O470" s="638"/>
    </row>
    <row r="471" spans="2:15" s="481" customFormat="1" x14ac:dyDescent="0.3">
      <c r="B471" s="86"/>
      <c r="C471" s="86"/>
      <c r="D471" s="86"/>
      <c r="E471" s="638"/>
      <c r="F471" s="639"/>
      <c r="G471" s="1110"/>
      <c r="H471" s="745"/>
      <c r="I471" s="746"/>
      <c r="J471" s="638"/>
      <c r="K471" s="746"/>
      <c r="L471" s="521"/>
      <c r="M471" s="818"/>
      <c r="N471" s="818"/>
      <c r="O471" s="638"/>
    </row>
    <row r="472" spans="2:15" s="481" customFormat="1" x14ac:dyDescent="0.3">
      <c r="B472" s="86"/>
      <c r="C472" s="86"/>
      <c r="D472" s="86"/>
      <c r="E472" s="638"/>
      <c r="F472" s="639"/>
      <c r="G472" s="1110"/>
      <c r="H472" s="745"/>
      <c r="I472" s="746"/>
      <c r="J472" s="638"/>
      <c r="K472" s="746"/>
      <c r="L472" s="521"/>
      <c r="M472" s="818"/>
      <c r="N472" s="818"/>
      <c r="O472" s="638"/>
    </row>
    <row r="473" spans="2:15" s="481" customFormat="1" x14ac:dyDescent="0.3">
      <c r="B473" s="86"/>
      <c r="C473" s="86"/>
      <c r="D473" s="86"/>
      <c r="E473" s="638"/>
      <c r="F473" s="639"/>
      <c r="G473" s="1110"/>
      <c r="H473" s="745"/>
      <c r="I473" s="746"/>
      <c r="J473" s="638"/>
      <c r="K473" s="746"/>
      <c r="L473" s="521"/>
      <c r="M473" s="818"/>
      <c r="N473" s="818"/>
      <c r="O473" s="638"/>
    </row>
    <row r="474" spans="2:15" s="481" customFormat="1" x14ac:dyDescent="0.3">
      <c r="B474" s="86"/>
      <c r="C474" s="86"/>
      <c r="D474" s="86"/>
      <c r="E474" s="638"/>
      <c r="F474" s="639"/>
      <c r="G474" s="1110"/>
      <c r="H474" s="745"/>
      <c r="I474" s="746"/>
      <c r="J474" s="638"/>
      <c r="K474" s="746"/>
      <c r="L474" s="521"/>
      <c r="M474" s="818"/>
      <c r="N474" s="818"/>
      <c r="O474" s="638"/>
    </row>
    <row r="475" spans="2:15" s="481" customFormat="1" x14ac:dyDescent="0.3">
      <c r="B475" s="86"/>
      <c r="C475" s="86"/>
      <c r="D475" s="86"/>
      <c r="E475" s="638"/>
      <c r="F475" s="639"/>
      <c r="G475" s="1110"/>
      <c r="H475" s="745"/>
      <c r="I475" s="746"/>
      <c r="J475" s="638"/>
      <c r="K475" s="746"/>
      <c r="L475" s="521"/>
      <c r="M475" s="818"/>
      <c r="N475" s="818"/>
      <c r="O475" s="638"/>
    </row>
    <row r="476" spans="2:15" s="481" customFormat="1" x14ac:dyDescent="0.3">
      <c r="B476" s="86"/>
      <c r="C476" s="86"/>
      <c r="D476" s="86"/>
      <c r="E476" s="638"/>
      <c r="F476" s="639"/>
      <c r="G476" s="1110"/>
      <c r="H476" s="745"/>
      <c r="I476" s="746"/>
      <c r="J476" s="638"/>
      <c r="K476" s="746"/>
      <c r="L476" s="521"/>
      <c r="M476" s="818"/>
      <c r="N476" s="818"/>
      <c r="O476" s="638"/>
    </row>
    <row r="477" spans="2:15" s="481" customFormat="1" x14ac:dyDescent="0.3">
      <c r="B477" s="86"/>
      <c r="C477" s="86"/>
      <c r="D477" s="86"/>
      <c r="E477" s="638"/>
      <c r="F477" s="639"/>
      <c r="G477" s="1110"/>
      <c r="H477" s="745"/>
      <c r="I477" s="746"/>
      <c r="J477" s="638"/>
      <c r="K477" s="746"/>
      <c r="L477" s="521"/>
      <c r="M477" s="818"/>
      <c r="N477" s="818"/>
      <c r="O477" s="638"/>
    </row>
    <row r="478" spans="2:15" s="481" customFormat="1" x14ac:dyDescent="0.3">
      <c r="B478" s="86"/>
      <c r="C478" s="86"/>
      <c r="D478" s="86"/>
      <c r="E478" s="638"/>
      <c r="F478" s="639"/>
      <c r="G478" s="1110"/>
      <c r="H478" s="745"/>
      <c r="I478" s="746"/>
      <c r="J478" s="638"/>
      <c r="K478" s="746"/>
      <c r="L478" s="521"/>
      <c r="M478" s="818"/>
      <c r="N478" s="818"/>
      <c r="O478" s="638"/>
    </row>
    <row r="479" spans="2:15" s="481" customFormat="1" x14ac:dyDescent="0.3">
      <c r="B479" s="86"/>
      <c r="C479" s="86"/>
      <c r="D479" s="86"/>
      <c r="E479" s="638"/>
      <c r="F479" s="639"/>
      <c r="G479" s="1110"/>
      <c r="H479" s="745"/>
      <c r="I479" s="746"/>
      <c r="J479" s="638"/>
      <c r="K479" s="746"/>
      <c r="L479" s="521"/>
      <c r="M479" s="818"/>
      <c r="N479" s="818"/>
      <c r="O479" s="638"/>
    </row>
    <row r="480" spans="2:15" s="481" customFormat="1" x14ac:dyDescent="0.3">
      <c r="B480" s="86"/>
      <c r="C480" s="86"/>
      <c r="D480" s="86"/>
      <c r="E480" s="638"/>
      <c r="F480" s="639"/>
      <c r="G480" s="1110"/>
      <c r="H480" s="745"/>
      <c r="I480" s="746"/>
      <c r="J480" s="638"/>
      <c r="K480" s="746"/>
      <c r="L480" s="521"/>
      <c r="M480" s="818"/>
      <c r="N480" s="818"/>
      <c r="O480" s="638"/>
    </row>
    <row r="481" spans="2:15" s="481" customFormat="1" x14ac:dyDescent="0.3">
      <c r="B481" s="86"/>
      <c r="C481" s="86"/>
      <c r="D481" s="86"/>
      <c r="E481" s="638"/>
      <c r="F481" s="639"/>
      <c r="G481" s="1110"/>
      <c r="H481" s="745"/>
      <c r="I481" s="746"/>
      <c r="J481" s="638"/>
      <c r="K481" s="746"/>
      <c r="L481" s="521"/>
      <c r="M481" s="818"/>
      <c r="N481" s="818"/>
      <c r="O481" s="638"/>
    </row>
    <row r="482" spans="2:15" s="481" customFormat="1" x14ac:dyDescent="0.3">
      <c r="B482" s="86"/>
      <c r="C482" s="86"/>
      <c r="D482" s="86"/>
      <c r="E482" s="638"/>
      <c r="F482" s="639"/>
      <c r="G482" s="1110"/>
      <c r="H482" s="745"/>
      <c r="I482" s="746"/>
      <c r="J482" s="638"/>
      <c r="K482" s="746"/>
      <c r="L482" s="521"/>
      <c r="M482" s="818"/>
      <c r="N482" s="818"/>
      <c r="O482" s="638"/>
    </row>
    <row r="483" spans="2:15" s="481" customFormat="1" x14ac:dyDescent="0.3">
      <c r="B483" s="86"/>
      <c r="C483" s="86"/>
      <c r="D483" s="86"/>
      <c r="E483" s="638"/>
      <c r="F483" s="639"/>
      <c r="G483" s="1110"/>
      <c r="H483" s="745"/>
      <c r="I483" s="746"/>
      <c r="J483" s="638"/>
      <c r="K483" s="746"/>
      <c r="L483" s="521"/>
      <c r="M483" s="818"/>
      <c r="N483" s="818"/>
      <c r="O483" s="638"/>
    </row>
    <row r="484" spans="2:15" s="481" customFormat="1" x14ac:dyDescent="0.3">
      <c r="B484" s="86"/>
      <c r="C484" s="86"/>
      <c r="D484" s="86"/>
      <c r="E484" s="638"/>
      <c r="F484" s="639"/>
      <c r="G484" s="1110"/>
      <c r="H484" s="745"/>
      <c r="I484" s="746"/>
      <c r="J484" s="638"/>
      <c r="K484" s="746"/>
      <c r="L484" s="521"/>
      <c r="M484" s="818"/>
      <c r="N484" s="818"/>
      <c r="O484" s="638"/>
    </row>
    <row r="485" spans="2:15" s="481" customFormat="1" x14ac:dyDescent="0.3">
      <c r="B485" s="86"/>
      <c r="C485" s="86"/>
      <c r="D485" s="86"/>
      <c r="E485" s="638"/>
      <c r="F485" s="639"/>
      <c r="G485" s="1110"/>
      <c r="H485" s="745"/>
      <c r="I485" s="746"/>
      <c r="J485" s="638"/>
      <c r="K485" s="746"/>
      <c r="L485" s="521"/>
      <c r="M485" s="818"/>
      <c r="N485" s="818"/>
      <c r="O485" s="638"/>
    </row>
    <row r="486" spans="2:15" s="481" customFormat="1" x14ac:dyDescent="0.3">
      <c r="B486" s="86"/>
      <c r="C486" s="86"/>
      <c r="D486" s="86"/>
      <c r="E486" s="638"/>
      <c r="F486" s="639"/>
      <c r="G486" s="1110"/>
      <c r="H486" s="745"/>
      <c r="I486" s="746"/>
      <c r="J486" s="638"/>
      <c r="K486" s="746"/>
      <c r="L486" s="521"/>
      <c r="M486" s="818"/>
      <c r="N486" s="818"/>
      <c r="O486" s="638"/>
    </row>
    <row r="487" spans="2:15" s="481" customFormat="1" x14ac:dyDescent="0.3">
      <c r="B487" s="86"/>
      <c r="C487" s="86"/>
      <c r="D487" s="86"/>
      <c r="E487" s="638"/>
      <c r="F487" s="639"/>
      <c r="G487" s="1110"/>
      <c r="H487" s="745"/>
      <c r="I487" s="746"/>
      <c r="J487" s="638"/>
      <c r="K487" s="746"/>
      <c r="L487" s="521"/>
      <c r="M487" s="818"/>
      <c r="N487" s="818"/>
      <c r="O487" s="638"/>
    </row>
    <row r="488" spans="2:15" s="481" customFormat="1" x14ac:dyDescent="0.3">
      <c r="B488" s="86"/>
      <c r="C488" s="86"/>
      <c r="D488" s="86"/>
      <c r="E488" s="638"/>
      <c r="F488" s="639"/>
      <c r="G488" s="1110"/>
      <c r="H488" s="745"/>
      <c r="I488" s="746"/>
      <c r="J488" s="638"/>
      <c r="K488" s="746"/>
      <c r="L488" s="521"/>
      <c r="M488" s="818"/>
      <c r="N488" s="818"/>
      <c r="O488" s="638"/>
    </row>
    <row r="489" spans="2:15" s="481" customFormat="1" x14ac:dyDescent="0.3">
      <c r="B489" s="86"/>
      <c r="C489" s="86"/>
      <c r="D489" s="86"/>
      <c r="E489" s="638"/>
      <c r="F489" s="639"/>
      <c r="G489" s="1110"/>
      <c r="H489" s="745"/>
      <c r="I489" s="746"/>
      <c r="J489" s="638"/>
      <c r="K489" s="746"/>
      <c r="L489" s="521"/>
      <c r="M489" s="818"/>
      <c r="N489" s="818"/>
      <c r="O489" s="638"/>
    </row>
    <row r="490" spans="2:15" s="481" customFormat="1" x14ac:dyDescent="0.3">
      <c r="B490" s="86"/>
      <c r="C490" s="86"/>
      <c r="D490" s="86"/>
      <c r="E490" s="638"/>
      <c r="F490" s="639"/>
      <c r="G490" s="1110"/>
      <c r="H490" s="745"/>
      <c r="I490" s="746"/>
      <c r="J490" s="638"/>
      <c r="K490" s="746"/>
      <c r="L490" s="521"/>
      <c r="M490" s="818"/>
      <c r="N490" s="818"/>
      <c r="O490" s="638"/>
    </row>
    <row r="491" spans="2:15" s="481" customFormat="1" x14ac:dyDescent="0.3">
      <c r="B491" s="86"/>
      <c r="C491" s="86"/>
      <c r="D491" s="86"/>
      <c r="E491" s="638"/>
      <c r="F491" s="639"/>
      <c r="G491" s="1110"/>
      <c r="H491" s="745"/>
      <c r="I491" s="746"/>
      <c r="J491" s="638"/>
      <c r="K491" s="746"/>
      <c r="L491" s="521"/>
      <c r="M491" s="818"/>
      <c r="N491" s="818"/>
      <c r="O491" s="638"/>
    </row>
    <row r="492" spans="2:15" s="481" customFormat="1" x14ac:dyDescent="0.3">
      <c r="B492" s="86"/>
      <c r="C492" s="86"/>
      <c r="D492" s="86"/>
      <c r="E492" s="638"/>
      <c r="F492" s="639"/>
      <c r="G492" s="1110"/>
      <c r="H492" s="745"/>
      <c r="I492" s="746"/>
      <c r="J492" s="638"/>
      <c r="K492" s="746"/>
      <c r="L492" s="521"/>
      <c r="M492" s="818"/>
      <c r="N492" s="818"/>
      <c r="O492" s="638"/>
    </row>
    <row r="493" spans="2:15" s="481" customFormat="1" x14ac:dyDescent="0.3">
      <c r="B493" s="86"/>
      <c r="C493" s="86"/>
      <c r="D493" s="86"/>
      <c r="E493" s="638"/>
      <c r="F493" s="639"/>
      <c r="G493" s="1110"/>
      <c r="H493" s="745"/>
      <c r="I493" s="746"/>
      <c r="J493" s="638"/>
      <c r="K493" s="746"/>
      <c r="L493" s="521"/>
      <c r="M493" s="818"/>
      <c r="N493" s="818"/>
      <c r="O493" s="638"/>
    </row>
    <row r="494" spans="2:15" s="481" customFormat="1" x14ac:dyDescent="0.3">
      <c r="B494" s="86"/>
      <c r="C494" s="86"/>
      <c r="D494" s="86"/>
      <c r="E494" s="638"/>
      <c r="F494" s="639"/>
      <c r="G494" s="1110"/>
      <c r="H494" s="745"/>
      <c r="I494" s="746"/>
      <c r="J494" s="638"/>
      <c r="K494" s="746"/>
      <c r="L494" s="521"/>
      <c r="M494" s="818"/>
      <c r="N494" s="818"/>
      <c r="O494" s="638"/>
    </row>
    <row r="495" spans="2:15" s="481" customFormat="1" x14ac:dyDescent="0.3">
      <c r="B495" s="86"/>
      <c r="C495" s="86"/>
      <c r="D495" s="86"/>
      <c r="E495" s="638"/>
      <c r="F495" s="639"/>
      <c r="G495" s="1110"/>
      <c r="H495" s="745"/>
      <c r="I495" s="746"/>
      <c r="J495" s="638"/>
      <c r="K495" s="746"/>
      <c r="L495" s="521"/>
      <c r="M495" s="818"/>
      <c r="N495" s="818"/>
      <c r="O495" s="638"/>
    </row>
    <row r="496" spans="2:15" s="481" customFormat="1" x14ac:dyDescent="0.3">
      <c r="B496" s="86"/>
      <c r="C496" s="86"/>
      <c r="D496" s="86"/>
      <c r="E496" s="638"/>
      <c r="F496" s="639"/>
      <c r="G496" s="1110"/>
      <c r="H496" s="745"/>
      <c r="I496" s="746"/>
      <c r="J496" s="638"/>
      <c r="K496" s="746"/>
      <c r="L496" s="521"/>
      <c r="M496" s="818"/>
      <c r="N496" s="818"/>
      <c r="O496" s="638"/>
    </row>
    <row r="497" spans="2:15" s="481" customFormat="1" x14ac:dyDescent="0.3">
      <c r="B497" s="86"/>
      <c r="C497" s="86"/>
      <c r="D497" s="86"/>
      <c r="E497" s="638"/>
      <c r="F497" s="639"/>
      <c r="G497" s="1110"/>
      <c r="H497" s="745"/>
      <c r="I497" s="746"/>
      <c r="J497" s="638"/>
      <c r="K497" s="746"/>
      <c r="L497" s="521"/>
      <c r="M497" s="818"/>
      <c r="N497" s="818"/>
      <c r="O497" s="638"/>
    </row>
    <row r="498" spans="2:15" s="481" customFormat="1" x14ac:dyDescent="0.3">
      <c r="B498" s="86"/>
      <c r="C498" s="86"/>
      <c r="D498" s="86"/>
      <c r="E498" s="638"/>
      <c r="F498" s="639"/>
      <c r="G498" s="1110"/>
      <c r="H498" s="745"/>
      <c r="I498" s="746"/>
      <c r="J498" s="638"/>
      <c r="K498" s="746"/>
      <c r="L498" s="521"/>
      <c r="M498" s="818"/>
      <c r="N498" s="818"/>
      <c r="O498" s="638"/>
    </row>
    <row r="499" spans="2:15" s="481" customFormat="1" x14ac:dyDescent="0.3">
      <c r="B499" s="86"/>
      <c r="C499" s="86"/>
      <c r="D499" s="86"/>
      <c r="E499" s="638"/>
      <c r="F499" s="639"/>
      <c r="G499" s="1110"/>
      <c r="H499" s="745"/>
      <c r="I499" s="746"/>
      <c r="J499" s="638"/>
      <c r="K499" s="746"/>
      <c r="L499" s="521"/>
      <c r="M499" s="818"/>
      <c r="N499" s="818"/>
      <c r="O499" s="638"/>
    </row>
    <row r="500" spans="2:15" s="481" customFormat="1" x14ac:dyDescent="0.3">
      <c r="B500" s="86"/>
      <c r="C500" s="86"/>
      <c r="D500" s="86"/>
      <c r="E500" s="638"/>
      <c r="F500" s="639"/>
      <c r="G500" s="1110"/>
      <c r="H500" s="745"/>
      <c r="I500" s="746"/>
      <c r="J500" s="638"/>
      <c r="K500" s="746"/>
      <c r="L500" s="521"/>
      <c r="M500" s="818"/>
      <c r="N500" s="818"/>
      <c r="O500" s="638"/>
    </row>
    <row r="501" spans="2:15" s="481" customFormat="1" x14ac:dyDescent="0.3">
      <c r="B501" s="86"/>
      <c r="C501" s="86"/>
      <c r="D501" s="86"/>
      <c r="E501" s="638"/>
      <c r="F501" s="639"/>
      <c r="G501" s="1110"/>
      <c r="H501" s="745"/>
      <c r="I501" s="746"/>
      <c r="J501" s="638"/>
      <c r="K501" s="746"/>
      <c r="L501" s="521"/>
      <c r="M501" s="818"/>
      <c r="N501" s="818"/>
      <c r="O501" s="638"/>
    </row>
    <row r="502" spans="2:15" s="481" customFormat="1" x14ac:dyDescent="0.3">
      <c r="B502" s="86"/>
      <c r="C502" s="86"/>
      <c r="D502" s="86"/>
      <c r="E502" s="638"/>
      <c r="F502" s="639"/>
      <c r="G502" s="1110"/>
      <c r="H502" s="745"/>
      <c r="I502" s="746"/>
      <c r="J502" s="638"/>
      <c r="K502" s="746"/>
      <c r="L502" s="521"/>
      <c r="M502" s="818"/>
      <c r="N502" s="818"/>
      <c r="O502" s="638"/>
    </row>
    <row r="503" spans="2:15" s="481" customFormat="1" x14ac:dyDescent="0.3">
      <c r="B503" s="86"/>
      <c r="C503" s="86"/>
      <c r="D503" s="86"/>
      <c r="E503" s="638"/>
      <c r="F503" s="639"/>
      <c r="G503" s="1110"/>
      <c r="H503" s="745"/>
      <c r="I503" s="746"/>
      <c r="J503" s="638"/>
      <c r="K503" s="746"/>
      <c r="L503" s="521"/>
      <c r="M503" s="818"/>
      <c r="N503" s="818"/>
      <c r="O503" s="638"/>
    </row>
    <row r="504" spans="2:15" s="481" customFormat="1" x14ac:dyDescent="0.3">
      <c r="B504" s="86"/>
      <c r="C504" s="86"/>
      <c r="D504" s="86"/>
      <c r="E504" s="638"/>
      <c r="F504" s="639"/>
      <c r="G504" s="1110"/>
      <c r="H504" s="745"/>
      <c r="I504" s="746"/>
      <c r="J504" s="638"/>
      <c r="K504" s="746"/>
      <c r="L504" s="521"/>
      <c r="M504" s="818"/>
      <c r="N504" s="818"/>
      <c r="O504" s="638"/>
    </row>
    <row r="505" spans="2:15" s="481" customFormat="1" x14ac:dyDescent="0.3">
      <c r="B505" s="86"/>
      <c r="C505" s="86"/>
      <c r="D505" s="86"/>
      <c r="E505" s="638"/>
      <c r="F505" s="639"/>
      <c r="G505" s="1110"/>
      <c r="H505" s="745"/>
      <c r="I505" s="746"/>
      <c r="J505" s="638"/>
      <c r="K505" s="746"/>
      <c r="L505" s="521"/>
      <c r="M505" s="818"/>
      <c r="N505" s="818"/>
      <c r="O505" s="638"/>
    </row>
    <row r="506" spans="2:15" s="481" customFormat="1" x14ac:dyDescent="0.3">
      <c r="B506" s="86"/>
      <c r="C506" s="86"/>
      <c r="D506" s="86"/>
      <c r="E506" s="638"/>
      <c r="F506" s="639"/>
      <c r="G506" s="1110"/>
      <c r="H506" s="745"/>
      <c r="I506" s="746"/>
      <c r="J506" s="638"/>
      <c r="K506" s="746"/>
      <c r="L506" s="521"/>
      <c r="M506" s="818"/>
      <c r="N506" s="818"/>
      <c r="O506" s="638"/>
    </row>
    <row r="507" spans="2:15" s="481" customFormat="1" x14ac:dyDescent="0.3">
      <c r="B507" s="86"/>
      <c r="C507" s="86"/>
      <c r="D507" s="86"/>
      <c r="E507" s="638"/>
      <c r="F507" s="639"/>
      <c r="G507" s="1110"/>
      <c r="H507" s="745"/>
      <c r="I507" s="746"/>
      <c r="J507" s="638"/>
      <c r="K507" s="746"/>
      <c r="L507" s="521"/>
      <c r="M507" s="818"/>
      <c r="N507" s="818"/>
      <c r="O507" s="638"/>
    </row>
    <row r="508" spans="2:15" s="481" customFormat="1" x14ac:dyDescent="0.3">
      <c r="B508" s="86"/>
      <c r="C508" s="86"/>
      <c r="D508" s="86"/>
      <c r="E508" s="638"/>
      <c r="F508" s="639"/>
      <c r="G508" s="1110"/>
      <c r="H508" s="745"/>
      <c r="I508" s="746"/>
      <c r="J508" s="638"/>
      <c r="K508" s="746"/>
      <c r="L508" s="521"/>
      <c r="M508" s="818"/>
      <c r="N508" s="818"/>
      <c r="O508" s="638"/>
    </row>
    <row r="509" spans="2:15" s="481" customFormat="1" x14ac:dyDescent="0.3">
      <c r="B509" s="86"/>
      <c r="C509" s="86"/>
      <c r="D509" s="86"/>
      <c r="E509" s="638"/>
      <c r="F509" s="639"/>
      <c r="G509" s="1110"/>
      <c r="H509" s="745"/>
      <c r="I509" s="746"/>
      <c r="J509" s="638"/>
      <c r="K509" s="746"/>
      <c r="L509" s="521"/>
      <c r="M509" s="818"/>
      <c r="N509" s="818"/>
      <c r="O509" s="638"/>
    </row>
    <row r="510" spans="2:15" s="481" customFormat="1" x14ac:dyDescent="0.3">
      <c r="B510" s="86"/>
      <c r="C510" s="86"/>
      <c r="D510" s="86"/>
      <c r="E510" s="638"/>
      <c r="F510" s="639"/>
      <c r="G510" s="1110"/>
      <c r="H510" s="745"/>
      <c r="I510" s="746"/>
      <c r="J510" s="638"/>
      <c r="K510" s="746"/>
      <c r="L510" s="521"/>
      <c r="M510" s="818"/>
      <c r="N510" s="818"/>
      <c r="O510" s="638"/>
    </row>
    <row r="511" spans="2:15" s="481" customFormat="1" x14ac:dyDescent="0.3">
      <c r="B511" s="86"/>
      <c r="C511" s="86"/>
      <c r="D511" s="86"/>
      <c r="E511" s="638"/>
      <c r="F511" s="639"/>
      <c r="G511" s="1110"/>
      <c r="H511" s="745"/>
      <c r="I511" s="746"/>
      <c r="J511" s="638"/>
      <c r="K511" s="746"/>
      <c r="L511" s="521"/>
      <c r="M511" s="818"/>
      <c r="N511" s="818"/>
      <c r="O511" s="638"/>
    </row>
    <row r="512" spans="2:15" s="481" customFormat="1" x14ac:dyDescent="0.3">
      <c r="B512" s="86"/>
      <c r="C512" s="86"/>
      <c r="D512" s="86"/>
      <c r="E512" s="638"/>
      <c r="F512" s="639"/>
      <c r="G512" s="1110"/>
      <c r="H512" s="745"/>
      <c r="I512" s="746"/>
      <c r="J512" s="638"/>
      <c r="K512" s="746"/>
      <c r="L512" s="521"/>
      <c r="M512" s="818"/>
      <c r="N512" s="818"/>
      <c r="O512" s="638"/>
    </row>
    <row r="513" spans="2:15" s="481" customFormat="1" x14ac:dyDescent="0.3">
      <c r="B513" s="86"/>
      <c r="C513" s="86"/>
      <c r="D513" s="86"/>
      <c r="E513" s="638"/>
      <c r="F513" s="639"/>
      <c r="G513" s="1110"/>
      <c r="H513" s="745"/>
      <c r="I513" s="746"/>
      <c r="J513" s="638"/>
      <c r="K513" s="746"/>
      <c r="L513" s="521"/>
      <c r="M513" s="818"/>
      <c r="N513" s="818"/>
      <c r="O513" s="638"/>
    </row>
    <row r="514" spans="2:15" s="481" customFormat="1" x14ac:dyDescent="0.3">
      <c r="B514" s="86"/>
      <c r="C514" s="86"/>
      <c r="D514" s="86"/>
      <c r="E514" s="638"/>
      <c r="F514" s="639"/>
      <c r="G514" s="1110"/>
      <c r="H514" s="745"/>
      <c r="I514" s="746"/>
      <c r="J514" s="638"/>
      <c r="K514" s="746"/>
      <c r="L514" s="521"/>
      <c r="M514" s="818"/>
      <c r="N514" s="818"/>
      <c r="O514" s="638"/>
    </row>
    <row r="515" spans="2:15" s="481" customFormat="1" x14ac:dyDescent="0.3">
      <c r="B515" s="86"/>
      <c r="C515" s="86"/>
      <c r="D515" s="86"/>
      <c r="E515" s="638"/>
      <c r="F515" s="639"/>
      <c r="G515" s="1110"/>
      <c r="H515" s="745"/>
      <c r="I515" s="746"/>
      <c r="J515" s="638"/>
      <c r="K515" s="746"/>
      <c r="L515" s="521"/>
      <c r="M515" s="818"/>
      <c r="N515" s="818"/>
      <c r="O515" s="638"/>
    </row>
    <row r="516" spans="2:15" s="481" customFormat="1" x14ac:dyDescent="0.3">
      <c r="B516" s="86"/>
      <c r="C516" s="86"/>
      <c r="D516" s="86"/>
      <c r="E516" s="638"/>
      <c r="F516" s="639"/>
      <c r="G516" s="1110"/>
      <c r="H516" s="745"/>
      <c r="I516" s="746"/>
      <c r="J516" s="638"/>
      <c r="K516" s="746"/>
      <c r="L516" s="521"/>
      <c r="M516" s="818"/>
      <c r="N516" s="818"/>
      <c r="O516" s="638"/>
    </row>
    <row r="517" spans="2:15" s="481" customFormat="1" x14ac:dyDescent="0.3">
      <c r="B517" s="86"/>
      <c r="C517" s="86"/>
      <c r="D517" s="86"/>
      <c r="E517" s="638"/>
      <c r="F517" s="639"/>
      <c r="G517" s="1110"/>
      <c r="H517" s="745"/>
      <c r="I517" s="746"/>
      <c r="J517" s="638"/>
      <c r="K517" s="746"/>
      <c r="L517" s="521"/>
      <c r="M517" s="818"/>
      <c r="N517" s="818"/>
      <c r="O517" s="638"/>
    </row>
    <row r="518" spans="2:15" s="481" customFormat="1" x14ac:dyDescent="0.3">
      <c r="B518" s="86"/>
      <c r="C518" s="86"/>
      <c r="D518" s="86"/>
      <c r="E518" s="638"/>
      <c r="F518" s="639"/>
      <c r="G518" s="1110"/>
      <c r="H518" s="745"/>
      <c r="I518" s="746"/>
      <c r="J518" s="638"/>
      <c r="K518" s="746"/>
      <c r="L518" s="521"/>
      <c r="M518" s="818"/>
      <c r="N518" s="818"/>
      <c r="O518" s="638"/>
    </row>
    <row r="519" spans="2:15" s="481" customFormat="1" x14ac:dyDescent="0.3">
      <c r="B519" s="86"/>
      <c r="C519" s="86"/>
      <c r="D519" s="86"/>
      <c r="E519" s="638"/>
      <c r="F519" s="639"/>
      <c r="G519" s="1110"/>
      <c r="H519" s="745"/>
      <c r="I519" s="746"/>
      <c r="J519" s="638"/>
      <c r="K519" s="746"/>
      <c r="L519" s="521"/>
      <c r="M519" s="818"/>
      <c r="N519" s="818"/>
      <c r="O519" s="638"/>
    </row>
    <row r="520" spans="2:15" s="481" customFormat="1" x14ac:dyDescent="0.3">
      <c r="B520" s="86"/>
      <c r="C520" s="86"/>
      <c r="D520" s="86"/>
      <c r="E520" s="638"/>
      <c r="F520" s="639"/>
      <c r="G520" s="1110"/>
      <c r="H520" s="745"/>
      <c r="I520" s="746"/>
      <c r="J520" s="638"/>
      <c r="K520" s="746"/>
      <c r="L520" s="521"/>
      <c r="M520" s="818"/>
      <c r="N520" s="818"/>
      <c r="O520" s="638"/>
    </row>
    <row r="521" spans="2:15" s="481" customFormat="1" x14ac:dyDescent="0.3">
      <c r="B521" s="86"/>
      <c r="C521" s="86"/>
      <c r="D521" s="86"/>
      <c r="E521" s="638"/>
      <c r="F521" s="639"/>
      <c r="G521" s="1110"/>
      <c r="H521" s="745"/>
      <c r="I521" s="746"/>
      <c r="J521" s="638"/>
      <c r="K521" s="746"/>
      <c r="L521" s="521"/>
      <c r="M521" s="818"/>
      <c r="N521" s="818"/>
      <c r="O521" s="638"/>
    </row>
    <row r="522" spans="2:15" s="481" customFormat="1" x14ac:dyDescent="0.3">
      <c r="B522" s="86"/>
      <c r="C522" s="86"/>
      <c r="D522" s="86"/>
      <c r="E522" s="638"/>
      <c r="F522" s="639"/>
      <c r="G522" s="1110"/>
      <c r="H522" s="745"/>
      <c r="I522" s="746"/>
      <c r="J522" s="638"/>
      <c r="K522" s="746"/>
      <c r="L522" s="521"/>
      <c r="M522" s="818"/>
      <c r="N522" s="818"/>
      <c r="O522" s="638"/>
    </row>
    <row r="523" spans="2:15" s="481" customFormat="1" x14ac:dyDescent="0.3">
      <c r="B523" s="86"/>
      <c r="C523" s="86"/>
      <c r="D523" s="86"/>
      <c r="E523" s="638"/>
      <c r="F523" s="639"/>
      <c r="G523" s="1110"/>
      <c r="H523" s="745"/>
      <c r="I523" s="746"/>
      <c r="J523" s="638"/>
      <c r="K523" s="746"/>
      <c r="L523" s="521"/>
      <c r="M523" s="818"/>
      <c r="N523" s="818"/>
      <c r="O523" s="638"/>
    </row>
    <row r="524" spans="2:15" s="481" customFormat="1" x14ac:dyDescent="0.3">
      <c r="B524" s="86"/>
      <c r="C524" s="86"/>
      <c r="D524" s="86"/>
      <c r="E524" s="638"/>
      <c r="F524" s="639"/>
      <c r="G524" s="1110"/>
      <c r="H524" s="745"/>
      <c r="I524" s="746"/>
      <c r="J524" s="638"/>
      <c r="K524" s="746"/>
      <c r="L524" s="521"/>
      <c r="M524" s="818"/>
      <c r="N524" s="818"/>
      <c r="O524" s="638"/>
    </row>
    <row r="525" spans="2:15" s="481" customFormat="1" x14ac:dyDescent="0.3">
      <c r="B525" s="86"/>
      <c r="C525" s="86"/>
      <c r="D525" s="86"/>
      <c r="E525" s="638"/>
      <c r="F525" s="639"/>
      <c r="G525" s="1110"/>
      <c r="H525" s="745"/>
      <c r="I525" s="746"/>
      <c r="J525" s="638"/>
      <c r="K525" s="746"/>
      <c r="L525" s="521"/>
      <c r="M525" s="818"/>
      <c r="N525" s="818"/>
      <c r="O525" s="638"/>
    </row>
    <row r="526" spans="2:15" s="481" customFormat="1" x14ac:dyDescent="0.3">
      <c r="B526" s="86"/>
      <c r="C526" s="86"/>
      <c r="D526" s="86"/>
      <c r="E526" s="638"/>
      <c r="F526" s="639"/>
      <c r="G526" s="1110"/>
      <c r="H526" s="745"/>
      <c r="I526" s="746"/>
      <c r="J526" s="638"/>
      <c r="K526" s="746"/>
      <c r="L526" s="521"/>
      <c r="M526" s="818"/>
      <c r="N526" s="818"/>
      <c r="O526" s="638"/>
    </row>
    <row r="527" spans="2:15" s="481" customFormat="1" x14ac:dyDescent="0.3">
      <c r="B527" s="86"/>
      <c r="C527" s="86"/>
      <c r="D527" s="86"/>
      <c r="E527" s="638"/>
      <c r="F527" s="639"/>
      <c r="G527" s="1110"/>
      <c r="H527" s="745"/>
      <c r="I527" s="746"/>
      <c r="J527" s="638"/>
      <c r="K527" s="746"/>
      <c r="L527" s="521"/>
      <c r="M527" s="818"/>
      <c r="N527" s="818"/>
      <c r="O527" s="638"/>
    </row>
    <row r="528" spans="2:15" s="481" customFormat="1" x14ac:dyDescent="0.3">
      <c r="B528" s="86"/>
      <c r="C528" s="86"/>
      <c r="D528" s="86"/>
      <c r="E528" s="638"/>
      <c r="F528" s="639"/>
      <c r="G528" s="1110"/>
      <c r="H528" s="745"/>
      <c r="I528" s="746"/>
      <c r="J528" s="638"/>
      <c r="K528" s="746"/>
      <c r="L528" s="521"/>
      <c r="M528" s="818"/>
      <c r="N528" s="818"/>
      <c r="O528" s="638"/>
    </row>
    <row r="529" spans="2:15" s="481" customFormat="1" x14ac:dyDescent="0.3">
      <c r="B529" s="86"/>
      <c r="C529" s="86"/>
      <c r="D529" s="86"/>
      <c r="E529" s="638"/>
      <c r="F529" s="639"/>
      <c r="G529" s="1110"/>
      <c r="H529" s="745"/>
      <c r="I529" s="746"/>
      <c r="J529" s="638"/>
      <c r="K529" s="746"/>
      <c r="L529" s="521"/>
      <c r="M529" s="818"/>
      <c r="N529" s="818"/>
      <c r="O529" s="638"/>
    </row>
    <row r="530" spans="2:15" s="481" customFormat="1" x14ac:dyDescent="0.3">
      <c r="B530" s="86"/>
      <c r="C530" s="86"/>
      <c r="D530" s="86"/>
      <c r="E530" s="638"/>
      <c r="F530" s="639"/>
      <c r="G530" s="1110"/>
      <c r="H530" s="745"/>
      <c r="I530" s="746"/>
      <c r="J530" s="638"/>
      <c r="K530" s="746"/>
      <c r="L530" s="521"/>
      <c r="M530" s="818"/>
      <c r="N530" s="818"/>
      <c r="O530" s="638"/>
    </row>
    <row r="531" spans="2:15" s="481" customFormat="1" x14ac:dyDescent="0.3">
      <c r="B531" s="86"/>
      <c r="C531" s="86"/>
      <c r="D531" s="86"/>
      <c r="E531" s="638"/>
      <c r="F531" s="639"/>
      <c r="G531" s="1110"/>
      <c r="H531" s="745"/>
      <c r="I531" s="746"/>
      <c r="J531" s="638"/>
      <c r="K531" s="746"/>
      <c r="L531" s="521"/>
      <c r="M531" s="818"/>
      <c r="N531" s="818"/>
      <c r="O531" s="638"/>
    </row>
    <row r="532" spans="2:15" s="481" customFormat="1" x14ac:dyDescent="0.3">
      <c r="B532" s="86"/>
      <c r="C532" s="86"/>
      <c r="D532" s="86"/>
      <c r="E532" s="638"/>
      <c r="F532" s="639"/>
      <c r="G532" s="1110"/>
      <c r="H532" s="745"/>
      <c r="I532" s="746"/>
      <c r="J532" s="638"/>
      <c r="K532" s="746"/>
      <c r="L532" s="521"/>
      <c r="M532" s="818"/>
      <c r="N532" s="818"/>
      <c r="O532" s="638"/>
    </row>
    <row r="533" spans="2:15" s="481" customFormat="1" x14ac:dyDescent="0.3">
      <c r="B533" s="86"/>
      <c r="C533" s="86"/>
      <c r="D533" s="86"/>
      <c r="E533" s="638"/>
      <c r="F533" s="639"/>
      <c r="G533" s="1110"/>
      <c r="H533" s="745"/>
      <c r="I533" s="746"/>
      <c r="J533" s="638"/>
      <c r="K533" s="746"/>
      <c r="L533" s="521"/>
      <c r="M533" s="818"/>
      <c r="N533" s="818"/>
      <c r="O533" s="638"/>
    </row>
    <row r="534" spans="2:15" s="481" customFormat="1" x14ac:dyDescent="0.3">
      <c r="B534" s="86"/>
      <c r="C534" s="86"/>
      <c r="D534" s="86"/>
      <c r="E534" s="638"/>
      <c r="F534" s="639"/>
      <c r="G534" s="1110"/>
      <c r="H534" s="745"/>
      <c r="I534" s="746"/>
      <c r="J534" s="638"/>
      <c r="K534" s="746"/>
      <c r="L534" s="521"/>
      <c r="M534" s="818"/>
      <c r="N534" s="818"/>
      <c r="O534" s="638"/>
    </row>
    <row r="535" spans="2:15" s="481" customFormat="1" x14ac:dyDescent="0.3">
      <c r="B535" s="86"/>
      <c r="C535" s="86"/>
      <c r="D535" s="86"/>
      <c r="E535" s="638"/>
      <c r="F535" s="639"/>
      <c r="G535" s="1110"/>
      <c r="H535" s="745"/>
      <c r="I535" s="746"/>
      <c r="J535" s="638"/>
      <c r="K535" s="746"/>
      <c r="L535" s="521"/>
      <c r="M535" s="818"/>
      <c r="N535" s="818"/>
      <c r="O535" s="638"/>
    </row>
    <row r="536" spans="2:15" s="481" customFormat="1" x14ac:dyDescent="0.3">
      <c r="B536" s="86"/>
      <c r="C536" s="86"/>
      <c r="D536" s="86"/>
      <c r="E536" s="638"/>
      <c r="F536" s="639"/>
      <c r="G536" s="1110"/>
      <c r="H536" s="745"/>
      <c r="I536" s="746"/>
      <c r="J536" s="638"/>
      <c r="K536" s="746"/>
      <c r="L536" s="521"/>
      <c r="M536" s="818"/>
      <c r="N536" s="818"/>
      <c r="O536" s="638"/>
    </row>
    <row r="537" spans="2:15" s="481" customFormat="1" x14ac:dyDescent="0.3">
      <c r="B537" s="86"/>
      <c r="C537" s="86"/>
      <c r="D537" s="86"/>
      <c r="E537" s="638"/>
      <c r="F537" s="639"/>
      <c r="G537" s="1110"/>
      <c r="H537" s="745"/>
      <c r="I537" s="746"/>
      <c r="J537" s="638"/>
      <c r="K537" s="746"/>
      <c r="L537" s="521"/>
      <c r="M537" s="818"/>
      <c r="N537" s="818"/>
      <c r="O537" s="638"/>
    </row>
    <row r="538" spans="2:15" s="481" customFormat="1" x14ac:dyDescent="0.3">
      <c r="B538" s="86"/>
      <c r="C538" s="86"/>
      <c r="D538" s="86"/>
      <c r="E538" s="638"/>
      <c r="F538" s="639"/>
      <c r="G538" s="1110"/>
      <c r="H538" s="745"/>
      <c r="I538" s="746"/>
      <c r="J538" s="638"/>
      <c r="K538" s="746"/>
      <c r="L538" s="521"/>
      <c r="M538" s="818"/>
      <c r="N538" s="818"/>
      <c r="O538" s="638"/>
    </row>
    <row r="539" spans="2:15" s="481" customFormat="1" x14ac:dyDescent="0.3">
      <c r="B539" s="86"/>
      <c r="C539" s="86"/>
      <c r="D539" s="86"/>
      <c r="E539" s="638"/>
      <c r="F539" s="639"/>
      <c r="G539" s="1110"/>
      <c r="H539" s="745"/>
      <c r="I539" s="746"/>
      <c r="J539" s="638"/>
      <c r="K539" s="746"/>
      <c r="L539" s="521"/>
      <c r="M539" s="818"/>
      <c r="N539" s="818"/>
      <c r="O539" s="638"/>
    </row>
    <row r="540" spans="2:15" s="481" customFormat="1" x14ac:dyDescent="0.3">
      <c r="B540" s="86"/>
      <c r="C540" s="86"/>
      <c r="D540" s="86"/>
      <c r="E540" s="638"/>
      <c r="F540" s="639"/>
      <c r="G540" s="1110"/>
      <c r="H540" s="745"/>
      <c r="I540" s="746"/>
      <c r="J540" s="638"/>
      <c r="K540" s="746"/>
      <c r="L540" s="521"/>
      <c r="M540" s="818"/>
      <c r="N540" s="818"/>
      <c r="O540" s="638"/>
    </row>
    <row r="541" spans="2:15" s="481" customFormat="1" x14ac:dyDescent="0.3">
      <c r="B541" s="86"/>
      <c r="C541" s="86"/>
      <c r="D541" s="86"/>
      <c r="E541" s="638"/>
      <c r="F541" s="639"/>
      <c r="G541" s="1110"/>
      <c r="H541" s="745"/>
      <c r="I541" s="746"/>
      <c r="J541" s="638"/>
      <c r="K541" s="746"/>
      <c r="L541" s="521"/>
      <c r="M541" s="818"/>
      <c r="N541" s="818"/>
      <c r="O541" s="638"/>
    </row>
    <row r="542" spans="2:15" s="481" customFormat="1" x14ac:dyDescent="0.3">
      <c r="B542" s="86"/>
      <c r="C542" s="86"/>
      <c r="D542" s="86"/>
      <c r="E542" s="638"/>
      <c r="F542" s="639"/>
      <c r="G542" s="1110"/>
      <c r="H542" s="745"/>
      <c r="I542" s="746"/>
      <c r="J542" s="638"/>
      <c r="K542" s="746"/>
      <c r="L542" s="521"/>
      <c r="M542" s="818"/>
      <c r="N542" s="818"/>
      <c r="O542" s="638"/>
    </row>
    <row r="543" spans="2:15" s="481" customFormat="1" x14ac:dyDescent="0.3">
      <c r="B543" s="86"/>
      <c r="C543" s="86"/>
      <c r="D543" s="86"/>
      <c r="E543" s="638"/>
      <c r="F543" s="639"/>
      <c r="G543" s="1110"/>
      <c r="H543" s="745"/>
      <c r="I543" s="746"/>
      <c r="J543" s="638"/>
      <c r="K543" s="746"/>
      <c r="L543" s="521"/>
      <c r="M543" s="818"/>
      <c r="N543" s="818"/>
      <c r="O543" s="638"/>
    </row>
    <row r="544" spans="2:15" s="481" customFormat="1" x14ac:dyDescent="0.3">
      <c r="B544" s="86"/>
      <c r="C544" s="86"/>
      <c r="D544" s="86"/>
      <c r="E544" s="638"/>
      <c r="F544" s="639"/>
      <c r="G544" s="1110"/>
      <c r="H544" s="745"/>
      <c r="I544" s="746"/>
      <c r="J544" s="638"/>
      <c r="K544" s="746"/>
      <c r="L544" s="521"/>
      <c r="M544" s="818"/>
      <c r="N544" s="818"/>
      <c r="O544" s="638"/>
    </row>
    <row r="545" spans="2:15" s="481" customFormat="1" x14ac:dyDescent="0.3">
      <c r="B545" s="86"/>
      <c r="C545" s="86"/>
      <c r="D545" s="86"/>
      <c r="E545" s="638"/>
      <c r="F545" s="639"/>
      <c r="G545" s="1110"/>
      <c r="H545" s="745"/>
      <c r="I545" s="746"/>
      <c r="J545" s="638"/>
      <c r="K545" s="746"/>
      <c r="L545" s="521"/>
      <c r="M545" s="818"/>
      <c r="N545" s="818"/>
      <c r="O545" s="638"/>
    </row>
    <row r="546" spans="2:15" s="481" customFormat="1" x14ac:dyDescent="0.3">
      <c r="B546" s="86"/>
      <c r="C546" s="86"/>
      <c r="D546" s="86"/>
      <c r="E546" s="638"/>
      <c r="F546" s="639"/>
      <c r="G546" s="1110"/>
      <c r="H546" s="745"/>
      <c r="I546" s="746"/>
      <c r="J546" s="638"/>
      <c r="K546" s="746"/>
      <c r="L546" s="521"/>
      <c r="M546" s="818"/>
      <c r="N546" s="818"/>
      <c r="O546" s="638"/>
    </row>
    <row r="547" spans="2:15" s="481" customFormat="1" x14ac:dyDescent="0.3">
      <c r="B547" s="86"/>
      <c r="C547" s="86"/>
      <c r="D547" s="86"/>
      <c r="E547" s="638"/>
      <c r="F547" s="639"/>
      <c r="G547" s="1110"/>
      <c r="H547" s="745"/>
      <c r="I547" s="746"/>
      <c r="J547" s="638"/>
      <c r="K547" s="746"/>
      <c r="L547" s="521"/>
      <c r="M547" s="818"/>
      <c r="N547" s="818"/>
      <c r="O547" s="638"/>
    </row>
    <row r="548" spans="2:15" s="481" customFormat="1" x14ac:dyDescent="0.3">
      <c r="B548" s="86"/>
      <c r="C548" s="86"/>
      <c r="D548" s="86"/>
      <c r="E548" s="638"/>
      <c r="F548" s="639"/>
      <c r="G548" s="1110"/>
      <c r="H548" s="745"/>
      <c r="I548" s="746"/>
      <c r="J548" s="638"/>
      <c r="K548" s="746"/>
      <c r="L548" s="521"/>
      <c r="M548" s="818"/>
      <c r="N548" s="818"/>
      <c r="O548" s="638"/>
    </row>
    <row r="549" spans="2:15" s="481" customFormat="1" x14ac:dyDescent="0.3">
      <c r="B549" s="86"/>
      <c r="C549" s="86"/>
      <c r="D549" s="86"/>
      <c r="E549" s="638"/>
      <c r="F549" s="639"/>
      <c r="G549" s="1110"/>
      <c r="H549" s="745"/>
      <c r="I549" s="746"/>
      <c r="J549" s="638"/>
      <c r="K549" s="746"/>
      <c r="L549" s="521"/>
      <c r="M549" s="818"/>
      <c r="N549" s="818"/>
      <c r="O549" s="638"/>
    </row>
    <row r="550" spans="2:15" s="481" customFormat="1" x14ac:dyDescent="0.3">
      <c r="B550" s="86"/>
      <c r="C550" s="86"/>
      <c r="D550" s="86"/>
      <c r="E550" s="638"/>
      <c r="F550" s="639"/>
      <c r="G550" s="1110"/>
      <c r="H550" s="745"/>
      <c r="I550" s="746"/>
      <c r="J550" s="638"/>
      <c r="K550" s="746"/>
      <c r="L550" s="521"/>
      <c r="M550" s="818"/>
      <c r="N550" s="818"/>
      <c r="O550" s="638"/>
    </row>
    <row r="551" spans="2:15" s="481" customFormat="1" x14ac:dyDescent="0.3">
      <c r="B551" s="86"/>
      <c r="C551" s="86"/>
      <c r="D551" s="86"/>
      <c r="E551" s="638"/>
      <c r="F551" s="639"/>
      <c r="G551" s="1110"/>
      <c r="H551" s="745"/>
      <c r="I551" s="746"/>
      <c r="J551" s="638"/>
      <c r="K551" s="746"/>
      <c r="L551" s="521"/>
      <c r="M551" s="818"/>
      <c r="N551" s="818"/>
      <c r="O551" s="638"/>
    </row>
    <row r="552" spans="2:15" s="481" customFormat="1" x14ac:dyDescent="0.3">
      <c r="B552" s="86"/>
      <c r="C552" s="86"/>
      <c r="D552" s="86"/>
      <c r="E552" s="638"/>
      <c r="F552" s="639"/>
      <c r="G552" s="1110"/>
      <c r="H552" s="745"/>
      <c r="I552" s="746"/>
      <c r="J552" s="638"/>
      <c r="K552" s="746"/>
      <c r="L552" s="521"/>
      <c r="M552" s="818"/>
      <c r="N552" s="818"/>
      <c r="O552" s="638"/>
    </row>
    <row r="553" spans="2:15" s="481" customFormat="1" x14ac:dyDescent="0.3">
      <c r="B553" s="86"/>
      <c r="C553" s="86"/>
      <c r="D553" s="86"/>
      <c r="E553" s="638"/>
      <c r="F553" s="639"/>
      <c r="G553" s="1110"/>
      <c r="H553" s="745"/>
      <c r="I553" s="746"/>
      <c r="J553" s="638"/>
      <c r="K553" s="746"/>
      <c r="L553" s="521"/>
      <c r="M553" s="818"/>
      <c r="N553" s="818"/>
      <c r="O553" s="638"/>
    </row>
    <row r="554" spans="2:15" s="481" customFormat="1" x14ac:dyDescent="0.3">
      <c r="B554" s="86"/>
      <c r="C554" s="86"/>
      <c r="D554" s="86"/>
      <c r="E554" s="638"/>
      <c r="F554" s="639"/>
      <c r="G554" s="1110"/>
      <c r="H554" s="745"/>
      <c r="I554" s="746"/>
      <c r="J554" s="638"/>
      <c r="K554" s="746"/>
      <c r="L554" s="521"/>
      <c r="M554" s="818"/>
      <c r="N554" s="818"/>
      <c r="O554" s="638"/>
    </row>
    <row r="555" spans="2:15" s="481" customFormat="1" x14ac:dyDescent="0.3">
      <c r="B555" s="86"/>
      <c r="C555" s="86"/>
      <c r="D555" s="86"/>
      <c r="E555" s="638"/>
      <c r="F555" s="639"/>
      <c r="G555" s="1110"/>
      <c r="H555" s="745"/>
      <c r="I555" s="746"/>
      <c r="J555" s="638"/>
      <c r="K555" s="746"/>
      <c r="L555" s="521"/>
      <c r="M555" s="818"/>
      <c r="N555" s="818"/>
      <c r="O555" s="638"/>
    </row>
    <row r="556" spans="2:15" s="481" customFormat="1" x14ac:dyDescent="0.3">
      <c r="B556" s="86"/>
      <c r="C556" s="86"/>
      <c r="D556" s="86"/>
      <c r="E556" s="638"/>
      <c r="F556" s="639"/>
      <c r="G556" s="1110"/>
      <c r="H556" s="745"/>
      <c r="I556" s="746"/>
      <c r="J556" s="638"/>
      <c r="K556" s="746"/>
      <c r="L556" s="521"/>
      <c r="M556" s="818"/>
      <c r="N556" s="818"/>
      <c r="O556" s="638"/>
    </row>
    <row r="557" spans="2:15" s="481" customFormat="1" x14ac:dyDescent="0.3">
      <c r="B557" s="86"/>
      <c r="C557" s="86"/>
      <c r="D557" s="86"/>
      <c r="E557" s="638"/>
      <c r="F557" s="639"/>
      <c r="G557" s="1110"/>
      <c r="H557" s="745"/>
      <c r="I557" s="746"/>
      <c r="J557" s="638"/>
      <c r="K557" s="746"/>
      <c r="L557" s="521"/>
      <c r="M557" s="818"/>
      <c r="N557" s="818"/>
      <c r="O557" s="638"/>
    </row>
    <row r="558" spans="2:15" s="481" customFormat="1" x14ac:dyDescent="0.3">
      <c r="B558" s="86"/>
      <c r="C558" s="86"/>
      <c r="D558" s="86"/>
      <c r="E558" s="638"/>
      <c r="F558" s="639"/>
      <c r="G558" s="1110"/>
      <c r="H558" s="745"/>
      <c r="I558" s="746"/>
      <c r="J558" s="638"/>
      <c r="K558" s="746"/>
      <c r="L558" s="521"/>
      <c r="M558" s="818"/>
      <c r="N558" s="818"/>
      <c r="O558" s="638"/>
    </row>
    <row r="559" spans="2:15" s="481" customFormat="1" x14ac:dyDescent="0.3">
      <c r="B559" s="86"/>
      <c r="C559" s="86"/>
      <c r="D559" s="86"/>
      <c r="E559" s="638"/>
      <c r="F559" s="639"/>
      <c r="G559" s="1110"/>
      <c r="H559" s="745"/>
      <c r="I559" s="746"/>
      <c r="J559" s="638"/>
      <c r="K559" s="746"/>
      <c r="L559" s="521"/>
      <c r="M559" s="818"/>
      <c r="N559" s="818"/>
      <c r="O559" s="638"/>
    </row>
    <row r="560" spans="2:15" s="481" customFormat="1" x14ac:dyDescent="0.3">
      <c r="B560" s="86"/>
      <c r="C560" s="86"/>
      <c r="D560" s="86"/>
      <c r="E560" s="638"/>
      <c r="F560" s="639"/>
      <c r="G560" s="1110"/>
      <c r="H560" s="745"/>
      <c r="I560" s="746"/>
      <c r="J560" s="638"/>
      <c r="K560" s="746"/>
      <c r="L560" s="521"/>
      <c r="M560" s="818"/>
      <c r="N560" s="818"/>
      <c r="O560" s="638"/>
    </row>
    <row r="561" spans="2:15" s="481" customFormat="1" x14ac:dyDescent="0.3">
      <c r="B561" s="86"/>
      <c r="C561" s="86"/>
      <c r="D561" s="86"/>
      <c r="E561" s="638"/>
      <c r="F561" s="639"/>
      <c r="G561" s="1110"/>
      <c r="H561" s="745"/>
      <c r="I561" s="746"/>
      <c r="J561" s="638"/>
      <c r="K561" s="746"/>
      <c r="L561" s="521"/>
      <c r="M561" s="818"/>
      <c r="N561" s="818"/>
      <c r="O561" s="638"/>
    </row>
    <row r="562" spans="2:15" s="481" customFormat="1" x14ac:dyDescent="0.3">
      <c r="B562" s="86"/>
      <c r="C562" s="86"/>
      <c r="D562" s="86"/>
      <c r="E562" s="638"/>
      <c r="F562" s="639"/>
      <c r="G562" s="1110"/>
      <c r="H562" s="745"/>
      <c r="I562" s="746"/>
      <c r="J562" s="638"/>
      <c r="K562" s="746"/>
      <c r="L562" s="521"/>
      <c r="M562" s="818"/>
      <c r="N562" s="818"/>
      <c r="O562" s="638"/>
    </row>
    <row r="563" spans="2:15" s="481" customFormat="1" x14ac:dyDescent="0.3">
      <c r="B563" s="86"/>
      <c r="C563" s="86"/>
      <c r="D563" s="86"/>
      <c r="E563" s="638"/>
      <c r="F563" s="639"/>
      <c r="G563" s="1110"/>
      <c r="H563" s="745"/>
      <c r="I563" s="746"/>
      <c r="J563" s="638"/>
      <c r="K563" s="746"/>
      <c r="L563" s="521"/>
      <c r="M563" s="818"/>
      <c r="N563" s="818"/>
      <c r="O563" s="638"/>
    </row>
    <row r="564" spans="2:15" s="481" customFormat="1" x14ac:dyDescent="0.3">
      <c r="B564" s="86"/>
      <c r="C564" s="86"/>
      <c r="D564" s="86"/>
      <c r="E564" s="638"/>
      <c r="F564" s="639"/>
      <c r="G564" s="1110"/>
      <c r="H564" s="745"/>
      <c r="I564" s="746"/>
      <c r="J564" s="638"/>
      <c r="K564" s="746"/>
      <c r="L564" s="521"/>
      <c r="M564" s="818"/>
      <c r="N564" s="818"/>
      <c r="O564" s="638"/>
    </row>
    <row r="565" spans="2:15" s="481" customFormat="1" x14ac:dyDescent="0.3">
      <c r="B565" s="86"/>
      <c r="C565" s="86"/>
      <c r="D565" s="86"/>
      <c r="E565" s="638"/>
      <c r="F565" s="639"/>
      <c r="G565" s="1110"/>
      <c r="H565" s="745"/>
      <c r="I565" s="746"/>
      <c r="J565" s="638"/>
      <c r="K565" s="746"/>
      <c r="L565" s="521"/>
      <c r="M565" s="818"/>
      <c r="N565" s="818"/>
      <c r="O565" s="638"/>
    </row>
    <row r="566" spans="2:15" s="481" customFormat="1" x14ac:dyDescent="0.3">
      <c r="B566" s="86"/>
      <c r="C566" s="86"/>
      <c r="D566" s="86"/>
      <c r="E566" s="638"/>
      <c r="F566" s="639"/>
      <c r="G566" s="1110"/>
      <c r="H566" s="745"/>
      <c r="I566" s="746"/>
      <c r="J566" s="638"/>
      <c r="K566" s="746"/>
      <c r="L566" s="521"/>
      <c r="M566" s="818"/>
      <c r="N566" s="818"/>
      <c r="O566" s="638"/>
    </row>
    <row r="567" spans="2:15" s="481" customFormat="1" x14ac:dyDescent="0.3">
      <c r="B567" s="86"/>
      <c r="C567" s="86"/>
      <c r="D567" s="86"/>
      <c r="E567" s="638"/>
      <c r="F567" s="639"/>
      <c r="G567" s="1110"/>
      <c r="H567" s="745"/>
      <c r="I567" s="746"/>
      <c r="J567" s="638"/>
      <c r="K567" s="746"/>
      <c r="L567" s="521"/>
      <c r="M567" s="818"/>
      <c r="N567" s="818"/>
      <c r="O567" s="638"/>
    </row>
    <row r="568" spans="2:15" s="481" customFormat="1" x14ac:dyDescent="0.3">
      <c r="B568" s="86"/>
      <c r="C568" s="86"/>
      <c r="D568" s="86"/>
      <c r="E568" s="638"/>
      <c r="F568" s="639"/>
      <c r="G568" s="1110"/>
      <c r="H568" s="745"/>
      <c r="I568" s="746"/>
      <c r="J568" s="638"/>
      <c r="K568" s="746"/>
      <c r="L568" s="521"/>
      <c r="M568" s="818"/>
      <c r="N568" s="818"/>
      <c r="O568" s="638"/>
    </row>
    <row r="569" spans="2:15" s="481" customFormat="1" x14ac:dyDescent="0.3">
      <c r="B569" s="86"/>
      <c r="C569" s="86"/>
      <c r="D569" s="86"/>
      <c r="E569" s="638"/>
      <c r="F569" s="639"/>
      <c r="G569" s="1110"/>
      <c r="H569" s="745"/>
      <c r="I569" s="746"/>
      <c r="J569" s="638"/>
      <c r="K569" s="746"/>
      <c r="L569" s="521"/>
      <c r="M569" s="818"/>
      <c r="N569" s="818"/>
      <c r="O569" s="638"/>
    </row>
    <row r="570" spans="2:15" s="481" customFormat="1" x14ac:dyDescent="0.3">
      <c r="B570" s="86"/>
      <c r="C570" s="86"/>
      <c r="D570" s="86"/>
      <c r="E570" s="638"/>
      <c r="F570" s="639"/>
      <c r="G570" s="1110"/>
      <c r="H570" s="745"/>
      <c r="I570" s="746"/>
      <c r="J570" s="638"/>
      <c r="K570" s="746"/>
      <c r="L570" s="521"/>
      <c r="M570" s="818"/>
      <c r="N570" s="818"/>
      <c r="O570" s="638"/>
    </row>
    <row r="571" spans="2:15" s="481" customFormat="1" x14ac:dyDescent="0.3">
      <c r="B571" s="86"/>
      <c r="C571" s="86"/>
      <c r="D571" s="86"/>
      <c r="E571" s="638"/>
      <c r="F571" s="639"/>
      <c r="G571" s="1110"/>
      <c r="H571" s="745"/>
      <c r="I571" s="746"/>
      <c r="J571" s="638"/>
      <c r="K571" s="746"/>
      <c r="L571" s="521"/>
      <c r="M571" s="818"/>
      <c r="N571" s="818"/>
      <c r="O571" s="638"/>
    </row>
    <row r="572" spans="2:15" s="481" customFormat="1" x14ac:dyDescent="0.3">
      <c r="B572" s="86"/>
      <c r="C572" s="86"/>
      <c r="D572" s="86"/>
      <c r="E572" s="638"/>
      <c r="F572" s="639"/>
      <c r="G572" s="1110"/>
      <c r="H572" s="745"/>
      <c r="I572" s="746"/>
      <c r="J572" s="638"/>
      <c r="K572" s="746"/>
      <c r="L572" s="521"/>
      <c r="M572" s="818"/>
      <c r="N572" s="818"/>
      <c r="O572" s="638"/>
    </row>
    <row r="573" spans="2:15" s="481" customFormat="1" x14ac:dyDescent="0.3">
      <c r="B573" s="86"/>
      <c r="C573" s="86"/>
      <c r="D573" s="86"/>
      <c r="E573" s="638"/>
      <c r="F573" s="639"/>
      <c r="G573" s="1110"/>
      <c r="H573" s="745"/>
      <c r="I573" s="746"/>
      <c r="J573" s="638"/>
      <c r="K573" s="746"/>
      <c r="L573" s="521"/>
      <c r="M573" s="818"/>
      <c r="N573" s="818"/>
      <c r="O573" s="638"/>
    </row>
    <row r="574" spans="2:15" s="481" customFormat="1" x14ac:dyDescent="0.3">
      <c r="B574" s="86"/>
      <c r="C574" s="86"/>
      <c r="D574" s="86"/>
      <c r="E574" s="638"/>
      <c r="F574" s="639"/>
      <c r="G574" s="1110"/>
      <c r="H574" s="745"/>
      <c r="I574" s="746"/>
      <c r="J574" s="638"/>
      <c r="K574" s="746"/>
      <c r="L574" s="521"/>
      <c r="M574" s="818"/>
      <c r="N574" s="818"/>
      <c r="O574" s="638"/>
    </row>
    <row r="575" spans="2:15" s="481" customFormat="1" x14ac:dyDescent="0.3">
      <c r="B575" s="86"/>
      <c r="C575" s="86"/>
      <c r="D575" s="86"/>
      <c r="E575" s="638"/>
      <c r="F575" s="639"/>
      <c r="G575" s="1110"/>
      <c r="H575" s="745"/>
      <c r="I575" s="746"/>
      <c r="J575" s="638"/>
      <c r="K575" s="746"/>
      <c r="L575" s="521"/>
      <c r="M575" s="818"/>
      <c r="N575" s="818"/>
      <c r="O575" s="638"/>
    </row>
    <row r="576" spans="2:15" s="481" customFormat="1" x14ac:dyDescent="0.3">
      <c r="B576" s="86"/>
      <c r="C576" s="86"/>
      <c r="D576" s="86"/>
      <c r="E576" s="638"/>
      <c r="F576" s="639"/>
      <c r="G576" s="1110"/>
      <c r="H576" s="745"/>
      <c r="I576" s="746"/>
      <c r="J576" s="638"/>
      <c r="K576" s="746"/>
      <c r="L576" s="521"/>
      <c r="M576" s="818"/>
      <c r="N576" s="818"/>
      <c r="O576" s="638"/>
    </row>
    <row r="577" spans="2:15" s="481" customFormat="1" x14ac:dyDescent="0.3">
      <c r="B577" s="86"/>
      <c r="C577" s="86"/>
      <c r="D577" s="86"/>
      <c r="E577" s="638"/>
      <c r="F577" s="639"/>
      <c r="G577" s="1110"/>
      <c r="H577" s="745"/>
      <c r="I577" s="746"/>
      <c r="J577" s="638"/>
      <c r="K577" s="746"/>
      <c r="L577" s="521"/>
      <c r="M577" s="818"/>
      <c r="N577" s="818"/>
      <c r="O577" s="638"/>
    </row>
    <row r="578" spans="2:15" s="481" customFormat="1" x14ac:dyDescent="0.3">
      <c r="B578" s="86"/>
      <c r="C578" s="86"/>
      <c r="D578" s="86"/>
      <c r="E578" s="638"/>
      <c r="F578" s="639"/>
      <c r="G578" s="1110"/>
      <c r="H578" s="745"/>
      <c r="I578" s="746"/>
      <c r="J578" s="638"/>
      <c r="K578" s="746"/>
      <c r="L578" s="521"/>
      <c r="M578" s="818"/>
      <c r="N578" s="818"/>
      <c r="O578" s="638"/>
    </row>
    <row r="579" spans="2:15" s="481" customFormat="1" x14ac:dyDescent="0.3">
      <c r="B579" s="86"/>
      <c r="C579" s="86"/>
      <c r="D579" s="86"/>
      <c r="E579" s="638"/>
      <c r="F579" s="639"/>
      <c r="G579" s="1110"/>
      <c r="H579" s="745"/>
      <c r="I579" s="746"/>
      <c r="J579" s="638"/>
      <c r="K579" s="746"/>
      <c r="L579" s="521"/>
      <c r="M579" s="818"/>
      <c r="N579" s="818"/>
      <c r="O579" s="638"/>
    </row>
    <row r="580" spans="2:15" s="481" customFormat="1" x14ac:dyDescent="0.3">
      <c r="B580" s="86"/>
      <c r="C580" s="86"/>
      <c r="D580" s="86"/>
      <c r="E580" s="638"/>
      <c r="F580" s="639"/>
      <c r="G580" s="1110"/>
      <c r="H580" s="745"/>
      <c r="I580" s="746"/>
      <c r="J580" s="638"/>
      <c r="K580" s="746"/>
      <c r="L580" s="521"/>
      <c r="M580" s="818"/>
      <c r="N580" s="818"/>
      <c r="O580" s="638"/>
    </row>
    <row r="581" spans="2:15" s="481" customFormat="1" x14ac:dyDescent="0.3">
      <c r="B581" s="86"/>
      <c r="C581" s="86"/>
      <c r="D581" s="86"/>
      <c r="E581" s="638"/>
      <c r="F581" s="639"/>
      <c r="G581" s="1110"/>
      <c r="H581" s="745"/>
      <c r="I581" s="746"/>
      <c r="J581" s="638"/>
      <c r="K581" s="746"/>
      <c r="L581" s="521"/>
      <c r="M581" s="818"/>
      <c r="N581" s="818"/>
      <c r="O581" s="638"/>
    </row>
    <row r="582" spans="2:15" s="481" customFormat="1" x14ac:dyDescent="0.3">
      <c r="B582" s="86"/>
      <c r="C582" s="86"/>
      <c r="D582" s="86"/>
      <c r="E582" s="638"/>
      <c r="F582" s="639"/>
      <c r="G582" s="1110"/>
      <c r="H582" s="745"/>
      <c r="I582" s="746"/>
      <c r="J582" s="638"/>
      <c r="K582" s="746"/>
      <c r="L582" s="521"/>
      <c r="M582" s="818"/>
      <c r="N582" s="818"/>
      <c r="O582" s="638"/>
    </row>
    <row r="583" spans="2:15" s="481" customFormat="1" x14ac:dyDescent="0.3">
      <c r="B583" s="86"/>
      <c r="C583" s="86"/>
      <c r="D583" s="86"/>
      <c r="E583" s="638"/>
      <c r="F583" s="639"/>
      <c r="G583" s="1110"/>
      <c r="H583" s="745"/>
      <c r="I583" s="746"/>
      <c r="J583" s="638"/>
      <c r="K583" s="746"/>
      <c r="L583" s="521"/>
      <c r="M583" s="818"/>
      <c r="N583" s="818"/>
      <c r="O583" s="638"/>
    </row>
    <row r="584" spans="2:15" s="481" customFormat="1" x14ac:dyDescent="0.3">
      <c r="B584" s="86"/>
      <c r="C584" s="86"/>
      <c r="D584" s="86"/>
      <c r="E584" s="638"/>
      <c r="F584" s="639"/>
      <c r="G584" s="1110"/>
      <c r="H584" s="745"/>
      <c r="I584" s="746"/>
      <c r="J584" s="638"/>
      <c r="K584" s="746"/>
      <c r="L584" s="637"/>
      <c r="M584" s="818"/>
      <c r="N584" s="818"/>
      <c r="O584" s="638"/>
    </row>
    <row r="585" spans="2:15" s="481" customFormat="1" x14ac:dyDescent="0.3">
      <c r="B585" s="86"/>
      <c r="C585" s="86"/>
      <c r="D585" s="86"/>
      <c r="E585" s="638"/>
      <c r="F585" s="639"/>
      <c r="G585" s="1110"/>
      <c r="H585" s="745"/>
      <c r="I585" s="746"/>
      <c r="J585" s="638"/>
      <c r="K585" s="746"/>
      <c r="L585" s="637"/>
      <c r="M585" s="818"/>
      <c r="N585" s="818"/>
      <c r="O585" s="638"/>
    </row>
    <row r="586" spans="2:15" s="481" customFormat="1" x14ac:dyDescent="0.3">
      <c r="B586" s="86"/>
      <c r="C586" s="86"/>
      <c r="D586" s="86"/>
      <c r="E586" s="638"/>
      <c r="F586" s="639"/>
      <c r="G586" s="1110"/>
      <c r="H586" s="745"/>
      <c r="I586" s="746"/>
      <c r="J586" s="638"/>
      <c r="K586" s="746"/>
      <c r="L586" s="637"/>
      <c r="M586" s="818"/>
      <c r="N586" s="818"/>
      <c r="O586" s="638"/>
    </row>
    <row r="587" spans="2:15" s="481" customFormat="1" x14ac:dyDescent="0.3">
      <c r="B587" s="86"/>
      <c r="C587" s="86"/>
      <c r="D587" s="86"/>
      <c r="E587" s="638"/>
      <c r="F587" s="639"/>
      <c r="G587" s="1110"/>
      <c r="H587" s="745"/>
      <c r="I587" s="746"/>
      <c r="J587" s="638"/>
      <c r="K587" s="746"/>
      <c r="L587" s="637"/>
      <c r="M587" s="818"/>
      <c r="N587" s="818"/>
      <c r="O587" s="638"/>
    </row>
    <row r="588" spans="2:15" s="481" customFormat="1" x14ac:dyDescent="0.3">
      <c r="B588" s="86"/>
      <c r="C588" s="86"/>
      <c r="D588" s="86"/>
      <c r="E588" s="638"/>
      <c r="F588" s="639"/>
      <c r="G588" s="1110"/>
      <c r="H588" s="745"/>
      <c r="I588" s="746"/>
      <c r="J588" s="638"/>
      <c r="K588" s="746"/>
      <c r="L588" s="637"/>
      <c r="M588" s="818"/>
      <c r="N588" s="818"/>
      <c r="O588" s="638"/>
    </row>
    <row r="589" spans="2:15" s="481" customFormat="1" x14ac:dyDescent="0.3">
      <c r="B589" s="86"/>
      <c r="C589" s="86"/>
      <c r="D589" s="86"/>
      <c r="E589" s="638"/>
      <c r="F589" s="639"/>
      <c r="G589" s="1110"/>
      <c r="H589" s="745"/>
      <c r="I589" s="746"/>
      <c r="J589" s="638"/>
      <c r="K589" s="746"/>
      <c r="L589" s="637"/>
      <c r="M589" s="818"/>
      <c r="N589" s="818"/>
      <c r="O589" s="638"/>
    </row>
    <row r="590" spans="2:15" s="481" customFormat="1" x14ac:dyDescent="0.3">
      <c r="B590" s="86"/>
      <c r="C590" s="86"/>
      <c r="D590" s="86"/>
      <c r="E590" s="638"/>
      <c r="F590" s="639"/>
      <c r="G590" s="1110"/>
      <c r="H590" s="745"/>
      <c r="I590" s="746"/>
      <c r="J590" s="638"/>
      <c r="K590" s="746"/>
      <c r="L590" s="637"/>
      <c r="M590" s="818"/>
      <c r="N590" s="818"/>
      <c r="O590" s="638"/>
    </row>
    <row r="591" spans="2:15" s="481" customFormat="1" x14ac:dyDescent="0.3">
      <c r="B591" s="86"/>
      <c r="C591" s="86"/>
      <c r="D591" s="86"/>
      <c r="E591" s="638"/>
      <c r="F591" s="639"/>
      <c r="G591" s="1110"/>
      <c r="H591" s="745"/>
      <c r="I591" s="746"/>
      <c r="J591" s="638"/>
      <c r="K591" s="746"/>
      <c r="L591" s="637"/>
      <c r="M591" s="818"/>
      <c r="N591" s="818"/>
      <c r="O591" s="638"/>
    </row>
    <row r="592" spans="2:15" s="481" customFormat="1" x14ac:dyDescent="0.3">
      <c r="B592" s="86"/>
      <c r="C592" s="86"/>
      <c r="D592" s="86"/>
      <c r="E592" s="638"/>
      <c r="F592" s="639"/>
      <c r="G592" s="1110"/>
      <c r="H592" s="745"/>
      <c r="I592" s="746"/>
      <c r="J592" s="638"/>
      <c r="K592" s="746"/>
      <c r="L592" s="637"/>
      <c r="M592" s="818"/>
      <c r="N592" s="818"/>
      <c r="O592" s="638"/>
    </row>
    <row r="593" spans="2:15" s="481" customFormat="1" x14ac:dyDescent="0.3">
      <c r="B593" s="86"/>
      <c r="C593" s="86"/>
      <c r="D593" s="86"/>
      <c r="E593" s="638"/>
      <c r="F593" s="639"/>
      <c r="G593" s="1110"/>
      <c r="H593" s="745"/>
      <c r="I593" s="746"/>
      <c r="J593" s="638"/>
      <c r="K593" s="746"/>
      <c r="L593" s="637"/>
      <c r="M593" s="818"/>
      <c r="N593" s="818"/>
      <c r="O593" s="638"/>
    </row>
    <row r="594" spans="2:15" s="481" customFormat="1" x14ac:dyDescent="0.3">
      <c r="B594" s="86"/>
      <c r="C594" s="86"/>
      <c r="D594" s="86"/>
      <c r="E594" s="638"/>
      <c r="F594" s="639"/>
      <c r="G594" s="1110"/>
      <c r="H594" s="745"/>
      <c r="I594" s="746"/>
      <c r="J594" s="638"/>
      <c r="K594" s="746"/>
      <c r="L594" s="637"/>
      <c r="M594" s="818"/>
      <c r="N594" s="818"/>
      <c r="O594" s="638"/>
    </row>
    <row r="595" spans="2:15" s="481" customFormat="1" x14ac:dyDescent="0.3">
      <c r="B595" s="86"/>
      <c r="C595" s="86"/>
      <c r="D595" s="86"/>
      <c r="E595" s="638"/>
      <c r="F595" s="639"/>
      <c r="G595" s="1110"/>
      <c r="H595" s="745"/>
      <c r="I595" s="746"/>
      <c r="J595" s="638"/>
      <c r="K595" s="746"/>
      <c r="L595" s="637"/>
      <c r="M595" s="818"/>
      <c r="N595" s="818"/>
      <c r="O595" s="638"/>
    </row>
    <row r="596" spans="2:15" s="481" customFormat="1" x14ac:dyDescent="0.3">
      <c r="B596" s="86"/>
      <c r="C596" s="86"/>
      <c r="D596" s="86"/>
      <c r="E596" s="638"/>
      <c r="F596" s="639"/>
      <c r="G596" s="1110"/>
      <c r="H596" s="745"/>
      <c r="I596" s="746"/>
      <c r="J596" s="638"/>
      <c r="K596" s="746"/>
      <c r="L596" s="637"/>
      <c r="M596" s="818"/>
      <c r="N596" s="818"/>
      <c r="O596" s="638"/>
    </row>
    <row r="597" spans="2:15" s="481" customFormat="1" x14ac:dyDescent="0.3">
      <c r="B597" s="86"/>
      <c r="C597" s="86"/>
      <c r="D597" s="86"/>
      <c r="E597" s="638"/>
      <c r="F597" s="639"/>
      <c r="G597" s="1110"/>
      <c r="H597" s="745"/>
      <c r="I597" s="746"/>
      <c r="J597" s="638"/>
      <c r="K597" s="746"/>
      <c r="L597" s="637"/>
      <c r="M597" s="818"/>
      <c r="N597" s="818"/>
      <c r="O597" s="638"/>
    </row>
    <row r="598" spans="2:15" s="481" customFormat="1" x14ac:dyDescent="0.3">
      <c r="B598" s="86"/>
      <c r="C598" s="86"/>
      <c r="D598" s="86"/>
      <c r="E598" s="638"/>
      <c r="F598" s="639"/>
      <c r="G598" s="1110"/>
      <c r="H598" s="745"/>
      <c r="I598" s="746"/>
      <c r="J598" s="638"/>
      <c r="K598" s="746"/>
      <c r="L598" s="637"/>
      <c r="M598" s="818"/>
      <c r="N598" s="818"/>
      <c r="O598" s="638"/>
    </row>
    <row r="599" spans="2:15" s="481" customFormat="1" x14ac:dyDescent="0.3">
      <c r="B599" s="86"/>
      <c r="C599" s="86"/>
      <c r="D599" s="86"/>
      <c r="E599" s="638"/>
      <c r="F599" s="639"/>
      <c r="G599" s="1110"/>
      <c r="H599" s="745"/>
      <c r="I599" s="746"/>
      <c r="J599" s="638"/>
      <c r="K599" s="746"/>
      <c r="L599" s="637"/>
      <c r="M599" s="818"/>
      <c r="N599" s="818"/>
      <c r="O599" s="638"/>
    </row>
    <row r="600" spans="2:15" s="481" customFormat="1" x14ac:dyDescent="0.3">
      <c r="B600" s="86"/>
      <c r="C600" s="86"/>
      <c r="D600" s="86"/>
      <c r="E600" s="638"/>
      <c r="F600" s="639"/>
      <c r="G600" s="1110"/>
      <c r="H600" s="745"/>
      <c r="I600" s="746"/>
      <c r="J600" s="638"/>
      <c r="K600" s="746"/>
      <c r="L600" s="637"/>
      <c r="M600" s="818"/>
      <c r="N600" s="818"/>
      <c r="O600" s="638"/>
    </row>
    <row r="601" spans="2:15" s="481" customFormat="1" x14ac:dyDescent="0.3">
      <c r="B601" s="86"/>
      <c r="C601" s="86"/>
      <c r="D601" s="86"/>
      <c r="E601" s="638"/>
      <c r="F601" s="639"/>
      <c r="G601" s="1110"/>
      <c r="H601" s="745"/>
      <c r="I601" s="746"/>
      <c r="J601" s="638"/>
      <c r="K601" s="746"/>
      <c r="L601" s="637"/>
      <c r="M601" s="818"/>
      <c r="N601" s="818"/>
      <c r="O601" s="638"/>
    </row>
    <row r="602" spans="2:15" s="481" customFormat="1" x14ac:dyDescent="0.3">
      <c r="B602" s="86"/>
      <c r="C602" s="86"/>
      <c r="D602" s="86"/>
      <c r="E602" s="638"/>
      <c r="F602" s="639"/>
      <c r="G602" s="1110"/>
      <c r="H602" s="745"/>
      <c r="I602" s="746"/>
      <c r="J602" s="638"/>
      <c r="K602" s="746"/>
      <c r="L602" s="637"/>
      <c r="M602" s="818"/>
      <c r="N602" s="818"/>
      <c r="O602" s="638"/>
    </row>
    <row r="603" spans="2:15" s="481" customFormat="1" x14ac:dyDescent="0.3">
      <c r="B603" s="86"/>
      <c r="C603" s="86"/>
      <c r="D603" s="86"/>
      <c r="E603" s="638"/>
      <c r="F603" s="639"/>
      <c r="G603" s="1110"/>
      <c r="H603" s="745"/>
      <c r="I603" s="746"/>
      <c r="J603" s="638"/>
      <c r="K603" s="746"/>
      <c r="L603" s="637"/>
      <c r="M603" s="818"/>
      <c r="N603" s="818"/>
      <c r="O603" s="638"/>
    </row>
    <row r="604" spans="2:15" s="481" customFormat="1" x14ac:dyDescent="0.3">
      <c r="B604" s="86"/>
      <c r="C604" s="86"/>
      <c r="D604" s="86"/>
      <c r="E604" s="638"/>
      <c r="F604" s="639"/>
      <c r="G604" s="1110"/>
      <c r="H604" s="745"/>
      <c r="I604" s="746"/>
      <c r="J604" s="638"/>
      <c r="K604" s="746"/>
      <c r="L604" s="637"/>
      <c r="M604" s="818"/>
      <c r="N604" s="818"/>
      <c r="O604" s="638"/>
    </row>
    <row r="605" spans="2:15" s="481" customFormat="1" x14ac:dyDescent="0.3">
      <c r="B605" s="86"/>
      <c r="C605" s="86"/>
      <c r="D605" s="86"/>
      <c r="E605" s="638"/>
      <c r="F605" s="639"/>
      <c r="G605" s="1110"/>
      <c r="H605" s="745"/>
      <c r="I605" s="746"/>
      <c r="J605" s="638"/>
      <c r="K605" s="746"/>
      <c r="L605" s="637"/>
      <c r="M605" s="818"/>
      <c r="N605" s="818"/>
      <c r="O605" s="638"/>
    </row>
    <row r="606" spans="2:15" s="481" customFormat="1" x14ac:dyDescent="0.3">
      <c r="B606" s="86"/>
      <c r="C606" s="86"/>
      <c r="D606" s="86"/>
      <c r="E606" s="638"/>
      <c r="F606" s="639"/>
      <c r="G606" s="1110"/>
      <c r="H606" s="745"/>
      <c r="I606" s="746"/>
      <c r="J606" s="638"/>
      <c r="K606" s="746"/>
      <c r="L606" s="637"/>
      <c r="M606" s="818"/>
      <c r="N606" s="818"/>
      <c r="O606" s="638"/>
    </row>
    <row r="607" spans="2:15" s="481" customFormat="1" x14ac:dyDescent="0.3">
      <c r="B607" s="86"/>
      <c r="C607" s="86"/>
      <c r="D607" s="86"/>
      <c r="E607" s="638"/>
      <c r="F607" s="639"/>
      <c r="G607" s="1110"/>
      <c r="H607" s="745"/>
      <c r="I607" s="746"/>
      <c r="J607" s="638"/>
      <c r="K607" s="746"/>
      <c r="L607" s="637"/>
      <c r="M607" s="818"/>
      <c r="N607" s="818"/>
      <c r="O607" s="638"/>
    </row>
    <row r="608" spans="2:15" s="481" customFormat="1" x14ac:dyDescent="0.3">
      <c r="B608" s="86"/>
      <c r="C608" s="86"/>
      <c r="D608" s="86"/>
      <c r="E608" s="638"/>
      <c r="F608" s="639"/>
      <c r="G608" s="1110"/>
      <c r="H608" s="745"/>
      <c r="I608" s="746"/>
      <c r="J608" s="638"/>
      <c r="K608" s="746"/>
      <c r="L608" s="637"/>
      <c r="M608" s="818"/>
      <c r="N608" s="818"/>
      <c r="O608" s="638"/>
    </row>
    <row r="609" spans="2:15" s="481" customFormat="1" x14ac:dyDescent="0.3">
      <c r="B609" s="86"/>
      <c r="C609" s="86"/>
      <c r="D609" s="86"/>
      <c r="E609" s="638"/>
      <c r="F609" s="639"/>
      <c r="G609" s="1110"/>
      <c r="H609" s="745"/>
      <c r="I609" s="746"/>
      <c r="J609" s="638"/>
      <c r="K609" s="746"/>
      <c r="L609" s="637"/>
      <c r="M609" s="818"/>
      <c r="N609" s="818"/>
      <c r="O609" s="638"/>
    </row>
    <row r="610" spans="2:15" s="481" customFormat="1" x14ac:dyDescent="0.3">
      <c r="B610" s="86"/>
      <c r="C610" s="86"/>
      <c r="D610" s="86"/>
      <c r="E610" s="638"/>
      <c r="F610" s="639"/>
      <c r="G610" s="1110"/>
      <c r="H610" s="745"/>
      <c r="I610" s="746"/>
      <c r="J610" s="638"/>
      <c r="K610" s="746"/>
      <c r="L610" s="637"/>
      <c r="M610" s="818"/>
      <c r="N610" s="818"/>
      <c r="O610" s="638"/>
    </row>
    <row r="611" spans="2:15" s="481" customFormat="1" x14ac:dyDescent="0.3">
      <c r="B611" s="86"/>
      <c r="C611" s="86"/>
      <c r="D611" s="86"/>
      <c r="E611" s="638"/>
      <c r="F611" s="639"/>
      <c r="G611" s="1110"/>
      <c r="H611" s="745"/>
      <c r="I611" s="746"/>
      <c r="J611" s="638"/>
      <c r="K611" s="746"/>
      <c r="L611" s="637"/>
      <c r="M611" s="818"/>
      <c r="N611" s="818"/>
      <c r="O611" s="638"/>
    </row>
    <row r="612" spans="2:15" s="481" customFormat="1" x14ac:dyDescent="0.3">
      <c r="B612" s="86"/>
      <c r="C612" s="86"/>
      <c r="D612" s="86"/>
      <c r="E612" s="638"/>
      <c r="F612" s="639"/>
      <c r="G612" s="1110"/>
      <c r="H612" s="745"/>
      <c r="I612" s="746"/>
      <c r="J612" s="638"/>
      <c r="K612" s="746"/>
      <c r="L612" s="637"/>
      <c r="M612" s="818"/>
      <c r="N612" s="818"/>
      <c r="O612" s="638"/>
    </row>
    <row r="613" spans="2:15" s="481" customFormat="1" x14ac:dyDescent="0.3">
      <c r="B613" s="86"/>
      <c r="C613" s="86"/>
      <c r="D613" s="86"/>
      <c r="E613" s="638"/>
      <c r="F613" s="639"/>
      <c r="G613" s="1110"/>
      <c r="H613" s="745"/>
      <c r="I613" s="746"/>
      <c r="J613" s="638"/>
      <c r="K613" s="746"/>
      <c r="L613" s="637"/>
      <c r="M613" s="818"/>
      <c r="N613" s="818"/>
      <c r="O613" s="638"/>
    </row>
    <row r="614" spans="2:15" s="481" customFormat="1" x14ac:dyDescent="0.3">
      <c r="B614" s="86"/>
      <c r="C614" s="86"/>
      <c r="D614" s="86"/>
      <c r="E614" s="638"/>
      <c r="F614" s="639"/>
      <c r="G614" s="1110"/>
      <c r="H614" s="745"/>
      <c r="I614" s="746"/>
      <c r="J614" s="638"/>
      <c r="K614" s="746"/>
      <c r="L614" s="637"/>
      <c r="M614" s="818"/>
      <c r="N614" s="818"/>
      <c r="O614" s="638"/>
    </row>
    <row r="615" spans="2:15" s="481" customFormat="1" x14ac:dyDescent="0.3">
      <c r="B615" s="86"/>
      <c r="C615" s="86"/>
      <c r="D615" s="86"/>
      <c r="E615" s="638"/>
      <c r="F615" s="639"/>
      <c r="G615" s="1110"/>
      <c r="H615" s="745"/>
      <c r="I615" s="746"/>
      <c r="J615" s="638"/>
      <c r="K615" s="746"/>
      <c r="L615" s="637"/>
      <c r="M615" s="818"/>
      <c r="N615" s="818"/>
      <c r="O615" s="638"/>
    </row>
    <row r="616" spans="2:15" s="481" customFormat="1" x14ac:dyDescent="0.3">
      <c r="B616" s="86"/>
      <c r="C616" s="86"/>
      <c r="D616" s="86"/>
      <c r="E616" s="638"/>
      <c r="F616" s="639"/>
      <c r="G616" s="1110"/>
      <c r="H616" s="745"/>
      <c r="I616" s="746"/>
      <c r="J616" s="638"/>
      <c r="K616" s="746"/>
      <c r="L616" s="637"/>
      <c r="M616" s="818"/>
      <c r="N616" s="818"/>
      <c r="O616" s="638"/>
    </row>
    <row r="617" spans="2:15" s="481" customFormat="1" x14ac:dyDescent="0.3">
      <c r="B617" s="86"/>
      <c r="C617" s="86"/>
      <c r="D617" s="86"/>
      <c r="E617" s="638"/>
      <c r="F617" s="639"/>
      <c r="G617" s="1110"/>
      <c r="H617" s="745"/>
      <c r="I617" s="746"/>
      <c r="J617" s="638"/>
      <c r="K617" s="746"/>
      <c r="L617" s="637"/>
      <c r="M617" s="818"/>
      <c r="N617" s="818"/>
      <c r="O617" s="638"/>
    </row>
    <row r="618" spans="2:15" s="481" customFormat="1" x14ac:dyDescent="0.3">
      <c r="B618" s="86"/>
      <c r="C618" s="86"/>
      <c r="D618" s="86"/>
      <c r="E618" s="638"/>
      <c r="F618" s="639"/>
      <c r="G618" s="1110"/>
      <c r="H618" s="745"/>
      <c r="I618" s="746"/>
      <c r="J618" s="638"/>
      <c r="K618" s="746"/>
      <c r="L618" s="637"/>
      <c r="M618" s="818"/>
      <c r="N618" s="818"/>
      <c r="O618" s="638"/>
    </row>
    <row r="619" spans="2:15" s="481" customFormat="1" x14ac:dyDescent="0.3">
      <c r="B619" s="86"/>
      <c r="C619" s="86"/>
      <c r="D619" s="86"/>
      <c r="E619" s="638"/>
      <c r="F619" s="639"/>
      <c r="G619" s="1110"/>
      <c r="H619" s="745"/>
      <c r="I619" s="746"/>
      <c r="J619" s="638"/>
      <c r="K619" s="746"/>
      <c r="L619" s="637"/>
      <c r="M619" s="818"/>
      <c r="N619" s="818"/>
      <c r="O619" s="638"/>
    </row>
    <row r="620" spans="2:15" s="481" customFormat="1" x14ac:dyDescent="0.3">
      <c r="B620" s="86"/>
      <c r="C620" s="86"/>
      <c r="D620" s="86"/>
      <c r="E620" s="638"/>
      <c r="F620" s="639"/>
      <c r="G620" s="1110"/>
      <c r="H620" s="745"/>
      <c r="I620" s="746"/>
      <c r="J620" s="638"/>
      <c r="K620" s="746"/>
      <c r="L620" s="637"/>
      <c r="M620" s="818"/>
      <c r="N620" s="818"/>
      <c r="O620" s="638"/>
    </row>
    <row r="621" spans="2:15" s="481" customFormat="1" x14ac:dyDescent="0.3">
      <c r="B621" s="86"/>
      <c r="C621" s="86"/>
      <c r="D621" s="86"/>
      <c r="E621" s="638"/>
      <c r="F621" s="639"/>
      <c r="G621" s="1110"/>
      <c r="H621" s="745"/>
      <c r="I621" s="746"/>
      <c r="J621" s="638"/>
      <c r="K621" s="746"/>
      <c r="L621" s="637"/>
      <c r="M621" s="818"/>
      <c r="N621" s="818"/>
      <c r="O621" s="638"/>
    </row>
    <row r="622" spans="2:15" s="481" customFormat="1" x14ac:dyDescent="0.3">
      <c r="B622" s="86"/>
      <c r="C622" s="86"/>
      <c r="D622" s="86"/>
      <c r="E622" s="638"/>
      <c r="F622" s="639"/>
      <c r="G622" s="1110"/>
      <c r="H622" s="745"/>
      <c r="I622" s="746"/>
      <c r="J622" s="638"/>
      <c r="K622" s="746"/>
      <c r="L622" s="637"/>
      <c r="M622" s="818"/>
      <c r="N622" s="818"/>
      <c r="O622" s="638"/>
    </row>
    <row r="623" spans="2:15" s="481" customFormat="1" x14ac:dyDescent="0.3">
      <c r="B623" s="86"/>
      <c r="C623" s="86"/>
      <c r="D623" s="86"/>
      <c r="E623" s="638"/>
      <c r="F623" s="639"/>
      <c r="G623" s="1110"/>
      <c r="H623" s="745"/>
      <c r="I623" s="746"/>
      <c r="J623" s="638"/>
      <c r="K623" s="746"/>
      <c r="L623" s="637"/>
      <c r="M623" s="818"/>
      <c r="N623" s="818"/>
      <c r="O623" s="638"/>
    </row>
    <row r="624" spans="2:15" s="481" customFormat="1" x14ac:dyDescent="0.3">
      <c r="B624" s="86"/>
      <c r="C624" s="86"/>
      <c r="D624" s="86"/>
      <c r="E624" s="638"/>
      <c r="F624" s="639"/>
      <c r="G624" s="1110"/>
      <c r="H624" s="745"/>
      <c r="I624" s="746"/>
      <c r="J624" s="638"/>
      <c r="K624" s="746"/>
      <c r="L624" s="637"/>
      <c r="M624" s="818"/>
      <c r="N624" s="818"/>
      <c r="O624" s="638"/>
    </row>
    <row r="625" spans="2:15" s="481" customFormat="1" x14ac:dyDescent="0.3">
      <c r="B625" s="86"/>
      <c r="C625" s="86"/>
      <c r="D625" s="86"/>
      <c r="E625" s="638"/>
      <c r="F625" s="639"/>
      <c r="G625" s="1110"/>
      <c r="H625" s="745"/>
      <c r="I625" s="746"/>
      <c r="J625" s="638"/>
      <c r="K625" s="746"/>
      <c r="L625" s="637"/>
      <c r="M625" s="818"/>
      <c r="N625" s="818"/>
      <c r="O625" s="638"/>
    </row>
    <row r="626" spans="2:15" s="481" customFormat="1" x14ac:dyDescent="0.3">
      <c r="B626" s="86"/>
      <c r="C626" s="86"/>
      <c r="D626" s="86"/>
      <c r="E626" s="638"/>
      <c r="F626" s="639"/>
      <c r="G626" s="1110"/>
      <c r="H626" s="745"/>
      <c r="I626" s="746"/>
      <c r="J626" s="638"/>
      <c r="K626" s="746"/>
      <c r="L626" s="637"/>
      <c r="M626" s="818"/>
      <c r="N626" s="818"/>
      <c r="O626" s="638"/>
    </row>
    <row r="627" spans="2:15" s="481" customFormat="1" x14ac:dyDescent="0.3">
      <c r="B627" s="86"/>
      <c r="C627" s="86"/>
      <c r="D627" s="86"/>
      <c r="E627" s="638"/>
      <c r="F627" s="639"/>
      <c r="G627" s="1110"/>
      <c r="H627" s="745"/>
      <c r="I627" s="746"/>
      <c r="J627" s="638"/>
      <c r="K627" s="746"/>
      <c r="L627" s="637"/>
      <c r="M627" s="818"/>
      <c r="N627" s="818"/>
      <c r="O627" s="638"/>
    </row>
    <row r="628" spans="2:15" s="481" customFormat="1" x14ac:dyDescent="0.3">
      <c r="B628" s="86"/>
      <c r="C628" s="86"/>
      <c r="D628" s="86"/>
      <c r="E628" s="638"/>
      <c r="F628" s="639"/>
      <c r="G628" s="1110"/>
      <c r="H628" s="745"/>
      <c r="I628" s="746"/>
      <c r="J628" s="638"/>
      <c r="K628" s="746"/>
      <c r="L628" s="637"/>
      <c r="M628" s="818"/>
      <c r="N628" s="818"/>
      <c r="O628" s="638"/>
    </row>
    <row r="629" spans="2:15" s="481" customFormat="1" x14ac:dyDescent="0.3">
      <c r="B629" s="86"/>
      <c r="C629" s="86"/>
      <c r="D629" s="86"/>
      <c r="E629" s="638"/>
      <c r="F629" s="639"/>
      <c r="G629" s="1110"/>
      <c r="H629" s="745"/>
      <c r="I629" s="746"/>
      <c r="J629" s="638"/>
      <c r="K629" s="746"/>
      <c r="L629" s="637"/>
      <c r="M629" s="818"/>
      <c r="N629" s="818"/>
      <c r="O629" s="638"/>
    </row>
    <row r="630" spans="2:15" s="481" customFormat="1" x14ac:dyDescent="0.3">
      <c r="B630" s="86"/>
      <c r="C630" s="86"/>
      <c r="D630" s="86"/>
      <c r="E630" s="638"/>
      <c r="F630" s="639"/>
      <c r="G630" s="1110"/>
      <c r="H630" s="745"/>
      <c r="I630" s="746"/>
      <c r="J630" s="638"/>
      <c r="K630" s="746"/>
      <c r="L630" s="637"/>
      <c r="M630" s="818"/>
      <c r="N630" s="818"/>
      <c r="O630" s="638"/>
    </row>
    <row r="631" spans="2:15" s="481" customFormat="1" x14ac:dyDescent="0.3">
      <c r="B631" s="86"/>
      <c r="C631" s="86"/>
      <c r="D631" s="86"/>
      <c r="E631" s="638"/>
      <c r="F631" s="639"/>
      <c r="G631" s="1110"/>
      <c r="H631" s="745"/>
      <c r="I631" s="746"/>
      <c r="J631" s="638"/>
      <c r="K631" s="746"/>
      <c r="L631" s="637"/>
      <c r="M631" s="818"/>
      <c r="N631" s="818"/>
      <c r="O631" s="638"/>
    </row>
    <row r="632" spans="2:15" s="481" customFormat="1" x14ac:dyDescent="0.3">
      <c r="B632" s="86"/>
      <c r="C632" s="86"/>
      <c r="D632" s="86"/>
      <c r="E632" s="638"/>
      <c r="F632" s="639"/>
      <c r="G632" s="1110"/>
      <c r="H632" s="745"/>
      <c r="I632" s="746"/>
      <c r="J632" s="638"/>
      <c r="K632" s="746"/>
      <c r="L632" s="637"/>
      <c r="M632" s="818"/>
      <c r="N632" s="818"/>
      <c r="O632" s="638"/>
    </row>
    <row r="633" spans="2:15" s="481" customFormat="1" x14ac:dyDescent="0.3">
      <c r="B633" s="86"/>
      <c r="C633" s="86"/>
      <c r="D633" s="86"/>
      <c r="E633" s="638"/>
      <c r="F633" s="639"/>
      <c r="G633" s="1110"/>
      <c r="H633" s="745"/>
      <c r="I633" s="746"/>
      <c r="J633" s="638"/>
      <c r="K633" s="746"/>
      <c r="L633" s="637"/>
      <c r="M633" s="818"/>
      <c r="N633" s="818"/>
      <c r="O633" s="638"/>
    </row>
    <row r="634" spans="2:15" s="481" customFormat="1" x14ac:dyDescent="0.3">
      <c r="B634" s="86"/>
      <c r="C634" s="86"/>
      <c r="D634" s="86"/>
      <c r="E634" s="638"/>
      <c r="F634" s="639"/>
      <c r="G634" s="1110"/>
      <c r="H634" s="745"/>
      <c r="I634" s="746"/>
      <c r="J634" s="638"/>
      <c r="K634" s="746"/>
      <c r="L634" s="637"/>
      <c r="M634" s="818"/>
      <c r="N634" s="818"/>
      <c r="O634" s="638"/>
    </row>
    <row r="635" spans="2:15" s="481" customFormat="1" x14ac:dyDescent="0.3">
      <c r="B635" s="86"/>
      <c r="C635" s="86"/>
      <c r="D635" s="86"/>
      <c r="E635" s="638"/>
      <c r="F635" s="639"/>
      <c r="G635" s="1110"/>
      <c r="H635" s="745"/>
      <c r="I635" s="746"/>
      <c r="J635" s="638"/>
      <c r="K635" s="746"/>
      <c r="L635" s="637"/>
      <c r="M635" s="818"/>
      <c r="N635" s="818"/>
      <c r="O635" s="638"/>
    </row>
    <row r="636" spans="2:15" s="481" customFormat="1" x14ac:dyDescent="0.3">
      <c r="B636" s="86"/>
      <c r="C636" s="86"/>
      <c r="D636" s="86"/>
      <c r="E636" s="638"/>
      <c r="F636" s="639"/>
      <c r="G636" s="1110"/>
      <c r="H636" s="745"/>
      <c r="I636" s="746"/>
      <c r="J636" s="638"/>
      <c r="K636" s="746"/>
      <c r="L636" s="637"/>
      <c r="M636" s="818"/>
      <c r="N636" s="818"/>
      <c r="O636" s="638"/>
    </row>
    <row r="637" spans="2:15" s="481" customFormat="1" x14ac:dyDescent="0.3">
      <c r="B637" s="86"/>
      <c r="C637" s="86"/>
      <c r="D637" s="86"/>
      <c r="E637" s="638"/>
      <c r="F637" s="639"/>
      <c r="G637" s="1110"/>
      <c r="H637" s="745"/>
      <c r="I637" s="746"/>
      <c r="J637" s="638"/>
      <c r="K637" s="746"/>
      <c r="L637" s="637"/>
      <c r="M637" s="818"/>
      <c r="N637" s="818"/>
      <c r="O637" s="638"/>
    </row>
    <row r="638" spans="2:15" s="481" customFormat="1" x14ac:dyDescent="0.3">
      <c r="B638" s="86"/>
      <c r="C638" s="86"/>
      <c r="D638" s="86"/>
      <c r="E638" s="638"/>
      <c r="F638" s="639"/>
      <c r="G638" s="1110"/>
      <c r="H638" s="745"/>
      <c r="I638" s="746"/>
      <c r="J638" s="638"/>
      <c r="K638" s="746"/>
      <c r="L638" s="637"/>
      <c r="M638" s="818"/>
      <c r="N638" s="818"/>
      <c r="O638" s="638"/>
    </row>
    <row r="639" spans="2:15" s="481" customFormat="1" x14ac:dyDescent="0.3">
      <c r="B639" s="86"/>
      <c r="C639" s="86"/>
      <c r="D639" s="86"/>
      <c r="E639" s="638"/>
      <c r="F639" s="639"/>
      <c r="G639" s="1110"/>
      <c r="H639" s="745"/>
      <c r="I639" s="746"/>
      <c r="J639" s="638"/>
      <c r="K639" s="746"/>
      <c r="L639" s="637"/>
      <c r="M639" s="818"/>
      <c r="N639" s="818"/>
      <c r="O639" s="638"/>
    </row>
    <row r="640" spans="2:15" s="481" customFormat="1" x14ac:dyDescent="0.3">
      <c r="B640" s="86"/>
      <c r="C640" s="86"/>
      <c r="D640" s="86"/>
      <c r="E640" s="638"/>
      <c r="F640" s="639"/>
      <c r="G640" s="1110"/>
      <c r="H640" s="745"/>
      <c r="I640" s="746"/>
      <c r="J640" s="638"/>
      <c r="K640" s="746"/>
      <c r="L640" s="637"/>
      <c r="M640" s="818"/>
      <c r="N640" s="818"/>
      <c r="O640" s="638"/>
    </row>
    <row r="641" spans="2:17" s="481" customFormat="1" x14ac:dyDescent="0.3">
      <c r="B641" s="86"/>
      <c r="C641" s="86"/>
      <c r="D641" s="86"/>
      <c r="E641" s="638"/>
      <c r="F641" s="639"/>
      <c r="G641" s="1110"/>
      <c r="H641" s="745"/>
      <c r="I641" s="746"/>
      <c r="J641" s="638"/>
      <c r="K641" s="746"/>
      <c r="L641" s="637"/>
      <c r="M641" s="818"/>
      <c r="N641" s="818"/>
      <c r="O641" s="638"/>
    </row>
    <row r="642" spans="2:17" s="481" customFormat="1" x14ac:dyDescent="0.3">
      <c r="B642" s="86"/>
      <c r="C642" s="86"/>
      <c r="D642" s="86"/>
      <c r="E642" s="638"/>
      <c r="F642" s="639"/>
      <c r="G642" s="1110"/>
      <c r="H642" s="745"/>
      <c r="I642" s="746"/>
      <c r="J642" s="638"/>
      <c r="K642" s="746"/>
      <c r="L642" s="637"/>
      <c r="M642" s="818"/>
      <c r="N642" s="818"/>
      <c r="O642" s="638"/>
    </row>
    <row r="643" spans="2:17" s="481" customFormat="1" x14ac:dyDescent="0.3">
      <c r="B643" s="86"/>
      <c r="C643" s="86"/>
      <c r="D643" s="86"/>
      <c r="E643" s="638"/>
      <c r="F643" s="639"/>
      <c r="G643" s="1110"/>
      <c r="H643" s="745"/>
      <c r="I643" s="746"/>
      <c r="J643" s="638"/>
      <c r="K643" s="746"/>
      <c r="L643" s="637"/>
      <c r="M643" s="818"/>
      <c r="N643" s="818"/>
      <c r="O643" s="638"/>
    </row>
    <row r="644" spans="2:17" s="481" customFormat="1" x14ac:dyDescent="0.3">
      <c r="B644" s="86"/>
      <c r="C644" s="86"/>
      <c r="D644" s="86"/>
      <c r="E644" s="638"/>
      <c r="F644" s="639"/>
      <c r="G644" s="1110"/>
      <c r="H644" s="745"/>
      <c r="I644" s="746"/>
      <c r="J644" s="638"/>
      <c r="K644" s="746"/>
      <c r="L644" s="637"/>
      <c r="M644" s="818"/>
      <c r="N644" s="818"/>
      <c r="O644" s="638"/>
    </row>
    <row r="645" spans="2:17" s="481" customFormat="1" x14ac:dyDescent="0.3">
      <c r="B645" s="86"/>
      <c r="C645" s="86"/>
      <c r="D645" s="86"/>
      <c r="E645" s="638"/>
      <c r="F645" s="639"/>
      <c r="G645" s="1110"/>
      <c r="H645" s="745"/>
      <c r="I645" s="746"/>
      <c r="J645" s="638"/>
      <c r="K645" s="746"/>
      <c r="L645" s="637"/>
      <c r="M645" s="818"/>
      <c r="N645" s="818"/>
      <c r="O645" s="638"/>
      <c r="Q645" s="481">
        <v>187.82</v>
      </c>
    </row>
    <row r="646" spans="2:17" s="481" customFormat="1" x14ac:dyDescent="0.3">
      <c r="B646" s="86"/>
      <c r="C646" s="86"/>
      <c r="D646" s="86"/>
      <c r="E646" s="638"/>
      <c r="F646" s="639"/>
      <c r="G646" s="1110"/>
      <c r="H646" s="745"/>
      <c r="I646" s="746"/>
      <c r="J646" s="638"/>
      <c r="K646" s="746"/>
      <c r="L646" s="637"/>
      <c r="M646" s="818"/>
      <c r="N646" s="818"/>
      <c r="O646" s="638"/>
    </row>
    <row r="647" spans="2:17" s="481" customFormat="1" x14ac:dyDescent="0.3">
      <c r="B647" s="86"/>
      <c r="C647" s="86"/>
      <c r="D647" s="86"/>
      <c r="E647" s="638"/>
      <c r="F647" s="639"/>
      <c r="G647" s="1110"/>
      <c r="H647" s="745"/>
      <c r="I647" s="746"/>
      <c r="J647" s="638"/>
      <c r="K647" s="746"/>
      <c r="L647" s="637"/>
      <c r="M647" s="818"/>
      <c r="N647" s="818"/>
      <c r="O647" s="638"/>
    </row>
    <row r="648" spans="2:17" s="481" customFormat="1" x14ac:dyDescent="0.3">
      <c r="B648" s="86"/>
      <c r="C648" s="86"/>
      <c r="D648" s="86"/>
      <c r="E648" s="638"/>
      <c r="F648" s="639"/>
      <c r="G648" s="1110"/>
      <c r="H648" s="745"/>
      <c r="I648" s="746"/>
      <c r="J648" s="638"/>
      <c r="K648" s="746"/>
      <c r="L648" s="637"/>
      <c r="M648" s="818"/>
      <c r="N648" s="818"/>
      <c r="O648" s="638"/>
    </row>
    <row r="649" spans="2:17" s="481" customFormat="1" x14ac:dyDescent="0.3">
      <c r="B649" s="86"/>
      <c r="C649" s="86"/>
      <c r="D649" s="86"/>
      <c r="E649" s="638"/>
      <c r="F649" s="639"/>
      <c r="G649" s="1110"/>
      <c r="H649" s="745"/>
      <c r="I649" s="746"/>
      <c r="J649" s="638"/>
      <c r="K649" s="746"/>
      <c r="L649" s="637"/>
      <c r="M649" s="818"/>
      <c r="N649" s="818"/>
      <c r="O649" s="638"/>
    </row>
    <row r="650" spans="2:17" s="481" customFormat="1" x14ac:dyDescent="0.3">
      <c r="B650" s="86"/>
      <c r="C650" s="86"/>
      <c r="D650" s="86"/>
      <c r="E650" s="638"/>
      <c r="F650" s="639"/>
      <c r="G650" s="1110"/>
      <c r="H650" s="745"/>
      <c r="I650" s="746"/>
      <c r="J650" s="638"/>
      <c r="K650" s="746"/>
      <c r="L650" s="637"/>
      <c r="M650" s="818"/>
      <c r="N650" s="818"/>
      <c r="O650" s="638"/>
    </row>
    <row r="651" spans="2:17" s="481" customFormat="1" x14ac:dyDescent="0.3">
      <c r="B651" s="86"/>
      <c r="C651" s="86"/>
      <c r="D651" s="86"/>
      <c r="E651" s="638"/>
      <c r="F651" s="639"/>
      <c r="G651" s="1110"/>
      <c r="H651" s="745"/>
      <c r="I651" s="746"/>
      <c r="J651" s="638"/>
      <c r="K651" s="746"/>
      <c r="L651" s="637"/>
      <c r="M651" s="818"/>
      <c r="N651" s="818"/>
      <c r="O651" s="638"/>
    </row>
    <row r="652" spans="2:17" s="481" customFormat="1" x14ac:dyDescent="0.3">
      <c r="B652" s="86"/>
      <c r="C652" s="86"/>
      <c r="D652" s="86"/>
      <c r="E652" s="638"/>
      <c r="F652" s="639"/>
      <c r="G652" s="1110"/>
      <c r="H652" s="745"/>
      <c r="I652" s="746"/>
      <c r="J652" s="638"/>
      <c r="K652" s="746"/>
      <c r="L652" s="637"/>
      <c r="M652" s="818"/>
      <c r="N652" s="818"/>
      <c r="O652" s="638"/>
    </row>
    <row r="653" spans="2:17" s="481" customFormat="1" x14ac:dyDescent="0.3">
      <c r="B653" s="86"/>
      <c r="C653" s="86"/>
      <c r="D653" s="86"/>
      <c r="E653" s="638"/>
      <c r="F653" s="639"/>
      <c r="G653" s="1110"/>
      <c r="H653" s="745"/>
      <c r="I653" s="746"/>
      <c r="J653" s="638"/>
      <c r="K653" s="746"/>
      <c r="L653" s="637"/>
      <c r="M653" s="818"/>
      <c r="N653" s="818"/>
      <c r="O653" s="638"/>
    </row>
    <row r="654" spans="2:17" s="481" customFormat="1" x14ac:dyDescent="0.3">
      <c r="B654" s="86"/>
      <c r="C654" s="86"/>
      <c r="D654" s="86"/>
      <c r="E654" s="638"/>
      <c r="F654" s="639"/>
      <c r="G654" s="1110"/>
      <c r="H654" s="745"/>
      <c r="I654" s="746"/>
      <c r="J654" s="638"/>
      <c r="K654" s="746"/>
      <c r="L654" s="637"/>
      <c r="M654" s="818"/>
      <c r="N654" s="818"/>
      <c r="O654" s="638"/>
    </row>
    <row r="655" spans="2:17" s="481" customFormat="1" x14ac:dyDescent="0.3">
      <c r="B655" s="86"/>
      <c r="C655" s="86"/>
      <c r="D655" s="86"/>
      <c r="E655" s="638"/>
      <c r="F655" s="639"/>
      <c r="G655" s="1110"/>
      <c r="H655" s="745"/>
      <c r="I655" s="746"/>
      <c r="J655" s="638"/>
      <c r="K655" s="746"/>
      <c r="L655" s="637"/>
      <c r="M655" s="818"/>
      <c r="N655" s="818"/>
      <c r="O655" s="638"/>
    </row>
    <row r="656" spans="2:17" s="481" customFormat="1" x14ac:dyDescent="0.3">
      <c r="B656" s="86"/>
      <c r="C656" s="86"/>
      <c r="D656" s="86"/>
      <c r="E656" s="638"/>
      <c r="F656" s="639"/>
      <c r="G656" s="1110"/>
      <c r="H656" s="745"/>
      <c r="I656" s="746"/>
      <c r="J656" s="638"/>
      <c r="K656" s="746"/>
      <c r="L656" s="637"/>
      <c r="M656" s="818"/>
      <c r="N656" s="818"/>
      <c r="O656" s="638"/>
    </row>
    <row r="657" spans="2:15" s="481" customFormat="1" x14ac:dyDescent="0.3">
      <c r="B657" s="86"/>
      <c r="C657" s="86"/>
      <c r="D657" s="86"/>
      <c r="E657" s="638"/>
      <c r="F657" s="639"/>
      <c r="G657" s="1110"/>
      <c r="H657" s="745"/>
      <c r="I657" s="746"/>
      <c r="J657" s="638"/>
      <c r="K657" s="746"/>
      <c r="L657" s="637"/>
      <c r="M657" s="818"/>
      <c r="N657" s="818"/>
      <c r="O657" s="638"/>
    </row>
    <row r="658" spans="2:15" s="481" customFormat="1" x14ac:dyDescent="0.3">
      <c r="B658" s="86"/>
      <c r="C658" s="86"/>
      <c r="D658" s="86"/>
      <c r="E658" s="638"/>
      <c r="F658" s="639"/>
      <c r="G658" s="1110"/>
      <c r="H658" s="745"/>
      <c r="I658" s="746"/>
      <c r="J658" s="638"/>
      <c r="K658" s="746"/>
      <c r="L658" s="637"/>
      <c r="M658" s="818"/>
      <c r="N658" s="818"/>
      <c r="O658" s="638"/>
    </row>
    <row r="659" spans="2:15" s="481" customFormat="1" x14ac:dyDescent="0.3">
      <c r="B659" s="86"/>
      <c r="C659" s="86"/>
      <c r="D659" s="86"/>
      <c r="E659" s="638"/>
      <c r="F659" s="639"/>
      <c r="G659" s="1110"/>
      <c r="H659" s="745"/>
      <c r="I659" s="746"/>
      <c r="J659" s="638"/>
      <c r="K659" s="746"/>
      <c r="L659" s="637"/>
      <c r="M659" s="818"/>
      <c r="N659" s="818"/>
      <c r="O659" s="638"/>
    </row>
    <row r="660" spans="2:15" s="481" customFormat="1" x14ac:dyDescent="0.3">
      <c r="B660" s="86"/>
      <c r="C660" s="86"/>
      <c r="D660" s="86"/>
      <c r="E660" s="638"/>
      <c r="F660" s="639"/>
      <c r="G660" s="1110"/>
      <c r="H660" s="745"/>
      <c r="I660" s="746"/>
      <c r="J660" s="638"/>
      <c r="K660" s="746"/>
      <c r="L660" s="637"/>
      <c r="M660" s="818"/>
      <c r="N660" s="818"/>
      <c r="O660" s="638"/>
    </row>
    <row r="661" spans="2:15" s="481" customFormat="1" x14ac:dyDescent="0.3">
      <c r="B661" s="86"/>
      <c r="C661" s="86"/>
      <c r="D661" s="86"/>
      <c r="E661" s="638"/>
      <c r="F661" s="639"/>
      <c r="G661" s="1110"/>
      <c r="H661" s="745"/>
      <c r="I661" s="746"/>
      <c r="J661" s="638"/>
      <c r="K661" s="746"/>
      <c r="L661" s="637"/>
      <c r="M661" s="818"/>
      <c r="N661" s="818"/>
      <c r="O661" s="638"/>
    </row>
    <row r="662" spans="2:15" s="481" customFormat="1" x14ac:dyDescent="0.3">
      <c r="B662" s="86"/>
      <c r="C662" s="86"/>
      <c r="D662" s="86"/>
      <c r="E662" s="638"/>
      <c r="F662" s="639"/>
      <c r="G662" s="1110"/>
      <c r="H662" s="745"/>
      <c r="I662" s="746"/>
      <c r="J662" s="638"/>
      <c r="K662" s="746"/>
      <c r="L662" s="637"/>
      <c r="M662" s="818"/>
      <c r="N662" s="818"/>
      <c r="O662" s="638"/>
    </row>
    <row r="663" spans="2:15" s="481" customFormat="1" x14ac:dyDescent="0.3">
      <c r="B663" s="86"/>
      <c r="C663" s="86"/>
      <c r="D663" s="86"/>
      <c r="E663" s="638"/>
      <c r="F663" s="639"/>
      <c r="G663" s="1110"/>
      <c r="H663" s="745"/>
      <c r="I663" s="746"/>
      <c r="J663" s="638"/>
      <c r="K663" s="746"/>
      <c r="L663" s="637"/>
      <c r="M663" s="818"/>
      <c r="N663" s="818"/>
      <c r="O663" s="638"/>
    </row>
    <row r="664" spans="2:15" s="481" customFormat="1" x14ac:dyDescent="0.3">
      <c r="B664" s="86"/>
      <c r="C664" s="86"/>
      <c r="D664" s="86"/>
      <c r="E664" s="638"/>
      <c r="F664" s="639"/>
      <c r="G664" s="1110"/>
      <c r="H664" s="745"/>
      <c r="I664" s="746"/>
      <c r="J664" s="638"/>
      <c r="K664" s="746"/>
      <c r="L664" s="637"/>
      <c r="M664" s="818"/>
      <c r="N664" s="818"/>
      <c r="O664" s="638"/>
    </row>
    <row r="665" spans="2:15" s="481" customFormat="1" x14ac:dyDescent="0.3">
      <c r="B665" s="86"/>
      <c r="C665" s="86"/>
      <c r="D665" s="86"/>
      <c r="E665" s="638"/>
      <c r="F665" s="639"/>
      <c r="G665" s="1110"/>
      <c r="H665" s="745"/>
      <c r="I665" s="746"/>
      <c r="J665" s="638"/>
      <c r="K665" s="746"/>
      <c r="L665" s="637"/>
      <c r="M665" s="818"/>
      <c r="N665" s="818"/>
      <c r="O665" s="638"/>
    </row>
    <row r="666" spans="2:15" s="481" customFormat="1" x14ac:dyDescent="0.3">
      <c r="B666" s="86"/>
      <c r="C666" s="86"/>
      <c r="D666" s="86"/>
      <c r="E666" s="638"/>
      <c r="F666" s="639"/>
      <c r="G666" s="1110"/>
      <c r="H666" s="745"/>
      <c r="I666" s="746"/>
      <c r="J666" s="638"/>
      <c r="K666" s="746"/>
      <c r="L666" s="637"/>
      <c r="M666" s="818"/>
      <c r="N666" s="818"/>
      <c r="O666" s="638"/>
    </row>
    <row r="667" spans="2:15" s="481" customFormat="1" x14ac:dyDescent="0.3">
      <c r="B667" s="86"/>
      <c r="C667" s="86"/>
      <c r="D667" s="86"/>
      <c r="E667" s="638"/>
      <c r="F667" s="639"/>
      <c r="G667" s="1110"/>
      <c r="H667" s="745"/>
      <c r="I667" s="746"/>
      <c r="J667" s="638"/>
      <c r="K667" s="746"/>
      <c r="L667" s="637"/>
      <c r="M667" s="818"/>
      <c r="N667" s="818"/>
      <c r="O667" s="638"/>
    </row>
    <row r="668" spans="2:15" s="481" customFormat="1" x14ac:dyDescent="0.3">
      <c r="B668" s="86"/>
      <c r="C668" s="86"/>
      <c r="D668" s="86"/>
      <c r="E668" s="638"/>
      <c r="F668" s="639"/>
      <c r="G668" s="1110"/>
      <c r="H668" s="745"/>
      <c r="I668" s="746"/>
      <c r="J668" s="638"/>
      <c r="K668" s="746"/>
      <c r="L668" s="637"/>
      <c r="M668" s="818"/>
      <c r="N668" s="818"/>
      <c r="O668" s="638"/>
    </row>
    <row r="669" spans="2:15" s="481" customFormat="1" x14ac:dyDescent="0.3">
      <c r="B669" s="86"/>
      <c r="C669" s="86"/>
      <c r="D669" s="86"/>
      <c r="E669" s="638"/>
      <c r="F669" s="639"/>
      <c r="G669" s="1110"/>
      <c r="H669" s="745"/>
      <c r="I669" s="746"/>
      <c r="J669" s="638"/>
      <c r="K669" s="746"/>
      <c r="L669" s="637"/>
      <c r="M669" s="818"/>
      <c r="N669" s="818"/>
      <c r="O669" s="638"/>
    </row>
    <row r="670" spans="2:15" s="481" customFormat="1" x14ac:dyDescent="0.3">
      <c r="B670" s="86"/>
      <c r="C670" s="86"/>
      <c r="D670" s="86"/>
      <c r="E670" s="638"/>
      <c r="F670" s="639"/>
      <c r="G670" s="1110"/>
      <c r="H670" s="745"/>
      <c r="I670" s="746"/>
      <c r="J670" s="638"/>
      <c r="K670" s="746"/>
      <c r="L670" s="637"/>
      <c r="M670" s="818"/>
      <c r="N670" s="818"/>
      <c r="O670" s="638"/>
    </row>
    <row r="671" spans="2:15" s="481" customFormat="1" x14ac:dyDescent="0.3">
      <c r="B671" s="86"/>
      <c r="C671" s="86"/>
      <c r="D671" s="86"/>
      <c r="E671" s="638"/>
      <c r="F671" s="639"/>
      <c r="G671" s="1110"/>
      <c r="H671" s="745"/>
      <c r="I671" s="746"/>
      <c r="J671" s="638"/>
      <c r="K671" s="746"/>
      <c r="L671" s="637"/>
      <c r="M671" s="818"/>
      <c r="N671" s="818"/>
      <c r="O671" s="638"/>
    </row>
    <row r="672" spans="2:15" s="481" customFormat="1" x14ac:dyDescent="0.3">
      <c r="B672" s="86"/>
      <c r="C672" s="86"/>
      <c r="D672" s="86"/>
      <c r="E672" s="638"/>
      <c r="F672" s="639"/>
      <c r="G672" s="1110"/>
      <c r="H672" s="745"/>
      <c r="I672" s="746"/>
      <c r="J672" s="638"/>
      <c r="K672" s="746"/>
      <c r="L672" s="637"/>
      <c r="M672" s="818"/>
      <c r="N672" s="818"/>
      <c r="O672" s="638"/>
    </row>
    <row r="673" spans="2:15" s="481" customFormat="1" x14ac:dyDescent="0.3">
      <c r="B673" s="86"/>
      <c r="C673" s="86"/>
      <c r="D673" s="86"/>
      <c r="E673" s="638"/>
      <c r="F673" s="639"/>
      <c r="G673" s="1110"/>
      <c r="H673" s="745"/>
      <c r="I673" s="746"/>
      <c r="J673" s="638"/>
      <c r="K673" s="746"/>
      <c r="L673" s="637"/>
      <c r="M673" s="818"/>
      <c r="N673" s="818"/>
      <c r="O673" s="638"/>
    </row>
    <row r="674" spans="2:15" s="481" customFormat="1" x14ac:dyDescent="0.3">
      <c r="B674" s="86"/>
      <c r="C674" s="86"/>
      <c r="D674" s="86"/>
      <c r="E674" s="638"/>
      <c r="F674" s="639"/>
      <c r="G674" s="1110"/>
      <c r="H674" s="745"/>
      <c r="I674" s="746"/>
      <c r="J674" s="638"/>
      <c r="K674" s="746"/>
      <c r="L674" s="637"/>
      <c r="M674" s="818"/>
      <c r="N674" s="818"/>
      <c r="O674" s="638"/>
    </row>
    <row r="675" spans="2:15" s="481" customFormat="1" x14ac:dyDescent="0.3">
      <c r="B675" s="86"/>
      <c r="C675" s="86"/>
      <c r="D675" s="86"/>
      <c r="E675" s="638"/>
      <c r="F675" s="639"/>
      <c r="G675" s="1110"/>
      <c r="H675" s="745"/>
      <c r="I675" s="746"/>
      <c r="J675" s="638"/>
      <c r="K675" s="746"/>
      <c r="L675" s="637"/>
      <c r="M675" s="818"/>
      <c r="N675" s="818"/>
      <c r="O675" s="638"/>
    </row>
    <row r="676" spans="2:15" s="481" customFormat="1" x14ac:dyDescent="0.3">
      <c r="B676" s="86"/>
      <c r="C676" s="86"/>
      <c r="D676" s="86"/>
      <c r="E676" s="638"/>
      <c r="F676" s="639"/>
      <c r="G676" s="1110"/>
      <c r="H676" s="745"/>
      <c r="I676" s="746"/>
      <c r="J676" s="638"/>
      <c r="K676" s="746"/>
      <c r="L676" s="637"/>
      <c r="M676" s="818"/>
      <c r="N676" s="818"/>
      <c r="O676" s="638"/>
    </row>
    <row r="677" spans="2:15" s="481" customFormat="1" x14ac:dyDescent="0.3">
      <c r="B677" s="86"/>
      <c r="C677" s="86"/>
      <c r="D677" s="86"/>
      <c r="E677" s="638"/>
      <c r="F677" s="639"/>
      <c r="G677" s="1110"/>
      <c r="H677" s="745"/>
      <c r="I677" s="746"/>
      <c r="J677" s="638"/>
      <c r="K677" s="746"/>
      <c r="L677" s="637"/>
      <c r="M677" s="818"/>
      <c r="N677" s="818"/>
      <c r="O677" s="638"/>
    </row>
    <row r="678" spans="2:15" s="481" customFormat="1" x14ac:dyDescent="0.3">
      <c r="B678" s="86"/>
      <c r="C678" s="86"/>
      <c r="D678" s="86"/>
      <c r="E678" s="638"/>
      <c r="F678" s="639"/>
      <c r="G678" s="1110"/>
      <c r="H678" s="745"/>
      <c r="I678" s="746"/>
      <c r="J678" s="638"/>
      <c r="K678" s="746"/>
      <c r="L678" s="637"/>
      <c r="M678" s="818"/>
      <c r="N678" s="818"/>
      <c r="O678" s="638"/>
    </row>
    <row r="679" spans="2:15" s="481" customFormat="1" x14ac:dyDescent="0.3">
      <c r="B679" s="86"/>
      <c r="C679" s="86"/>
      <c r="D679" s="86"/>
      <c r="E679" s="638"/>
      <c r="F679" s="639"/>
      <c r="G679" s="1110"/>
      <c r="H679" s="745"/>
      <c r="I679" s="746"/>
      <c r="J679" s="638"/>
      <c r="K679" s="746"/>
      <c r="L679" s="637"/>
      <c r="M679" s="818"/>
      <c r="N679" s="818"/>
      <c r="O679" s="638"/>
    </row>
    <row r="680" spans="2:15" s="481" customFormat="1" x14ac:dyDescent="0.3">
      <c r="B680" s="86"/>
      <c r="C680" s="86"/>
      <c r="D680" s="86"/>
      <c r="E680" s="638"/>
      <c r="F680" s="639"/>
      <c r="G680" s="1110"/>
      <c r="H680" s="745"/>
      <c r="I680" s="746"/>
      <c r="J680" s="638"/>
      <c r="K680" s="746"/>
      <c r="L680" s="637"/>
      <c r="M680" s="818"/>
      <c r="N680" s="818"/>
      <c r="O680" s="638"/>
    </row>
    <row r="681" spans="2:15" s="481" customFormat="1" x14ac:dyDescent="0.3">
      <c r="B681" s="86"/>
      <c r="C681" s="86"/>
      <c r="D681" s="86"/>
      <c r="E681" s="638"/>
      <c r="F681" s="639"/>
      <c r="G681" s="1110"/>
      <c r="H681" s="745"/>
      <c r="I681" s="746"/>
      <c r="J681" s="638"/>
      <c r="K681" s="746"/>
      <c r="L681" s="637"/>
      <c r="M681" s="818"/>
      <c r="N681" s="818"/>
      <c r="O681" s="638"/>
    </row>
    <row r="682" spans="2:15" s="481" customFormat="1" x14ac:dyDescent="0.3">
      <c r="B682" s="86"/>
      <c r="C682" s="86"/>
      <c r="D682" s="86"/>
      <c r="E682" s="638"/>
      <c r="F682" s="639"/>
      <c r="G682" s="1110"/>
      <c r="H682" s="745"/>
      <c r="I682" s="746"/>
      <c r="J682" s="638"/>
      <c r="K682" s="746"/>
      <c r="L682" s="637"/>
      <c r="M682" s="818"/>
      <c r="N682" s="818"/>
      <c r="O682" s="638"/>
    </row>
    <row r="683" spans="2:15" s="481" customFormat="1" x14ac:dyDescent="0.3">
      <c r="B683" s="86"/>
      <c r="C683" s="86"/>
      <c r="D683" s="86"/>
      <c r="E683" s="638"/>
      <c r="F683" s="639"/>
      <c r="G683" s="1110"/>
      <c r="H683" s="745"/>
      <c r="I683" s="746"/>
      <c r="J683" s="638"/>
      <c r="K683" s="746"/>
      <c r="L683" s="637"/>
      <c r="M683" s="818"/>
      <c r="N683" s="818"/>
      <c r="O683" s="638"/>
    </row>
    <row r="684" spans="2:15" s="481" customFormat="1" x14ac:dyDescent="0.3">
      <c r="B684" s="86"/>
      <c r="C684" s="86"/>
      <c r="D684" s="86"/>
      <c r="E684" s="638"/>
      <c r="F684" s="639"/>
      <c r="G684" s="1110"/>
      <c r="H684" s="745"/>
      <c r="I684" s="746"/>
      <c r="J684" s="638"/>
      <c r="K684" s="746"/>
      <c r="L684" s="637"/>
      <c r="M684" s="818"/>
      <c r="N684" s="818"/>
      <c r="O684" s="638"/>
    </row>
    <row r="685" spans="2:15" s="481" customFormat="1" x14ac:dyDescent="0.3">
      <c r="B685" s="86"/>
      <c r="C685" s="86"/>
      <c r="D685" s="86"/>
      <c r="E685" s="638"/>
      <c r="F685" s="639"/>
      <c r="G685" s="1110"/>
      <c r="H685" s="745"/>
      <c r="I685" s="746"/>
      <c r="J685" s="638"/>
      <c r="K685" s="746"/>
      <c r="L685" s="637"/>
      <c r="M685" s="818"/>
      <c r="N685" s="818"/>
      <c r="O685" s="638"/>
    </row>
    <row r="686" spans="2:15" s="481" customFormat="1" x14ac:dyDescent="0.3">
      <c r="B686" s="86"/>
      <c r="C686" s="86"/>
      <c r="D686" s="86"/>
      <c r="E686" s="638"/>
      <c r="F686" s="639"/>
      <c r="G686" s="1110"/>
      <c r="H686" s="745"/>
      <c r="I686" s="746"/>
      <c r="J686" s="638"/>
      <c r="K686" s="746"/>
      <c r="L686" s="637"/>
      <c r="M686" s="818"/>
      <c r="N686" s="818"/>
      <c r="O686" s="638"/>
    </row>
    <row r="687" spans="2:15" s="481" customFormat="1" x14ac:dyDescent="0.3">
      <c r="B687" s="86"/>
      <c r="C687" s="86"/>
      <c r="D687" s="86"/>
      <c r="E687" s="638"/>
      <c r="F687" s="639"/>
      <c r="G687" s="1110"/>
      <c r="H687" s="745"/>
      <c r="I687" s="746"/>
      <c r="J687" s="638"/>
      <c r="K687" s="746"/>
      <c r="L687" s="637"/>
      <c r="M687" s="818"/>
      <c r="N687" s="818"/>
      <c r="O687" s="638"/>
    </row>
    <row r="688" spans="2:15" s="481" customFormat="1" x14ac:dyDescent="0.3">
      <c r="B688" s="86"/>
      <c r="C688" s="86"/>
      <c r="D688" s="86"/>
      <c r="E688" s="638"/>
      <c r="F688" s="639"/>
      <c r="G688" s="1110"/>
      <c r="H688" s="745"/>
      <c r="I688" s="746"/>
      <c r="J688" s="638"/>
      <c r="K688" s="746"/>
      <c r="L688" s="637"/>
      <c r="M688" s="818"/>
      <c r="N688" s="818"/>
      <c r="O688" s="638"/>
    </row>
    <row r="689" spans="2:15" s="481" customFormat="1" x14ac:dyDescent="0.3">
      <c r="B689" s="86"/>
      <c r="C689" s="86"/>
      <c r="D689" s="86"/>
      <c r="E689" s="638"/>
      <c r="F689" s="639"/>
      <c r="G689" s="1110"/>
      <c r="H689" s="745"/>
      <c r="I689" s="746"/>
      <c r="J689" s="638"/>
      <c r="K689" s="746"/>
      <c r="L689" s="637"/>
      <c r="M689" s="818"/>
      <c r="N689" s="818"/>
      <c r="O689" s="638"/>
    </row>
    <row r="690" spans="2:15" s="481" customFormat="1" x14ac:dyDescent="0.3">
      <c r="B690" s="86"/>
      <c r="C690" s="86"/>
      <c r="D690" s="86"/>
      <c r="E690" s="638"/>
      <c r="F690" s="639"/>
      <c r="G690" s="1110"/>
      <c r="H690" s="745"/>
      <c r="I690" s="746"/>
      <c r="J690" s="638"/>
      <c r="K690" s="746"/>
      <c r="L690" s="637"/>
      <c r="M690" s="818"/>
      <c r="N690" s="818"/>
      <c r="O690" s="638"/>
    </row>
    <row r="691" spans="2:15" s="481" customFormat="1" x14ac:dyDescent="0.3">
      <c r="B691" s="86"/>
      <c r="C691" s="86"/>
      <c r="D691" s="86"/>
      <c r="E691" s="638"/>
      <c r="F691" s="639"/>
      <c r="G691" s="1110"/>
      <c r="H691" s="745"/>
      <c r="I691" s="746"/>
      <c r="J691" s="638"/>
      <c r="K691" s="746"/>
      <c r="L691" s="637"/>
      <c r="M691" s="818"/>
      <c r="N691" s="818"/>
      <c r="O691" s="638"/>
    </row>
    <row r="692" spans="2:15" s="481" customFormat="1" x14ac:dyDescent="0.3">
      <c r="B692" s="86"/>
      <c r="C692" s="86"/>
      <c r="D692" s="86"/>
      <c r="E692" s="638"/>
      <c r="F692" s="639"/>
      <c r="G692" s="1110"/>
      <c r="H692" s="745"/>
      <c r="I692" s="746"/>
      <c r="J692" s="638"/>
      <c r="K692" s="746"/>
      <c r="L692" s="637"/>
      <c r="M692" s="818"/>
      <c r="N692" s="818"/>
      <c r="O692" s="638"/>
    </row>
    <row r="693" spans="2:15" s="481" customFormat="1" x14ac:dyDescent="0.3">
      <c r="B693" s="86"/>
      <c r="C693" s="86"/>
      <c r="D693" s="86"/>
      <c r="E693" s="638"/>
      <c r="F693" s="639"/>
      <c r="G693" s="1110"/>
      <c r="H693" s="745"/>
      <c r="I693" s="746"/>
      <c r="J693" s="638"/>
      <c r="K693" s="746"/>
      <c r="L693" s="637"/>
      <c r="M693" s="818"/>
      <c r="N693" s="818"/>
      <c r="O693" s="638"/>
    </row>
    <row r="694" spans="2:15" s="481" customFormat="1" x14ac:dyDescent="0.3">
      <c r="B694" s="86"/>
      <c r="C694" s="86"/>
      <c r="D694" s="86"/>
      <c r="E694" s="638"/>
      <c r="F694" s="639"/>
      <c r="G694" s="1110"/>
      <c r="H694" s="745"/>
      <c r="I694" s="746"/>
      <c r="J694" s="638"/>
      <c r="K694" s="746"/>
      <c r="L694" s="637"/>
      <c r="M694" s="818"/>
      <c r="N694" s="818"/>
      <c r="O694" s="638"/>
    </row>
    <row r="695" spans="2:15" s="481" customFormat="1" x14ac:dyDescent="0.3">
      <c r="B695" s="86"/>
      <c r="C695" s="86"/>
      <c r="D695" s="86"/>
      <c r="E695" s="638"/>
      <c r="F695" s="639"/>
      <c r="G695" s="1110"/>
      <c r="H695" s="745"/>
      <c r="I695" s="746"/>
      <c r="J695" s="638"/>
      <c r="K695" s="746"/>
      <c r="L695" s="637"/>
      <c r="M695" s="818"/>
      <c r="N695" s="818"/>
      <c r="O695" s="638"/>
    </row>
    <row r="696" spans="2:15" s="481" customFormat="1" x14ac:dyDescent="0.3">
      <c r="B696" s="86"/>
      <c r="C696" s="86"/>
      <c r="D696" s="86"/>
      <c r="E696" s="638"/>
      <c r="F696" s="639"/>
      <c r="G696" s="1110"/>
      <c r="H696" s="745"/>
      <c r="I696" s="746"/>
      <c r="J696" s="638"/>
      <c r="K696" s="746"/>
      <c r="L696" s="637"/>
      <c r="M696" s="818"/>
      <c r="N696" s="818"/>
      <c r="O696" s="638"/>
    </row>
    <row r="697" spans="2:15" s="481" customFormat="1" x14ac:dyDescent="0.3">
      <c r="B697" s="86"/>
      <c r="C697" s="86"/>
      <c r="D697" s="86"/>
      <c r="E697" s="638"/>
      <c r="F697" s="639"/>
      <c r="G697" s="1110"/>
      <c r="H697" s="745"/>
      <c r="I697" s="746"/>
      <c r="J697" s="638"/>
      <c r="K697" s="746"/>
      <c r="L697" s="637"/>
      <c r="M697" s="818"/>
      <c r="N697" s="818"/>
      <c r="O697" s="638"/>
    </row>
    <row r="698" spans="2:15" s="481" customFormat="1" x14ac:dyDescent="0.3">
      <c r="B698" s="86"/>
      <c r="C698" s="86"/>
      <c r="D698" s="86"/>
      <c r="E698" s="638"/>
      <c r="F698" s="639"/>
      <c r="G698" s="1110"/>
      <c r="H698" s="745"/>
      <c r="I698" s="746"/>
      <c r="J698" s="638"/>
      <c r="K698" s="746"/>
      <c r="L698" s="637"/>
      <c r="M698" s="818"/>
      <c r="N698" s="818"/>
      <c r="O698" s="638"/>
    </row>
    <row r="699" spans="2:15" s="481" customFormat="1" x14ac:dyDescent="0.3">
      <c r="B699" s="86"/>
      <c r="C699" s="86"/>
      <c r="D699" s="86"/>
      <c r="E699" s="638"/>
      <c r="F699" s="639"/>
      <c r="G699" s="1110"/>
      <c r="H699" s="745"/>
      <c r="I699" s="746"/>
      <c r="J699" s="638"/>
      <c r="K699" s="746"/>
      <c r="L699" s="637"/>
      <c r="M699" s="818"/>
      <c r="N699" s="818"/>
      <c r="O699" s="638"/>
    </row>
    <row r="700" spans="2:15" s="481" customFormat="1" x14ac:dyDescent="0.3">
      <c r="B700" s="86"/>
      <c r="C700" s="86"/>
      <c r="D700" s="86"/>
      <c r="E700" s="638"/>
      <c r="F700" s="639"/>
      <c r="G700" s="1110"/>
      <c r="H700" s="745"/>
      <c r="I700" s="746"/>
      <c r="J700" s="638"/>
      <c r="K700" s="746"/>
      <c r="L700" s="637"/>
      <c r="M700" s="818"/>
      <c r="N700" s="818"/>
      <c r="O700" s="638"/>
    </row>
    <row r="701" spans="2:15" s="481" customFormat="1" x14ac:dyDescent="0.3">
      <c r="B701" s="86"/>
      <c r="C701" s="86"/>
      <c r="D701" s="86"/>
      <c r="E701" s="638"/>
      <c r="F701" s="639"/>
      <c r="G701" s="1110"/>
      <c r="H701" s="745"/>
      <c r="I701" s="746"/>
      <c r="J701" s="638"/>
      <c r="K701" s="746"/>
      <c r="L701" s="637"/>
      <c r="M701" s="818"/>
      <c r="N701" s="818"/>
      <c r="O701" s="638"/>
    </row>
    <row r="702" spans="2:15" s="481" customFormat="1" x14ac:dyDescent="0.3">
      <c r="B702" s="86"/>
      <c r="C702" s="86"/>
      <c r="D702" s="86"/>
      <c r="E702" s="638"/>
      <c r="F702" s="639"/>
      <c r="G702" s="1110"/>
      <c r="H702" s="745"/>
      <c r="I702" s="746"/>
      <c r="J702" s="638"/>
      <c r="K702" s="746"/>
      <c r="L702" s="637"/>
      <c r="M702" s="818"/>
      <c r="N702" s="818"/>
      <c r="O702" s="638"/>
    </row>
    <row r="703" spans="2:15" s="481" customFormat="1" x14ac:dyDescent="0.3">
      <c r="B703" s="86"/>
      <c r="C703" s="86"/>
      <c r="D703" s="86"/>
      <c r="E703" s="638"/>
      <c r="F703" s="639"/>
      <c r="G703" s="1110"/>
      <c r="H703" s="745"/>
      <c r="I703" s="746"/>
      <c r="J703" s="638"/>
      <c r="K703" s="746"/>
      <c r="L703" s="637"/>
      <c r="M703" s="818"/>
      <c r="N703" s="818"/>
      <c r="O703" s="638"/>
    </row>
    <row r="704" spans="2:15" s="481" customFormat="1" x14ac:dyDescent="0.3">
      <c r="B704" s="86"/>
      <c r="C704" s="86"/>
      <c r="D704" s="86"/>
      <c r="E704" s="638"/>
      <c r="F704" s="639"/>
      <c r="G704" s="1110"/>
      <c r="H704" s="745"/>
      <c r="I704" s="746"/>
      <c r="J704" s="638"/>
      <c r="K704" s="746"/>
      <c r="L704" s="637"/>
      <c r="M704" s="818"/>
      <c r="N704" s="818"/>
      <c r="O704" s="638"/>
    </row>
    <row r="705" spans="2:15" s="481" customFormat="1" x14ac:dyDescent="0.3">
      <c r="B705" s="86"/>
      <c r="C705" s="86"/>
      <c r="D705" s="86"/>
      <c r="E705" s="638"/>
      <c r="F705" s="639"/>
      <c r="G705" s="1110"/>
      <c r="H705" s="745"/>
      <c r="I705" s="746"/>
      <c r="J705" s="638"/>
      <c r="K705" s="746"/>
      <c r="L705" s="637"/>
      <c r="M705" s="818"/>
      <c r="N705" s="818"/>
      <c r="O705" s="638"/>
    </row>
    <row r="706" spans="2:15" s="481" customFormat="1" x14ac:dyDescent="0.3">
      <c r="B706" s="86"/>
      <c r="C706" s="86"/>
      <c r="D706" s="86"/>
      <c r="E706" s="638"/>
      <c r="F706" s="639"/>
      <c r="G706" s="1110"/>
      <c r="H706" s="745"/>
      <c r="I706" s="746"/>
      <c r="J706" s="638"/>
      <c r="K706" s="746"/>
      <c r="L706" s="637"/>
      <c r="M706" s="818"/>
      <c r="N706" s="818"/>
      <c r="O706" s="638"/>
    </row>
    <row r="707" spans="2:15" s="481" customFormat="1" x14ac:dyDescent="0.3">
      <c r="B707" s="86"/>
      <c r="C707" s="86"/>
      <c r="D707" s="86"/>
      <c r="E707" s="638"/>
      <c r="F707" s="639"/>
      <c r="G707" s="1110"/>
      <c r="H707" s="745"/>
      <c r="I707" s="746"/>
      <c r="J707" s="638"/>
      <c r="K707" s="746"/>
      <c r="L707" s="637"/>
      <c r="M707" s="818"/>
      <c r="N707" s="818"/>
      <c r="O707" s="638"/>
    </row>
    <row r="708" spans="2:15" s="481" customFormat="1" x14ac:dyDescent="0.3">
      <c r="B708" s="86"/>
      <c r="C708" s="86"/>
      <c r="D708" s="86"/>
      <c r="E708" s="638"/>
      <c r="F708" s="639"/>
      <c r="G708" s="1110"/>
      <c r="H708" s="745"/>
      <c r="I708" s="746"/>
      <c r="J708" s="638"/>
      <c r="K708" s="746"/>
      <c r="L708" s="637"/>
      <c r="M708" s="818"/>
      <c r="N708" s="818"/>
      <c r="O708" s="638"/>
    </row>
    <row r="709" spans="2:15" s="481" customFormat="1" x14ac:dyDescent="0.3">
      <c r="B709" s="86"/>
      <c r="C709" s="86"/>
      <c r="D709" s="86"/>
      <c r="E709" s="638"/>
      <c r="F709" s="639"/>
      <c r="G709" s="1110"/>
      <c r="H709" s="745"/>
      <c r="I709" s="746"/>
      <c r="J709" s="638"/>
      <c r="K709" s="746"/>
      <c r="L709" s="637"/>
      <c r="M709" s="818"/>
      <c r="N709" s="818"/>
      <c r="O709" s="638"/>
    </row>
    <row r="710" spans="2:15" s="481" customFormat="1" x14ac:dyDescent="0.3">
      <c r="B710" s="86"/>
      <c r="C710" s="86"/>
      <c r="D710" s="86"/>
      <c r="E710" s="638"/>
      <c r="F710" s="639"/>
      <c r="G710" s="1110"/>
      <c r="H710" s="745"/>
      <c r="I710" s="746"/>
      <c r="J710" s="638"/>
      <c r="K710" s="746"/>
      <c r="L710" s="637"/>
      <c r="M710" s="818"/>
      <c r="N710" s="818"/>
      <c r="O710" s="638"/>
    </row>
    <row r="711" spans="2:15" s="481" customFormat="1" x14ac:dyDescent="0.3">
      <c r="B711" s="86"/>
      <c r="C711" s="86"/>
      <c r="D711" s="86"/>
      <c r="E711" s="638"/>
      <c r="F711" s="639"/>
      <c r="G711" s="1110"/>
      <c r="H711" s="745"/>
      <c r="I711" s="746"/>
      <c r="J711" s="638"/>
      <c r="K711" s="746"/>
      <c r="L711" s="637"/>
      <c r="M711" s="818"/>
      <c r="N711" s="818"/>
      <c r="O711" s="638"/>
    </row>
    <row r="712" spans="2:15" s="481" customFormat="1" x14ac:dyDescent="0.3">
      <c r="B712" s="86"/>
      <c r="C712" s="86"/>
      <c r="D712" s="86"/>
      <c r="E712" s="638"/>
      <c r="F712" s="639"/>
      <c r="G712" s="1110"/>
      <c r="H712" s="745"/>
      <c r="I712" s="746"/>
      <c r="J712" s="638"/>
      <c r="K712" s="746"/>
      <c r="L712" s="637"/>
      <c r="M712" s="818"/>
      <c r="N712" s="818"/>
      <c r="O712" s="638"/>
    </row>
    <row r="713" spans="2:15" s="481" customFormat="1" x14ac:dyDescent="0.3">
      <c r="B713" s="86"/>
      <c r="C713" s="86"/>
      <c r="D713" s="86"/>
      <c r="E713" s="638"/>
      <c r="F713" s="639"/>
      <c r="G713" s="1110"/>
      <c r="H713" s="745"/>
      <c r="I713" s="746"/>
      <c r="J713" s="638"/>
      <c r="K713" s="746"/>
      <c r="L713" s="637"/>
      <c r="M713" s="818"/>
      <c r="N713" s="818"/>
      <c r="O713" s="638"/>
    </row>
    <row r="714" spans="2:15" s="481" customFormat="1" x14ac:dyDescent="0.3">
      <c r="B714" s="86"/>
      <c r="C714" s="86"/>
      <c r="D714" s="86"/>
      <c r="E714" s="638"/>
      <c r="F714" s="639"/>
      <c r="G714" s="1110"/>
      <c r="H714" s="745"/>
      <c r="I714" s="746"/>
      <c r="J714" s="638"/>
      <c r="K714" s="746"/>
      <c r="L714" s="637"/>
      <c r="M714" s="818"/>
      <c r="N714" s="818"/>
      <c r="O714" s="638"/>
    </row>
    <row r="715" spans="2:15" s="481" customFormat="1" x14ac:dyDescent="0.3">
      <c r="B715" s="86"/>
      <c r="C715" s="86"/>
      <c r="D715" s="86"/>
      <c r="E715" s="638"/>
      <c r="F715" s="639"/>
      <c r="G715" s="1110"/>
      <c r="H715" s="745"/>
      <c r="I715" s="746"/>
      <c r="J715" s="638"/>
      <c r="K715" s="746"/>
      <c r="L715" s="637"/>
      <c r="M715" s="818"/>
      <c r="N715" s="818"/>
      <c r="O715" s="638"/>
    </row>
    <row r="716" spans="2:15" s="481" customFormat="1" x14ac:dyDescent="0.3">
      <c r="B716" s="86"/>
      <c r="C716" s="86"/>
      <c r="D716" s="86"/>
      <c r="E716" s="638"/>
      <c r="F716" s="639"/>
      <c r="G716" s="1110"/>
      <c r="H716" s="745"/>
      <c r="I716" s="746"/>
      <c r="J716" s="638"/>
      <c r="K716" s="746"/>
      <c r="L716" s="637"/>
      <c r="M716" s="818"/>
      <c r="N716" s="818"/>
      <c r="O716" s="638"/>
    </row>
    <row r="717" spans="2:15" s="481" customFormat="1" x14ac:dyDescent="0.3">
      <c r="B717" s="86"/>
      <c r="C717" s="86"/>
      <c r="D717" s="86"/>
      <c r="E717" s="638"/>
      <c r="F717" s="639"/>
      <c r="G717" s="1110"/>
      <c r="H717" s="745"/>
      <c r="I717" s="746"/>
      <c r="J717" s="638"/>
      <c r="K717" s="746"/>
      <c r="L717" s="637"/>
      <c r="M717" s="818"/>
      <c r="N717" s="818"/>
      <c r="O717" s="638"/>
    </row>
    <row r="718" spans="2:15" s="481" customFormat="1" x14ac:dyDescent="0.3">
      <c r="B718" s="86"/>
      <c r="C718" s="86"/>
      <c r="D718" s="86"/>
      <c r="E718" s="638"/>
      <c r="F718" s="639"/>
      <c r="G718" s="1110"/>
      <c r="H718" s="745"/>
      <c r="I718" s="746"/>
      <c r="J718" s="638"/>
      <c r="K718" s="746"/>
      <c r="L718" s="637"/>
      <c r="M718" s="818"/>
      <c r="N718" s="818"/>
      <c r="O718" s="638"/>
    </row>
    <row r="719" spans="2:15" s="481" customFormat="1" x14ac:dyDescent="0.3">
      <c r="B719" s="86"/>
      <c r="C719" s="86"/>
      <c r="D719" s="86"/>
      <c r="E719" s="638"/>
      <c r="F719" s="639"/>
      <c r="G719" s="1110"/>
      <c r="H719" s="745"/>
      <c r="I719" s="746"/>
      <c r="J719" s="638"/>
      <c r="K719" s="746"/>
      <c r="L719" s="637"/>
      <c r="M719" s="818"/>
      <c r="N719" s="818"/>
      <c r="O719" s="638"/>
    </row>
    <row r="720" spans="2:15" s="481" customFormat="1" x14ac:dyDescent="0.3">
      <c r="B720" s="86"/>
      <c r="C720" s="86"/>
      <c r="D720" s="86"/>
      <c r="E720" s="638"/>
      <c r="F720" s="639"/>
      <c r="G720" s="1110"/>
      <c r="H720" s="745"/>
      <c r="I720" s="746"/>
      <c r="J720" s="638"/>
      <c r="K720" s="746"/>
      <c r="L720" s="637"/>
      <c r="M720" s="818"/>
      <c r="N720" s="818"/>
      <c r="O720" s="638"/>
    </row>
    <row r="721" spans="2:15" s="481" customFormat="1" x14ac:dyDescent="0.3">
      <c r="B721" s="86"/>
      <c r="C721" s="86"/>
      <c r="D721" s="86"/>
      <c r="E721" s="638"/>
      <c r="F721" s="639"/>
      <c r="G721" s="1110"/>
      <c r="H721" s="745"/>
      <c r="I721" s="746"/>
      <c r="J721" s="638"/>
      <c r="K721" s="746"/>
      <c r="L721" s="637"/>
      <c r="M721" s="818"/>
      <c r="N721" s="818"/>
      <c r="O721" s="638"/>
    </row>
    <row r="722" spans="2:15" s="481" customFormat="1" x14ac:dyDescent="0.3">
      <c r="B722" s="86"/>
      <c r="C722" s="86"/>
      <c r="D722" s="86"/>
      <c r="E722" s="638"/>
      <c r="F722" s="639"/>
      <c r="G722" s="1110"/>
      <c r="H722" s="745"/>
      <c r="I722" s="746"/>
      <c r="J722" s="638"/>
      <c r="K722" s="746"/>
      <c r="L722" s="637"/>
      <c r="M722" s="818"/>
      <c r="N722" s="818"/>
      <c r="O722" s="638"/>
    </row>
    <row r="723" spans="2:15" s="481" customFormat="1" x14ac:dyDescent="0.3">
      <c r="B723" s="86"/>
      <c r="C723" s="86"/>
      <c r="D723" s="86"/>
      <c r="E723" s="638"/>
      <c r="F723" s="639"/>
      <c r="G723" s="1110"/>
      <c r="H723" s="745"/>
      <c r="I723" s="746"/>
      <c r="J723" s="638"/>
      <c r="K723" s="746"/>
      <c r="L723" s="637"/>
      <c r="M723" s="818"/>
      <c r="N723" s="818"/>
      <c r="O723" s="638"/>
    </row>
    <row r="724" spans="2:15" s="481" customFormat="1" x14ac:dyDescent="0.3">
      <c r="B724" s="86"/>
      <c r="C724" s="86"/>
      <c r="D724" s="86"/>
      <c r="E724" s="638"/>
      <c r="F724" s="639"/>
      <c r="G724" s="1110"/>
      <c r="H724" s="745"/>
      <c r="I724" s="746"/>
      <c r="J724" s="638"/>
      <c r="K724" s="746"/>
      <c r="L724" s="637"/>
      <c r="M724" s="818"/>
      <c r="N724" s="818"/>
      <c r="O724" s="638"/>
    </row>
    <row r="725" spans="2:15" s="481" customFormat="1" x14ac:dyDescent="0.3">
      <c r="B725" s="86"/>
      <c r="C725" s="86"/>
      <c r="D725" s="86"/>
      <c r="E725" s="638"/>
      <c r="F725" s="639"/>
      <c r="G725" s="1110"/>
      <c r="H725" s="745"/>
      <c r="I725" s="746"/>
      <c r="J725" s="638"/>
      <c r="K725" s="746"/>
      <c r="L725" s="637"/>
      <c r="M725" s="818"/>
      <c r="N725" s="818"/>
      <c r="O725" s="638"/>
    </row>
    <row r="726" spans="2:15" s="481" customFormat="1" x14ac:dyDescent="0.3">
      <c r="B726" s="86"/>
      <c r="C726" s="86"/>
      <c r="D726" s="86"/>
      <c r="E726" s="638"/>
      <c r="F726" s="639"/>
      <c r="G726" s="1110"/>
      <c r="H726" s="745"/>
      <c r="I726" s="746"/>
      <c r="J726" s="638"/>
      <c r="K726" s="746"/>
      <c r="L726" s="637"/>
      <c r="M726" s="818"/>
      <c r="N726" s="818"/>
      <c r="O726" s="638"/>
    </row>
    <row r="727" spans="2:15" s="481" customFormat="1" x14ac:dyDescent="0.3">
      <c r="B727" s="86"/>
      <c r="C727" s="86"/>
      <c r="D727" s="86"/>
      <c r="E727" s="638"/>
      <c r="F727" s="639"/>
      <c r="G727" s="1110"/>
      <c r="H727" s="745"/>
      <c r="I727" s="746"/>
      <c r="J727" s="638"/>
      <c r="K727" s="746"/>
      <c r="L727" s="637"/>
      <c r="M727" s="818"/>
      <c r="N727" s="818"/>
      <c r="O727" s="638"/>
    </row>
    <row r="728" spans="2:15" s="481" customFormat="1" x14ac:dyDescent="0.3">
      <c r="B728" s="86"/>
      <c r="C728" s="86"/>
      <c r="D728" s="86"/>
      <c r="E728" s="638"/>
      <c r="F728" s="639"/>
      <c r="G728" s="1110"/>
      <c r="H728" s="745"/>
      <c r="I728" s="746"/>
      <c r="J728" s="638"/>
      <c r="K728" s="746"/>
      <c r="L728" s="637"/>
      <c r="M728" s="818"/>
      <c r="N728" s="818"/>
      <c r="O728" s="638"/>
    </row>
    <row r="729" spans="2:15" s="481" customFormat="1" x14ac:dyDescent="0.3">
      <c r="B729" s="86"/>
      <c r="C729" s="86"/>
      <c r="D729" s="86"/>
      <c r="E729" s="638"/>
      <c r="F729" s="639"/>
      <c r="G729" s="1110"/>
      <c r="H729" s="745"/>
      <c r="I729" s="746"/>
      <c r="J729" s="638"/>
      <c r="K729" s="746"/>
      <c r="L729" s="637"/>
      <c r="M729" s="818"/>
      <c r="N729" s="818"/>
      <c r="O729" s="638"/>
    </row>
    <row r="730" spans="2:15" s="481" customFormat="1" x14ac:dyDescent="0.3">
      <c r="B730" s="86"/>
      <c r="C730" s="86"/>
      <c r="D730" s="86"/>
      <c r="E730" s="638"/>
      <c r="F730" s="639"/>
      <c r="G730" s="1110"/>
      <c r="H730" s="745"/>
      <c r="I730" s="746"/>
      <c r="J730" s="638"/>
      <c r="K730" s="746"/>
      <c r="L730" s="637"/>
      <c r="M730" s="818"/>
      <c r="N730" s="818"/>
      <c r="O730" s="638"/>
    </row>
    <row r="731" spans="2:15" s="481" customFormat="1" x14ac:dyDescent="0.3">
      <c r="B731" s="86"/>
      <c r="C731" s="86"/>
      <c r="D731" s="86"/>
      <c r="E731" s="638"/>
      <c r="F731" s="639"/>
      <c r="G731" s="1110"/>
      <c r="H731" s="745"/>
      <c r="I731" s="746"/>
      <c r="J731" s="638"/>
      <c r="K731" s="746"/>
      <c r="L731" s="637"/>
      <c r="M731" s="818"/>
      <c r="N731" s="818"/>
      <c r="O731" s="638"/>
    </row>
    <row r="732" spans="2:15" s="481" customFormat="1" x14ac:dyDescent="0.3">
      <c r="B732" s="86"/>
      <c r="C732" s="86"/>
      <c r="D732" s="86"/>
      <c r="E732" s="638"/>
      <c r="F732" s="639"/>
      <c r="G732" s="1110"/>
      <c r="H732" s="745"/>
      <c r="I732" s="746"/>
      <c r="J732" s="638"/>
      <c r="K732" s="746"/>
      <c r="L732" s="637"/>
      <c r="M732" s="818"/>
      <c r="N732" s="818"/>
      <c r="O732" s="638"/>
    </row>
    <row r="733" spans="2:15" s="481" customFormat="1" x14ac:dyDescent="0.3">
      <c r="B733" s="86"/>
      <c r="C733" s="86"/>
      <c r="D733" s="86"/>
      <c r="E733" s="638"/>
      <c r="F733" s="639"/>
      <c r="G733" s="1110"/>
      <c r="H733" s="745"/>
      <c r="I733" s="746"/>
      <c r="J733" s="638"/>
      <c r="K733" s="746"/>
      <c r="L733" s="637"/>
      <c r="M733" s="818"/>
      <c r="N733" s="818"/>
      <c r="O733" s="638"/>
    </row>
    <row r="734" spans="2:15" s="481" customFormat="1" x14ac:dyDescent="0.3">
      <c r="B734" s="86"/>
      <c r="C734" s="86"/>
      <c r="D734" s="86"/>
      <c r="E734" s="638"/>
      <c r="F734" s="639"/>
      <c r="G734" s="1110"/>
      <c r="H734" s="745"/>
      <c r="I734" s="746"/>
      <c r="J734" s="638"/>
      <c r="K734" s="746"/>
      <c r="L734" s="637"/>
      <c r="M734" s="818"/>
      <c r="N734" s="818"/>
      <c r="O734" s="638"/>
    </row>
    <row r="735" spans="2:15" s="481" customFormat="1" x14ac:dyDescent="0.3">
      <c r="B735" s="86"/>
      <c r="C735" s="86"/>
      <c r="D735" s="86"/>
      <c r="E735" s="638"/>
      <c r="F735" s="639"/>
      <c r="G735" s="1110"/>
      <c r="H735" s="745"/>
      <c r="I735" s="746"/>
      <c r="J735" s="638"/>
      <c r="K735" s="746"/>
      <c r="L735" s="637"/>
      <c r="M735" s="818"/>
      <c r="N735" s="818"/>
      <c r="O735" s="638"/>
    </row>
    <row r="736" spans="2:15" s="481" customFormat="1" x14ac:dyDescent="0.3">
      <c r="B736" s="86"/>
      <c r="C736" s="86"/>
      <c r="D736" s="86"/>
      <c r="E736" s="638"/>
      <c r="F736" s="639"/>
      <c r="G736" s="1110"/>
      <c r="H736" s="745"/>
      <c r="I736" s="746"/>
      <c r="J736" s="638"/>
      <c r="K736" s="746"/>
      <c r="L736" s="637"/>
      <c r="M736" s="818"/>
      <c r="N736" s="818"/>
      <c r="O736" s="638"/>
    </row>
    <row r="737" spans="2:15" s="481" customFormat="1" x14ac:dyDescent="0.3">
      <c r="B737" s="86"/>
      <c r="C737" s="86"/>
      <c r="D737" s="86"/>
      <c r="E737" s="638"/>
      <c r="F737" s="639"/>
      <c r="G737" s="1110"/>
      <c r="H737" s="745"/>
      <c r="I737" s="746"/>
      <c r="J737" s="638"/>
      <c r="K737" s="746"/>
      <c r="L737" s="637"/>
      <c r="M737" s="818"/>
      <c r="N737" s="818"/>
      <c r="O737" s="638"/>
    </row>
    <row r="738" spans="2:15" s="481" customFormat="1" x14ac:dyDescent="0.3">
      <c r="B738" s="86"/>
      <c r="C738" s="86"/>
      <c r="D738" s="86"/>
      <c r="E738" s="638"/>
      <c r="F738" s="639"/>
      <c r="G738" s="1110"/>
      <c r="H738" s="745"/>
      <c r="I738" s="746"/>
      <c r="J738" s="638"/>
      <c r="K738" s="746"/>
      <c r="L738" s="637"/>
      <c r="M738" s="818"/>
      <c r="N738" s="818"/>
      <c r="O738" s="638"/>
    </row>
    <row r="739" spans="2:15" s="481" customFormat="1" x14ac:dyDescent="0.3">
      <c r="B739" s="86"/>
      <c r="C739" s="86"/>
      <c r="D739" s="86"/>
      <c r="E739" s="638"/>
      <c r="F739" s="639"/>
      <c r="G739" s="1110"/>
      <c r="H739" s="745"/>
      <c r="I739" s="746"/>
      <c r="J739" s="638"/>
      <c r="K739" s="746"/>
      <c r="L739" s="637"/>
      <c r="M739" s="818"/>
      <c r="N739" s="818"/>
      <c r="O739" s="638"/>
    </row>
    <row r="740" spans="2:15" s="481" customFormat="1" x14ac:dyDescent="0.3">
      <c r="B740" s="86"/>
      <c r="C740" s="86"/>
      <c r="D740" s="86"/>
      <c r="E740" s="638"/>
      <c r="F740" s="639"/>
      <c r="G740" s="1110"/>
      <c r="H740" s="745"/>
      <c r="I740" s="746"/>
      <c r="J740" s="638"/>
      <c r="K740" s="746"/>
      <c r="L740" s="637"/>
      <c r="M740" s="818"/>
      <c r="N740" s="818"/>
      <c r="O740" s="638"/>
    </row>
    <row r="741" spans="2:15" s="481" customFormat="1" x14ac:dyDescent="0.3">
      <c r="B741" s="86"/>
      <c r="C741" s="86"/>
      <c r="D741" s="86"/>
      <c r="E741" s="638"/>
      <c r="F741" s="639"/>
      <c r="G741" s="1110"/>
      <c r="H741" s="745"/>
      <c r="I741" s="746"/>
      <c r="J741" s="638"/>
      <c r="K741" s="746"/>
      <c r="L741" s="637"/>
      <c r="M741" s="818"/>
      <c r="N741" s="818"/>
      <c r="O741" s="638"/>
    </row>
    <row r="742" spans="2:15" s="481" customFormat="1" x14ac:dyDescent="0.3">
      <c r="B742" s="86"/>
      <c r="C742" s="86"/>
      <c r="D742" s="86"/>
      <c r="E742" s="638"/>
      <c r="F742" s="639"/>
      <c r="G742" s="1110"/>
      <c r="H742" s="745"/>
      <c r="I742" s="746"/>
      <c r="J742" s="638"/>
      <c r="K742" s="746"/>
      <c r="L742" s="637"/>
      <c r="M742" s="818"/>
      <c r="N742" s="818"/>
      <c r="O742" s="638"/>
    </row>
    <row r="743" spans="2:15" s="481" customFormat="1" x14ac:dyDescent="0.3">
      <c r="B743" s="86"/>
      <c r="C743" s="86"/>
      <c r="D743" s="86"/>
      <c r="E743" s="638"/>
      <c r="F743" s="639"/>
      <c r="G743" s="1110"/>
      <c r="H743" s="745"/>
      <c r="I743" s="746"/>
      <c r="J743" s="638"/>
      <c r="K743" s="746"/>
      <c r="L743" s="637"/>
      <c r="M743" s="818"/>
      <c r="N743" s="818"/>
      <c r="O743" s="638"/>
    </row>
    <row r="744" spans="2:15" s="481" customFormat="1" x14ac:dyDescent="0.3">
      <c r="B744" s="86"/>
      <c r="C744" s="86"/>
      <c r="D744" s="86"/>
      <c r="E744" s="638"/>
      <c r="F744" s="639"/>
      <c r="G744" s="1110"/>
      <c r="H744" s="745"/>
      <c r="I744" s="746"/>
      <c r="J744" s="638"/>
      <c r="K744" s="746"/>
      <c r="L744" s="637"/>
      <c r="M744" s="818"/>
      <c r="N744" s="818"/>
      <c r="O744" s="638"/>
    </row>
    <row r="745" spans="2:15" s="481" customFormat="1" x14ac:dyDescent="0.3">
      <c r="B745" s="86"/>
      <c r="C745" s="86"/>
      <c r="D745" s="86"/>
      <c r="E745" s="638"/>
      <c r="F745" s="639"/>
      <c r="G745" s="1110"/>
      <c r="H745" s="745"/>
      <c r="I745" s="746"/>
      <c r="J745" s="638"/>
      <c r="K745" s="746"/>
      <c r="L745" s="637"/>
      <c r="M745" s="818"/>
      <c r="N745" s="818"/>
      <c r="O745" s="638"/>
    </row>
    <row r="746" spans="2:15" s="481" customFormat="1" x14ac:dyDescent="0.3">
      <c r="B746" s="86"/>
      <c r="C746" s="86"/>
      <c r="D746" s="86"/>
      <c r="E746" s="638"/>
      <c r="F746" s="639"/>
      <c r="G746" s="1110"/>
      <c r="H746" s="745"/>
      <c r="I746" s="746"/>
      <c r="J746" s="638"/>
      <c r="K746" s="746"/>
      <c r="L746" s="637"/>
      <c r="M746" s="818"/>
      <c r="N746" s="818"/>
      <c r="O746" s="638"/>
    </row>
    <row r="747" spans="2:15" s="481" customFormat="1" x14ac:dyDescent="0.3">
      <c r="B747" s="86"/>
      <c r="C747" s="86"/>
      <c r="D747" s="86"/>
      <c r="E747" s="638"/>
      <c r="F747" s="639"/>
      <c r="G747" s="1110"/>
      <c r="H747" s="745"/>
      <c r="I747" s="746"/>
      <c r="J747" s="638"/>
      <c r="K747" s="746"/>
      <c r="L747" s="637"/>
      <c r="M747" s="818"/>
      <c r="N747" s="818"/>
      <c r="O747" s="638"/>
    </row>
    <row r="748" spans="2:15" s="481" customFormat="1" x14ac:dyDescent="0.3">
      <c r="B748" s="86"/>
      <c r="C748" s="86"/>
      <c r="D748" s="86"/>
      <c r="E748" s="638"/>
      <c r="F748" s="639"/>
      <c r="G748" s="1110"/>
      <c r="H748" s="745"/>
      <c r="I748" s="746"/>
      <c r="J748" s="638"/>
      <c r="K748" s="746"/>
      <c r="L748" s="637"/>
      <c r="M748" s="818"/>
      <c r="N748" s="818"/>
      <c r="O748" s="638"/>
    </row>
    <row r="749" spans="2:15" s="481" customFormat="1" x14ac:dyDescent="0.3">
      <c r="B749" s="86"/>
      <c r="C749" s="86"/>
      <c r="D749" s="86"/>
      <c r="E749" s="638"/>
      <c r="F749" s="639"/>
      <c r="G749" s="1110"/>
      <c r="H749" s="745"/>
      <c r="I749" s="746"/>
      <c r="J749" s="638"/>
      <c r="K749" s="746"/>
      <c r="L749" s="637"/>
      <c r="M749" s="818"/>
      <c r="N749" s="818"/>
      <c r="O749" s="638"/>
    </row>
    <row r="750" spans="2:15" s="481" customFormat="1" x14ac:dyDescent="0.3">
      <c r="B750" s="86"/>
      <c r="C750" s="86"/>
      <c r="D750" s="86"/>
      <c r="E750" s="638"/>
      <c r="F750" s="639"/>
      <c r="G750" s="1110"/>
      <c r="H750" s="745"/>
      <c r="I750" s="746"/>
      <c r="J750" s="638"/>
      <c r="K750" s="746"/>
      <c r="L750" s="637"/>
      <c r="M750" s="818"/>
      <c r="N750" s="818"/>
      <c r="O750" s="638"/>
    </row>
    <row r="751" spans="2:15" s="481" customFormat="1" x14ac:dyDescent="0.3">
      <c r="B751" s="86"/>
      <c r="C751" s="86"/>
      <c r="D751" s="86"/>
      <c r="E751" s="638"/>
      <c r="F751" s="639"/>
      <c r="G751" s="1110"/>
      <c r="H751" s="745"/>
      <c r="I751" s="746"/>
      <c r="J751" s="638"/>
      <c r="K751" s="746"/>
      <c r="L751" s="637"/>
      <c r="M751" s="818"/>
      <c r="N751" s="818"/>
      <c r="O751" s="638"/>
    </row>
    <row r="752" spans="2:15" s="481" customFormat="1" x14ac:dyDescent="0.3">
      <c r="B752" s="86"/>
      <c r="C752" s="86"/>
      <c r="D752" s="86"/>
      <c r="E752" s="638"/>
      <c r="F752" s="639"/>
      <c r="G752" s="1110"/>
      <c r="H752" s="745"/>
      <c r="I752" s="746"/>
      <c r="J752" s="638"/>
      <c r="K752" s="746"/>
      <c r="L752" s="637"/>
      <c r="M752" s="818"/>
      <c r="N752" s="818"/>
      <c r="O752" s="638"/>
    </row>
    <row r="753" spans="2:15" s="481" customFormat="1" x14ac:dyDescent="0.3">
      <c r="B753" s="86"/>
      <c r="C753" s="86"/>
      <c r="D753" s="86"/>
      <c r="E753" s="638"/>
      <c r="F753" s="639"/>
      <c r="G753" s="1110"/>
      <c r="H753" s="745"/>
      <c r="I753" s="746"/>
      <c r="J753" s="638"/>
      <c r="K753" s="746"/>
      <c r="L753" s="637"/>
      <c r="M753" s="818"/>
      <c r="N753" s="818"/>
      <c r="O753" s="638"/>
    </row>
    <row r="754" spans="2:15" s="481" customFormat="1" x14ac:dyDescent="0.3">
      <c r="B754" s="86"/>
      <c r="C754" s="86"/>
      <c r="D754" s="86"/>
      <c r="E754" s="638"/>
      <c r="F754" s="639"/>
      <c r="G754" s="1110"/>
      <c r="H754" s="745"/>
      <c r="I754" s="746"/>
      <c r="J754" s="638"/>
      <c r="K754" s="746"/>
      <c r="L754" s="637"/>
      <c r="M754" s="818"/>
      <c r="N754" s="818"/>
      <c r="O754" s="638"/>
    </row>
    <row r="755" spans="2:15" s="481" customFormat="1" x14ac:dyDescent="0.3">
      <c r="B755" s="86"/>
      <c r="C755" s="86"/>
      <c r="D755" s="86"/>
      <c r="E755" s="638"/>
      <c r="F755" s="639"/>
      <c r="G755" s="1110"/>
      <c r="H755" s="745"/>
      <c r="I755" s="746"/>
      <c r="J755" s="638"/>
      <c r="K755" s="746"/>
      <c r="L755" s="637"/>
      <c r="M755" s="818"/>
      <c r="N755" s="818"/>
      <c r="O755" s="638"/>
    </row>
    <row r="756" spans="2:15" s="481" customFormat="1" x14ac:dyDescent="0.3">
      <c r="B756" s="86"/>
      <c r="C756" s="86"/>
      <c r="D756" s="86"/>
      <c r="E756" s="638"/>
      <c r="F756" s="639"/>
      <c r="G756" s="1110"/>
      <c r="H756" s="745"/>
      <c r="I756" s="746"/>
      <c r="J756" s="638"/>
      <c r="K756" s="746"/>
      <c r="L756" s="637"/>
      <c r="M756" s="818"/>
      <c r="N756" s="818"/>
      <c r="O756" s="638"/>
    </row>
    <row r="757" spans="2:15" s="481" customFormat="1" x14ac:dyDescent="0.3">
      <c r="B757" s="86"/>
      <c r="C757" s="86"/>
      <c r="D757" s="86"/>
      <c r="E757" s="638"/>
      <c r="F757" s="639"/>
      <c r="G757" s="1110"/>
      <c r="H757" s="745"/>
      <c r="I757" s="746"/>
      <c r="J757" s="638"/>
      <c r="K757" s="746"/>
      <c r="L757" s="637"/>
      <c r="M757" s="818"/>
      <c r="N757" s="818"/>
      <c r="O757" s="638"/>
    </row>
    <row r="758" spans="2:15" s="481" customFormat="1" x14ac:dyDescent="0.3">
      <c r="B758" s="86"/>
      <c r="C758" s="86"/>
      <c r="D758" s="86"/>
      <c r="E758" s="638"/>
      <c r="F758" s="639"/>
      <c r="G758" s="1110"/>
      <c r="H758" s="745"/>
      <c r="I758" s="746"/>
      <c r="J758" s="638"/>
      <c r="K758" s="746"/>
      <c r="L758" s="637"/>
      <c r="M758" s="818"/>
      <c r="N758" s="818"/>
      <c r="O758" s="638"/>
    </row>
    <row r="759" spans="2:15" s="481" customFormat="1" x14ac:dyDescent="0.3">
      <c r="B759" s="86"/>
      <c r="C759" s="86"/>
      <c r="D759" s="86"/>
      <c r="E759" s="638"/>
      <c r="F759" s="639"/>
      <c r="G759" s="1110"/>
      <c r="H759" s="745"/>
      <c r="I759" s="746"/>
      <c r="J759" s="638"/>
      <c r="K759" s="746"/>
      <c r="L759" s="637"/>
      <c r="M759" s="818"/>
      <c r="N759" s="818"/>
      <c r="O759" s="638"/>
    </row>
    <row r="760" spans="2:15" s="481" customFormat="1" x14ac:dyDescent="0.3">
      <c r="B760" s="86"/>
      <c r="C760" s="86"/>
      <c r="D760" s="86"/>
      <c r="E760" s="638"/>
      <c r="F760" s="639"/>
      <c r="G760" s="1110"/>
      <c r="H760" s="745"/>
      <c r="I760" s="746"/>
      <c r="J760" s="638"/>
      <c r="K760" s="746"/>
      <c r="L760" s="637"/>
      <c r="M760" s="818"/>
      <c r="N760" s="818"/>
      <c r="O760" s="638"/>
    </row>
    <row r="761" spans="2:15" s="481" customFormat="1" x14ac:dyDescent="0.3">
      <c r="B761" s="86"/>
      <c r="C761" s="86"/>
      <c r="D761" s="86"/>
      <c r="E761" s="638"/>
      <c r="F761" s="639"/>
      <c r="G761" s="1110"/>
      <c r="H761" s="745"/>
      <c r="I761" s="746"/>
      <c r="J761" s="638"/>
      <c r="K761" s="746"/>
      <c r="L761" s="637"/>
      <c r="M761" s="818"/>
      <c r="N761" s="818"/>
      <c r="O761" s="638"/>
    </row>
    <row r="762" spans="2:15" s="481" customFormat="1" x14ac:dyDescent="0.3">
      <c r="B762" s="86"/>
      <c r="C762" s="86"/>
      <c r="D762" s="86"/>
      <c r="E762" s="638"/>
      <c r="F762" s="639"/>
      <c r="G762" s="1110"/>
      <c r="H762" s="745"/>
      <c r="I762" s="746"/>
      <c r="J762" s="638"/>
      <c r="K762" s="746"/>
      <c r="L762" s="637"/>
      <c r="M762" s="818"/>
      <c r="N762" s="818"/>
      <c r="O762" s="638"/>
    </row>
    <row r="763" spans="2:15" s="481" customFormat="1" x14ac:dyDescent="0.3">
      <c r="B763" s="86"/>
      <c r="C763" s="86"/>
      <c r="D763" s="86"/>
      <c r="E763" s="638"/>
      <c r="F763" s="639"/>
      <c r="G763" s="1110"/>
      <c r="H763" s="745"/>
      <c r="I763" s="746"/>
      <c r="J763" s="638"/>
      <c r="K763" s="746"/>
      <c r="L763" s="637"/>
      <c r="M763" s="818"/>
      <c r="N763" s="818"/>
      <c r="O763" s="638"/>
    </row>
    <row r="764" spans="2:15" s="481" customFormat="1" x14ac:dyDescent="0.3">
      <c r="B764" s="86"/>
      <c r="C764" s="86"/>
      <c r="D764" s="86"/>
      <c r="E764" s="638"/>
      <c r="F764" s="639"/>
      <c r="G764" s="1110"/>
      <c r="H764" s="745"/>
      <c r="I764" s="746"/>
      <c r="J764" s="638"/>
      <c r="K764" s="746"/>
      <c r="L764" s="637"/>
      <c r="M764" s="818"/>
      <c r="N764" s="818"/>
      <c r="O764" s="638"/>
    </row>
    <row r="765" spans="2:15" s="481" customFormat="1" x14ac:dyDescent="0.3">
      <c r="B765" s="86"/>
      <c r="C765" s="86"/>
      <c r="D765" s="86"/>
      <c r="E765" s="638"/>
      <c r="F765" s="639"/>
      <c r="G765" s="1110"/>
      <c r="H765" s="745"/>
      <c r="I765" s="746"/>
      <c r="J765" s="638"/>
      <c r="K765" s="746"/>
      <c r="L765" s="637"/>
      <c r="M765" s="818"/>
      <c r="N765" s="818"/>
      <c r="O765" s="638"/>
    </row>
    <row r="766" spans="2:15" s="481" customFormat="1" x14ac:dyDescent="0.3">
      <c r="B766" s="86"/>
      <c r="C766" s="86"/>
      <c r="D766" s="86"/>
      <c r="E766" s="638"/>
      <c r="F766" s="639"/>
      <c r="G766" s="1110"/>
      <c r="H766" s="745"/>
      <c r="I766" s="746"/>
      <c r="J766" s="638"/>
      <c r="K766" s="746"/>
      <c r="L766" s="637"/>
      <c r="M766" s="818"/>
      <c r="N766" s="818"/>
      <c r="O766" s="638"/>
    </row>
    <row r="767" spans="2:15" s="481" customFormat="1" x14ac:dyDescent="0.3">
      <c r="B767" s="86"/>
      <c r="C767" s="86"/>
      <c r="D767" s="86"/>
      <c r="E767" s="638"/>
      <c r="F767" s="639"/>
      <c r="G767" s="1110"/>
      <c r="H767" s="745"/>
      <c r="I767" s="746"/>
      <c r="J767" s="638"/>
      <c r="K767" s="746"/>
      <c r="L767" s="637"/>
      <c r="M767" s="818"/>
      <c r="N767" s="818"/>
      <c r="O767" s="638"/>
    </row>
    <row r="768" spans="2:15" s="481" customFormat="1" x14ac:dyDescent="0.3">
      <c r="B768" s="86"/>
      <c r="C768" s="86"/>
      <c r="D768" s="86"/>
      <c r="E768" s="638"/>
      <c r="F768" s="639"/>
      <c r="G768" s="1110"/>
      <c r="H768" s="745"/>
      <c r="I768" s="746"/>
      <c r="J768" s="638"/>
      <c r="K768" s="746"/>
      <c r="L768" s="637"/>
      <c r="M768" s="818"/>
      <c r="N768" s="818"/>
      <c r="O768" s="638"/>
    </row>
    <row r="769" spans="2:15" s="481" customFormat="1" x14ac:dyDescent="0.3">
      <c r="B769" s="86"/>
      <c r="C769" s="86"/>
      <c r="D769" s="86"/>
      <c r="E769" s="638"/>
      <c r="F769" s="639"/>
      <c r="G769" s="1110"/>
      <c r="H769" s="745"/>
      <c r="I769" s="746"/>
      <c r="J769" s="638"/>
      <c r="K769" s="746"/>
      <c r="L769" s="637"/>
      <c r="M769" s="818"/>
      <c r="N769" s="818"/>
      <c r="O769" s="638"/>
    </row>
    <row r="770" spans="2:15" s="481" customFormat="1" x14ac:dyDescent="0.3">
      <c r="B770" s="86"/>
      <c r="C770" s="86"/>
      <c r="D770" s="86"/>
      <c r="E770" s="638"/>
      <c r="F770" s="639"/>
      <c r="G770" s="1110"/>
      <c r="H770" s="745"/>
      <c r="I770" s="746"/>
      <c r="J770" s="638"/>
      <c r="K770" s="746"/>
      <c r="L770" s="637"/>
      <c r="M770" s="818"/>
      <c r="N770" s="818"/>
      <c r="O770" s="638"/>
    </row>
    <row r="771" spans="2:15" s="481" customFormat="1" x14ac:dyDescent="0.3">
      <c r="B771" s="86"/>
      <c r="C771" s="86"/>
      <c r="D771" s="86"/>
      <c r="E771" s="638"/>
      <c r="F771" s="639"/>
      <c r="G771" s="1110"/>
      <c r="H771" s="745"/>
      <c r="I771" s="746"/>
      <c r="J771" s="638"/>
      <c r="K771" s="746"/>
      <c r="L771" s="637"/>
      <c r="M771" s="818"/>
      <c r="N771" s="818"/>
      <c r="O771" s="638"/>
    </row>
    <row r="772" spans="2:15" s="481" customFormat="1" x14ac:dyDescent="0.3">
      <c r="B772" s="86"/>
      <c r="C772" s="86"/>
      <c r="D772" s="86"/>
      <c r="E772" s="638"/>
      <c r="F772" s="639"/>
      <c r="G772" s="1110"/>
      <c r="H772" s="745"/>
      <c r="I772" s="746"/>
      <c r="J772" s="638"/>
      <c r="K772" s="746"/>
      <c r="L772" s="637"/>
      <c r="M772" s="818"/>
      <c r="N772" s="818"/>
      <c r="O772" s="638"/>
    </row>
    <row r="773" spans="2:15" s="481" customFormat="1" x14ac:dyDescent="0.3">
      <c r="B773" s="86"/>
      <c r="C773" s="86"/>
      <c r="D773" s="86"/>
      <c r="E773" s="638"/>
      <c r="F773" s="639"/>
      <c r="G773" s="1110"/>
      <c r="H773" s="745"/>
      <c r="I773" s="746"/>
      <c r="J773" s="638"/>
      <c r="K773" s="746"/>
      <c r="L773" s="637"/>
      <c r="M773" s="818"/>
      <c r="N773" s="818"/>
      <c r="O773" s="638"/>
    </row>
    <row r="774" spans="2:15" s="481" customFormat="1" x14ac:dyDescent="0.3">
      <c r="B774" s="86"/>
      <c r="C774" s="86"/>
      <c r="D774" s="86"/>
      <c r="E774" s="638"/>
      <c r="F774" s="639"/>
      <c r="G774" s="1110"/>
      <c r="H774" s="745"/>
      <c r="I774" s="746"/>
      <c r="J774" s="638"/>
      <c r="K774" s="746"/>
      <c r="L774" s="637"/>
      <c r="M774" s="818"/>
      <c r="N774" s="818"/>
      <c r="O774" s="638"/>
    </row>
    <row r="775" spans="2:15" s="481" customFormat="1" x14ac:dyDescent="0.3">
      <c r="B775" s="86"/>
      <c r="C775" s="86"/>
      <c r="D775" s="86"/>
      <c r="E775" s="638"/>
      <c r="F775" s="639"/>
      <c r="G775" s="1110"/>
      <c r="H775" s="745"/>
      <c r="I775" s="746"/>
      <c r="J775" s="638"/>
      <c r="K775" s="746"/>
      <c r="L775" s="637"/>
      <c r="M775" s="818"/>
      <c r="N775" s="818"/>
      <c r="O775" s="638"/>
    </row>
    <row r="776" spans="2:15" s="481" customFormat="1" x14ac:dyDescent="0.3">
      <c r="B776" s="86"/>
      <c r="C776" s="86"/>
      <c r="D776" s="86"/>
      <c r="E776" s="638"/>
      <c r="F776" s="639"/>
      <c r="G776" s="1110"/>
      <c r="H776" s="745"/>
      <c r="I776" s="746"/>
      <c r="J776" s="638"/>
      <c r="K776" s="746"/>
      <c r="L776" s="637"/>
      <c r="M776" s="818"/>
      <c r="N776" s="818"/>
      <c r="O776" s="638"/>
    </row>
    <row r="777" spans="2:15" s="481" customFormat="1" x14ac:dyDescent="0.3">
      <c r="B777" s="86"/>
      <c r="C777" s="86"/>
      <c r="D777" s="86"/>
      <c r="E777" s="638"/>
      <c r="F777" s="639"/>
      <c r="G777" s="1110"/>
      <c r="H777" s="745"/>
      <c r="I777" s="746"/>
      <c r="J777" s="638"/>
      <c r="K777" s="746"/>
      <c r="L777" s="637"/>
      <c r="M777" s="818"/>
      <c r="N777" s="818"/>
      <c r="O777" s="638"/>
    </row>
    <row r="778" spans="2:15" s="481" customFormat="1" x14ac:dyDescent="0.3">
      <c r="B778" s="86"/>
      <c r="C778" s="86"/>
      <c r="D778" s="86"/>
      <c r="E778" s="638"/>
      <c r="F778" s="639"/>
      <c r="G778" s="1110"/>
      <c r="H778" s="745"/>
      <c r="I778" s="746"/>
      <c r="J778" s="638"/>
      <c r="K778" s="746"/>
      <c r="L778" s="637"/>
      <c r="M778" s="818"/>
      <c r="N778" s="818"/>
      <c r="O778" s="638"/>
    </row>
    <row r="779" spans="2:15" s="481" customFormat="1" x14ac:dyDescent="0.3">
      <c r="B779" s="86"/>
      <c r="C779" s="86"/>
      <c r="D779" s="86"/>
      <c r="E779" s="638"/>
      <c r="F779" s="639"/>
      <c r="G779" s="1110"/>
      <c r="H779" s="745"/>
      <c r="I779" s="746"/>
      <c r="J779" s="638"/>
      <c r="K779" s="746"/>
      <c r="L779" s="637"/>
      <c r="M779" s="818"/>
      <c r="N779" s="818"/>
      <c r="O779" s="638"/>
    </row>
    <row r="780" spans="2:15" s="481" customFormat="1" x14ac:dyDescent="0.3">
      <c r="B780" s="86"/>
      <c r="C780" s="86"/>
      <c r="D780" s="86"/>
      <c r="E780" s="638"/>
      <c r="F780" s="639"/>
      <c r="G780" s="1110"/>
      <c r="H780" s="745"/>
      <c r="I780" s="746"/>
      <c r="J780" s="638"/>
      <c r="K780" s="746"/>
      <c r="L780" s="637"/>
      <c r="M780" s="818"/>
      <c r="N780" s="818"/>
      <c r="O780" s="638"/>
    </row>
    <row r="781" spans="2:15" s="481" customFormat="1" x14ac:dyDescent="0.3">
      <c r="B781" s="86"/>
      <c r="C781" s="86"/>
      <c r="D781" s="86"/>
      <c r="E781" s="638"/>
      <c r="F781" s="639"/>
      <c r="G781" s="1110"/>
      <c r="H781" s="745"/>
      <c r="I781" s="746"/>
      <c r="J781" s="638"/>
      <c r="K781" s="746"/>
      <c r="L781" s="637"/>
      <c r="M781" s="818"/>
      <c r="N781" s="818"/>
      <c r="O781" s="638"/>
    </row>
    <row r="782" spans="2:15" s="481" customFormat="1" x14ac:dyDescent="0.3">
      <c r="B782" s="86"/>
      <c r="C782" s="86"/>
      <c r="D782" s="86"/>
      <c r="E782" s="638"/>
      <c r="F782" s="639"/>
      <c r="G782" s="1110"/>
      <c r="H782" s="745"/>
      <c r="I782" s="746"/>
      <c r="J782" s="638"/>
      <c r="K782" s="746"/>
      <c r="L782" s="637"/>
      <c r="M782" s="818"/>
      <c r="N782" s="818"/>
      <c r="O782" s="638"/>
    </row>
    <row r="783" spans="2:15" s="481" customFormat="1" x14ac:dyDescent="0.3">
      <c r="B783" s="86"/>
      <c r="C783" s="86"/>
      <c r="D783" s="86"/>
      <c r="E783" s="638"/>
      <c r="F783" s="639"/>
      <c r="G783" s="1110"/>
      <c r="H783" s="745"/>
      <c r="I783" s="746"/>
      <c r="J783" s="638"/>
      <c r="K783" s="746"/>
      <c r="L783" s="637"/>
      <c r="M783" s="818"/>
      <c r="N783" s="818"/>
      <c r="O783" s="638"/>
    </row>
    <row r="784" spans="2:15" s="481" customFormat="1" x14ac:dyDescent="0.3">
      <c r="B784" s="86"/>
      <c r="C784" s="86"/>
      <c r="D784" s="86"/>
      <c r="E784" s="638"/>
      <c r="F784" s="639"/>
      <c r="G784" s="1110"/>
      <c r="H784" s="745"/>
      <c r="I784" s="746"/>
      <c r="J784" s="638"/>
      <c r="K784" s="746"/>
      <c r="L784" s="637"/>
      <c r="M784" s="818"/>
      <c r="N784" s="818"/>
      <c r="O784" s="638"/>
    </row>
    <row r="785" spans="2:15" s="481" customFormat="1" x14ac:dyDescent="0.3">
      <c r="B785" s="86"/>
      <c r="C785" s="86"/>
      <c r="D785" s="86"/>
      <c r="E785" s="638"/>
      <c r="F785" s="639"/>
      <c r="G785" s="1110"/>
      <c r="H785" s="745"/>
      <c r="I785" s="746"/>
      <c r="J785" s="638"/>
      <c r="K785" s="746"/>
      <c r="L785" s="637"/>
      <c r="M785" s="818"/>
      <c r="N785" s="818"/>
      <c r="O785" s="638"/>
    </row>
    <row r="786" spans="2:15" s="481" customFormat="1" x14ac:dyDescent="0.3">
      <c r="B786" s="86"/>
      <c r="C786" s="86"/>
      <c r="D786" s="86"/>
      <c r="E786" s="638"/>
      <c r="F786" s="639"/>
      <c r="G786" s="1110"/>
      <c r="H786" s="745"/>
      <c r="I786" s="746"/>
      <c r="J786" s="638"/>
      <c r="K786" s="746"/>
      <c r="L786" s="637"/>
      <c r="M786" s="818"/>
      <c r="N786" s="818"/>
      <c r="O786" s="638"/>
    </row>
    <row r="787" spans="2:15" s="481" customFormat="1" x14ac:dyDescent="0.3">
      <c r="B787" s="86"/>
      <c r="C787" s="86"/>
      <c r="D787" s="86"/>
      <c r="E787" s="638"/>
      <c r="F787" s="639"/>
      <c r="G787" s="1110"/>
      <c r="H787" s="745"/>
      <c r="I787" s="746"/>
      <c r="J787" s="638"/>
      <c r="K787" s="746"/>
      <c r="L787" s="637"/>
      <c r="M787" s="818"/>
      <c r="N787" s="818"/>
      <c r="O787" s="638"/>
    </row>
    <row r="788" spans="2:15" s="481" customFormat="1" x14ac:dyDescent="0.3">
      <c r="B788" s="86"/>
      <c r="C788" s="86"/>
      <c r="D788" s="86"/>
      <c r="E788" s="638"/>
      <c r="F788" s="639"/>
      <c r="G788" s="1110"/>
      <c r="H788" s="745"/>
      <c r="I788" s="746"/>
      <c r="J788" s="638"/>
      <c r="K788" s="746"/>
      <c r="L788" s="637"/>
      <c r="M788" s="818"/>
      <c r="N788" s="818"/>
      <c r="O788" s="638"/>
    </row>
    <row r="789" spans="2:15" s="481" customFormat="1" x14ac:dyDescent="0.3">
      <c r="B789" s="86"/>
      <c r="C789" s="86"/>
      <c r="D789" s="86"/>
      <c r="E789" s="638"/>
      <c r="F789" s="639"/>
      <c r="G789" s="1110"/>
      <c r="H789" s="745"/>
      <c r="I789" s="746"/>
      <c r="J789" s="638"/>
      <c r="K789" s="746"/>
      <c r="L789" s="637"/>
      <c r="M789" s="818"/>
      <c r="N789" s="818"/>
      <c r="O789" s="638"/>
    </row>
    <row r="790" spans="2:15" s="481" customFormat="1" x14ac:dyDescent="0.3">
      <c r="B790" s="86"/>
      <c r="C790" s="86"/>
      <c r="D790" s="86"/>
      <c r="E790" s="638"/>
      <c r="F790" s="639"/>
      <c r="G790" s="1110"/>
      <c r="H790" s="745"/>
      <c r="I790" s="746"/>
      <c r="J790" s="638"/>
      <c r="K790" s="746"/>
      <c r="L790" s="637"/>
      <c r="M790" s="818"/>
      <c r="N790" s="818"/>
      <c r="O790" s="638"/>
    </row>
    <row r="791" spans="2:15" s="481" customFormat="1" x14ac:dyDescent="0.3">
      <c r="B791" s="86"/>
      <c r="C791" s="86"/>
      <c r="D791" s="86"/>
      <c r="E791" s="638"/>
      <c r="F791" s="639"/>
      <c r="G791" s="1110"/>
      <c r="H791" s="745"/>
      <c r="I791" s="746"/>
      <c r="J791" s="638"/>
      <c r="K791" s="746"/>
      <c r="L791" s="637"/>
      <c r="M791" s="818"/>
      <c r="N791" s="818"/>
      <c r="O791" s="638"/>
    </row>
    <row r="792" spans="2:15" s="481" customFormat="1" x14ac:dyDescent="0.3">
      <c r="B792" s="86"/>
      <c r="C792" s="86"/>
      <c r="D792" s="86"/>
      <c r="E792" s="638"/>
      <c r="F792" s="639"/>
      <c r="G792" s="1110"/>
      <c r="H792" s="745"/>
      <c r="I792" s="746"/>
      <c r="J792" s="638"/>
      <c r="K792" s="746"/>
      <c r="L792" s="637"/>
      <c r="M792" s="818"/>
      <c r="N792" s="818"/>
      <c r="O792" s="638"/>
    </row>
    <row r="793" spans="2:15" s="481" customFormat="1" x14ac:dyDescent="0.3">
      <c r="B793" s="86"/>
      <c r="C793" s="86"/>
      <c r="D793" s="86"/>
      <c r="E793" s="638"/>
      <c r="F793" s="639"/>
      <c r="G793" s="1110"/>
      <c r="H793" s="745"/>
      <c r="I793" s="746"/>
      <c r="J793" s="638"/>
      <c r="K793" s="746"/>
      <c r="L793" s="637"/>
      <c r="M793" s="818"/>
      <c r="N793" s="818"/>
      <c r="O793" s="638"/>
    </row>
    <row r="794" spans="2:15" s="481" customFormat="1" x14ac:dyDescent="0.3">
      <c r="B794" s="86"/>
      <c r="C794" s="86"/>
      <c r="D794" s="86"/>
      <c r="E794" s="638"/>
      <c r="F794" s="639"/>
      <c r="G794" s="1110"/>
      <c r="H794" s="745"/>
      <c r="I794" s="746"/>
      <c r="J794" s="638"/>
      <c r="K794" s="746"/>
      <c r="L794" s="637"/>
      <c r="M794" s="818"/>
      <c r="N794" s="818"/>
      <c r="O794" s="638"/>
    </row>
    <row r="795" spans="2:15" s="481" customFormat="1" x14ac:dyDescent="0.3">
      <c r="B795" s="86"/>
      <c r="C795" s="86"/>
      <c r="D795" s="86"/>
      <c r="E795" s="638"/>
      <c r="F795" s="639"/>
      <c r="G795" s="1110"/>
      <c r="H795" s="745"/>
      <c r="I795" s="746"/>
      <c r="J795" s="638"/>
      <c r="K795" s="746"/>
      <c r="L795" s="637"/>
      <c r="M795" s="818"/>
      <c r="N795" s="818"/>
      <c r="O795" s="638"/>
    </row>
    <row r="796" spans="2:15" s="481" customFormat="1" x14ac:dyDescent="0.3">
      <c r="B796" s="86"/>
      <c r="C796" s="86"/>
      <c r="D796" s="86"/>
      <c r="E796" s="638"/>
      <c r="F796" s="639"/>
      <c r="G796" s="1110"/>
      <c r="H796" s="745"/>
      <c r="I796" s="746"/>
      <c r="J796" s="638"/>
      <c r="K796" s="746"/>
      <c r="L796" s="637"/>
      <c r="M796" s="818"/>
      <c r="N796" s="818"/>
      <c r="O796" s="638"/>
    </row>
    <row r="797" spans="2:15" s="481" customFormat="1" x14ac:dyDescent="0.3">
      <c r="B797" s="86"/>
      <c r="C797" s="86"/>
      <c r="D797" s="86"/>
      <c r="E797" s="638"/>
      <c r="F797" s="639"/>
      <c r="G797" s="1110"/>
      <c r="H797" s="745"/>
      <c r="I797" s="746"/>
      <c r="J797" s="638"/>
      <c r="K797" s="746"/>
      <c r="L797" s="637"/>
      <c r="M797" s="818"/>
      <c r="N797" s="818"/>
      <c r="O797" s="638"/>
    </row>
    <row r="798" spans="2:15" s="481" customFormat="1" x14ac:dyDescent="0.3">
      <c r="B798" s="86"/>
      <c r="C798" s="86"/>
      <c r="D798" s="86"/>
      <c r="E798" s="638"/>
      <c r="F798" s="639"/>
      <c r="G798" s="1110"/>
      <c r="H798" s="745"/>
      <c r="I798" s="746"/>
      <c r="J798" s="638"/>
      <c r="K798" s="746"/>
      <c r="L798" s="637"/>
      <c r="M798" s="818"/>
      <c r="N798" s="818"/>
      <c r="O798" s="638"/>
    </row>
    <row r="799" spans="2:15" s="481" customFormat="1" x14ac:dyDescent="0.3">
      <c r="B799" s="86"/>
      <c r="C799" s="86"/>
      <c r="D799" s="86"/>
      <c r="E799" s="638"/>
      <c r="F799" s="639"/>
      <c r="G799" s="1110"/>
      <c r="H799" s="745"/>
      <c r="I799" s="746"/>
      <c r="J799" s="638"/>
      <c r="K799" s="746"/>
      <c r="L799" s="637"/>
      <c r="M799" s="818"/>
      <c r="N799" s="818"/>
      <c r="O799" s="638"/>
    </row>
    <row r="800" spans="2:15" s="481" customFormat="1" x14ac:dyDescent="0.3">
      <c r="B800" s="86"/>
      <c r="C800" s="86"/>
      <c r="D800" s="86"/>
      <c r="E800" s="638"/>
      <c r="F800" s="639"/>
      <c r="G800" s="1110"/>
      <c r="H800" s="745"/>
      <c r="I800" s="746"/>
      <c r="J800" s="638"/>
      <c r="K800" s="746"/>
      <c r="L800" s="637"/>
      <c r="M800" s="818"/>
      <c r="N800" s="818"/>
      <c r="O800" s="638"/>
    </row>
    <row r="801" spans="2:15" s="481" customFormat="1" x14ac:dyDescent="0.3">
      <c r="B801" s="86"/>
      <c r="C801" s="86"/>
      <c r="D801" s="86"/>
      <c r="E801" s="638"/>
      <c r="F801" s="639"/>
      <c r="G801" s="1110"/>
      <c r="H801" s="745"/>
      <c r="I801" s="746"/>
      <c r="J801" s="638"/>
      <c r="K801" s="746"/>
      <c r="L801" s="637"/>
      <c r="M801" s="818"/>
      <c r="N801" s="818"/>
      <c r="O801" s="638"/>
    </row>
    <row r="802" spans="2:15" s="481" customFormat="1" x14ac:dyDescent="0.3">
      <c r="B802" s="86"/>
      <c r="C802" s="86"/>
      <c r="D802" s="86"/>
      <c r="E802" s="638"/>
      <c r="F802" s="639"/>
      <c r="G802" s="1110"/>
      <c r="H802" s="745"/>
      <c r="I802" s="746"/>
      <c r="J802" s="638"/>
      <c r="K802" s="746"/>
      <c r="L802" s="637"/>
      <c r="M802" s="818"/>
      <c r="N802" s="818"/>
      <c r="O802" s="638"/>
    </row>
    <row r="803" spans="2:15" s="481" customFormat="1" x14ac:dyDescent="0.3">
      <c r="B803" s="86"/>
      <c r="C803" s="86"/>
      <c r="D803" s="86"/>
      <c r="E803" s="638"/>
      <c r="F803" s="639"/>
      <c r="G803" s="1110"/>
      <c r="H803" s="745"/>
      <c r="I803" s="746"/>
      <c r="J803" s="638"/>
      <c r="K803" s="746"/>
      <c r="L803" s="637"/>
      <c r="M803" s="818"/>
      <c r="N803" s="818"/>
      <c r="O803" s="638"/>
    </row>
    <row r="804" spans="2:15" s="481" customFormat="1" x14ac:dyDescent="0.3">
      <c r="B804" s="86"/>
      <c r="C804" s="86"/>
      <c r="D804" s="86"/>
      <c r="E804" s="638"/>
      <c r="F804" s="639"/>
      <c r="G804" s="1110"/>
      <c r="H804" s="745"/>
      <c r="I804" s="746"/>
      <c r="J804" s="638"/>
      <c r="K804" s="746"/>
      <c r="L804" s="637"/>
      <c r="M804" s="818"/>
      <c r="N804" s="818"/>
      <c r="O804" s="638"/>
    </row>
    <row r="805" spans="2:15" s="481" customFormat="1" x14ac:dyDescent="0.3">
      <c r="B805" s="86"/>
      <c r="C805" s="86"/>
      <c r="D805" s="86"/>
      <c r="E805" s="638"/>
      <c r="F805" s="639"/>
      <c r="G805" s="1110"/>
      <c r="H805" s="745"/>
      <c r="I805" s="746"/>
      <c r="J805" s="638"/>
      <c r="K805" s="746"/>
      <c r="L805" s="637"/>
      <c r="M805" s="818"/>
      <c r="N805" s="818"/>
      <c r="O805" s="638"/>
    </row>
    <row r="806" spans="2:15" s="481" customFormat="1" x14ac:dyDescent="0.3">
      <c r="B806" s="86"/>
      <c r="C806" s="86"/>
      <c r="D806" s="86"/>
      <c r="E806" s="638"/>
      <c r="F806" s="639"/>
      <c r="G806" s="1110"/>
      <c r="H806" s="745"/>
      <c r="I806" s="746"/>
      <c r="J806" s="638"/>
      <c r="K806" s="746"/>
      <c r="L806" s="637"/>
      <c r="M806" s="818"/>
      <c r="N806" s="818"/>
      <c r="O806" s="638"/>
    </row>
    <row r="807" spans="2:15" s="481" customFormat="1" x14ac:dyDescent="0.3">
      <c r="B807" s="86"/>
      <c r="C807" s="86"/>
      <c r="D807" s="86"/>
      <c r="E807" s="638"/>
      <c r="F807" s="639"/>
      <c r="G807" s="1110"/>
      <c r="H807" s="745"/>
      <c r="I807" s="746"/>
      <c r="J807" s="638"/>
      <c r="K807" s="746"/>
      <c r="L807" s="637"/>
      <c r="M807" s="818"/>
      <c r="N807" s="818"/>
      <c r="O807" s="638"/>
    </row>
    <row r="808" spans="2:15" s="481" customFormat="1" x14ac:dyDescent="0.3">
      <c r="B808" s="86"/>
      <c r="C808" s="86"/>
      <c r="D808" s="86"/>
      <c r="E808" s="638"/>
      <c r="F808" s="639"/>
      <c r="G808" s="1110"/>
      <c r="H808" s="745"/>
      <c r="I808" s="746"/>
      <c r="J808" s="638"/>
      <c r="K808" s="746"/>
      <c r="L808" s="637"/>
      <c r="M808" s="818"/>
      <c r="N808" s="818"/>
      <c r="O808" s="638"/>
    </row>
    <row r="809" spans="2:15" s="481" customFormat="1" x14ac:dyDescent="0.3">
      <c r="B809" s="86"/>
      <c r="C809" s="86"/>
      <c r="D809" s="86"/>
      <c r="E809" s="638"/>
      <c r="F809" s="639"/>
      <c r="G809" s="1110"/>
      <c r="H809" s="745"/>
      <c r="I809" s="746"/>
      <c r="J809" s="638"/>
      <c r="K809" s="746"/>
      <c r="L809" s="637"/>
      <c r="M809" s="818"/>
      <c r="N809" s="818"/>
      <c r="O809" s="638"/>
    </row>
    <row r="810" spans="2:15" s="481" customFormat="1" x14ac:dyDescent="0.3">
      <c r="B810" s="86"/>
      <c r="C810" s="86"/>
      <c r="D810" s="86"/>
      <c r="E810" s="638"/>
      <c r="F810" s="639"/>
      <c r="G810" s="1110"/>
      <c r="H810" s="745"/>
      <c r="I810" s="746"/>
      <c r="J810" s="638"/>
      <c r="K810" s="746"/>
      <c r="L810" s="637"/>
      <c r="M810" s="818"/>
      <c r="N810" s="818"/>
      <c r="O810" s="638"/>
    </row>
    <row r="811" spans="2:15" s="481" customFormat="1" x14ac:dyDescent="0.3">
      <c r="B811" s="86"/>
      <c r="C811" s="86"/>
      <c r="D811" s="86"/>
      <c r="E811" s="638"/>
      <c r="F811" s="639"/>
      <c r="G811" s="1110"/>
      <c r="H811" s="745"/>
      <c r="I811" s="746"/>
      <c r="J811" s="638"/>
      <c r="K811" s="746"/>
      <c r="L811" s="637"/>
      <c r="M811" s="818"/>
      <c r="N811" s="818"/>
      <c r="O811" s="638"/>
    </row>
    <row r="812" spans="2:15" s="481" customFormat="1" x14ac:dyDescent="0.3">
      <c r="B812" s="86"/>
      <c r="C812" s="86"/>
      <c r="D812" s="86"/>
      <c r="E812" s="638"/>
      <c r="F812" s="639"/>
      <c r="G812" s="1110"/>
      <c r="H812" s="745"/>
      <c r="I812" s="746"/>
      <c r="J812" s="638"/>
      <c r="K812" s="746"/>
      <c r="L812" s="637"/>
      <c r="M812" s="818"/>
      <c r="N812" s="818"/>
      <c r="O812" s="638"/>
    </row>
    <row r="813" spans="2:15" s="481" customFormat="1" x14ac:dyDescent="0.3">
      <c r="B813" s="86"/>
      <c r="C813" s="86"/>
      <c r="D813" s="86"/>
      <c r="E813" s="638"/>
      <c r="F813" s="639"/>
      <c r="G813" s="1110"/>
      <c r="H813" s="745"/>
      <c r="I813" s="746"/>
      <c r="J813" s="638"/>
      <c r="K813" s="746"/>
      <c r="L813" s="637"/>
      <c r="M813" s="818"/>
      <c r="N813" s="818"/>
      <c r="O813" s="638"/>
    </row>
    <row r="814" spans="2:15" s="481" customFormat="1" x14ac:dyDescent="0.3">
      <c r="B814" s="86"/>
      <c r="C814" s="86"/>
      <c r="D814" s="86"/>
      <c r="E814" s="638"/>
      <c r="F814" s="639"/>
      <c r="G814" s="1110"/>
      <c r="H814" s="745"/>
      <c r="I814" s="746"/>
      <c r="J814" s="638"/>
      <c r="K814" s="746"/>
      <c r="L814" s="637"/>
      <c r="M814" s="818"/>
      <c r="N814" s="818"/>
      <c r="O814" s="638"/>
    </row>
    <row r="815" spans="2:15" s="481" customFormat="1" x14ac:dyDescent="0.3">
      <c r="B815" s="86"/>
      <c r="C815" s="86"/>
      <c r="D815" s="86"/>
      <c r="E815" s="638"/>
      <c r="F815" s="639"/>
      <c r="G815" s="1110"/>
      <c r="H815" s="745"/>
      <c r="I815" s="746"/>
      <c r="J815" s="638"/>
      <c r="K815" s="746"/>
      <c r="L815" s="637"/>
      <c r="M815" s="818"/>
      <c r="N815" s="818"/>
      <c r="O815" s="638"/>
    </row>
    <row r="816" spans="2:15" s="481" customFormat="1" x14ac:dyDescent="0.3">
      <c r="B816" s="86"/>
      <c r="C816" s="86"/>
      <c r="D816" s="86"/>
      <c r="E816" s="638"/>
      <c r="F816" s="639"/>
      <c r="G816" s="1110"/>
      <c r="H816" s="745"/>
      <c r="I816" s="746"/>
      <c r="J816" s="638"/>
      <c r="K816" s="746"/>
      <c r="L816" s="637"/>
      <c r="M816" s="818"/>
      <c r="N816" s="818"/>
      <c r="O816" s="638"/>
    </row>
    <row r="817" spans="2:15" s="481" customFormat="1" x14ac:dyDescent="0.3">
      <c r="B817" s="86"/>
      <c r="C817" s="86"/>
      <c r="D817" s="86"/>
      <c r="E817" s="638"/>
      <c r="F817" s="639"/>
      <c r="G817" s="1110"/>
      <c r="H817" s="745"/>
      <c r="I817" s="746"/>
      <c r="J817" s="638"/>
      <c r="K817" s="746"/>
      <c r="L817" s="637"/>
      <c r="M817" s="818"/>
      <c r="N817" s="818"/>
      <c r="O817" s="638"/>
    </row>
    <row r="818" spans="2:15" s="481" customFormat="1" x14ac:dyDescent="0.3">
      <c r="B818" s="86"/>
      <c r="C818" s="86"/>
      <c r="D818" s="86"/>
      <c r="E818" s="638"/>
      <c r="F818" s="639"/>
      <c r="G818" s="1110"/>
      <c r="H818" s="745"/>
      <c r="I818" s="746"/>
      <c r="J818" s="638"/>
      <c r="K818" s="746"/>
      <c r="L818" s="637"/>
      <c r="M818" s="818"/>
      <c r="N818" s="818"/>
      <c r="O818" s="638"/>
    </row>
    <row r="819" spans="2:15" s="481" customFormat="1" x14ac:dyDescent="0.3">
      <c r="B819" s="86"/>
      <c r="C819" s="86"/>
      <c r="D819" s="86"/>
      <c r="E819" s="638"/>
      <c r="F819" s="639"/>
      <c r="G819" s="1110"/>
      <c r="H819" s="745"/>
      <c r="I819" s="746"/>
      <c r="J819" s="638"/>
      <c r="K819" s="746"/>
      <c r="L819" s="637"/>
      <c r="M819" s="818"/>
      <c r="N819" s="818"/>
      <c r="O819" s="638"/>
    </row>
    <row r="820" spans="2:15" s="481" customFormat="1" x14ac:dyDescent="0.3">
      <c r="B820" s="86"/>
      <c r="C820" s="86"/>
      <c r="D820" s="86"/>
      <c r="E820" s="638"/>
      <c r="F820" s="639"/>
      <c r="G820" s="1110"/>
      <c r="H820" s="745"/>
      <c r="I820" s="746"/>
      <c r="J820" s="638"/>
      <c r="K820" s="746"/>
      <c r="L820" s="637"/>
      <c r="M820" s="818"/>
      <c r="N820" s="818"/>
      <c r="O820" s="638"/>
    </row>
    <row r="821" spans="2:15" s="481" customFormat="1" x14ac:dyDescent="0.3">
      <c r="B821" s="86"/>
      <c r="C821" s="86"/>
      <c r="D821" s="86"/>
      <c r="E821" s="638"/>
      <c r="F821" s="639"/>
      <c r="G821" s="1110"/>
      <c r="H821" s="745"/>
      <c r="I821" s="746"/>
      <c r="J821" s="638"/>
      <c r="K821" s="746"/>
      <c r="L821" s="637"/>
      <c r="M821" s="818"/>
      <c r="N821" s="818"/>
      <c r="O821" s="638"/>
    </row>
    <row r="822" spans="2:15" s="481" customFormat="1" x14ac:dyDescent="0.3">
      <c r="B822" s="86"/>
      <c r="C822" s="86"/>
      <c r="D822" s="86"/>
      <c r="E822" s="638"/>
      <c r="F822" s="639"/>
      <c r="G822" s="1110"/>
      <c r="H822" s="745"/>
      <c r="I822" s="746"/>
      <c r="J822" s="638"/>
      <c r="K822" s="746"/>
      <c r="L822" s="637"/>
      <c r="M822" s="818"/>
      <c r="N822" s="818"/>
      <c r="O822" s="638"/>
    </row>
    <row r="823" spans="2:15" s="481" customFormat="1" x14ac:dyDescent="0.3">
      <c r="B823" s="86"/>
      <c r="C823" s="86"/>
      <c r="D823" s="86"/>
      <c r="E823" s="638"/>
      <c r="F823" s="639"/>
      <c r="G823" s="1110"/>
      <c r="H823" s="745"/>
      <c r="I823" s="746"/>
      <c r="J823" s="638"/>
      <c r="K823" s="746"/>
      <c r="L823" s="637"/>
      <c r="M823" s="818"/>
      <c r="N823" s="818"/>
      <c r="O823" s="638"/>
    </row>
    <row r="824" spans="2:15" s="481" customFormat="1" x14ac:dyDescent="0.3">
      <c r="B824" s="86"/>
      <c r="C824" s="86"/>
      <c r="D824" s="86"/>
      <c r="E824" s="638"/>
      <c r="F824" s="639"/>
      <c r="G824" s="1110"/>
      <c r="H824" s="745"/>
      <c r="I824" s="746"/>
      <c r="J824" s="638"/>
      <c r="K824" s="746"/>
      <c r="L824" s="637"/>
      <c r="M824" s="818"/>
      <c r="N824" s="818"/>
      <c r="O824" s="638"/>
    </row>
    <row r="825" spans="2:15" s="481" customFormat="1" x14ac:dyDescent="0.3">
      <c r="B825" s="86"/>
      <c r="C825" s="86"/>
      <c r="D825" s="86"/>
      <c r="E825" s="638"/>
      <c r="F825" s="639"/>
      <c r="G825" s="1110"/>
      <c r="H825" s="745"/>
      <c r="I825" s="746"/>
      <c r="J825" s="638"/>
      <c r="K825" s="746"/>
      <c r="L825" s="637"/>
      <c r="M825" s="818"/>
      <c r="N825" s="818"/>
      <c r="O825" s="638"/>
    </row>
    <row r="826" spans="2:15" s="481" customFormat="1" x14ac:dyDescent="0.3">
      <c r="B826" s="86"/>
      <c r="C826" s="86"/>
      <c r="D826" s="86"/>
      <c r="E826" s="638"/>
      <c r="F826" s="639"/>
      <c r="G826" s="1110"/>
      <c r="H826" s="745"/>
      <c r="I826" s="746"/>
      <c r="J826" s="638"/>
      <c r="K826" s="746"/>
      <c r="L826" s="637"/>
      <c r="M826" s="818"/>
      <c r="N826" s="818"/>
      <c r="O826" s="638"/>
    </row>
    <row r="827" spans="2:15" s="481" customFormat="1" x14ac:dyDescent="0.3">
      <c r="B827" s="86"/>
      <c r="C827" s="86"/>
      <c r="D827" s="86"/>
      <c r="E827" s="638"/>
      <c r="F827" s="639"/>
      <c r="G827" s="1110"/>
      <c r="H827" s="745"/>
      <c r="I827" s="746"/>
      <c r="J827" s="638"/>
      <c r="K827" s="746"/>
      <c r="L827" s="637"/>
      <c r="M827" s="818"/>
      <c r="N827" s="818"/>
      <c r="O827" s="638"/>
    </row>
    <row r="828" spans="2:15" s="481" customFormat="1" x14ac:dyDescent="0.3">
      <c r="B828" s="86"/>
      <c r="C828" s="86"/>
      <c r="D828" s="86"/>
      <c r="E828" s="638"/>
      <c r="F828" s="639"/>
      <c r="G828" s="1110"/>
      <c r="H828" s="745"/>
      <c r="I828" s="746"/>
      <c r="J828" s="638"/>
      <c r="K828" s="746"/>
      <c r="L828" s="637"/>
      <c r="M828" s="818"/>
      <c r="N828" s="818"/>
      <c r="O828" s="638"/>
    </row>
    <row r="829" spans="2:15" s="481" customFormat="1" x14ac:dyDescent="0.3">
      <c r="B829" s="86"/>
      <c r="C829" s="86"/>
      <c r="D829" s="86"/>
      <c r="E829" s="638"/>
      <c r="F829" s="639"/>
      <c r="G829" s="1110"/>
      <c r="H829" s="745"/>
      <c r="I829" s="746"/>
      <c r="J829" s="638"/>
      <c r="K829" s="746"/>
      <c r="L829" s="637"/>
      <c r="M829" s="818"/>
      <c r="N829" s="818"/>
      <c r="O829" s="638"/>
    </row>
    <row r="830" spans="2:15" s="481" customFormat="1" x14ac:dyDescent="0.3">
      <c r="B830" s="86"/>
      <c r="C830" s="86"/>
      <c r="D830" s="86"/>
      <c r="E830" s="638"/>
      <c r="F830" s="639"/>
      <c r="G830" s="1110"/>
      <c r="H830" s="745"/>
      <c r="I830" s="746"/>
      <c r="J830" s="638"/>
      <c r="K830" s="746"/>
      <c r="L830" s="637"/>
      <c r="M830" s="818"/>
      <c r="N830" s="818"/>
      <c r="O830" s="638"/>
    </row>
    <row r="831" spans="2:15" s="481" customFormat="1" x14ac:dyDescent="0.3">
      <c r="B831" s="86"/>
      <c r="C831" s="86"/>
      <c r="D831" s="86"/>
      <c r="E831" s="638"/>
      <c r="F831" s="639"/>
      <c r="G831" s="1110"/>
      <c r="H831" s="745"/>
      <c r="I831" s="746"/>
      <c r="J831" s="638"/>
      <c r="K831" s="746"/>
      <c r="L831" s="637"/>
      <c r="M831" s="818"/>
      <c r="N831" s="818"/>
      <c r="O831" s="638"/>
    </row>
    <row r="832" spans="2:15" s="481" customFormat="1" x14ac:dyDescent="0.3">
      <c r="B832" s="86"/>
      <c r="C832" s="86"/>
      <c r="D832" s="86"/>
      <c r="E832" s="638"/>
      <c r="F832" s="639"/>
      <c r="G832" s="1110"/>
      <c r="H832" s="745"/>
      <c r="I832" s="746"/>
      <c r="J832" s="638"/>
      <c r="K832" s="746"/>
      <c r="L832" s="637"/>
      <c r="M832" s="818"/>
      <c r="N832" s="818"/>
      <c r="O832" s="638"/>
    </row>
    <row r="833" spans="2:15" s="481" customFormat="1" x14ac:dyDescent="0.3">
      <c r="B833" s="86"/>
      <c r="C833" s="86"/>
      <c r="D833" s="86"/>
      <c r="E833" s="638"/>
      <c r="F833" s="639"/>
      <c r="G833" s="1110"/>
      <c r="H833" s="745"/>
      <c r="I833" s="746"/>
      <c r="J833" s="638"/>
      <c r="K833" s="746"/>
      <c r="L833" s="637"/>
      <c r="M833" s="818"/>
      <c r="N833" s="818"/>
      <c r="O833" s="638"/>
    </row>
    <row r="834" spans="2:15" s="481" customFormat="1" x14ac:dyDescent="0.3">
      <c r="B834" s="86"/>
      <c r="C834" s="86"/>
      <c r="D834" s="86"/>
      <c r="E834" s="638"/>
      <c r="F834" s="639"/>
      <c r="G834" s="1110"/>
      <c r="H834" s="745"/>
      <c r="I834" s="746"/>
      <c r="J834" s="638"/>
      <c r="K834" s="746"/>
      <c r="L834" s="637"/>
      <c r="M834" s="818"/>
      <c r="N834" s="818"/>
      <c r="O834" s="638"/>
    </row>
    <row r="835" spans="2:15" s="481" customFormat="1" x14ac:dyDescent="0.3">
      <c r="B835" s="86"/>
      <c r="C835" s="86"/>
      <c r="D835" s="86"/>
      <c r="E835" s="638"/>
      <c r="F835" s="639"/>
      <c r="G835" s="1110"/>
      <c r="H835" s="745"/>
      <c r="I835" s="746"/>
      <c r="J835" s="638"/>
      <c r="K835" s="746"/>
      <c r="L835" s="637"/>
      <c r="M835" s="818"/>
      <c r="N835" s="818"/>
      <c r="O835" s="638"/>
    </row>
    <row r="836" spans="2:15" s="481" customFormat="1" x14ac:dyDescent="0.3">
      <c r="B836" s="86"/>
      <c r="C836" s="86"/>
      <c r="D836" s="86"/>
      <c r="E836" s="638"/>
      <c r="F836" s="639"/>
      <c r="G836" s="1110"/>
      <c r="H836" s="745"/>
      <c r="I836" s="746"/>
      <c r="J836" s="638"/>
      <c r="K836" s="746"/>
      <c r="L836" s="637"/>
      <c r="M836" s="818"/>
      <c r="N836" s="818"/>
      <c r="O836" s="638"/>
    </row>
    <row r="837" spans="2:15" s="481" customFormat="1" x14ac:dyDescent="0.3">
      <c r="B837" s="86"/>
      <c r="C837" s="86"/>
      <c r="D837" s="86"/>
      <c r="E837" s="638"/>
      <c r="F837" s="639"/>
      <c r="G837" s="1110"/>
      <c r="H837" s="745"/>
      <c r="I837" s="746"/>
      <c r="J837" s="638"/>
      <c r="K837" s="746"/>
      <c r="L837" s="637"/>
      <c r="M837" s="818"/>
      <c r="N837" s="818"/>
      <c r="O837" s="638"/>
    </row>
    <row r="838" spans="2:15" s="481" customFormat="1" x14ac:dyDescent="0.3">
      <c r="B838" s="86"/>
      <c r="C838" s="86"/>
      <c r="D838" s="86"/>
      <c r="E838" s="638"/>
      <c r="F838" s="639"/>
      <c r="G838" s="1110"/>
      <c r="H838" s="745"/>
      <c r="I838" s="746"/>
      <c r="J838" s="638"/>
      <c r="K838" s="746"/>
      <c r="L838" s="637"/>
      <c r="M838" s="818"/>
      <c r="N838" s="818"/>
      <c r="O838" s="638"/>
    </row>
    <row r="839" spans="2:15" s="481" customFormat="1" x14ac:dyDescent="0.3">
      <c r="B839" s="86"/>
      <c r="C839" s="86"/>
      <c r="D839" s="86"/>
      <c r="E839" s="638"/>
      <c r="F839" s="639"/>
      <c r="G839" s="1110"/>
      <c r="H839" s="745"/>
      <c r="I839" s="746"/>
      <c r="J839" s="638"/>
      <c r="K839" s="746"/>
      <c r="L839" s="637"/>
      <c r="M839" s="818"/>
      <c r="N839" s="818"/>
      <c r="O839" s="638"/>
    </row>
    <row r="840" spans="2:15" s="481" customFormat="1" x14ac:dyDescent="0.3">
      <c r="B840" s="86"/>
      <c r="C840" s="86"/>
      <c r="D840" s="86"/>
      <c r="E840" s="638"/>
      <c r="F840" s="639"/>
      <c r="G840" s="1110"/>
      <c r="H840" s="745"/>
      <c r="I840" s="746"/>
      <c r="J840" s="638"/>
      <c r="K840" s="746"/>
      <c r="L840" s="637"/>
      <c r="M840" s="818"/>
      <c r="N840" s="818"/>
      <c r="O840" s="638"/>
    </row>
    <row r="841" spans="2:15" s="481" customFormat="1" x14ac:dyDescent="0.3">
      <c r="B841" s="86"/>
      <c r="C841" s="86"/>
      <c r="D841" s="86"/>
      <c r="E841" s="638"/>
      <c r="F841" s="639"/>
      <c r="G841" s="1110"/>
      <c r="H841" s="745"/>
      <c r="I841" s="746"/>
      <c r="J841" s="638"/>
      <c r="K841" s="746"/>
      <c r="L841" s="637"/>
      <c r="M841" s="818"/>
      <c r="N841" s="818"/>
      <c r="O841" s="638"/>
    </row>
    <row r="842" spans="2:15" s="481" customFormat="1" x14ac:dyDescent="0.3">
      <c r="B842" s="86"/>
      <c r="C842" s="86"/>
      <c r="D842" s="86"/>
      <c r="E842" s="638"/>
      <c r="F842" s="639"/>
      <c r="G842" s="1110"/>
      <c r="H842" s="745"/>
      <c r="I842" s="746"/>
      <c r="J842" s="638"/>
      <c r="K842" s="746"/>
      <c r="L842" s="637"/>
      <c r="M842" s="818"/>
      <c r="N842" s="818"/>
      <c r="O842" s="638"/>
    </row>
    <row r="843" spans="2:15" s="481" customFormat="1" x14ac:dyDescent="0.3">
      <c r="B843" s="86"/>
      <c r="C843" s="86"/>
      <c r="D843" s="86"/>
      <c r="E843" s="638"/>
      <c r="F843" s="639"/>
      <c r="G843" s="1110"/>
      <c r="H843" s="745"/>
      <c r="I843" s="746"/>
      <c r="J843" s="638"/>
      <c r="K843" s="746"/>
      <c r="L843" s="637"/>
      <c r="M843" s="818"/>
      <c r="N843" s="818"/>
      <c r="O843" s="638"/>
    </row>
    <row r="844" spans="2:15" s="481" customFormat="1" x14ac:dyDescent="0.3">
      <c r="B844" s="86"/>
      <c r="C844" s="86"/>
      <c r="D844" s="86"/>
      <c r="E844" s="638"/>
      <c r="F844" s="639"/>
      <c r="G844" s="1110"/>
      <c r="H844" s="745"/>
      <c r="I844" s="746"/>
      <c r="J844" s="638"/>
      <c r="K844" s="746"/>
      <c r="L844" s="637"/>
      <c r="M844" s="818"/>
      <c r="N844" s="818"/>
      <c r="O844" s="638"/>
    </row>
    <row r="845" spans="2:15" s="481" customFormat="1" x14ac:dyDescent="0.3">
      <c r="B845" s="86"/>
      <c r="C845" s="86"/>
      <c r="D845" s="86"/>
      <c r="E845" s="638"/>
      <c r="F845" s="639"/>
      <c r="G845" s="1110"/>
      <c r="H845" s="745"/>
      <c r="I845" s="746"/>
      <c r="J845" s="638"/>
      <c r="K845" s="746"/>
      <c r="L845" s="637"/>
      <c r="M845" s="818"/>
      <c r="N845" s="818"/>
      <c r="O845" s="638"/>
    </row>
    <row r="846" spans="2:15" s="481" customFormat="1" x14ac:dyDescent="0.3">
      <c r="B846" s="86"/>
      <c r="C846" s="86"/>
      <c r="D846" s="86"/>
      <c r="E846" s="638"/>
      <c r="F846" s="639"/>
      <c r="G846" s="1110"/>
      <c r="H846" s="745"/>
      <c r="I846" s="746"/>
      <c r="J846" s="638"/>
      <c r="K846" s="746"/>
      <c r="L846" s="637"/>
      <c r="M846" s="818"/>
      <c r="N846" s="818"/>
      <c r="O846" s="638"/>
    </row>
    <row r="847" spans="2:15" s="481" customFormat="1" x14ac:dyDescent="0.3">
      <c r="B847" s="86"/>
      <c r="C847" s="86"/>
      <c r="D847" s="86"/>
      <c r="E847" s="638"/>
      <c r="F847" s="639"/>
      <c r="G847" s="1110"/>
      <c r="H847" s="745"/>
      <c r="I847" s="746"/>
      <c r="J847" s="638"/>
      <c r="K847" s="746"/>
      <c r="L847" s="637"/>
      <c r="M847" s="818"/>
      <c r="N847" s="818"/>
      <c r="O847" s="638"/>
    </row>
    <row r="848" spans="2:15" s="481" customFormat="1" x14ac:dyDescent="0.3">
      <c r="B848" s="86"/>
      <c r="C848" s="86"/>
      <c r="D848" s="86"/>
      <c r="E848" s="638"/>
      <c r="F848" s="639"/>
      <c r="G848" s="1110"/>
      <c r="H848" s="745"/>
      <c r="I848" s="746"/>
      <c r="J848" s="638"/>
      <c r="K848" s="746"/>
      <c r="L848" s="637"/>
      <c r="M848" s="818"/>
      <c r="N848" s="818"/>
      <c r="O848" s="638"/>
    </row>
    <row r="849" spans="2:15" s="481" customFormat="1" x14ac:dyDescent="0.3">
      <c r="B849" s="86"/>
      <c r="C849" s="86"/>
      <c r="D849" s="86"/>
      <c r="E849" s="638"/>
      <c r="F849" s="639"/>
      <c r="G849" s="1110"/>
      <c r="H849" s="745"/>
      <c r="I849" s="746"/>
      <c r="J849" s="638"/>
      <c r="K849" s="746"/>
      <c r="L849" s="637"/>
      <c r="M849" s="818"/>
      <c r="N849" s="818"/>
      <c r="O849" s="638"/>
    </row>
    <row r="850" spans="2:15" s="481" customFormat="1" x14ac:dyDescent="0.3">
      <c r="B850" s="86"/>
      <c r="C850" s="86"/>
      <c r="D850" s="86"/>
      <c r="E850" s="638"/>
      <c r="F850" s="639"/>
      <c r="G850" s="1110"/>
      <c r="H850" s="745"/>
      <c r="I850" s="746"/>
      <c r="J850" s="638"/>
      <c r="K850" s="746"/>
      <c r="L850" s="637"/>
      <c r="M850" s="818"/>
      <c r="N850" s="818"/>
      <c r="O850" s="638"/>
    </row>
    <row r="851" spans="2:15" s="481" customFormat="1" x14ac:dyDescent="0.3">
      <c r="B851" s="86"/>
      <c r="C851" s="86"/>
      <c r="D851" s="86"/>
      <c r="E851" s="638"/>
      <c r="F851" s="639"/>
      <c r="G851" s="1110"/>
      <c r="H851" s="745"/>
      <c r="I851" s="746"/>
      <c r="J851" s="638"/>
      <c r="K851" s="746"/>
      <c r="L851" s="637"/>
      <c r="M851" s="818"/>
      <c r="N851" s="818"/>
      <c r="O851" s="638"/>
    </row>
    <row r="852" spans="2:15" s="481" customFormat="1" x14ac:dyDescent="0.3">
      <c r="B852" s="86"/>
      <c r="C852" s="86"/>
      <c r="D852" s="86"/>
      <c r="E852" s="638"/>
      <c r="F852" s="639"/>
      <c r="G852" s="1110"/>
      <c r="H852" s="745"/>
      <c r="I852" s="746"/>
      <c r="J852" s="638"/>
      <c r="K852" s="746"/>
      <c r="L852" s="637"/>
      <c r="M852" s="818"/>
      <c r="N852" s="818"/>
      <c r="O852" s="638"/>
    </row>
    <row r="853" spans="2:15" s="481" customFormat="1" x14ac:dyDescent="0.3">
      <c r="B853" s="86"/>
      <c r="C853" s="86"/>
      <c r="D853" s="86"/>
      <c r="E853" s="638"/>
      <c r="F853" s="639"/>
      <c r="G853" s="1110"/>
      <c r="H853" s="745"/>
      <c r="I853" s="746"/>
      <c r="J853" s="638"/>
      <c r="K853" s="746"/>
      <c r="L853" s="637"/>
      <c r="M853" s="818"/>
      <c r="N853" s="818"/>
      <c r="O853" s="638"/>
    </row>
    <row r="854" spans="2:15" s="481" customFormat="1" x14ac:dyDescent="0.3">
      <c r="B854" s="86"/>
      <c r="C854" s="86"/>
      <c r="D854" s="86"/>
      <c r="E854" s="638"/>
      <c r="F854" s="639"/>
      <c r="G854" s="1110"/>
      <c r="H854" s="745"/>
      <c r="I854" s="746"/>
      <c r="J854" s="638"/>
      <c r="K854" s="746"/>
      <c r="L854" s="637"/>
      <c r="M854" s="818"/>
      <c r="N854" s="818"/>
      <c r="O854" s="638"/>
    </row>
    <row r="855" spans="2:15" s="481" customFormat="1" x14ac:dyDescent="0.3">
      <c r="B855" s="86"/>
      <c r="C855" s="86"/>
      <c r="D855" s="86"/>
      <c r="E855" s="638"/>
      <c r="F855" s="639"/>
      <c r="G855" s="1110"/>
      <c r="H855" s="745"/>
      <c r="I855" s="746"/>
      <c r="J855" s="638"/>
      <c r="K855" s="746"/>
      <c r="L855" s="637"/>
      <c r="M855" s="818"/>
      <c r="N855" s="818"/>
      <c r="O855" s="638"/>
    </row>
    <row r="856" spans="2:15" s="481" customFormat="1" x14ac:dyDescent="0.3">
      <c r="B856" s="86"/>
      <c r="C856" s="86"/>
      <c r="D856" s="86"/>
      <c r="E856" s="638"/>
      <c r="F856" s="639"/>
      <c r="G856" s="1110"/>
      <c r="H856" s="745"/>
      <c r="I856" s="746"/>
      <c r="J856" s="638"/>
      <c r="K856" s="746"/>
      <c r="L856" s="637"/>
      <c r="M856" s="818"/>
      <c r="N856" s="818"/>
      <c r="O856" s="638"/>
    </row>
    <row r="857" spans="2:15" s="481" customFormat="1" x14ac:dyDescent="0.3">
      <c r="B857" s="86"/>
      <c r="C857" s="86"/>
      <c r="D857" s="86"/>
      <c r="E857" s="638"/>
      <c r="F857" s="639"/>
      <c r="G857" s="1110"/>
      <c r="H857" s="745"/>
      <c r="I857" s="746"/>
      <c r="J857" s="638"/>
      <c r="K857" s="746"/>
      <c r="L857" s="637"/>
      <c r="M857" s="818"/>
      <c r="N857" s="818"/>
      <c r="O857" s="638"/>
    </row>
    <row r="858" spans="2:15" s="481" customFormat="1" x14ac:dyDescent="0.3">
      <c r="B858" s="86"/>
      <c r="C858" s="86"/>
      <c r="D858" s="86"/>
      <c r="E858" s="638"/>
      <c r="F858" s="639"/>
      <c r="G858" s="1110"/>
      <c r="H858" s="745"/>
      <c r="I858" s="746"/>
      <c r="J858" s="638"/>
      <c r="K858" s="746"/>
      <c r="L858" s="637"/>
      <c r="M858" s="818"/>
      <c r="N858" s="818"/>
      <c r="O858" s="638"/>
    </row>
    <row r="859" spans="2:15" s="481" customFormat="1" x14ac:dyDescent="0.3">
      <c r="B859" s="86"/>
      <c r="C859" s="86"/>
      <c r="D859" s="86"/>
      <c r="E859" s="638"/>
      <c r="F859" s="639"/>
      <c r="G859" s="1110"/>
      <c r="H859" s="745"/>
      <c r="I859" s="746"/>
      <c r="J859" s="638"/>
      <c r="K859" s="746"/>
      <c r="L859" s="637"/>
      <c r="M859" s="818"/>
      <c r="N859" s="818"/>
      <c r="O859" s="638"/>
    </row>
    <row r="860" spans="2:15" s="481" customFormat="1" x14ac:dyDescent="0.3">
      <c r="B860" s="86"/>
      <c r="C860" s="86"/>
      <c r="D860" s="86"/>
      <c r="E860" s="638"/>
      <c r="F860" s="639"/>
      <c r="G860" s="1110"/>
      <c r="H860" s="745"/>
      <c r="I860" s="746"/>
      <c r="J860" s="638"/>
      <c r="K860" s="746"/>
      <c r="L860" s="637"/>
      <c r="M860" s="818"/>
      <c r="N860" s="818"/>
      <c r="O860" s="638"/>
    </row>
    <row r="861" spans="2:15" s="481" customFormat="1" x14ac:dyDescent="0.3">
      <c r="B861" s="86"/>
      <c r="C861" s="86"/>
      <c r="D861" s="86"/>
      <c r="E861" s="638"/>
      <c r="F861" s="639"/>
      <c r="G861" s="1110"/>
      <c r="H861" s="745"/>
      <c r="I861" s="746"/>
      <c r="J861" s="638"/>
      <c r="K861" s="746"/>
      <c r="L861" s="637"/>
      <c r="M861" s="818"/>
      <c r="N861" s="818"/>
      <c r="O861" s="638"/>
    </row>
    <row r="862" spans="2:15" s="481" customFormat="1" x14ac:dyDescent="0.3">
      <c r="B862" s="86"/>
      <c r="C862" s="86"/>
      <c r="D862" s="86"/>
      <c r="E862" s="638"/>
      <c r="F862" s="639"/>
      <c r="G862" s="1110"/>
      <c r="H862" s="745"/>
      <c r="I862" s="746"/>
      <c r="J862" s="638"/>
      <c r="K862" s="746"/>
      <c r="L862" s="637"/>
      <c r="M862" s="818"/>
      <c r="N862" s="818"/>
      <c r="O862" s="638"/>
    </row>
    <row r="863" spans="2:15" s="481" customFormat="1" x14ac:dyDescent="0.3">
      <c r="B863" s="86"/>
      <c r="C863" s="86"/>
      <c r="D863" s="86"/>
      <c r="E863" s="638"/>
      <c r="F863" s="639"/>
      <c r="G863" s="1110"/>
      <c r="H863" s="745"/>
      <c r="I863" s="746"/>
      <c r="J863" s="638"/>
      <c r="K863" s="746"/>
      <c r="L863" s="637"/>
      <c r="M863" s="818"/>
      <c r="N863" s="818"/>
      <c r="O863" s="638"/>
    </row>
    <row r="864" spans="2:15" s="481" customFormat="1" x14ac:dyDescent="0.3">
      <c r="B864" s="86"/>
      <c r="C864" s="86"/>
      <c r="D864" s="86"/>
      <c r="E864" s="638"/>
      <c r="F864" s="639"/>
      <c r="G864" s="1110"/>
      <c r="H864" s="745"/>
      <c r="I864" s="746"/>
      <c r="J864" s="638"/>
      <c r="K864" s="746"/>
      <c r="L864" s="637"/>
      <c r="M864" s="818"/>
      <c r="N864" s="818"/>
      <c r="O864" s="638"/>
    </row>
    <row r="865" spans="2:15" s="481" customFormat="1" x14ac:dyDescent="0.3">
      <c r="B865" s="86"/>
      <c r="C865" s="86"/>
      <c r="D865" s="86"/>
      <c r="E865" s="638"/>
      <c r="F865" s="639"/>
      <c r="G865" s="1110"/>
      <c r="H865" s="745"/>
      <c r="I865" s="746"/>
      <c r="J865" s="638"/>
      <c r="K865" s="746"/>
      <c r="L865" s="637"/>
      <c r="M865" s="818"/>
      <c r="N865" s="818"/>
      <c r="O865" s="638"/>
    </row>
    <row r="866" spans="2:15" s="481" customFormat="1" x14ac:dyDescent="0.3">
      <c r="B866" s="86"/>
      <c r="C866" s="86"/>
      <c r="D866" s="86"/>
      <c r="E866" s="638"/>
      <c r="F866" s="639"/>
      <c r="G866" s="1110"/>
      <c r="H866" s="745"/>
      <c r="I866" s="746"/>
      <c r="J866" s="638"/>
      <c r="K866" s="746"/>
      <c r="L866" s="637"/>
      <c r="M866" s="818"/>
      <c r="N866" s="818"/>
      <c r="O866" s="638"/>
    </row>
    <row r="867" spans="2:15" s="481" customFormat="1" x14ac:dyDescent="0.3">
      <c r="B867" s="86"/>
      <c r="C867" s="86"/>
      <c r="D867" s="86"/>
      <c r="E867" s="638"/>
      <c r="F867" s="639"/>
      <c r="G867" s="1110"/>
      <c r="H867" s="745"/>
      <c r="I867" s="746"/>
      <c r="J867" s="638"/>
      <c r="K867" s="746"/>
      <c r="L867" s="637"/>
      <c r="M867" s="818"/>
      <c r="N867" s="818"/>
      <c r="O867" s="638"/>
    </row>
    <row r="868" spans="2:15" s="481" customFormat="1" x14ac:dyDescent="0.3">
      <c r="B868" s="86"/>
      <c r="C868" s="86"/>
      <c r="D868" s="86"/>
      <c r="E868" s="638"/>
      <c r="F868" s="639"/>
      <c r="G868" s="1110"/>
      <c r="H868" s="745"/>
      <c r="I868" s="746"/>
      <c r="J868" s="638"/>
      <c r="K868" s="746"/>
      <c r="L868" s="637"/>
      <c r="M868" s="818"/>
      <c r="N868" s="818"/>
      <c r="O868" s="638"/>
    </row>
    <row r="869" spans="2:15" s="481" customFormat="1" x14ac:dyDescent="0.3">
      <c r="B869" s="86"/>
      <c r="C869" s="86"/>
      <c r="D869" s="86"/>
      <c r="E869" s="638"/>
      <c r="F869" s="639"/>
      <c r="G869" s="1110"/>
      <c r="H869" s="745"/>
      <c r="I869" s="746"/>
      <c r="J869" s="638"/>
      <c r="K869" s="746"/>
      <c r="L869" s="637"/>
      <c r="M869" s="818"/>
      <c r="N869" s="818"/>
      <c r="O869" s="638"/>
    </row>
    <row r="870" spans="2:15" s="481" customFormat="1" x14ac:dyDescent="0.3">
      <c r="B870" s="86"/>
      <c r="C870" s="86"/>
      <c r="D870" s="86"/>
      <c r="E870" s="638"/>
      <c r="F870" s="639"/>
      <c r="G870" s="1110"/>
      <c r="H870" s="745"/>
      <c r="I870" s="746"/>
      <c r="J870" s="638"/>
      <c r="K870" s="746"/>
      <c r="L870" s="637"/>
      <c r="M870" s="818"/>
      <c r="N870" s="818"/>
      <c r="O870" s="638"/>
    </row>
    <row r="871" spans="2:15" s="481" customFormat="1" x14ac:dyDescent="0.3">
      <c r="B871" s="86"/>
      <c r="C871" s="86"/>
      <c r="D871" s="86"/>
      <c r="E871" s="638"/>
      <c r="F871" s="639"/>
      <c r="G871" s="1110"/>
      <c r="H871" s="745"/>
      <c r="I871" s="746"/>
      <c r="J871" s="638"/>
      <c r="K871" s="746"/>
      <c r="L871" s="637"/>
      <c r="M871" s="818"/>
      <c r="N871" s="818"/>
      <c r="O871" s="638"/>
    </row>
    <row r="872" spans="2:15" s="481" customFormat="1" x14ac:dyDescent="0.3">
      <c r="B872" s="86"/>
      <c r="C872" s="86"/>
      <c r="D872" s="86"/>
      <c r="E872" s="638"/>
      <c r="F872" s="639"/>
      <c r="G872" s="1110"/>
      <c r="H872" s="745"/>
      <c r="I872" s="746"/>
      <c r="J872" s="638"/>
      <c r="K872" s="746"/>
      <c r="L872" s="637"/>
      <c r="M872" s="818"/>
      <c r="N872" s="818"/>
      <c r="O872" s="638"/>
    </row>
    <row r="873" spans="2:15" s="481" customFormat="1" x14ac:dyDescent="0.3">
      <c r="B873" s="86"/>
      <c r="C873" s="86"/>
      <c r="D873" s="86"/>
      <c r="E873" s="638"/>
      <c r="F873" s="639"/>
      <c r="G873" s="1110"/>
      <c r="H873" s="745"/>
      <c r="I873" s="746"/>
      <c r="J873" s="638"/>
      <c r="K873" s="746"/>
      <c r="L873" s="637"/>
      <c r="M873" s="818"/>
      <c r="N873" s="818"/>
      <c r="O873" s="638"/>
    </row>
    <row r="874" spans="2:15" s="481" customFormat="1" x14ac:dyDescent="0.3">
      <c r="B874" s="86"/>
      <c r="C874" s="86"/>
      <c r="D874" s="86"/>
      <c r="E874" s="638"/>
      <c r="F874" s="639"/>
      <c r="G874" s="1110"/>
      <c r="H874" s="745"/>
      <c r="I874" s="746"/>
      <c r="J874" s="638"/>
      <c r="K874" s="746"/>
      <c r="L874" s="637"/>
      <c r="M874" s="818"/>
      <c r="N874" s="818"/>
      <c r="O874" s="638"/>
    </row>
    <row r="875" spans="2:15" s="481" customFormat="1" x14ac:dyDescent="0.3">
      <c r="B875" s="86"/>
      <c r="C875" s="86"/>
      <c r="D875" s="86"/>
      <c r="E875" s="638"/>
      <c r="F875" s="639"/>
      <c r="G875" s="1110"/>
      <c r="H875" s="745"/>
      <c r="I875" s="746"/>
      <c r="J875" s="638"/>
      <c r="K875" s="746"/>
      <c r="L875" s="637"/>
      <c r="M875" s="818"/>
      <c r="N875" s="818"/>
      <c r="O875" s="638"/>
    </row>
    <row r="876" spans="2:15" s="481" customFormat="1" x14ac:dyDescent="0.3">
      <c r="B876" s="86"/>
      <c r="C876" s="86"/>
      <c r="D876" s="86"/>
      <c r="E876" s="638"/>
      <c r="F876" s="639"/>
      <c r="G876" s="1110"/>
      <c r="H876" s="745"/>
      <c r="I876" s="746"/>
      <c r="J876" s="638"/>
      <c r="K876" s="746"/>
      <c r="L876" s="637"/>
      <c r="M876" s="818"/>
      <c r="N876" s="818"/>
      <c r="O876" s="638"/>
    </row>
    <row r="877" spans="2:15" s="481" customFormat="1" x14ac:dyDescent="0.3">
      <c r="B877" s="86"/>
      <c r="C877" s="86"/>
      <c r="D877" s="86"/>
      <c r="E877" s="638"/>
      <c r="F877" s="639"/>
      <c r="G877" s="1110"/>
      <c r="H877" s="745"/>
      <c r="I877" s="746"/>
      <c r="J877" s="638"/>
      <c r="K877" s="746"/>
      <c r="L877" s="637"/>
      <c r="M877" s="818"/>
      <c r="N877" s="818"/>
      <c r="O877" s="638"/>
    </row>
    <row r="878" spans="2:15" s="481" customFormat="1" x14ac:dyDescent="0.3">
      <c r="B878" s="86"/>
      <c r="C878" s="86"/>
      <c r="D878" s="86"/>
      <c r="E878" s="638"/>
      <c r="F878" s="639"/>
      <c r="G878" s="1110"/>
      <c r="H878" s="745"/>
      <c r="I878" s="746"/>
      <c r="J878" s="638"/>
      <c r="K878" s="746"/>
      <c r="L878" s="637"/>
      <c r="M878" s="818"/>
      <c r="N878" s="818"/>
      <c r="O878" s="638"/>
    </row>
    <row r="879" spans="2:15" s="481" customFormat="1" x14ac:dyDescent="0.3">
      <c r="B879" s="86"/>
      <c r="C879" s="86"/>
      <c r="D879" s="86"/>
      <c r="E879" s="638"/>
      <c r="F879" s="639"/>
      <c r="G879" s="1110"/>
      <c r="H879" s="745"/>
      <c r="I879" s="746"/>
      <c r="J879" s="638"/>
      <c r="K879" s="746"/>
      <c r="L879" s="637"/>
      <c r="M879" s="818"/>
      <c r="N879" s="818"/>
      <c r="O879" s="638"/>
    </row>
    <row r="880" spans="2:15" s="481" customFormat="1" x14ac:dyDescent="0.3">
      <c r="B880" s="86"/>
      <c r="C880" s="86"/>
      <c r="D880" s="86"/>
      <c r="E880" s="638"/>
      <c r="F880" s="639"/>
      <c r="G880" s="1110"/>
      <c r="H880" s="745"/>
      <c r="I880" s="746"/>
      <c r="J880" s="638"/>
      <c r="K880" s="746"/>
      <c r="L880" s="637"/>
      <c r="M880" s="818"/>
      <c r="N880" s="818"/>
      <c r="O880" s="638"/>
    </row>
    <row r="881" spans="2:15" s="481" customFormat="1" x14ac:dyDescent="0.3">
      <c r="B881" s="86"/>
      <c r="C881" s="86"/>
      <c r="D881" s="86"/>
      <c r="E881" s="638"/>
      <c r="F881" s="639"/>
      <c r="G881" s="1110"/>
      <c r="H881" s="745"/>
      <c r="I881" s="746"/>
      <c r="J881" s="638"/>
      <c r="K881" s="746"/>
      <c r="L881" s="637"/>
      <c r="M881" s="818"/>
      <c r="N881" s="818"/>
      <c r="O881" s="638"/>
    </row>
    <row r="882" spans="2:15" s="481" customFormat="1" x14ac:dyDescent="0.3">
      <c r="B882" s="86"/>
      <c r="C882" s="86"/>
      <c r="D882" s="86"/>
      <c r="E882" s="638"/>
      <c r="F882" s="639"/>
      <c r="G882" s="1110"/>
      <c r="H882" s="745"/>
      <c r="I882" s="746"/>
      <c r="J882" s="638"/>
      <c r="K882" s="746"/>
      <c r="L882" s="637"/>
      <c r="M882" s="818"/>
      <c r="N882" s="818"/>
      <c r="O882" s="638"/>
    </row>
    <row r="883" spans="2:15" s="481" customFormat="1" x14ac:dyDescent="0.3">
      <c r="B883" s="86"/>
      <c r="C883" s="86"/>
      <c r="D883" s="86"/>
      <c r="E883" s="638"/>
      <c r="F883" s="639"/>
      <c r="G883" s="1110"/>
      <c r="H883" s="745"/>
      <c r="I883" s="746"/>
      <c r="J883" s="638"/>
      <c r="K883" s="746"/>
      <c r="L883" s="637"/>
      <c r="M883" s="818"/>
      <c r="N883" s="818"/>
      <c r="O883" s="638"/>
    </row>
    <row r="884" spans="2:15" s="481" customFormat="1" x14ac:dyDescent="0.3">
      <c r="B884" s="86"/>
      <c r="C884" s="86"/>
      <c r="D884" s="86"/>
      <c r="E884" s="638"/>
      <c r="F884" s="639"/>
      <c r="G884" s="1110"/>
      <c r="H884" s="745"/>
      <c r="I884" s="746"/>
      <c r="J884" s="638"/>
      <c r="K884" s="746"/>
      <c r="L884" s="637"/>
      <c r="M884" s="818"/>
      <c r="N884" s="818"/>
      <c r="O884" s="638"/>
    </row>
    <row r="885" spans="2:15" s="481" customFormat="1" x14ac:dyDescent="0.3">
      <c r="B885" s="86"/>
      <c r="C885" s="86"/>
      <c r="D885" s="86"/>
      <c r="E885" s="638"/>
      <c r="F885" s="639"/>
      <c r="G885" s="1110"/>
      <c r="H885" s="745"/>
      <c r="I885" s="746"/>
      <c r="J885" s="638"/>
      <c r="K885" s="746"/>
      <c r="L885" s="637"/>
      <c r="M885" s="818"/>
      <c r="N885" s="818"/>
      <c r="O885" s="638"/>
    </row>
    <row r="886" spans="2:15" s="481" customFormat="1" x14ac:dyDescent="0.3">
      <c r="B886" s="86"/>
      <c r="C886" s="86"/>
      <c r="D886" s="86"/>
      <c r="E886" s="638"/>
      <c r="F886" s="639"/>
      <c r="G886" s="1110"/>
      <c r="H886" s="745"/>
      <c r="I886" s="746"/>
      <c r="J886" s="638"/>
      <c r="K886" s="746"/>
      <c r="L886" s="637"/>
      <c r="M886" s="818"/>
      <c r="N886" s="818"/>
      <c r="O886" s="638"/>
    </row>
    <row r="887" spans="2:15" s="481" customFormat="1" x14ac:dyDescent="0.3">
      <c r="B887" s="86"/>
      <c r="C887" s="86"/>
      <c r="D887" s="86"/>
      <c r="E887" s="638"/>
      <c r="F887" s="639"/>
      <c r="G887" s="1110"/>
      <c r="H887" s="745"/>
      <c r="I887" s="746"/>
      <c r="J887" s="638"/>
      <c r="K887" s="746"/>
      <c r="L887" s="637"/>
      <c r="M887" s="818"/>
      <c r="N887" s="818"/>
      <c r="O887" s="638"/>
    </row>
    <row r="888" spans="2:15" s="481" customFormat="1" x14ac:dyDescent="0.3">
      <c r="B888" s="86"/>
      <c r="C888" s="86"/>
      <c r="D888" s="86"/>
      <c r="E888" s="638"/>
      <c r="F888" s="639"/>
      <c r="G888" s="1110"/>
      <c r="H888" s="745"/>
      <c r="I888" s="746"/>
      <c r="J888" s="638"/>
      <c r="K888" s="746"/>
      <c r="L888" s="637"/>
      <c r="M888" s="818"/>
      <c r="N888" s="818"/>
      <c r="O888" s="638"/>
    </row>
    <row r="889" spans="2:15" s="481" customFormat="1" x14ac:dyDescent="0.3">
      <c r="B889" s="86"/>
      <c r="C889" s="86"/>
      <c r="D889" s="86"/>
      <c r="E889" s="638"/>
      <c r="F889" s="639"/>
      <c r="G889" s="1110"/>
      <c r="H889" s="745"/>
      <c r="I889" s="746"/>
      <c r="J889" s="638"/>
      <c r="K889" s="746"/>
      <c r="L889" s="637"/>
      <c r="M889" s="818"/>
      <c r="N889" s="818"/>
      <c r="O889" s="638"/>
    </row>
    <row r="890" spans="2:15" s="481" customFormat="1" x14ac:dyDescent="0.3">
      <c r="B890" s="86"/>
      <c r="C890" s="86"/>
      <c r="D890" s="86"/>
      <c r="E890" s="638"/>
      <c r="F890" s="639"/>
      <c r="G890" s="1110"/>
      <c r="H890" s="745"/>
      <c r="I890" s="746"/>
      <c r="J890" s="638"/>
      <c r="K890" s="746"/>
      <c r="L890" s="637"/>
      <c r="M890" s="818"/>
      <c r="N890" s="818"/>
      <c r="O890" s="638"/>
    </row>
    <row r="891" spans="2:15" s="481" customFormat="1" x14ac:dyDescent="0.3">
      <c r="B891" s="86"/>
      <c r="C891" s="86"/>
      <c r="D891" s="86"/>
      <c r="E891" s="638"/>
      <c r="F891" s="639"/>
      <c r="G891" s="1110"/>
      <c r="H891" s="745"/>
      <c r="I891" s="746"/>
      <c r="J891" s="638"/>
      <c r="K891" s="746"/>
      <c r="L891" s="637"/>
      <c r="M891" s="818"/>
      <c r="N891" s="818"/>
      <c r="O891" s="638"/>
    </row>
    <row r="892" spans="2:15" s="481" customFormat="1" x14ac:dyDescent="0.3">
      <c r="B892" s="86"/>
      <c r="C892" s="86"/>
      <c r="D892" s="86"/>
      <c r="E892" s="638"/>
      <c r="F892" s="639"/>
      <c r="G892" s="1110"/>
      <c r="H892" s="745"/>
      <c r="I892" s="746"/>
      <c r="J892" s="638"/>
      <c r="K892" s="746"/>
      <c r="L892" s="637"/>
      <c r="M892" s="818"/>
      <c r="N892" s="818"/>
      <c r="O892" s="638"/>
    </row>
    <row r="893" spans="2:15" s="481" customFormat="1" x14ac:dyDescent="0.3">
      <c r="B893" s="86"/>
      <c r="C893" s="86"/>
      <c r="D893" s="86"/>
      <c r="E893" s="638"/>
      <c r="F893" s="639"/>
      <c r="G893" s="1110"/>
      <c r="H893" s="745"/>
      <c r="I893" s="746"/>
      <c r="J893" s="638"/>
      <c r="K893" s="746"/>
      <c r="L893" s="637"/>
      <c r="M893" s="818"/>
      <c r="N893" s="818"/>
      <c r="O893" s="638"/>
    </row>
    <row r="894" spans="2:15" s="481" customFormat="1" x14ac:dyDescent="0.3">
      <c r="B894" s="86"/>
      <c r="C894" s="86"/>
      <c r="D894" s="86"/>
      <c r="E894" s="638"/>
      <c r="F894" s="639"/>
      <c r="G894" s="1110"/>
      <c r="H894" s="745"/>
      <c r="I894" s="746"/>
      <c r="J894" s="638"/>
      <c r="K894" s="746"/>
      <c r="L894" s="637"/>
      <c r="M894" s="818"/>
      <c r="N894" s="818"/>
      <c r="O894" s="638"/>
    </row>
    <row r="895" spans="2:15" s="481" customFormat="1" x14ac:dyDescent="0.3">
      <c r="B895" s="86"/>
      <c r="C895" s="86"/>
      <c r="D895" s="86"/>
      <c r="E895" s="638"/>
      <c r="F895" s="639"/>
      <c r="G895" s="1110"/>
      <c r="H895" s="745"/>
      <c r="I895" s="746"/>
      <c r="J895" s="638"/>
      <c r="K895" s="746"/>
      <c r="L895" s="637"/>
      <c r="M895" s="818"/>
      <c r="N895" s="818"/>
      <c r="O895" s="638"/>
    </row>
    <row r="896" spans="2:15" s="481" customFormat="1" x14ac:dyDescent="0.3">
      <c r="B896" s="86"/>
      <c r="C896" s="86"/>
      <c r="D896" s="86"/>
      <c r="E896" s="638"/>
      <c r="F896" s="639"/>
      <c r="G896" s="1110"/>
      <c r="H896" s="745"/>
      <c r="I896" s="746"/>
      <c r="J896" s="638"/>
      <c r="K896" s="746"/>
      <c r="L896" s="637"/>
      <c r="M896" s="818"/>
      <c r="N896" s="818"/>
      <c r="O896" s="638"/>
    </row>
    <row r="897" spans="2:15" s="481" customFormat="1" x14ac:dyDescent="0.3">
      <c r="B897" s="86"/>
      <c r="C897" s="86"/>
      <c r="D897" s="86"/>
      <c r="E897" s="638"/>
      <c r="F897" s="639"/>
      <c r="G897" s="1110"/>
      <c r="H897" s="745"/>
      <c r="I897" s="746"/>
      <c r="J897" s="638"/>
      <c r="K897" s="746"/>
      <c r="L897" s="637"/>
      <c r="M897" s="818"/>
      <c r="N897" s="818"/>
      <c r="O897" s="638"/>
    </row>
    <row r="898" spans="2:15" s="481" customFormat="1" x14ac:dyDescent="0.3">
      <c r="B898" s="86"/>
      <c r="C898" s="86"/>
      <c r="D898" s="86"/>
      <c r="E898" s="638"/>
      <c r="F898" s="639"/>
      <c r="G898" s="1110"/>
      <c r="H898" s="745"/>
      <c r="I898" s="746"/>
      <c r="J898" s="638"/>
      <c r="K898" s="746"/>
      <c r="L898" s="637"/>
      <c r="M898" s="818"/>
      <c r="N898" s="818"/>
      <c r="O898" s="638"/>
    </row>
    <row r="899" spans="2:15" s="481" customFormat="1" x14ac:dyDescent="0.3">
      <c r="B899" s="86"/>
      <c r="C899" s="86"/>
      <c r="D899" s="86"/>
      <c r="E899" s="638"/>
      <c r="F899" s="639"/>
      <c r="G899" s="1110"/>
      <c r="H899" s="745"/>
      <c r="I899" s="746"/>
      <c r="J899" s="638"/>
      <c r="K899" s="746"/>
      <c r="L899" s="637"/>
      <c r="M899" s="818"/>
      <c r="N899" s="818"/>
      <c r="O899" s="638"/>
    </row>
    <row r="900" spans="2:15" s="481" customFormat="1" x14ac:dyDescent="0.3">
      <c r="B900" s="86"/>
      <c r="C900" s="86"/>
      <c r="D900" s="86"/>
      <c r="E900" s="638"/>
      <c r="F900" s="639"/>
      <c r="G900" s="1110"/>
      <c r="H900" s="745"/>
      <c r="I900" s="746"/>
      <c r="J900" s="638"/>
      <c r="K900" s="746"/>
      <c r="L900" s="637"/>
      <c r="M900" s="818"/>
      <c r="N900" s="818"/>
      <c r="O900" s="638"/>
    </row>
    <row r="901" spans="2:15" s="481" customFormat="1" x14ac:dyDescent="0.3">
      <c r="B901" s="86"/>
      <c r="C901" s="86"/>
      <c r="D901" s="86"/>
      <c r="E901" s="638"/>
      <c r="F901" s="639"/>
      <c r="G901" s="1110"/>
      <c r="H901" s="745"/>
      <c r="I901" s="746"/>
      <c r="J901" s="638"/>
      <c r="K901" s="746"/>
      <c r="L901" s="637"/>
      <c r="M901" s="818"/>
      <c r="N901" s="818"/>
      <c r="O901" s="638"/>
    </row>
    <row r="902" spans="2:15" s="481" customFormat="1" x14ac:dyDescent="0.3">
      <c r="B902" s="86"/>
      <c r="C902" s="86"/>
      <c r="D902" s="86"/>
      <c r="E902" s="638"/>
      <c r="F902" s="639"/>
      <c r="G902" s="1110"/>
      <c r="H902" s="745"/>
      <c r="I902" s="746"/>
      <c r="J902" s="638"/>
      <c r="K902" s="746"/>
      <c r="L902" s="637"/>
      <c r="M902" s="818"/>
      <c r="N902" s="818"/>
      <c r="O902" s="638"/>
    </row>
    <row r="903" spans="2:15" s="481" customFormat="1" x14ac:dyDescent="0.3">
      <c r="B903" s="86"/>
      <c r="C903" s="86"/>
      <c r="D903" s="86"/>
      <c r="E903" s="638"/>
      <c r="F903" s="639"/>
      <c r="G903" s="1110"/>
      <c r="H903" s="745"/>
      <c r="I903" s="746"/>
      <c r="J903" s="638"/>
      <c r="K903" s="746"/>
      <c r="L903" s="637"/>
      <c r="M903" s="818"/>
      <c r="N903" s="818"/>
      <c r="O903" s="638"/>
    </row>
    <row r="904" spans="2:15" s="481" customFormat="1" x14ac:dyDescent="0.3">
      <c r="B904" s="86"/>
      <c r="C904" s="86"/>
      <c r="D904" s="86"/>
      <c r="E904" s="638"/>
      <c r="F904" s="639"/>
      <c r="G904" s="1110"/>
      <c r="H904" s="745"/>
      <c r="I904" s="746"/>
      <c r="J904" s="638"/>
      <c r="K904" s="746"/>
      <c r="L904" s="637"/>
      <c r="M904" s="818"/>
      <c r="N904" s="818"/>
      <c r="O904" s="638"/>
    </row>
    <row r="905" spans="2:15" s="481" customFormat="1" x14ac:dyDescent="0.3">
      <c r="B905" s="86"/>
      <c r="C905" s="86"/>
      <c r="D905" s="86"/>
      <c r="E905" s="638"/>
      <c r="F905" s="639"/>
      <c r="G905" s="1110"/>
      <c r="H905" s="745"/>
      <c r="I905" s="746"/>
      <c r="J905" s="638"/>
      <c r="K905" s="746"/>
      <c r="L905" s="637"/>
      <c r="M905" s="818"/>
      <c r="N905" s="818"/>
      <c r="O905" s="638"/>
    </row>
    <row r="906" spans="2:15" s="481" customFormat="1" x14ac:dyDescent="0.3">
      <c r="B906" s="86"/>
      <c r="C906" s="86"/>
      <c r="D906" s="86"/>
      <c r="E906" s="638"/>
      <c r="F906" s="639"/>
      <c r="G906" s="1110"/>
      <c r="H906" s="745"/>
      <c r="I906" s="746"/>
      <c r="J906" s="638"/>
      <c r="K906" s="746"/>
      <c r="L906" s="637"/>
      <c r="M906" s="818"/>
      <c r="N906" s="818"/>
      <c r="O906" s="638"/>
    </row>
    <row r="907" spans="2:15" s="481" customFormat="1" x14ac:dyDescent="0.3">
      <c r="B907" s="86"/>
      <c r="C907" s="86"/>
      <c r="D907" s="86"/>
      <c r="E907" s="638"/>
      <c r="F907" s="639"/>
      <c r="G907" s="1110"/>
      <c r="H907" s="745"/>
      <c r="I907" s="746"/>
      <c r="J907" s="638"/>
      <c r="K907" s="746"/>
      <c r="L907" s="637"/>
      <c r="M907" s="818"/>
      <c r="N907" s="818"/>
      <c r="O907" s="638"/>
    </row>
    <row r="908" spans="2:15" s="481" customFormat="1" x14ac:dyDescent="0.3">
      <c r="B908" s="86"/>
      <c r="C908" s="86"/>
      <c r="D908" s="86"/>
      <c r="E908" s="638"/>
      <c r="F908" s="639"/>
      <c r="G908" s="1110"/>
      <c r="H908" s="745"/>
      <c r="I908" s="746"/>
      <c r="J908" s="638"/>
      <c r="K908" s="746"/>
      <c r="L908" s="637"/>
      <c r="M908" s="818"/>
      <c r="N908" s="818"/>
      <c r="O908" s="638"/>
    </row>
    <row r="909" spans="2:15" s="481" customFormat="1" x14ac:dyDescent="0.3">
      <c r="B909" s="86"/>
      <c r="C909" s="86"/>
      <c r="D909" s="86"/>
      <c r="E909" s="638"/>
      <c r="F909" s="639"/>
      <c r="G909" s="1110"/>
      <c r="H909" s="745"/>
      <c r="I909" s="746"/>
      <c r="J909" s="638"/>
      <c r="K909" s="746"/>
      <c r="L909" s="637"/>
      <c r="M909" s="818"/>
      <c r="N909" s="818"/>
      <c r="O909" s="638"/>
    </row>
    <row r="910" spans="2:15" s="481" customFormat="1" x14ac:dyDescent="0.3">
      <c r="B910" s="86"/>
      <c r="C910" s="86"/>
      <c r="D910" s="86"/>
      <c r="E910" s="638"/>
      <c r="F910" s="639"/>
      <c r="G910" s="1110"/>
      <c r="H910" s="745"/>
      <c r="I910" s="746"/>
      <c r="J910" s="638"/>
      <c r="K910" s="746"/>
      <c r="L910" s="637"/>
      <c r="M910" s="818"/>
      <c r="N910" s="818"/>
      <c r="O910" s="638"/>
    </row>
    <row r="911" spans="2:15" s="481" customFormat="1" x14ac:dyDescent="0.3">
      <c r="B911" s="86"/>
      <c r="C911" s="86"/>
      <c r="D911" s="86"/>
      <c r="E911" s="638"/>
      <c r="F911" s="639"/>
      <c r="G911" s="1110"/>
      <c r="H911" s="745"/>
      <c r="I911" s="746"/>
      <c r="J911" s="638"/>
      <c r="K911" s="746"/>
      <c r="L911" s="637"/>
      <c r="M911" s="818"/>
      <c r="N911" s="818"/>
      <c r="O911" s="638"/>
    </row>
    <row r="912" spans="2:15" s="481" customFormat="1" x14ac:dyDescent="0.3">
      <c r="B912" s="86"/>
      <c r="C912" s="86"/>
      <c r="D912" s="86"/>
      <c r="E912" s="638"/>
      <c r="F912" s="639"/>
      <c r="G912" s="1110"/>
      <c r="H912" s="745"/>
      <c r="I912" s="746"/>
      <c r="J912" s="638"/>
      <c r="K912" s="746"/>
      <c r="L912" s="637"/>
      <c r="M912" s="818"/>
      <c r="N912" s="818"/>
      <c r="O912" s="638"/>
    </row>
    <row r="913" spans="2:15" s="481" customFormat="1" x14ac:dyDescent="0.3">
      <c r="B913" s="86"/>
      <c r="C913" s="86"/>
      <c r="D913" s="86"/>
      <c r="E913" s="638"/>
      <c r="F913" s="639"/>
      <c r="G913" s="1110"/>
      <c r="H913" s="745"/>
      <c r="I913" s="746"/>
      <c r="J913" s="638"/>
      <c r="K913" s="746"/>
      <c r="L913" s="637"/>
      <c r="M913" s="818"/>
      <c r="N913" s="818"/>
      <c r="O913" s="638"/>
    </row>
    <row r="914" spans="2:15" s="481" customFormat="1" x14ac:dyDescent="0.3">
      <c r="B914" s="86"/>
      <c r="C914" s="86"/>
      <c r="D914" s="86"/>
      <c r="E914" s="638"/>
      <c r="F914" s="639"/>
      <c r="G914" s="1110"/>
      <c r="H914" s="745"/>
      <c r="I914" s="746"/>
      <c r="J914" s="638"/>
      <c r="K914" s="746"/>
      <c r="L914" s="637"/>
      <c r="M914" s="818"/>
      <c r="N914" s="818"/>
      <c r="O914" s="638"/>
    </row>
    <row r="915" spans="2:15" s="481" customFormat="1" x14ac:dyDescent="0.3">
      <c r="B915" s="86"/>
      <c r="C915" s="86"/>
      <c r="D915" s="86"/>
      <c r="E915" s="638"/>
      <c r="F915" s="639"/>
      <c r="G915" s="1110"/>
      <c r="H915" s="745"/>
      <c r="I915" s="746"/>
      <c r="J915" s="638"/>
      <c r="K915" s="746"/>
      <c r="L915" s="637"/>
      <c r="M915" s="818"/>
      <c r="N915" s="818"/>
      <c r="O915" s="638"/>
    </row>
    <row r="916" spans="2:15" s="481" customFormat="1" x14ac:dyDescent="0.3">
      <c r="B916" s="86"/>
      <c r="C916" s="86"/>
      <c r="D916" s="86"/>
      <c r="E916" s="638"/>
      <c r="F916" s="639"/>
      <c r="G916" s="1110"/>
      <c r="H916" s="745"/>
      <c r="I916" s="746"/>
      <c r="J916" s="638"/>
      <c r="K916" s="746"/>
      <c r="L916" s="637"/>
      <c r="M916" s="818"/>
      <c r="N916" s="818"/>
      <c r="O916" s="638"/>
    </row>
    <row r="917" spans="2:15" s="481" customFormat="1" x14ac:dyDescent="0.3">
      <c r="B917" s="86"/>
      <c r="C917" s="86"/>
      <c r="D917" s="86"/>
      <c r="E917" s="638"/>
      <c r="F917" s="639"/>
      <c r="G917" s="1110"/>
      <c r="H917" s="745"/>
      <c r="I917" s="746"/>
      <c r="J917" s="638"/>
      <c r="K917" s="746"/>
      <c r="L917" s="637"/>
      <c r="M917" s="818"/>
      <c r="N917" s="818"/>
      <c r="O917" s="638"/>
    </row>
    <row r="918" spans="2:15" s="481" customFormat="1" x14ac:dyDescent="0.3">
      <c r="B918" s="86"/>
      <c r="C918" s="86"/>
      <c r="D918" s="86"/>
      <c r="E918" s="638"/>
      <c r="F918" s="639"/>
      <c r="G918" s="1110"/>
      <c r="H918" s="745"/>
      <c r="I918" s="746"/>
      <c r="J918" s="638"/>
      <c r="K918" s="746"/>
      <c r="L918" s="637"/>
      <c r="M918" s="818"/>
      <c r="N918" s="818"/>
      <c r="O918" s="638"/>
    </row>
    <row r="919" spans="2:15" s="481" customFormat="1" x14ac:dyDescent="0.3">
      <c r="B919" s="86"/>
      <c r="C919" s="86"/>
      <c r="D919" s="86"/>
      <c r="E919" s="638"/>
      <c r="F919" s="639"/>
      <c r="G919" s="1110"/>
      <c r="H919" s="745"/>
      <c r="I919" s="746"/>
      <c r="J919" s="638"/>
      <c r="K919" s="746"/>
      <c r="L919" s="637"/>
      <c r="M919" s="818"/>
      <c r="N919" s="818"/>
      <c r="O919" s="638"/>
    </row>
    <row r="920" spans="2:15" s="481" customFormat="1" x14ac:dyDescent="0.3">
      <c r="B920" s="86"/>
      <c r="C920" s="86"/>
      <c r="D920" s="86"/>
      <c r="E920" s="638"/>
      <c r="F920" s="639"/>
      <c r="G920" s="1110"/>
      <c r="H920" s="745"/>
      <c r="I920" s="746"/>
      <c r="J920" s="638"/>
      <c r="K920" s="746"/>
      <c r="L920" s="637"/>
      <c r="M920" s="818"/>
      <c r="N920" s="818"/>
      <c r="O920" s="638"/>
    </row>
    <row r="921" spans="2:15" s="481" customFormat="1" x14ac:dyDescent="0.3">
      <c r="B921" s="86"/>
      <c r="C921" s="86"/>
      <c r="D921" s="86"/>
      <c r="E921" s="638"/>
      <c r="F921" s="639"/>
      <c r="G921" s="1110"/>
      <c r="H921" s="745"/>
      <c r="I921" s="746"/>
      <c r="J921" s="638"/>
      <c r="K921" s="746"/>
      <c r="L921" s="637"/>
      <c r="M921" s="818"/>
      <c r="N921" s="818"/>
      <c r="O921" s="638"/>
    </row>
    <row r="922" spans="2:15" s="481" customFormat="1" x14ac:dyDescent="0.3">
      <c r="B922" s="86"/>
      <c r="C922" s="86"/>
      <c r="D922" s="86"/>
      <c r="E922" s="638"/>
      <c r="F922" s="639"/>
      <c r="G922" s="1110"/>
      <c r="H922" s="745"/>
      <c r="I922" s="746"/>
      <c r="J922" s="638"/>
      <c r="K922" s="746"/>
      <c r="L922" s="637"/>
      <c r="M922" s="818"/>
      <c r="N922" s="818"/>
      <c r="O922" s="638"/>
    </row>
    <row r="923" spans="2:15" s="481" customFormat="1" x14ac:dyDescent="0.3">
      <c r="B923" s="86"/>
      <c r="C923" s="86"/>
      <c r="D923" s="86"/>
      <c r="E923" s="638"/>
      <c r="F923" s="639"/>
      <c r="G923" s="1110"/>
      <c r="H923" s="745"/>
      <c r="I923" s="746"/>
      <c r="J923" s="638"/>
      <c r="K923" s="746"/>
      <c r="L923" s="637"/>
      <c r="M923" s="818"/>
      <c r="N923" s="818"/>
      <c r="O923" s="638"/>
    </row>
    <row r="924" spans="2:15" s="481" customFormat="1" x14ac:dyDescent="0.3">
      <c r="B924" s="86"/>
      <c r="C924" s="86"/>
      <c r="D924" s="86"/>
      <c r="E924" s="638"/>
      <c r="F924" s="639"/>
      <c r="G924" s="1110"/>
      <c r="H924" s="745"/>
      <c r="I924" s="746"/>
      <c r="J924" s="638"/>
      <c r="K924" s="746"/>
      <c r="L924" s="637"/>
      <c r="M924" s="818"/>
      <c r="N924" s="818"/>
      <c r="O924" s="638"/>
    </row>
    <row r="925" spans="2:15" s="481" customFormat="1" x14ac:dyDescent="0.3">
      <c r="B925" s="86"/>
      <c r="C925" s="86"/>
      <c r="D925" s="86"/>
      <c r="E925" s="638"/>
      <c r="F925" s="639"/>
      <c r="G925" s="1110"/>
      <c r="H925" s="745"/>
      <c r="I925" s="746"/>
      <c r="J925" s="638"/>
      <c r="K925" s="746"/>
      <c r="L925" s="637"/>
      <c r="M925" s="818"/>
      <c r="N925" s="818"/>
      <c r="O925" s="638"/>
    </row>
    <row r="926" spans="2:15" s="481" customFormat="1" x14ac:dyDescent="0.3">
      <c r="B926" s="86"/>
      <c r="C926" s="86"/>
      <c r="D926" s="86"/>
      <c r="E926" s="638"/>
      <c r="F926" s="639"/>
      <c r="G926" s="1110"/>
      <c r="H926" s="745"/>
      <c r="I926" s="746"/>
      <c r="J926" s="638"/>
      <c r="K926" s="746"/>
      <c r="L926" s="637"/>
      <c r="M926" s="818"/>
      <c r="N926" s="818"/>
      <c r="O926" s="638"/>
    </row>
    <row r="927" spans="2:15" s="481" customFormat="1" x14ac:dyDescent="0.3">
      <c r="B927" s="86"/>
      <c r="C927" s="86"/>
      <c r="D927" s="86"/>
      <c r="E927" s="638"/>
      <c r="F927" s="639"/>
      <c r="G927" s="1110"/>
      <c r="H927" s="745"/>
      <c r="I927" s="746"/>
      <c r="J927" s="638"/>
      <c r="K927" s="746"/>
      <c r="L927" s="637"/>
      <c r="M927" s="818"/>
      <c r="N927" s="818"/>
      <c r="O927" s="638"/>
    </row>
    <row r="928" spans="2:15" s="481" customFormat="1" x14ac:dyDescent="0.3">
      <c r="B928" s="86"/>
      <c r="C928" s="86"/>
      <c r="D928" s="86"/>
      <c r="E928" s="638"/>
      <c r="F928" s="639"/>
      <c r="G928" s="1110"/>
      <c r="H928" s="745"/>
      <c r="I928" s="746"/>
      <c r="J928" s="638"/>
      <c r="K928" s="746"/>
      <c r="L928" s="637"/>
      <c r="M928" s="818"/>
      <c r="N928" s="818"/>
      <c r="O928" s="638"/>
    </row>
    <row r="929" spans="2:15" s="481" customFormat="1" x14ac:dyDescent="0.3">
      <c r="B929" s="86"/>
      <c r="C929" s="86"/>
      <c r="D929" s="86"/>
      <c r="E929" s="638"/>
      <c r="F929" s="639"/>
      <c r="G929" s="1110"/>
      <c r="H929" s="745"/>
      <c r="I929" s="746"/>
      <c r="J929" s="638"/>
      <c r="K929" s="746"/>
      <c r="L929" s="637"/>
      <c r="M929" s="818"/>
      <c r="N929" s="818"/>
      <c r="O929" s="638"/>
    </row>
    <row r="930" spans="2:15" s="481" customFormat="1" x14ac:dyDescent="0.3">
      <c r="B930" s="86"/>
      <c r="C930" s="86"/>
      <c r="D930" s="86"/>
      <c r="E930" s="638"/>
      <c r="F930" s="639"/>
      <c r="G930" s="640"/>
      <c r="H930" s="745"/>
      <c r="I930" s="746"/>
      <c r="J930" s="638"/>
      <c r="K930" s="746"/>
      <c r="L930" s="637"/>
      <c r="M930" s="818"/>
      <c r="N930" s="818"/>
      <c r="O930" s="638"/>
    </row>
    <row r="931" spans="2:15" s="481" customFormat="1" x14ac:dyDescent="0.3">
      <c r="B931" s="86"/>
      <c r="C931" s="86"/>
      <c r="D931" s="86"/>
      <c r="E931" s="638"/>
      <c r="F931" s="639"/>
      <c r="G931" s="640"/>
      <c r="H931" s="745"/>
      <c r="I931" s="746"/>
      <c r="J931" s="638"/>
      <c r="K931" s="746"/>
      <c r="L931" s="637"/>
      <c r="M931" s="818"/>
      <c r="N931" s="818"/>
      <c r="O931" s="638"/>
    </row>
    <row r="932" spans="2:15" s="481" customFormat="1" x14ac:dyDescent="0.3">
      <c r="B932" s="86"/>
      <c r="C932" s="86"/>
      <c r="D932" s="86"/>
      <c r="E932" s="638"/>
      <c r="F932" s="639"/>
      <c r="G932" s="640"/>
      <c r="H932" s="745"/>
      <c r="I932" s="746"/>
      <c r="J932" s="638"/>
      <c r="K932" s="746"/>
      <c r="L932" s="637"/>
      <c r="M932" s="818"/>
      <c r="N932" s="818"/>
      <c r="O932" s="638"/>
    </row>
    <row r="933" spans="2:15" s="481" customFormat="1" x14ac:dyDescent="0.3">
      <c r="B933" s="86"/>
      <c r="C933" s="86"/>
      <c r="D933" s="86"/>
      <c r="E933" s="638"/>
      <c r="F933" s="639"/>
      <c r="G933" s="640"/>
      <c r="H933" s="745"/>
      <c r="I933" s="746"/>
      <c r="J933" s="638"/>
      <c r="K933" s="746"/>
      <c r="L933" s="637"/>
      <c r="M933" s="818"/>
      <c r="N933" s="818"/>
      <c r="O933" s="638"/>
    </row>
    <row r="934" spans="2:15" s="481" customFormat="1" x14ac:dyDescent="0.3">
      <c r="B934" s="86"/>
      <c r="C934" s="86"/>
      <c r="D934" s="86"/>
      <c r="E934" s="638"/>
      <c r="F934" s="639"/>
      <c r="G934" s="640"/>
      <c r="H934" s="745"/>
      <c r="I934" s="746"/>
      <c r="J934" s="638"/>
      <c r="K934" s="746"/>
      <c r="L934" s="637"/>
      <c r="M934" s="818"/>
      <c r="N934" s="818"/>
      <c r="O934" s="638"/>
    </row>
    <row r="935" spans="2:15" s="481" customFormat="1" x14ac:dyDescent="0.3">
      <c r="B935" s="86"/>
      <c r="C935" s="86"/>
      <c r="D935" s="86"/>
      <c r="E935" s="638"/>
      <c r="F935" s="639"/>
      <c r="G935" s="640"/>
      <c r="H935" s="745"/>
      <c r="I935" s="746"/>
      <c r="J935" s="638"/>
      <c r="K935" s="746"/>
      <c r="L935" s="637"/>
      <c r="M935" s="818"/>
      <c r="N935" s="818"/>
      <c r="O935" s="638"/>
    </row>
    <row r="936" spans="2:15" s="481" customFormat="1" x14ac:dyDescent="0.3">
      <c r="B936" s="86"/>
      <c r="C936" s="86"/>
      <c r="D936" s="86"/>
      <c r="E936" s="638"/>
      <c r="F936" s="639"/>
      <c r="G936" s="640"/>
      <c r="H936" s="745"/>
      <c r="I936" s="746"/>
      <c r="J936" s="638"/>
      <c r="K936" s="746"/>
      <c r="L936" s="637"/>
      <c r="M936" s="818"/>
      <c r="N936" s="818"/>
      <c r="O936" s="638"/>
    </row>
    <row r="937" spans="2:15" s="481" customFormat="1" x14ac:dyDescent="0.3">
      <c r="B937" s="86"/>
      <c r="C937" s="86"/>
      <c r="D937" s="86"/>
      <c r="E937" s="638"/>
      <c r="F937" s="639"/>
      <c r="G937" s="640"/>
      <c r="H937" s="745"/>
      <c r="I937" s="746"/>
      <c r="J937" s="638"/>
      <c r="K937" s="746"/>
      <c r="L937" s="637"/>
      <c r="M937" s="818"/>
      <c r="N937" s="818"/>
      <c r="O937" s="638"/>
    </row>
    <row r="938" spans="2:15" s="481" customFormat="1" x14ac:dyDescent="0.3">
      <c r="B938" s="86"/>
      <c r="C938" s="86"/>
      <c r="D938" s="86"/>
      <c r="E938" s="638"/>
      <c r="F938" s="639"/>
      <c r="G938" s="640"/>
      <c r="H938" s="745"/>
      <c r="I938" s="746"/>
      <c r="J938" s="638"/>
      <c r="K938" s="746"/>
      <c r="L938" s="637"/>
      <c r="M938" s="818"/>
      <c r="N938" s="818"/>
      <c r="O938" s="638"/>
    </row>
    <row r="939" spans="2:15" s="481" customFormat="1" x14ac:dyDescent="0.3">
      <c r="B939" s="86"/>
      <c r="C939" s="86"/>
      <c r="D939" s="86"/>
      <c r="E939" s="638"/>
      <c r="F939" s="639"/>
      <c r="G939" s="640"/>
      <c r="H939" s="745"/>
      <c r="I939" s="746"/>
      <c r="J939" s="638"/>
      <c r="K939" s="746"/>
      <c r="L939" s="637"/>
      <c r="M939" s="818"/>
      <c r="N939" s="818"/>
      <c r="O939" s="638"/>
    </row>
    <row r="940" spans="2:15" s="481" customFormat="1" x14ac:dyDescent="0.3">
      <c r="B940" s="86"/>
      <c r="C940" s="86"/>
      <c r="D940" s="86"/>
      <c r="E940" s="638"/>
      <c r="F940" s="639"/>
      <c r="G940" s="640"/>
      <c r="H940" s="745"/>
      <c r="I940" s="746"/>
      <c r="J940" s="638"/>
      <c r="K940" s="746"/>
      <c r="L940" s="637"/>
      <c r="M940" s="818"/>
      <c r="N940" s="818"/>
      <c r="O940" s="638"/>
    </row>
    <row r="941" spans="2:15" s="481" customFormat="1" x14ac:dyDescent="0.3">
      <c r="B941" s="86"/>
      <c r="C941" s="86"/>
      <c r="D941" s="86"/>
      <c r="E941" s="638"/>
      <c r="F941" s="639"/>
      <c r="G941" s="640"/>
      <c r="H941" s="745"/>
      <c r="I941" s="746"/>
      <c r="J941" s="638"/>
      <c r="K941" s="746"/>
      <c r="L941" s="637"/>
      <c r="M941" s="818"/>
      <c r="N941" s="818"/>
      <c r="O941" s="638"/>
    </row>
    <row r="942" spans="2:15" s="481" customFormat="1" x14ac:dyDescent="0.3">
      <c r="B942" s="86"/>
      <c r="C942" s="86"/>
      <c r="D942" s="86"/>
      <c r="E942" s="638"/>
      <c r="F942" s="639"/>
      <c r="G942" s="640"/>
      <c r="H942" s="745"/>
      <c r="I942" s="746"/>
      <c r="J942" s="638"/>
      <c r="K942" s="746"/>
      <c r="L942" s="637"/>
      <c r="M942" s="818"/>
      <c r="N942" s="818"/>
      <c r="O942" s="638"/>
    </row>
    <row r="943" spans="2:15" s="481" customFormat="1" x14ac:dyDescent="0.3">
      <c r="B943" s="86"/>
      <c r="C943" s="86"/>
      <c r="D943" s="86"/>
      <c r="E943" s="638"/>
      <c r="F943" s="639"/>
      <c r="G943" s="640"/>
      <c r="H943" s="745"/>
      <c r="I943" s="746"/>
      <c r="J943" s="638"/>
      <c r="K943" s="746"/>
      <c r="L943" s="637"/>
      <c r="M943" s="818"/>
      <c r="N943" s="818"/>
      <c r="O943" s="638"/>
    </row>
    <row r="944" spans="2:15" s="481" customFormat="1" x14ac:dyDescent="0.3">
      <c r="B944" s="86"/>
      <c r="C944" s="86"/>
      <c r="D944" s="86"/>
      <c r="E944" s="638"/>
      <c r="F944" s="639"/>
      <c r="G944" s="640"/>
      <c r="H944" s="745"/>
      <c r="I944" s="746"/>
      <c r="J944" s="638"/>
      <c r="K944" s="746"/>
      <c r="L944" s="637"/>
      <c r="M944" s="818"/>
      <c r="N944" s="818"/>
      <c r="O944" s="638"/>
    </row>
    <row r="945" spans="2:15" s="481" customFormat="1" x14ac:dyDescent="0.3">
      <c r="B945" s="86"/>
      <c r="C945" s="86"/>
      <c r="D945" s="86"/>
      <c r="E945" s="638"/>
      <c r="F945" s="639"/>
      <c r="G945" s="640"/>
      <c r="H945" s="745"/>
      <c r="I945" s="746"/>
      <c r="J945" s="638"/>
      <c r="K945" s="746"/>
      <c r="L945" s="637"/>
      <c r="M945" s="818"/>
      <c r="N945" s="818"/>
      <c r="O945" s="638"/>
    </row>
    <row r="946" spans="2:15" s="481" customFormat="1" x14ac:dyDescent="0.3">
      <c r="B946" s="86"/>
      <c r="C946" s="86"/>
      <c r="D946" s="86"/>
      <c r="E946" s="638"/>
      <c r="F946" s="639"/>
      <c r="G946" s="640"/>
      <c r="H946" s="745"/>
      <c r="I946" s="746"/>
      <c r="J946" s="638"/>
      <c r="K946" s="746"/>
      <c r="L946" s="637"/>
      <c r="M946" s="818"/>
      <c r="N946" s="818"/>
      <c r="O946" s="638"/>
    </row>
    <row r="947" spans="2:15" s="481" customFormat="1" x14ac:dyDescent="0.3">
      <c r="B947" s="86"/>
      <c r="C947" s="86"/>
      <c r="D947" s="86"/>
      <c r="E947" s="638"/>
      <c r="F947" s="639"/>
      <c r="G947" s="640"/>
      <c r="H947" s="745"/>
      <c r="I947" s="746"/>
      <c r="J947" s="638"/>
      <c r="K947" s="746"/>
      <c r="L947" s="637"/>
      <c r="M947" s="818"/>
      <c r="N947" s="818"/>
      <c r="O947" s="638"/>
    </row>
    <row r="948" spans="2:15" s="481" customFormat="1" x14ac:dyDescent="0.3">
      <c r="B948" s="86"/>
      <c r="C948" s="86"/>
      <c r="D948" s="86"/>
      <c r="E948" s="638"/>
      <c r="F948" s="639"/>
      <c r="G948" s="640"/>
      <c r="H948" s="745"/>
      <c r="I948" s="746"/>
      <c r="J948" s="638"/>
      <c r="K948" s="746"/>
      <c r="L948" s="637"/>
      <c r="M948" s="818"/>
      <c r="N948" s="818"/>
      <c r="O948" s="638"/>
    </row>
    <row r="949" spans="2:15" s="481" customFormat="1" x14ac:dyDescent="0.3">
      <c r="B949" s="86"/>
      <c r="C949" s="86"/>
      <c r="D949" s="86"/>
      <c r="E949" s="638"/>
      <c r="F949" s="639"/>
      <c r="G949" s="640"/>
      <c r="H949" s="745"/>
      <c r="I949" s="746"/>
      <c r="J949" s="638"/>
      <c r="K949" s="746"/>
      <c r="L949" s="637"/>
      <c r="M949" s="818"/>
      <c r="N949" s="818"/>
      <c r="O949" s="638"/>
    </row>
    <row r="950" spans="2:15" s="481" customFormat="1" x14ac:dyDescent="0.3">
      <c r="B950" s="86"/>
      <c r="C950" s="86"/>
      <c r="D950" s="86"/>
      <c r="E950" s="638"/>
      <c r="F950" s="639"/>
      <c r="G950" s="640"/>
      <c r="H950" s="745"/>
      <c r="I950" s="746"/>
      <c r="J950" s="638"/>
      <c r="K950" s="746"/>
      <c r="L950" s="637"/>
      <c r="M950" s="818"/>
      <c r="N950" s="818"/>
      <c r="O950" s="638"/>
    </row>
    <row r="951" spans="2:15" s="481" customFormat="1" x14ac:dyDescent="0.3">
      <c r="B951" s="86"/>
      <c r="C951" s="86"/>
      <c r="D951" s="86"/>
      <c r="E951" s="638"/>
      <c r="F951" s="639"/>
      <c r="G951" s="640"/>
      <c r="H951" s="745"/>
      <c r="I951" s="746"/>
      <c r="J951" s="638"/>
      <c r="K951" s="746"/>
      <c r="L951" s="637"/>
      <c r="M951" s="818"/>
      <c r="N951" s="818"/>
      <c r="O951" s="638"/>
    </row>
    <row r="952" spans="2:15" s="481" customFormat="1" x14ac:dyDescent="0.3">
      <c r="B952" s="86"/>
      <c r="C952" s="86"/>
      <c r="D952" s="86"/>
      <c r="E952" s="638"/>
      <c r="F952" s="639"/>
      <c r="G952" s="640"/>
      <c r="H952" s="745"/>
      <c r="I952" s="746"/>
      <c r="J952" s="638"/>
      <c r="K952" s="746"/>
      <c r="L952" s="637"/>
      <c r="M952" s="818"/>
      <c r="N952" s="818"/>
      <c r="O952" s="638"/>
    </row>
    <row r="953" spans="2:15" s="481" customFormat="1" x14ac:dyDescent="0.3">
      <c r="B953" s="86"/>
      <c r="C953" s="86"/>
      <c r="D953" s="86"/>
      <c r="E953" s="638"/>
      <c r="F953" s="639"/>
      <c r="G953" s="640"/>
      <c r="H953" s="745"/>
      <c r="I953" s="746"/>
      <c r="J953" s="638"/>
      <c r="K953" s="746"/>
      <c r="L953" s="637"/>
      <c r="M953" s="818"/>
      <c r="N953" s="818"/>
      <c r="O953" s="638"/>
    </row>
    <row r="954" spans="2:15" s="481" customFormat="1" x14ac:dyDescent="0.3">
      <c r="B954" s="86"/>
      <c r="C954" s="86"/>
      <c r="D954" s="86"/>
      <c r="E954" s="638"/>
      <c r="F954" s="639"/>
      <c r="G954" s="640"/>
      <c r="H954" s="745"/>
      <c r="I954" s="746"/>
      <c r="J954" s="638"/>
      <c r="K954" s="746"/>
      <c r="L954" s="637"/>
      <c r="M954" s="818"/>
      <c r="N954" s="818"/>
      <c r="O954" s="638"/>
    </row>
    <row r="955" spans="2:15" s="481" customFormat="1" x14ac:dyDescent="0.3">
      <c r="B955" s="86"/>
      <c r="C955" s="86"/>
      <c r="D955" s="86"/>
      <c r="E955" s="638"/>
      <c r="F955" s="639"/>
      <c r="G955" s="640"/>
      <c r="H955" s="745"/>
      <c r="I955" s="746"/>
      <c r="J955" s="638"/>
      <c r="K955" s="746"/>
      <c r="L955" s="637"/>
      <c r="M955" s="818"/>
      <c r="N955" s="818"/>
      <c r="O955" s="638"/>
    </row>
    <row r="956" spans="2:15" s="481" customFormat="1" x14ac:dyDescent="0.3">
      <c r="B956" s="86"/>
      <c r="C956" s="86"/>
      <c r="D956" s="86"/>
      <c r="E956" s="638"/>
      <c r="F956" s="639"/>
      <c r="G956" s="640"/>
      <c r="H956" s="745"/>
      <c r="I956" s="746"/>
      <c r="J956" s="638"/>
      <c r="K956" s="746"/>
      <c r="L956" s="637"/>
      <c r="M956" s="818"/>
      <c r="N956" s="818"/>
      <c r="O956" s="638"/>
    </row>
    <row r="957" spans="2:15" s="481" customFormat="1" x14ac:dyDescent="0.3">
      <c r="B957" s="86"/>
      <c r="C957" s="86"/>
      <c r="D957" s="86"/>
      <c r="E957" s="638"/>
      <c r="F957" s="639"/>
      <c r="G957" s="640"/>
      <c r="H957" s="745"/>
      <c r="I957" s="746"/>
      <c r="J957" s="638"/>
      <c r="K957" s="746"/>
      <c r="L957" s="637"/>
      <c r="M957" s="818"/>
      <c r="N957" s="818"/>
      <c r="O957" s="638"/>
    </row>
    <row r="958" spans="2:15" s="481" customFormat="1" x14ac:dyDescent="0.3">
      <c r="B958" s="86"/>
      <c r="C958" s="86"/>
      <c r="D958" s="86"/>
      <c r="E958" s="638"/>
      <c r="F958" s="639"/>
      <c r="G958" s="640"/>
      <c r="H958" s="745"/>
      <c r="I958" s="746"/>
      <c r="J958" s="638"/>
      <c r="K958" s="746"/>
      <c r="L958" s="637"/>
      <c r="M958" s="818"/>
      <c r="N958" s="818"/>
      <c r="O958" s="638"/>
    </row>
    <row r="959" spans="2:15" s="481" customFormat="1" x14ac:dyDescent="0.3">
      <c r="B959" s="86"/>
      <c r="C959" s="86"/>
      <c r="D959" s="86"/>
      <c r="E959" s="638"/>
      <c r="F959" s="639"/>
      <c r="G959" s="640"/>
      <c r="H959" s="745"/>
      <c r="I959" s="746"/>
      <c r="J959" s="638"/>
      <c r="K959" s="746"/>
      <c r="L959" s="637"/>
      <c r="M959" s="818"/>
      <c r="N959" s="818"/>
      <c r="O959" s="638"/>
    </row>
    <row r="960" spans="2:15" s="481" customFormat="1" x14ac:dyDescent="0.3">
      <c r="B960" s="86"/>
      <c r="C960" s="86"/>
      <c r="D960" s="86"/>
      <c r="E960" s="638"/>
      <c r="F960" s="639"/>
      <c r="G960" s="640"/>
      <c r="H960" s="745"/>
      <c r="I960" s="746"/>
      <c r="J960" s="638"/>
      <c r="K960" s="746"/>
      <c r="L960" s="637"/>
      <c r="M960" s="818"/>
      <c r="N960" s="818"/>
      <c r="O960" s="638"/>
    </row>
    <row r="961" spans="2:15" s="481" customFormat="1" x14ac:dyDescent="0.3">
      <c r="B961" s="86"/>
      <c r="C961" s="86"/>
      <c r="D961" s="86"/>
      <c r="E961" s="638"/>
      <c r="F961" s="639"/>
      <c r="G961" s="640"/>
      <c r="H961" s="745"/>
      <c r="I961" s="746"/>
      <c r="J961" s="638"/>
      <c r="K961" s="746"/>
      <c r="L961" s="637"/>
      <c r="M961" s="818"/>
      <c r="N961" s="818"/>
      <c r="O961" s="638"/>
    </row>
    <row r="962" spans="2:15" s="481" customFormat="1" x14ac:dyDescent="0.3">
      <c r="B962" s="86"/>
      <c r="C962" s="86"/>
      <c r="D962" s="86"/>
      <c r="E962" s="638"/>
      <c r="F962" s="639"/>
      <c r="G962" s="640"/>
      <c r="H962" s="745"/>
      <c r="I962" s="746"/>
      <c r="J962" s="638"/>
      <c r="K962" s="746"/>
      <c r="L962" s="637"/>
      <c r="M962" s="818"/>
      <c r="N962" s="818"/>
      <c r="O962" s="638"/>
    </row>
    <row r="963" spans="2:15" s="481" customFormat="1" x14ac:dyDescent="0.3">
      <c r="B963" s="86"/>
      <c r="C963" s="86"/>
      <c r="D963" s="86"/>
      <c r="E963" s="638"/>
      <c r="F963" s="639"/>
      <c r="G963" s="640"/>
      <c r="H963" s="745"/>
      <c r="I963" s="746"/>
      <c r="J963" s="638"/>
      <c r="K963" s="746"/>
      <c r="L963" s="637"/>
      <c r="M963" s="818"/>
      <c r="N963" s="818"/>
      <c r="O963" s="638"/>
    </row>
    <row r="964" spans="2:15" s="481" customFormat="1" x14ac:dyDescent="0.3">
      <c r="B964" s="86"/>
      <c r="C964" s="86"/>
      <c r="D964" s="86"/>
      <c r="E964" s="638"/>
      <c r="F964" s="639"/>
      <c r="G964" s="640"/>
      <c r="H964" s="745"/>
      <c r="I964" s="746"/>
      <c r="J964" s="638"/>
      <c r="K964" s="746"/>
      <c r="L964" s="637"/>
      <c r="M964" s="818"/>
      <c r="N964" s="818"/>
      <c r="O964" s="638"/>
    </row>
    <row r="965" spans="2:15" s="481" customFormat="1" x14ac:dyDescent="0.3">
      <c r="B965" s="86"/>
      <c r="C965" s="86"/>
      <c r="D965" s="86"/>
      <c r="E965" s="638"/>
      <c r="F965" s="639"/>
      <c r="G965" s="640"/>
      <c r="H965" s="745"/>
      <c r="I965" s="746"/>
      <c r="J965" s="638"/>
      <c r="K965" s="746"/>
      <c r="L965" s="637"/>
      <c r="M965" s="818"/>
      <c r="N965" s="818"/>
      <c r="O965" s="638"/>
    </row>
    <row r="966" spans="2:15" s="481" customFormat="1" x14ac:dyDescent="0.3">
      <c r="B966" s="86"/>
      <c r="C966" s="86"/>
      <c r="D966" s="86"/>
      <c r="E966" s="638"/>
      <c r="F966" s="639"/>
      <c r="G966" s="640"/>
      <c r="H966" s="745"/>
      <c r="I966" s="746"/>
      <c r="J966" s="638"/>
      <c r="K966" s="746"/>
      <c r="L966" s="637"/>
      <c r="M966" s="818"/>
      <c r="N966" s="818"/>
      <c r="O966" s="638"/>
    </row>
    <row r="967" spans="2:15" s="481" customFormat="1" x14ac:dyDescent="0.3">
      <c r="B967" s="86"/>
      <c r="C967" s="86"/>
      <c r="D967" s="86"/>
      <c r="E967" s="638"/>
      <c r="F967" s="639"/>
      <c r="G967" s="640"/>
      <c r="H967" s="745"/>
      <c r="I967" s="746"/>
      <c r="J967" s="638"/>
      <c r="K967" s="746"/>
      <c r="L967" s="637"/>
      <c r="M967" s="818"/>
      <c r="N967" s="818"/>
      <c r="O967" s="638"/>
    </row>
    <row r="968" spans="2:15" s="481" customFormat="1" x14ac:dyDescent="0.3">
      <c r="B968" s="86"/>
      <c r="C968" s="86"/>
      <c r="D968" s="86"/>
      <c r="E968" s="638"/>
      <c r="F968" s="639"/>
      <c r="G968" s="640"/>
      <c r="H968" s="745"/>
      <c r="I968" s="746"/>
      <c r="J968" s="638"/>
      <c r="K968" s="746"/>
      <c r="L968" s="637"/>
      <c r="M968" s="818"/>
      <c r="N968" s="818"/>
      <c r="O968" s="638"/>
    </row>
    <row r="969" spans="2:15" s="481" customFormat="1" x14ac:dyDescent="0.3">
      <c r="B969" s="86"/>
      <c r="C969" s="86"/>
      <c r="D969" s="86"/>
      <c r="E969" s="638"/>
      <c r="F969" s="639"/>
      <c r="G969" s="640"/>
      <c r="H969" s="745"/>
      <c r="I969" s="746"/>
      <c r="J969" s="638"/>
      <c r="K969" s="746"/>
      <c r="L969" s="637"/>
      <c r="M969" s="818"/>
      <c r="N969" s="818"/>
      <c r="O969" s="638"/>
    </row>
    <row r="970" spans="2:15" s="481" customFormat="1" x14ac:dyDescent="0.3">
      <c r="B970" s="86"/>
      <c r="C970" s="86"/>
      <c r="D970" s="86"/>
      <c r="E970" s="638"/>
      <c r="F970" s="639"/>
      <c r="G970" s="640"/>
      <c r="H970" s="745"/>
      <c r="I970" s="746"/>
      <c r="J970" s="638"/>
      <c r="K970" s="746"/>
      <c r="L970" s="637"/>
      <c r="M970" s="818"/>
      <c r="N970" s="818"/>
      <c r="O970" s="638"/>
    </row>
    <row r="971" spans="2:15" s="481" customFormat="1" x14ac:dyDescent="0.3">
      <c r="B971" s="86"/>
      <c r="C971" s="86"/>
      <c r="D971" s="86"/>
      <c r="E971" s="638"/>
      <c r="F971" s="639"/>
      <c r="G971" s="640"/>
      <c r="H971" s="745"/>
      <c r="I971" s="746"/>
      <c r="J971" s="638"/>
      <c r="K971" s="746"/>
      <c r="L971" s="637"/>
      <c r="M971" s="818"/>
      <c r="N971" s="818"/>
      <c r="O971" s="638"/>
    </row>
    <row r="972" spans="2:15" s="481" customFormat="1" x14ac:dyDescent="0.3">
      <c r="B972" s="86"/>
      <c r="C972" s="86"/>
      <c r="D972" s="86"/>
      <c r="E972" s="638"/>
      <c r="F972" s="639"/>
      <c r="G972" s="640"/>
      <c r="H972" s="745"/>
      <c r="I972" s="746"/>
      <c r="J972" s="638"/>
      <c r="K972" s="746"/>
      <c r="L972" s="637"/>
      <c r="M972" s="818"/>
      <c r="N972" s="818"/>
      <c r="O972" s="638"/>
    </row>
    <row r="973" spans="2:15" s="481" customFormat="1" x14ac:dyDescent="0.3">
      <c r="B973" s="86"/>
      <c r="C973" s="86"/>
      <c r="D973" s="86"/>
      <c r="E973" s="638"/>
      <c r="F973" s="639"/>
      <c r="G973" s="640"/>
      <c r="H973" s="745"/>
      <c r="I973" s="746"/>
      <c r="J973" s="638"/>
      <c r="K973" s="746"/>
      <c r="L973" s="637"/>
      <c r="M973" s="818"/>
      <c r="N973" s="818"/>
      <c r="O973" s="638"/>
    </row>
    <row r="974" spans="2:15" s="481" customFormat="1" x14ac:dyDescent="0.3">
      <c r="B974" s="86"/>
      <c r="C974" s="86"/>
      <c r="D974" s="86"/>
      <c r="E974" s="638"/>
      <c r="F974" s="639"/>
      <c r="G974" s="640"/>
      <c r="H974" s="745"/>
      <c r="I974" s="746"/>
      <c r="J974" s="638"/>
      <c r="K974" s="746"/>
      <c r="L974" s="637"/>
      <c r="M974" s="818"/>
      <c r="N974" s="818"/>
      <c r="O974" s="638"/>
    </row>
    <row r="975" spans="2:15" s="481" customFormat="1" x14ac:dyDescent="0.3">
      <c r="B975" s="86"/>
      <c r="C975" s="86"/>
      <c r="D975" s="86"/>
      <c r="E975" s="638"/>
      <c r="F975" s="639"/>
      <c r="G975" s="640"/>
      <c r="H975" s="745"/>
      <c r="I975" s="746"/>
      <c r="J975" s="638"/>
      <c r="K975" s="746"/>
      <c r="L975" s="637"/>
      <c r="M975" s="818"/>
      <c r="N975" s="818"/>
      <c r="O975" s="638"/>
    </row>
    <row r="976" spans="2:15" s="481" customFormat="1" x14ac:dyDescent="0.3">
      <c r="B976" s="86"/>
      <c r="C976" s="86"/>
      <c r="D976" s="86"/>
      <c r="E976" s="638"/>
      <c r="F976" s="639"/>
      <c r="G976" s="640"/>
      <c r="H976" s="745"/>
      <c r="I976" s="746"/>
      <c r="J976" s="638"/>
      <c r="K976" s="746"/>
      <c r="L976" s="637"/>
      <c r="M976" s="818"/>
      <c r="N976" s="818"/>
      <c r="O976" s="638"/>
    </row>
    <row r="977" spans="2:15" s="481" customFormat="1" x14ac:dyDescent="0.3">
      <c r="B977" s="86"/>
      <c r="C977" s="86"/>
      <c r="D977" s="86"/>
      <c r="E977" s="638"/>
      <c r="F977" s="639"/>
      <c r="G977" s="640"/>
      <c r="H977" s="745"/>
      <c r="I977" s="746"/>
      <c r="J977" s="638"/>
      <c r="K977" s="746"/>
      <c r="L977" s="637"/>
      <c r="M977" s="818"/>
      <c r="N977" s="818"/>
      <c r="O977" s="638"/>
    </row>
    <row r="978" spans="2:15" s="481" customFormat="1" x14ac:dyDescent="0.3">
      <c r="B978" s="86"/>
      <c r="C978" s="86"/>
      <c r="D978" s="86"/>
      <c r="E978" s="638"/>
      <c r="F978" s="639"/>
      <c r="G978" s="640"/>
      <c r="H978" s="745"/>
      <c r="I978" s="746"/>
      <c r="J978" s="638"/>
      <c r="K978" s="746"/>
      <c r="L978" s="637"/>
      <c r="M978" s="818"/>
      <c r="N978" s="818"/>
      <c r="O978" s="638"/>
    </row>
    <row r="979" spans="2:15" s="481" customFormat="1" x14ac:dyDescent="0.3">
      <c r="B979" s="86"/>
      <c r="C979" s="86"/>
      <c r="D979" s="86"/>
      <c r="E979" s="638"/>
      <c r="F979" s="639"/>
      <c r="G979" s="640"/>
      <c r="H979" s="745"/>
      <c r="I979" s="746"/>
      <c r="J979" s="638"/>
      <c r="K979" s="746"/>
      <c r="L979" s="637"/>
      <c r="M979" s="818"/>
      <c r="N979" s="818"/>
      <c r="O979" s="638"/>
    </row>
    <row r="980" spans="2:15" s="481" customFormat="1" x14ac:dyDescent="0.3">
      <c r="B980" s="86"/>
      <c r="C980" s="86"/>
      <c r="D980" s="86"/>
      <c r="E980" s="638"/>
      <c r="F980" s="639"/>
      <c r="G980" s="640"/>
      <c r="H980" s="745"/>
      <c r="I980" s="746"/>
      <c r="J980" s="638"/>
      <c r="K980" s="746"/>
      <c r="L980" s="637"/>
      <c r="M980" s="818"/>
      <c r="N980" s="818"/>
      <c r="O980" s="638"/>
    </row>
    <row r="981" spans="2:15" s="481" customFormat="1" x14ac:dyDescent="0.3">
      <c r="B981" s="86"/>
      <c r="C981" s="86"/>
      <c r="D981" s="86"/>
      <c r="E981" s="638"/>
      <c r="F981" s="639"/>
      <c r="G981" s="640"/>
      <c r="H981" s="745"/>
      <c r="I981" s="746"/>
      <c r="J981" s="638"/>
      <c r="K981" s="746"/>
      <c r="L981" s="637"/>
      <c r="M981" s="818"/>
      <c r="N981" s="818"/>
      <c r="O981" s="638"/>
    </row>
    <row r="982" spans="2:15" s="481" customFormat="1" x14ac:dyDescent="0.3">
      <c r="B982" s="86"/>
      <c r="C982" s="86"/>
      <c r="D982" s="86"/>
      <c r="E982" s="638"/>
      <c r="F982" s="639"/>
      <c r="G982" s="640"/>
      <c r="H982" s="745"/>
      <c r="I982" s="746"/>
      <c r="J982" s="638"/>
      <c r="K982" s="746"/>
      <c r="L982" s="637"/>
      <c r="M982" s="818"/>
      <c r="N982" s="818"/>
      <c r="O982" s="638"/>
    </row>
    <row r="983" spans="2:15" s="481" customFormat="1" x14ac:dyDescent="0.3">
      <c r="B983" s="86"/>
      <c r="C983" s="86"/>
      <c r="D983" s="86"/>
      <c r="E983" s="638"/>
      <c r="F983" s="639"/>
      <c r="G983" s="640"/>
      <c r="H983" s="745"/>
      <c r="I983" s="746"/>
      <c r="J983" s="638"/>
      <c r="K983" s="746"/>
      <c r="L983" s="637"/>
      <c r="M983" s="818"/>
      <c r="N983" s="818"/>
      <c r="O983" s="638"/>
    </row>
    <row r="984" spans="2:15" s="481" customFormat="1" x14ac:dyDescent="0.3">
      <c r="B984" s="86"/>
      <c r="C984" s="86"/>
      <c r="D984" s="86"/>
      <c r="E984" s="638"/>
      <c r="F984" s="639"/>
      <c r="G984" s="640"/>
      <c r="H984" s="745"/>
      <c r="I984" s="746"/>
      <c r="J984" s="638"/>
      <c r="K984" s="746"/>
      <c r="L984" s="637"/>
      <c r="M984" s="818"/>
      <c r="N984" s="818"/>
      <c r="O984" s="638"/>
    </row>
    <row r="985" spans="2:15" s="481" customFormat="1" x14ac:dyDescent="0.3">
      <c r="B985" s="86"/>
      <c r="C985" s="86"/>
      <c r="D985" s="86"/>
      <c r="E985" s="638"/>
      <c r="F985" s="639"/>
      <c r="G985" s="640"/>
      <c r="H985" s="745"/>
      <c r="I985" s="746"/>
      <c r="J985" s="638"/>
      <c r="K985" s="746"/>
      <c r="L985" s="637"/>
      <c r="M985" s="818"/>
      <c r="N985" s="818"/>
      <c r="O985" s="638"/>
    </row>
    <row r="986" spans="2:15" s="481" customFormat="1" x14ac:dyDescent="0.3">
      <c r="B986" s="86"/>
      <c r="C986" s="86"/>
      <c r="D986" s="86"/>
      <c r="E986" s="638"/>
      <c r="F986" s="639"/>
      <c r="G986" s="640"/>
      <c r="H986" s="745"/>
      <c r="I986" s="746"/>
      <c r="J986" s="638"/>
      <c r="K986" s="746"/>
      <c r="L986" s="637"/>
      <c r="M986" s="818"/>
      <c r="N986" s="818"/>
      <c r="O986" s="638"/>
    </row>
    <row r="987" spans="2:15" s="481" customFormat="1" x14ac:dyDescent="0.3">
      <c r="B987" s="86"/>
      <c r="C987" s="86"/>
      <c r="D987" s="86"/>
      <c r="E987" s="638"/>
      <c r="F987" s="639"/>
      <c r="G987" s="640"/>
      <c r="H987" s="745"/>
      <c r="I987" s="746"/>
      <c r="J987" s="638"/>
      <c r="K987" s="746"/>
      <c r="L987" s="637"/>
      <c r="M987" s="818"/>
      <c r="N987" s="818"/>
      <c r="O987" s="638"/>
    </row>
    <row r="988" spans="2:15" s="481" customFormat="1" x14ac:dyDescent="0.3">
      <c r="B988" s="86"/>
      <c r="C988" s="86"/>
      <c r="D988" s="86"/>
      <c r="E988" s="638"/>
      <c r="F988" s="639"/>
      <c r="G988" s="640"/>
      <c r="H988" s="745"/>
      <c r="I988" s="746"/>
      <c r="J988" s="638"/>
      <c r="K988" s="746"/>
      <c r="L988" s="637"/>
      <c r="M988" s="818"/>
      <c r="N988" s="818"/>
      <c r="O988" s="638"/>
    </row>
    <row r="989" spans="2:15" s="481" customFormat="1" x14ac:dyDescent="0.3">
      <c r="B989" s="86"/>
      <c r="C989" s="86"/>
      <c r="D989" s="86"/>
      <c r="E989" s="638"/>
      <c r="F989" s="639"/>
      <c r="G989" s="640"/>
      <c r="H989" s="745"/>
      <c r="I989" s="746"/>
      <c r="J989" s="638"/>
      <c r="K989" s="746"/>
      <c r="L989" s="637"/>
      <c r="M989" s="818"/>
      <c r="N989" s="818"/>
      <c r="O989" s="638"/>
    </row>
    <row r="990" spans="2:15" s="481" customFormat="1" x14ac:dyDescent="0.3">
      <c r="B990" s="86"/>
      <c r="C990" s="86"/>
      <c r="D990" s="86"/>
      <c r="E990" s="638"/>
      <c r="F990" s="639"/>
      <c r="G990" s="640"/>
      <c r="H990" s="745"/>
      <c r="I990" s="746"/>
      <c r="J990" s="638"/>
      <c r="K990" s="746"/>
      <c r="L990" s="637"/>
      <c r="M990" s="818"/>
      <c r="N990" s="818"/>
      <c r="O990" s="638"/>
    </row>
    <row r="991" spans="2:15" s="481" customFormat="1" x14ac:dyDescent="0.3">
      <c r="B991" s="86"/>
      <c r="C991" s="86"/>
      <c r="D991" s="86"/>
      <c r="E991" s="638"/>
      <c r="F991" s="639"/>
      <c r="G991" s="640"/>
      <c r="H991" s="745"/>
      <c r="I991" s="746"/>
      <c r="J991" s="638"/>
      <c r="K991" s="746"/>
      <c r="L991" s="637"/>
      <c r="M991" s="818"/>
      <c r="N991" s="818"/>
      <c r="O991" s="638"/>
    </row>
    <row r="992" spans="2:15" s="481" customFormat="1" x14ac:dyDescent="0.3">
      <c r="B992" s="86"/>
      <c r="C992" s="86"/>
      <c r="D992" s="86"/>
      <c r="E992" s="638"/>
      <c r="F992" s="639"/>
      <c r="G992" s="640"/>
      <c r="H992" s="745"/>
      <c r="I992" s="746"/>
      <c r="J992" s="638"/>
      <c r="K992" s="746"/>
      <c r="L992" s="637"/>
      <c r="M992" s="818"/>
      <c r="N992" s="818"/>
      <c r="O992" s="638"/>
    </row>
    <row r="993" spans="2:15" s="481" customFormat="1" x14ac:dyDescent="0.3">
      <c r="B993" s="86"/>
      <c r="C993" s="86"/>
      <c r="D993" s="86"/>
      <c r="E993" s="638"/>
      <c r="F993" s="639"/>
      <c r="G993" s="640"/>
      <c r="H993" s="745"/>
      <c r="I993" s="746"/>
      <c r="J993" s="638"/>
      <c r="K993" s="746"/>
      <c r="L993" s="637"/>
      <c r="M993" s="818"/>
      <c r="N993" s="818"/>
      <c r="O993" s="638"/>
    </row>
    <row r="994" spans="2:15" s="481" customFormat="1" x14ac:dyDescent="0.3">
      <c r="B994" s="86"/>
      <c r="C994" s="86"/>
      <c r="D994" s="86"/>
      <c r="E994" s="638"/>
      <c r="F994" s="639"/>
      <c r="G994" s="640"/>
      <c r="H994" s="745"/>
      <c r="I994" s="746"/>
      <c r="J994" s="638"/>
      <c r="K994" s="746"/>
      <c r="L994" s="637"/>
      <c r="M994" s="818"/>
      <c r="N994" s="818"/>
      <c r="O994" s="638"/>
    </row>
    <row r="995" spans="2:15" s="481" customFormat="1" x14ac:dyDescent="0.3">
      <c r="B995" s="86"/>
      <c r="C995" s="86"/>
      <c r="D995" s="86"/>
      <c r="E995" s="638"/>
      <c r="F995" s="639"/>
      <c r="G995" s="640"/>
      <c r="H995" s="745"/>
      <c r="I995" s="746"/>
      <c r="J995" s="638"/>
      <c r="K995" s="746"/>
      <c r="L995" s="637"/>
      <c r="M995" s="818"/>
      <c r="N995" s="818"/>
      <c r="O995" s="638"/>
    </row>
    <row r="996" spans="2:15" s="481" customFormat="1" x14ac:dyDescent="0.3">
      <c r="B996" s="86"/>
      <c r="C996" s="86"/>
      <c r="D996" s="86"/>
      <c r="E996" s="638"/>
      <c r="F996" s="639"/>
      <c r="G996" s="640"/>
      <c r="H996" s="745"/>
      <c r="I996" s="746"/>
      <c r="J996" s="638"/>
      <c r="K996" s="746"/>
      <c r="L996" s="637"/>
      <c r="M996" s="818"/>
      <c r="N996" s="818"/>
      <c r="O996" s="638"/>
    </row>
    <row r="997" spans="2:15" s="481" customFormat="1" x14ac:dyDescent="0.3">
      <c r="B997" s="86"/>
      <c r="C997" s="86"/>
      <c r="D997" s="86"/>
      <c r="E997" s="638"/>
      <c r="F997" s="639"/>
      <c r="G997" s="640"/>
      <c r="H997" s="745"/>
      <c r="I997" s="746"/>
      <c r="J997" s="638"/>
      <c r="K997" s="746"/>
      <c r="L997" s="637"/>
      <c r="M997" s="818"/>
      <c r="N997" s="818"/>
      <c r="O997" s="638"/>
    </row>
    <row r="998" spans="2:15" s="481" customFormat="1" x14ac:dyDescent="0.3">
      <c r="B998" s="86"/>
      <c r="C998" s="86"/>
      <c r="D998" s="86"/>
      <c r="E998" s="638"/>
      <c r="F998" s="639"/>
      <c r="G998" s="640"/>
      <c r="H998" s="745"/>
      <c r="I998" s="746"/>
      <c r="J998" s="638"/>
      <c r="K998" s="746"/>
      <c r="L998" s="637"/>
      <c r="M998" s="818"/>
      <c r="N998" s="818"/>
      <c r="O998" s="638"/>
    </row>
    <row r="999" spans="2:15" s="481" customFormat="1" x14ac:dyDescent="0.3">
      <c r="B999" s="86"/>
      <c r="C999" s="86"/>
      <c r="D999" s="86"/>
      <c r="E999" s="638"/>
      <c r="F999" s="639"/>
      <c r="G999" s="640"/>
      <c r="H999" s="745"/>
      <c r="I999" s="746"/>
      <c r="J999" s="638"/>
      <c r="K999" s="746"/>
      <c r="L999" s="637"/>
      <c r="M999" s="818"/>
      <c r="N999" s="818"/>
      <c r="O999" s="638"/>
    </row>
    <row r="1000" spans="2:15" s="481" customFormat="1" x14ac:dyDescent="0.3">
      <c r="B1000" s="86"/>
      <c r="C1000" s="86"/>
      <c r="D1000" s="86"/>
      <c r="E1000" s="638"/>
      <c r="F1000" s="639"/>
      <c r="G1000" s="640"/>
      <c r="H1000" s="745"/>
      <c r="I1000" s="746"/>
      <c r="J1000" s="638"/>
      <c r="K1000" s="746"/>
      <c r="L1000" s="637"/>
      <c r="M1000" s="818"/>
      <c r="N1000" s="818"/>
      <c r="O1000" s="638"/>
    </row>
    <row r="1001" spans="2:15" s="481" customFormat="1" x14ac:dyDescent="0.3">
      <c r="B1001" s="86"/>
      <c r="C1001" s="86"/>
      <c r="D1001" s="86"/>
      <c r="E1001" s="638"/>
      <c r="F1001" s="639"/>
      <c r="G1001" s="640"/>
      <c r="H1001" s="745"/>
      <c r="I1001" s="746"/>
      <c r="J1001" s="638"/>
      <c r="K1001" s="746"/>
      <c r="L1001" s="637"/>
      <c r="M1001" s="818"/>
      <c r="N1001" s="818"/>
      <c r="O1001" s="638"/>
    </row>
    <row r="1002" spans="2:15" s="481" customFormat="1" x14ac:dyDescent="0.3">
      <c r="B1002" s="86"/>
      <c r="C1002" s="86"/>
      <c r="D1002" s="86"/>
      <c r="E1002" s="638"/>
      <c r="F1002" s="639"/>
      <c r="G1002" s="640"/>
      <c r="H1002" s="745"/>
      <c r="I1002" s="746"/>
      <c r="J1002" s="638"/>
      <c r="K1002" s="746"/>
      <c r="L1002" s="637"/>
      <c r="M1002" s="818"/>
      <c r="N1002" s="818"/>
      <c r="O1002" s="638"/>
    </row>
    <row r="1003" spans="2:15" s="481" customFormat="1" x14ac:dyDescent="0.3">
      <c r="B1003" s="86"/>
      <c r="C1003" s="86"/>
      <c r="D1003" s="86"/>
      <c r="E1003" s="638"/>
      <c r="F1003" s="639"/>
      <c r="G1003" s="640"/>
      <c r="H1003" s="745"/>
      <c r="I1003" s="746"/>
      <c r="J1003" s="638"/>
      <c r="K1003" s="746"/>
      <c r="L1003" s="637"/>
      <c r="M1003" s="818"/>
      <c r="N1003" s="818"/>
      <c r="O1003" s="638"/>
    </row>
    <row r="1004" spans="2:15" s="481" customFormat="1" x14ac:dyDescent="0.3">
      <c r="B1004" s="86"/>
      <c r="C1004" s="86"/>
      <c r="D1004" s="86"/>
      <c r="E1004" s="638"/>
      <c r="F1004" s="639"/>
      <c r="G1004" s="640"/>
      <c r="H1004" s="745"/>
      <c r="I1004" s="746"/>
      <c r="J1004" s="638"/>
      <c r="K1004" s="746"/>
      <c r="L1004" s="637"/>
      <c r="M1004" s="818"/>
      <c r="N1004" s="818"/>
      <c r="O1004" s="638"/>
    </row>
    <row r="1005" spans="2:15" s="481" customFormat="1" x14ac:dyDescent="0.3">
      <c r="B1005" s="86"/>
      <c r="C1005" s="86"/>
      <c r="D1005" s="86"/>
      <c r="E1005" s="638"/>
      <c r="F1005" s="639"/>
      <c r="G1005" s="640"/>
      <c r="H1005" s="745"/>
      <c r="I1005" s="746"/>
      <c r="J1005" s="638"/>
      <c r="K1005" s="746"/>
      <c r="L1005" s="637"/>
      <c r="M1005" s="818"/>
      <c r="N1005" s="818"/>
      <c r="O1005" s="638"/>
    </row>
    <row r="1006" spans="2:15" s="481" customFormat="1" x14ac:dyDescent="0.3">
      <c r="B1006" s="86"/>
      <c r="C1006" s="86"/>
      <c r="D1006" s="86"/>
      <c r="E1006" s="638"/>
      <c r="F1006" s="639"/>
      <c r="G1006" s="640"/>
      <c r="H1006" s="745"/>
      <c r="I1006" s="746"/>
      <c r="J1006" s="638"/>
      <c r="K1006" s="746"/>
      <c r="L1006" s="637"/>
      <c r="M1006" s="818"/>
      <c r="N1006" s="818"/>
      <c r="O1006" s="638"/>
    </row>
    <row r="1007" spans="2:15" s="481" customFormat="1" x14ac:dyDescent="0.3">
      <c r="B1007" s="86"/>
      <c r="C1007" s="86"/>
      <c r="D1007" s="86"/>
      <c r="E1007" s="638"/>
      <c r="F1007" s="639"/>
      <c r="G1007" s="640"/>
      <c r="H1007" s="745"/>
      <c r="I1007" s="746"/>
      <c r="J1007" s="638"/>
      <c r="K1007" s="746"/>
      <c r="L1007" s="637"/>
      <c r="M1007" s="818"/>
      <c r="N1007" s="818"/>
      <c r="O1007" s="638"/>
    </row>
    <row r="1008" spans="2:15" s="481" customFormat="1" x14ac:dyDescent="0.3">
      <c r="B1008" s="86"/>
      <c r="C1008" s="86"/>
      <c r="D1008" s="86"/>
      <c r="E1008" s="638"/>
      <c r="F1008" s="639"/>
      <c r="G1008" s="640"/>
      <c r="H1008" s="745"/>
      <c r="I1008" s="746"/>
      <c r="J1008" s="638"/>
      <c r="K1008" s="746"/>
      <c r="L1008" s="637"/>
      <c r="M1008" s="818"/>
      <c r="N1008" s="818"/>
      <c r="O1008" s="638"/>
    </row>
    <row r="1009" spans="2:15" s="481" customFormat="1" x14ac:dyDescent="0.3">
      <c r="B1009" s="86"/>
      <c r="C1009" s="86"/>
      <c r="D1009" s="86"/>
      <c r="E1009" s="638"/>
      <c r="F1009" s="639"/>
      <c r="G1009" s="640"/>
      <c r="H1009" s="745"/>
      <c r="I1009" s="746"/>
      <c r="J1009" s="638"/>
      <c r="K1009" s="746"/>
      <c r="L1009" s="637"/>
      <c r="M1009" s="818"/>
      <c r="N1009" s="818"/>
      <c r="O1009" s="638"/>
    </row>
    <row r="1010" spans="2:15" s="481" customFormat="1" x14ac:dyDescent="0.3">
      <c r="B1010" s="86"/>
      <c r="C1010" s="86"/>
      <c r="D1010" s="86"/>
      <c r="E1010" s="638"/>
      <c r="F1010" s="639"/>
      <c r="G1010" s="640"/>
      <c r="H1010" s="745"/>
      <c r="I1010" s="746"/>
      <c r="J1010" s="638"/>
      <c r="K1010" s="746"/>
      <c r="L1010" s="637"/>
      <c r="M1010" s="818"/>
      <c r="N1010" s="818"/>
      <c r="O1010" s="638"/>
    </row>
    <row r="1011" spans="2:15" s="481" customFormat="1" x14ac:dyDescent="0.3">
      <c r="B1011" s="86"/>
      <c r="C1011" s="86"/>
      <c r="D1011" s="86"/>
      <c r="E1011" s="638"/>
      <c r="F1011" s="639"/>
      <c r="G1011" s="640"/>
      <c r="H1011" s="745"/>
      <c r="I1011" s="746"/>
      <c r="J1011" s="638"/>
      <c r="K1011" s="746"/>
      <c r="L1011" s="637"/>
      <c r="M1011" s="818"/>
      <c r="N1011" s="818"/>
      <c r="O1011" s="638"/>
    </row>
    <row r="1012" spans="2:15" s="481" customFormat="1" x14ac:dyDescent="0.3">
      <c r="B1012" s="86"/>
      <c r="C1012" s="86"/>
      <c r="D1012" s="86"/>
      <c r="E1012" s="638"/>
      <c r="F1012" s="639"/>
      <c r="G1012" s="640"/>
      <c r="H1012" s="745"/>
      <c r="I1012" s="746"/>
      <c r="J1012" s="638"/>
      <c r="K1012" s="746"/>
      <c r="L1012" s="637"/>
      <c r="M1012" s="818"/>
      <c r="N1012" s="818"/>
      <c r="O1012" s="638"/>
    </row>
    <row r="1013" spans="2:15" s="481" customFormat="1" x14ac:dyDescent="0.3">
      <c r="B1013" s="86"/>
      <c r="C1013" s="86"/>
      <c r="D1013" s="86"/>
      <c r="E1013" s="638"/>
      <c r="F1013" s="639"/>
      <c r="G1013" s="640"/>
      <c r="H1013" s="745"/>
      <c r="I1013" s="746"/>
      <c r="J1013" s="638"/>
      <c r="K1013" s="746"/>
      <c r="L1013" s="637"/>
      <c r="M1013" s="818"/>
      <c r="N1013" s="818"/>
      <c r="O1013" s="638"/>
    </row>
    <row r="1014" spans="2:15" s="481" customFormat="1" x14ac:dyDescent="0.3">
      <c r="B1014" s="86"/>
      <c r="C1014" s="86"/>
      <c r="D1014" s="86"/>
      <c r="E1014" s="638"/>
      <c r="F1014" s="639"/>
      <c r="G1014" s="640"/>
      <c r="H1014" s="745"/>
      <c r="I1014" s="746"/>
      <c r="J1014" s="638"/>
      <c r="K1014" s="746"/>
      <c r="L1014" s="637"/>
      <c r="M1014" s="818"/>
      <c r="N1014" s="818"/>
      <c r="O1014" s="638"/>
    </row>
    <row r="1015" spans="2:15" s="481" customFormat="1" x14ac:dyDescent="0.3">
      <c r="B1015" s="86"/>
      <c r="C1015" s="86"/>
      <c r="D1015" s="86"/>
      <c r="E1015" s="638"/>
      <c r="F1015" s="639"/>
      <c r="G1015" s="640"/>
      <c r="H1015" s="745"/>
      <c r="I1015" s="746"/>
      <c r="J1015" s="638"/>
      <c r="K1015" s="746"/>
      <c r="L1015" s="637"/>
      <c r="M1015" s="818"/>
      <c r="N1015" s="818"/>
      <c r="O1015" s="638"/>
    </row>
    <row r="1016" spans="2:15" s="481" customFormat="1" x14ac:dyDescent="0.3">
      <c r="B1016" s="86"/>
      <c r="C1016" s="86"/>
      <c r="D1016" s="86"/>
      <c r="E1016" s="638"/>
      <c r="F1016" s="639"/>
      <c r="G1016" s="640"/>
      <c r="H1016" s="745"/>
      <c r="I1016" s="746"/>
      <c r="J1016" s="638"/>
      <c r="K1016" s="746"/>
      <c r="L1016" s="637"/>
      <c r="M1016" s="818"/>
      <c r="N1016" s="818"/>
      <c r="O1016" s="638"/>
    </row>
    <row r="1017" spans="2:15" s="481" customFormat="1" x14ac:dyDescent="0.3">
      <c r="B1017" s="86"/>
      <c r="C1017" s="86"/>
      <c r="D1017" s="86"/>
      <c r="E1017" s="638"/>
      <c r="F1017" s="639"/>
      <c r="G1017" s="640"/>
      <c r="H1017" s="745"/>
      <c r="I1017" s="746"/>
      <c r="J1017" s="638"/>
      <c r="K1017" s="746"/>
      <c r="L1017" s="637"/>
      <c r="M1017" s="818"/>
      <c r="N1017" s="818"/>
      <c r="O1017" s="638"/>
    </row>
    <row r="1018" spans="2:15" s="481" customFormat="1" x14ac:dyDescent="0.3">
      <c r="B1018" s="86"/>
      <c r="C1018" s="86"/>
      <c r="D1018" s="86"/>
      <c r="E1018" s="638"/>
      <c r="F1018" s="639"/>
      <c r="G1018" s="640"/>
      <c r="H1018" s="745"/>
      <c r="I1018" s="746"/>
      <c r="J1018" s="638"/>
      <c r="K1018" s="746"/>
      <c r="L1018" s="637"/>
      <c r="M1018" s="818"/>
      <c r="N1018" s="818"/>
      <c r="O1018" s="638"/>
    </row>
    <row r="1019" spans="2:15" s="481" customFormat="1" x14ac:dyDescent="0.3">
      <c r="B1019" s="86"/>
      <c r="C1019" s="86"/>
      <c r="D1019" s="86"/>
      <c r="E1019" s="638"/>
      <c r="F1019" s="639"/>
      <c r="G1019" s="640"/>
      <c r="H1019" s="745"/>
      <c r="I1019" s="746"/>
      <c r="J1019" s="638"/>
      <c r="K1019" s="746"/>
      <c r="L1019" s="637"/>
      <c r="M1019" s="818"/>
      <c r="N1019" s="818"/>
      <c r="O1019" s="638"/>
    </row>
    <row r="1020" spans="2:15" s="481" customFormat="1" x14ac:dyDescent="0.3">
      <c r="B1020" s="86"/>
      <c r="C1020" s="86"/>
      <c r="D1020" s="86"/>
      <c r="E1020" s="638"/>
      <c r="F1020" s="639"/>
      <c r="G1020" s="640"/>
      <c r="H1020" s="745"/>
      <c r="I1020" s="746"/>
      <c r="J1020" s="638"/>
      <c r="K1020" s="746"/>
      <c r="L1020" s="637"/>
      <c r="M1020" s="818"/>
      <c r="N1020" s="818"/>
      <c r="O1020" s="638"/>
    </row>
    <row r="1021" spans="2:15" s="481" customFormat="1" x14ac:dyDescent="0.3">
      <c r="B1021" s="86"/>
      <c r="C1021" s="86"/>
      <c r="D1021" s="86"/>
      <c r="E1021" s="638"/>
      <c r="F1021" s="639"/>
      <c r="G1021" s="640"/>
      <c r="H1021" s="745"/>
      <c r="I1021" s="746"/>
      <c r="J1021" s="638"/>
      <c r="K1021" s="746"/>
      <c r="L1021" s="637"/>
      <c r="M1021" s="818"/>
      <c r="N1021" s="818"/>
      <c r="O1021" s="638"/>
    </row>
    <row r="1022" spans="2:15" s="481" customFormat="1" x14ac:dyDescent="0.3">
      <c r="B1022" s="86"/>
      <c r="C1022" s="86"/>
      <c r="D1022" s="86"/>
      <c r="E1022" s="638"/>
      <c r="F1022" s="639"/>
      <c r="G1022" s="640"/>
      <c r="H1022" s="745"/>
      <c r="I1022" s="746"/>
      <c r="J1022" s="638"/>
      <c r="K1022" s="746"/>
      <c r="L1022" s="637"/>
      <c r="M1022" s="818"/>
      <c r="N1022" s="818"/>
      <c r="O1022" s="638"/>
    </row>
    <row r="1023" spans="2:15" s="481" customFormat="1" x14ac:dyDescent="0.3">
      <c r="B1023" s="86"/>
      <c r="C1023" s="86"/>
      <c r="D1023" s="86"/>
      <c r="E1023" s="638"/>
      <c r="F1023" s="639"/>
      <c r="G1023" s="640"/>
      <c r="H1023" s="745"/>
      <c r="I1023" s="746"/>
      <c r="J1023" s="638"/>
      <c r="K1023" s="746"/>
      <c r="L1023" s="637"/>
      <c r="M1023" s="818"/>
      <c r="N1023" s="818"/>
      <c r="O1023" s="638"/>
    </row>
    <row r="1024" spans="2:15" s="481" customFormat="1" x14ac:dyDescent="0.3">
      <c r="B1024" s="86"/>
      <c r="C1024" s="86"/>
      <c r="D1024" s="86"/>
      <c r="E1024" s="638"/>
      <c r="F1024" s="639"/>
      <c r="G1024" s="640"/>
      <c r="H1024" s="745"/>
      <c r="I1024" s="746"/>
      <c r="J1024" s="638"/>
      <c r="K1024" s="746"/>
      <c r="L1024" s="637"/>
      <c r="M1024" s="818"/>
      <c r="N1024" s="818"/>
      <c r="O1024" s="638"/>
    </row>
    <row r="1025" spans="2:15" s="481" customFormat="1" x14ac:dyDescent="0.3">
      <c r="B1025" s="86"/>
      <c r="C1025" s="86"/>
      <c r="D1025" s="86"/>
      <c r="E1025" s="638"/>
      <c r="F1025" s="639"/>
      <c r="G1025" s="640"/>
      <c r="H1025" s="745"/>
      <c r="I1025" s="746"/>
      <c r="J1025" s="638"/>
      <c r="K1025" s="746"/>
      <c r="L1025" s="637"/>
      <c r="M1025" s="818"/>
      <c r="N1025" s="818"/>
      <c r="O1025" s="638"/>
    </row>
    <row r="1026" spans="2:15" s="481" customFormat="1" x14ac:dyDescent="0.3">
      <c r="B1026" s="86"/>
      <c r="C1026" s="86"/>
      <c r="D1026" s="86"/>
      <c r="E1026" s="638"/>
      <c r="F1026" s="639"/>
      <c r="G1026" s="640"/>
      <c r="H1026" s="745"/>
      <c r="I1026" s="746"/>
      <c r="J1026" s="638"/>
      <c r="K1026" s="746"/>
      <c r="L1026" s="637"/>
      <c r="M1026" s="818"/>
      <c r="N1026" s="818"/>
      <c r="O1026" s="638"/>
    </row>
    <row r="1027" spans="2:15" s="481" customFormat="1" x14ac:dyDescent="0.3">
      <c r="B1027" s="86"/>
      <c r="C1027" s="86"/>
      <c r="D1027" s="86"/>
      <c r="E1027" s="638"/>
      <c r="F1027" s="639"/>
      <c r="G1027" s="640"/>
      <c r="H1027" s="745"/>
      <c r="I1027" s="746"/>
      <c r="J1027" s="638"/>
      <c r="K1027" s="746"/>
      <c r="L1027" s="637"/>
      <c r="M1027" s="818"/>
      <c r="N1027" s="818"/>
      <c r="O1027" s="638"/>
    </row>
    <row r="1028" spans="2:15" s="481" customFormat="1" x14ac:dyDescent="0.3">
      <c r="B1028" s="86"/>
      <c r="C1028" s="86"/>
      <c r="D1028" s="86"/>
      <c r="E1028" s="638"/>
      <c r="F1028" s="639"/>
      <c r="G1028" s="640"/>
      <c r="H1028" s="745"/>
      <c r="I1028" s="746"/>
      <c r="J1028" s="638"/>
      <c r="K1028" s="746"/>
      <c r="L1028" s="637"/>
      <c r="M1028" s="818"/>
      <c r="N1028" s="818"/>
      <c r="O1028" s="638"/>
    </row>
    <row r="1029" spans="2:15" s="481" customFormat="1" x14ac:dyDescent="0.3">
      <c r="B1029" s="86"/>
      <c r="C1029" s="86"/>
      <c r="D1029" s="86"/>
      <c r="E1029" s="638"/>
      <c r="F1029" s="639"/>
      <c r="G1029" s="640"/>
      <c r="H1029" s="745"/>
      <c r="I1029" s="746"/>
      <c r="J1029" s="638"/>
      <c r="K1029" s="746"/>
      <c r="L1029" s="637"/>
      <c r="M1029" s="818"/>
      <c r="N1029" s="818"/>
      <c r="O1029" s="638"/>
    </row>
    <row r="1030" spans="2:15" s="481" customFormat="1" x14ac:dyDescent="0.3">
      <c r="B1030" s="86"/>
      <c r="C1030" s="86"/>
      <c r="D1030" s="86"/>
      <c r="E1030" s="638"/>
      <c r="F1030" s="639"/>
      <c r="G1030" s="640"/>
      <c r="H1030" s="745"/>
      <c r="I1030" s="746"/>
      <c r="J1030" s="638"/>
      <c r="K1030" s="746"/>
      <c r="L1030" s="637"/>
      <c r="M1030" s="818"/>
      <c r="N1030" s="818"/>
      <c r="O1030" s="638"/>
    </row>
    <row r="1031" spans="2:15" s="481" customFormat="1" x14ac:dyDescent="0.3">
      <c r="B1031" s="86"/>
      <c r="C1031" s="86"/>
      <c r="D1031" s="86"/>
      <c r="E1031" s="638"/>
      <c r="F1031" s="639"/>
      <c r="G1031" s="640"/>
      <c r="H1031" s="745"/>
      <c r="I1031" s="746"/>
      <c r="J1031" s="638"/>
      <c r="K1031" s="746"/>
      <c r="L1031" s="637"/>
      <c r="M1031" s="818"/>
      <c r="N1031" s="818"/>
      <c r="O1031" s="638"/>
    </row>
    <row r="1032" spans="2:15" s="481" customFormat="1" x14ac:dyDescent="0.3">
      <c r="B1032" s="86"/>
      <c r="C1032" s="86"/>
      <c r="D1032" s="86"/>
      <c r="E1032" s="638"/>
      <c r="F1032" s="639"/>
      <c r="G1032" s="640"/>
      <c r="H1032" s="745"/>
      <c r="I1032" s="746"/>
      <c r="J1032" s="638"/>
      <c r="K1032" s="746"/>
      <c r="L1032" s="637"/>
      <c r="M1032" s="818"/>
      <c r="N1032" s="818"/>
      <c r="O1032" s="638"/>
    </row>
    <row r="1033" spans="2:15" s="481" customFormat="1" x14ac:dyDescent="0.3">
      <c r="B1033" s="86"/>
      <c r="C1033" s="86"/>
      <c r="D1033" s="86"/>
      <c r="E1033" s="638"/>
      <c r="F1033" s="639"/>
      <c r="G1033" s="640"/>
      <c r="H1033" s="745"/>
      <c r="I1033" s="746"/>
      <c r="J1033" s="638"/>
      <c r="K1033" s="746"/>
      <c r="L1033" s="637"/>
      <c r="M1033" s="818"/>
      <c r="N1033" s="818"/>
      <c r="O1033" s="638"/>
    </row>
    <row r="1034" spans="2:15" s="481" customFormat="1" x14ac:dyDescent="0.3">
      <c r="B1034" s="86"/>
      <c r="C1034" s="86"/>
      <c r="D1034" s="86"/>
      <c r="E1034" s="638"/>
      <c r="F1034" s="639"/>
      <c r="G1034" s="640"/>
      <c r="H1034" s="745"/>
      <c r="I1034" s="746"/>
      <c r="J1034" s="638"/>
      <c r="K1034" s="746"/>
      <c r="L1034" s="637"/>
      <c r="M1034" s="818"/>
      <c r="N1034" s="818"/>
      <c r="O1034" s="638"/>
    </row>
    <row r="1035" spans="2:15" s="481" customFormat="1" x14ac:dyDescent="0.3">
      <c r="B1035" s="86"/>
      <c r="C1035" s="86"/>
      <c r="D1035" s="86"/>
      <c r="E1035" s="638"/>
      <c r="F1035" s="639"/>
      <c r="G1035" s="640"/>
      <c r="H1035" s="745"/>
      <c r="I1035" s="746"/>
      <c r="J1035" s="638"/>
      <c r="K1035" s="746"/>
      <c r="L1035" s="637"/>
      <c r="M1035" s="818"/>
      <c r="N1035" s="818"/>
      <c r="O1035" s="638"/>
    </row>
    <row r="1036" spans="2:15" s="481" customFormat="1" x14ac:dyDescent="0.3">
      <c r="B1036" s="86"/>
      <c r="C1036" s="86"/>
      <c r="D1036" s="86"/>
      <c r="E1036" s="638"/>
      <c r="F1036" s="639"/>
      <c r="G1036" s="640"/>
      <c r="H1036" s="745"/>
      <c r="I1036" s="746"/>
      <c r="J1036" s="638"/>
      <c r="K1036" s="746"/>
      <c r="L1036" s="637"/>
      <c r="M1036" s="818"/>
      <c r="N1036" s="818"/>
      <c r="O1036" s="638"/>
    </row>
    <row r="1037" spans="2:15" s="481" customFormat="1" x14ac:dyDescent="0.3">
      <c r="B1037" s="86"/>
      <c r="C1037" s="86"/>
      <c r="D1037" s="86"/>
      <c r="E1037" s="638"/>
      <c r="F1037" s="639"/>
      <c r="G1037" s="640"/>
      <c r="H1037" s="745"/>
      <c r="I1037" s="746"/>
      <c r="J1037" s="638"/>
      <c r="K1037" s="746"/>
      <c r="L1037" s="637"/>
      <c r="M1037" s="818"/>
      <c r="N1037" s="818"/>
      <c r="O1037" s="638"/>
    </row>
    <row r="1038" spans="2:15" s="481" customFormat="1" x14ac:dyDescent="0.3">
      <c r="B1038" s="86"/>
      <c r="C1038" s="86"/>
      <c r="D1038" s="86"/>
      <c r="E1038" s="638"/>
      <c r="F1038" s="639"/>
      <c r="G1038" s="640"/>
      <c r="H1038" s="745"/>
      <c r="I1038" s="746"/>
      <c r="J1038" s="638"/>
      <c r="K1038" s="746"/>
      <c r="L1038" s="637"/>
      <c r="M1038" s="818"/>
      <c r="N1038" s="818"/>
      <c r="O1038" s="638"/>
    </row>
    <row r="1039" spans="2:15" s="481" customFormat="1" x14ac:dyDescent="0.3">
      <c r="B1039" s="86"/>
      <c r="C1039" s="86"/>
      <c r="D1039" s="86"/>
      <c r="E1039" s="638"/>
      <c r="F1039" s="639"/>
      <c r="G1039" s="640"/>
      <c r="H1039" s="745"/>
      <c r="I1039" s="746"/>
      <c r="J1039" s="638"/>
      <c r="K1039" s="746"/>
      <c r="L1039" s="637"/>
      <c r="M1039" s="818"/>
      <c r="N1039" s="818"/>
      <c r="O1039" s="638"/>
    </row>
    <row r="1040" spans="2:15" s="481" customFormat="1" x14ac:dyDescent="0.3">
      <c r="B1040" s="86"/>
      <c r="C1040" s="86"/>
      <c r="D1040" s="86"/>
      <c r="E1040" s="638"/>
      <c r="F1040" s="639"/>
      <c r="G1040" s="640"/>
      <c r="H1040" s="745"/>
      <c r="I1040" s="746"/>
      <c r="J1040" s="638"/>
      <c r="K1040" s="746"/>
      <c r="L1040" s="637"/>
      <c r="M1040" s="818"/>
      <c r="N1040" s="818"/>
      <c r="O1040" s="638"/>
    </row>
    <row r="1041" spans="2:15" s="481" customFormat="1" x14ac:dyDescent="0.3">
      <c r="B1041" s="86"/>
      <c r="C1041" s="86"/>
      <c r="D1041" s="86"/>
      <c r="E1041" s="638"/>
      <c r="F1041" s="639"/>
      <c r="G1041" s="640"/>
      <c r="H1041" s="745"/>
      <c r="I1041" s="746"/>
      <c r="J1041" s="638"/>
      <c r="K1041" s="746"/>
      <c r="L1041" s="637"/>
      <c r="M1041" s="818"/>
      <c r="N1041" s="818"/>
      <c r="O1041" s="638"/>
    </row>
    <row r="1042" spans="2:15" s="481" customFormat="1" x14ac:dyDescent="0.3">
      <c r="B1042" s="86"/>
      <c r="C1042" s="86"/>
      <c r="D1042" s="86"/>
      <c r="E1042" s="638"/>
      <c r="F1042" s="639"/>
      <c r="G1042" s="640"/>
      <c r="H1042" s="745"/>
      <c r="I1042" s="746"/>
      <c r="J1042" s="638"/>
      <c r="K1042" s="746"/>
      <c r="L1042" s="637"/>
      <c r="M1042" s="818"/>
      <c r="N1042" s="818"/>
      <c r="O1042" s="638"/>
    </row>
    <row r="1043" spans="2:15" s="481" customFormat="1" x14ac:dyDescent="0.3">
      <c r="B1043" s="86"/>
      <c r="C1043" s="86"/>
      <c r="D1043" s="86"/>
      <c r="E1043" s="638"/>
      <c r="F1043" s="639"/>
      <c r="G1043" s="640"/>
      <c r="H1043" s="745"/>
      <c r="I1043" s="746"/>
      <c r="J1043" s="638"/>
      <c r="K1043" s="746"/>
      <c r="L1043" s="637"/>
      <c r="M1043" s="818"/>
      <c r="N1043" s="818"/>
      <c r="O1043" s="638"/>
    </row>
    <row r="1044" spans="2:15" s="481" customFormat="1" x14ac:dyDescent="0.3">
      <c r="B1044" s="86"/>
      <c r="C1044" s="86"/>
      <c r="D1044" s="86"/>
      <c r="E1044" s="638"/>
      <c r="F1044" s="639"/>
      <c r="G1044" s="640"/>
      <c r="H1044" s="745"/>
      <c r="I1044" s="746"/>
      <c r="J1044" s="638"/>
      <c r="K1044" s="746"/>
      <c r="L1044" s="637"/>
      <c r="M1044" s="818"/>
      <c r="N1044" s="818"/>
      <c r="O1044" s="638"/>
    </row>
    <row r="1045" spans="2:15" s="481" customFormat="1" x14ac:dyDescent="0.3">
      <c r="B1045" s="86"/>
      <c r="C1045" s="86"/>
      <c r="D1045" s="86"/>
      <c r="E1045" s="638"/>
      <c r="F1045" s="639"/>
      <c r="G1045" s="640"/>
      <c r="H1045" s="745"/>
      <c r="I1045" s="746"/>
      <c r="J1045" s="638"/>
      <c r="K1045" s="746"/>
      <c r="L1045" s="637"/>
      <c r="M1045" s="818"/>
      <c r="N1045" s="818"/>
      <c r="O1045" s="638"/>
    </row>
    <row r="1046" spans="2:15" s="481" customFormat="1" x14ac:dyDescent="0.3">
      <c r="B1046" s="86"/>
      <c r="C1046" s="86"/>
      <c r="D1046" s="86"/>
      <c r="E1046" s="638"/>
      <c r="F1046" s="639"/>
      <c r="G1046" s="640"/>
      <c r="H1046" s="745"/>
      <c r="I1046" s="746"/>
      <c r="J1046" s="638"/>
      <c r="K1046" s="746"/>
      <c r="L1046" s="637"/>
      <c r="M1046" s="818"/>
      <c r="N1046" s="818"/>
      <c r="O1046" s="638"/>
    </row>
    <row r="1047" spans="2:15" s="481" customFormat="1" x14ac:dyDescent="0.3">
      <c r="B1047" s="86"/>
      <c r="C1047" s="86"/>
      <c r="D1047" s="86"/>
      <c r="E1047" s="638"/>
      <c r="F1047" s="639"/>
      <c r="G1047" s="640"/>
      <c r="H1047" s="745"/>
      <c r="I1047" s="746"/>
      <c r="J1047" s="638"/>
      <c r="K1047" s="746"/>
      <c r="L1047" s="637"/>
      <c r="M1047" s="818"/>
      <c r="N1047" s="818"/>
      <c r="O1047" s="638"/>
    </row>
    <row r="1048" spans="2:15" s="481" customFormat="1" x14ac:dyDescent="0.3">
      <c r="B1048" s="86"/>
      <c r="C1048" s="86"/>
      <c r="D1048" s="86"/>
      <c r="E1048" s="638"/>
      <c r="F1048" s="639"/>
      <c r="G1048" s="640"/>
      <c r="H1048" s="745"/>
      <c r="I1048" s="746"/>
      <c r="J1048" s="638"/>
      <c r="K1048" s="746"/>
      <c r="L1048" s="637"/>
      <c r="M1048" s="818"/>
      <c r="N1048" s="818"/>
      <c r="O1048" s="638"/>
    </row>
    <row r="1049" spans="2:15" s="481" customFormat="1" x14ac:dyDescent="0.3">
      <c r="B1049" s="86"/>
      <c r="C1049" s="86"/>
      <c r="D1049" s="86"/>
      <c r="E1049" s="638"/>
      <c r="F1049" s="639"/>
      <c r="G1049" s="640"/>
      <c r="H1049" s="745"/>
      <c r="I1049" s="746"/>
      <c r="J1049" s="638"/>
      <c r="K1049" s="746"/>
      <c r="L1049" s="637"/>
      <c r="M1049" s="818"/>
      <c r="N1049" s="818"/>
      <c r="O1049" s="638"/>
    </row>
    <row r="1050" spans="2:15" s="481" customFormat="1" x14ac:dyDescent="0.3">
      <c r="B1050" s="86"/>
      <c r="C1050" s="86"/>
      <c r="D1050" s="86"/>
      <c r="E1050" s="638"/>
      <c r="F1050" s="639"/>
      <c r="G1050" s="640"/>
      <c r="H1050" s="745"/>
      <c r="I1050" s="746"/>
      <c r="J1050" s="638"/>
      <c r="K1050" s="746"/>
      <c r="L1050" s="637"/>
      <c r="M1050" s="818"/>
      <c r="N1050" s="818"/>
      <c r="O1050" s="638"/>
    </row>
    <row r="1051" spans="2:15" s="481" customFormat="1" x14ac:dyDescent="0.3">
      <c r="B1051" s="86"/>
      <c r="C1051" s="86"/>
      <c r="D1051" s="86"/>
      <c r="E1051" s="638"/>
      <c r="F1051" s="639"/>
      <c r="G1051" s="640"/>
      <c r="H1051" s="745"/>
      <c r="I1051" s="746"/>
      <c r="J1051" s="638"/>
      <c r="K1051" s="746"/>
      <c r="L1051" s="637"/>
      <c r="M1051" s="818"/>
      <c r="N1051" s="818"/>
      <c r="O1051" s="638"/>
    </row>
    <row r="1052" spans="2:15" s="481" customFormat="1" x14ac:dyDescent="0.3">
      <c r="B1052" s="86"/>
      <c r="C1052" s="86"/>
      <c r="D1052" s="86"/>
      <c r="E1052" s="638"/>
      <c r="F1052" s="639"/>
      <c r="G1052" s="640"/>
      <c r="H1052" s="745"/>
      <c r="I1052" s="746"/>
      <c r="J1052" s="638"/>
      <c r="K1052" s="746"/>
      <c r="L1052" s="637"/>
      <c r="M1052" s="818"/>
      <c r="N1052" s="818"/>
      <c r="O1052" s="638"/>
    </row>
    <row r="1053" spans="2:15" s="481" customFormat="1" x14ac:dyDescent="0.3">
      <c r="B1053" s="86"/>
      <c r="C1053" s="86"/>
      <c r="D1053" s="86"/>
      <c r="E1053" s="638"/>
      <c r="F1053" s="639"/>
      <c r="G1053" s="640"/>
      <c r="H1053" s="745"/>
      <c r="I1053" s="746"/>
      <c r="J1053" s="638"/>
      <c r="K1053" s="746"/>
      <c r="L1053" s="637"/>
      <c r="M1053" s="818"/>
      <c r="N1053" s="818"/>
      <c r="O1053" s="638"/>
    </row>
    <row r="1054" spans="2:15" s="481" customFormat="1" x14ac:dyDescent="0.3">
      <c r="B1054" s="86"/>
      <c r="C1054" s="86"/>
      <c r="D1054" s="86"/>
      <c r="E1054" s="638"/>
      <c r="F1054" s="639"/>
      <c r="G1054" s="640"/>
      <c r="H1054" s="745"/>
      <c r="I1054" s="746"/>
      <c r="J1054" s="638"/>
      <c r="K1054" s="746"/>
      <c r="L1054" s="637"/>
      <c r="M1054" s="818"/>
      <c r="N1054" s="818"/>
      <c r="O1054" s="638"/>
    </row>
    <row r="1055" spans="2:15" s="481" customFormat="1" x14ac:dyDescent="0.3">
      <c r="B1055" s="86"/>
      <c r="C1055" s="86"/>
      <c r="D1055" s="86"/>
      <c r="E1055" s="638"/>
      <c r="F1055" s="639"/>
      <c r="G1055" s="640"/>
      <c r="H1055" s="745"/>
      <c r="I1055" s="746"/>
      <c r="J1055" s="638"/>
      <c r="K1055" s="746"/>
      <c r="L1055" s="637"/>
      <c r="M1055" s="818"/>
      <c r="N1055" s="818"/>
      <c r="O1055" s="638"/>
    </row>
    <row r="1056" spans="2:15" s="481" customFormat="1" x14ac:dyDescent="0.3">
      <c r="B1056" s="86"/>
      <c r="C1056" s="86"/>
      <c r="D1056" s="86"/>
      <c r="E1056" s="638"/>
      <c r="F1056" s="639"/>
      <c r="G1056" s="640"/>
      <c r="H1056" s="745"/>
      <c r="I1056" s="746"/>
      <c r="J1056" s="638"/>
      <c r="K1056" s="746"/>
      <c r="L1056" s="637"/>
      <c r="M1056" s="818"/>
      <c r="N1056" s="818"/>
      <c r="O1056" s="638"/>
    </row>
    <row r="1057" spans="2:15" s="481" customFormat="1" x14ac:dyDescent="0.3">
      <c r="B1057" s="86"/>
      <c r="C1057" s="86"/>
      <c r="D1057" s="86"/>
      <c r="E1057" s="638"/>
      <c r="F1057" s="639"/>
      <c r="G1057" s="640"/>
      <c r="H1057" s="745"/>
      <c r="I1057" s="746"/>
      <c r="J1057" s="638"/>
      <c r="K1057" s="746"/>
      <c r="L1057" s="637"/>
      <c r="M1057" s="818"/>
      <c r="N1057" s="818"/>
      <c r="O1057" s="638"/>
    </row>
    <row r="1058" spans="2:15" s="481" customFormat="1" x14ac:dyDescent="0.3">
      <c r="B1058" s="86"/>
      <c r="C1058" s="86"/>
      <c r="D1058" s="86"/>
      <c r="E1058" s="638"/>
      <c r="F1058" s="639"/>
      <c r="G1058" s="640"/>
      <c r="H1058" s="745"/>
      <c r="I1058" s="746"/>
      <c r="J1058" s="638"/>
      <c r="K1058" s="746"/>
      <c r="L1058" s="637"/>
      <c r="M1058" s="818"/>
      <c r="N1058" s="818"/>
      <c r="O1058" s="638"/>
    </row>
    <row r="1059" spans="2:15" s="481" customFormat="1" x14ac:dyDescent="0.3">
      <c r="B1059" s="86"/>
      <c r="C1059" s="86"/>
      <c r="D1059" s="86"/>
      <c r="E1059" s="638"/>
      <c r="F1059" s="639"/>
      <c r="G1059" s="640"/>
      <c r="H1059" s="745"/>
      <c r="I1059" s="746"/>
      <c r="J1059" s="638"/>
      <c r="K1059" s="746"/>
      <c r="L1059" s="637"/>
      <c r="M1059" s="818"/>
      <c r="N1059" s="818"/>
      <c r="O1059" s="638"/>
    </row>
    <row r="1060" spans="2:15" s="481" customFormat="1" x14ac:dyDescent="0.3">
      <c r="B1060" s="86"/>
      <c r="C1060" s="86"/>
      <c r="D1060" s="86"/>
      <c r="E1060" s="638"/>
      <c r="F1060" s="639"/>
      <c r="G1060" s="640"/>
      <c r="H1060" s="745"/>
      <c r="I1060" s="746"/>
      <c r="J1060" s="638"/>
      <c r="K1060" s="746"/>
      <c r="L1060" s="637"/>
      <c r="M1060" s="818"/>
      <c r="N1060" s="818"/>
      <c r="O1060" s="638"/>
    </row>
    <row r="1061" spans="2:15" s="481" customFormat="1" x14ac:dyDescent="0.3">
      <c r="B1061" s="86"/>
      <c r="C1061" s="86"/>
      <c r="D1061" s="86"/>
      <c r="E1061" s="638"/>
      <c r="F1061" s="639"/>
      <c r="G1061" s="640"/>
      <c r="H1061" s="745"/>
      <c r="I1061" s="746"/>
      <c r="J1061" s="638"/>
      <c r="K1061" s="746"/>
      <c r="L1061" s="637"/>
      <c r="M1061" s="818"/>
      <c r="N1061" s="818"/>
      <c r="O1061" s="638"/>
    </row>
    <row r="1062" spans="2:15" s="481" customFormat="1" x14ac:dyDescent="0.3">
      <c r="B1062" s="86"/>
      <c r="C1062" s="86"/>
      <c r="D1062" s="86"/>
      <c r="E1062" s="638"/>
      <c r="F1062" s="639"/>
      <c r="G1062" s="640"/>
      <c r="H1062" s="745"/>
      <c r="I1062" s="746"/>
      <c r="J1062" s="638"/>
      <c r="K1062" s="746"/>
      <c r="L1062" s="637"/>
      <c r="M1062" s="818"/>
      <c r="N1062" s="818"/>
      <c r="O1062" s="638"/>
    </row>
    <row r="1063" spans="2:15" s="481" customFormat="1" x14ac:dyDescent="0.3">
      <c r="B1063" s="86"/>
      <c r="C1063" s="86"/>
      <c r="D1063" s="86"/>
      <c r="E1063" s="638"/>
      <c r="F1063" s="639"/>
      <c r="G1063" s="640"/>
      <c r="H1063" s="745"/>
      <c r="I1063" s="746"/>
      <c r="J1063" s="638"/>
      <c r="K1063" s="746"/>
      <c r="L1063" s="637"/>
      <c r="M1063" s="818"/>
      <c r="N1063" s="818"/>
      <c r="O1063" s="638"/>
    </row>
    <row r="1064" spans="2:15" s="481" customFormat="1" x14ac:dyDescent="0.3">
      <c r="B1064" s="86"/>
      <c r="C1064" s="86"/>
      <c r="D1064" s="86"/>
      <c r="E1064" s="638"/>
      <c r="F1064" s="639"/>
      <c r="G1064" s="640"/>
      <c r="H1064" s="745"/>
      <c r="I1064" s="746"/>
      <c r="J1064" s="638"/>
      <c r="K1064" s="746"/>
      <c r="L1064" s="637"/>
      <c r="M1064" s="818"/>
      <c r="N1064" s="818"/>
      <c r="O1064" s="638"/>
    </row>
    <row r="1065" spans="2:15" s="481" customFormat="1" x14ac:dyDescent="0.3">
      <c r="B1065" s="86"/>
      <c r="C1065" s="86"/>
      <c r="D1065" s="86"/>
      <c r="E1065" s="638"/>
      <c r="F1065" s="639"/>
      <c r="G1065" s="640"/>
      <c r="H1065" s="745"/>
      <c r="I1065" s="746"/>
      <c r="J1065" s="638"/>
      <c r="K1065" s="746"/>
      <c r="L1065" s="637"/>
      <c r="M1065" s="818"/>
      <c r="N1065" s="818"/>
      <c r="O1065" s="638"/>
    </row>
    <row r="1066" spans="2:15" s="481" customFormat="1" x14ac:dyDescent="0.3">
      <c r="B1066" s="86"/>
      <c r="C1066" s="86"/>
      <c r="D1066" s="86"/>
      <c r="E1066" s="638"/>
      <c r="F1066" s="639"/>
      <c r="G1066" s="640"/>
      <c r="H1066" s="745"/>
      <c r="I1066" s="746"/>
      <c r="J1066" s="638"/>
      <c r="K1066" s="746"/>
      <c r="L1066" s="637"/>
      <c r="M1066" s="818"/>
      <c r="N1066" s="818"/>
      <c r="O1066" s="638"/>
    </row>
    <row r="1067" spans="2:15" s="481" customFormat="1" x14ac:dyDescent="0.3">
      <c r="B1067" s="86"/>
      <c r="C1067" s="86"/>
      <c r="D1067" s="86"/>
      <c r="E1067" s="638"/>
      <c r="F1067" s="639"/>
      <c r="G1067" s="640"/>
      <c r="H1067" s="745"/>
      <c r="I1067" s="746"/>
      <c r="J1067" s="638"/>
      <c r="K1067" s="746"/>
      <c r="L1067" s="637"/>
      <c r="M1067" s="818"/>
      <c r="N1067" s="818"/>
      <c r="O1067" s="638"/>
    </row>
    <row r="1068" spans="2:15" s="481" customFormat="1" x14ac:dyDescent="0.3">
      <c r="B1068" s="86"/>
      <c r="C1068" s="86"/>
      <c r="D1068" s="86"/>
      <c r="E1068" s="638"/>
      <c r="F1068" s="639"/>
      <c r="G1068" s="640"/>
      <c r="H1068" s="745"/>
      <c r="I1068" s="746"/>
      <c r="J1068" s="638"/>
      <c r="K1068" s="746"/>
      <c r="L1068" s="637"/>
      <c r="M1068" s="818"/>
      <c r="N1068" s="818"/>
      <c r="O1068" s="638"/>
    </row>
    <row r="1069" spans="2:15" s="481" customFormat="1" x14ac:dyDescent="0.3">
      <c r="B1069" s="86"/>
      <c r="C1069" s="86"/>
      <c r="D1069" s="86"/>
      <c r="E1069" s="638"/>
      <c r="F1069" s="639"/>
      <c r="G1069" s="640"/>
      <c r="H1069" s="745"/>
      <c r="I1069" s="746"/>
      <c r="J1069" s="638"/>
      <c r="K1069" s="746"/>
      <c r="L1069" s="637"/>
      <c r="M1069" s="818"/>
      <c r="N1069" s="818"/>
      <c r="O1069" s="638"/>
    </row>
    <row r="1070" spans="2:15" s="481" customFormat="1" x14ac:dyDescent="0.3">
      <c r="B1070" s="86"/>
      <c r="C1070" s="86"/>
      <c r="D1070" s="86"/>
      <c r="E1070" s="638"/>
      <c r="F1070" s="639"/>
      <c r="G1070" s="640"/>
      <c r="H1070" s="745"/>
      <c r="I1070" s="746"/>
      <c r="J1070" s="638"/>
      <c r="K1070" s="746"/>
      <c r="L1070" s="637"/>
      <c r="M1070" s="818"/>
      <c r="N1070" s="818"/>
      <c r="O1070" s="638"/>
    </row>
    <row r="1071" spans="2:15" s="481" customFormat="1" x14ac:dyDescent="0.3">
      <c r="B1071" s="86"/>
      <c r="C1071" s="86"/>
      <c r="D1071" s="86"/>
      <c r="E1071" s="638"/>
      <c r="F1071" s="639"/>
      <c r="G1071" s="640"/>
      <c r="H1071" s="745"/>
      <c r="I1071" s="746"/>
      <c r="J1071" s="638"/>
      <c r="K1071" s="746"/>
      <c r="L1071" s="637"/>
      <c r="M1071" s="818"/>
      <c r="N1071" s="818"/>
      <c r="O1071" s="638"/>
    </row>
    <row r="1072" spans="2:15" s="481" customFormat="1" x14ac:dyDescent="0.3">
      <c r="B1072" s="86"/>
      <c r="C1072" s="86"/>
      <c r="D1072" s="86"/>
      <c r="E1072" s="638"/>
      <c r="F1072" s="639"/>
      <c r="G1072" s="640"/>
      <c r="H1072" s="745"/>
      <c r="I1072" s="746"/>
      <c r="J1072" s="638"/>
      <c r="K1072" s="746"/>
      <c r="L1072" s="637"/>
      <c r="M1072" s="818"/>
      <c r="N1072" s="818"/>
      <c r="O1072" s="638"/>
    </row>
    <row r="1073" spans="2:15" s="481" customFormat="1" x14ac:dyDescent="0.3">
      <c r="B1073" s="86"/>
      <c r="C1073" s="86"/>
      <c r="D1073" s="86"/>
      <c r="E1073" s="638"/>
      <c r="F1073" s="639"/>
      <c r="G1073" s="640"/>
      <c r="H1073" s="745"/>
      <c r="I1073" s="746"/>
      <c r="J1073" s="638"/>
      <c r="K1073" s="746"/>
      <c r="L1073" s="637"/>
      <c r="M1073" s="818"/>
      <c r="N1073" s="818"/>
      <c r="O1073" s="638"/>
    </row>
    <row r="1074" spans="2:15" s="481" customFormat="1" x14ac:dyDescent="0.3">
      <c r="B1074" s="86"/>
      <c r="C1074" s="86"/>
      <c r="D1074" s="86"/>
      <c r="E1074" s="638"/>
      <c r="F1074" s="639"/>
      <c r="G1074" s="640"/>
      <c r="H1074" s="745"/>
      <c r="I1074" s="746"/>
      <c r="J1074" s="638"/>
      <c r="K1074" s="746"/>
      <c r="L1074" s="637"/>
      <c r="M1074" s="818"/>
      <c r="N1074" s="818"/>
      <c r="O1074" s="638"/>
    </row>
    <row r="1075" spans="2:15" s="481" customFormat="1" x14ac:dyDescent="0.3">
      <c r="B1075" s="86"/>
      <c r="C1075" s="86"/>
      <c r="D1075" s="86"/>
      <c r="E1075" s="638"/>
      <c r="F1075" s="639"/>
      <c r="G1075" s="640"/>
      <c r="H1075" s="745"/>
      <c r="I1075" s="746"/>
      <c r="J1075" s="638"/>
      <c r="K1075" s="746"/>
      <c r="L1075" s="637"/>
      <c r="M1075" s="818"/>
      <c r="N1075" s="818"/>
      <c r="O1075" s="638"/>
    </row>
    <row r="1076" spans="2:15" s="481" customFormat="1" x14ac:dyDescent="0.3">
      <c r="B1076" s="86"/>
      <c r="C1076" s="86"/>
      <c r="D1076" s="86"/>
      <c r="E1076" s="638"/>
      <c r="F1076" s="639"/>
      <c r="G1076" s="640"/>
      <c r="H1076" s="745"/>
      <c r="I1076" s="746"/>
      <c r="J1076" s="638"/>
      <c r="K1076" s="746"/>
      <c r="L1076" s="637"/>
      <c r="M1076" s="818"/>
      <c r="N1076" s="818"/>
      <c r="O1076" s="638"/>
    </row>
    <row r="1077" spans="2:15" s="481" customFormat="1" x14ac:dyDescent="0.3">
      <c r="B1077" s="86"/>
      <c r="C1077" s="86"/>
      <c r="D1077" s="86"/>
      <c r="E1077" s="638"/>
      <c r="F1077" s="639"/>
      <c r="G1077" s="640"/>
      <c r="H1077" s="745"/>
      <c r="I1077" s="746"/>
      <c r="J1077" s="638"/>
      <c r="K1077" s="746"/>
      <c r="L1077" s="637"/>
      <c r="M1077" s="818"/>
      <c r="N1077" s="818"/>
      <c r="O1077" s="638"/>
    </row>
    <row r="1078" spans="2:15" s="481" customFormat="1" x14ac:dyDescent="0.3">
      <c r="B1078" s="86"/>
      <c r="C1078" s="86"/>
      <c r="D1078" s="86"/>
      <c r="E1078" s="638"/>
      <c r="F1078" s="639"/>
      <c r="G1078" s="640"/>
      <c r="H1078" s="745"/>
      <c r="I1078" s="746"/>
      <c r="J1078" s="638"/>
      <c r="K1078" s="746"/>
      <c r="L1078" s="637"/>
      <c r="M1078" s="818"/>
      <c r="N1078" s="818"/>
      <c r="O1078" s="638"/>
    </row>
    <row r="1079" spans="2:15" s="481" customFormat="1" x14ac:dyDescent="0.3">
      <c r="B1079" s="86"/>
      <c r="C1079" s="86"/>
      <c r="D1079" s="86"/>
      <c r="E1079" s="638"/>
      <c r="F1079" s="639"/>
      <c r="G1079" s="640"/>
      <c r="H1079" s="745"/>
      <c r="I1079" s="746"/>
      <c r="J1079" s="638"/>
      <c r="K1079" s="746"/>
      <c r="L1079" s="637"/>
      <c r="M1079" s="818"/>
      <c r="N1079" s="818"/>
      <c r="O1079" s="638"/>
    </row>
    <row r="1080" spans="2:15" s="481" customFormat="1" x14ac:dyDescent="0.3">
      <c r="B1080" s="86"/>
      <c r="C1080" s="86"/>
      <c r="D1080" s="86"/>
      <c r="E1080" s="638"/>
      <c r="F1080" s="639"/>
      <c r="G1080" s="640"/>
      <c r="H1080" s="745"/>
      <c r="I1080" s="746"/>
      <c r="J1080" s="638"/>
      <c r="K1080" s="746"/>
      <c r="L1080" s="637"/>
      <c r="M1080" s="818"/>
      <c r="N1080" s="818"/>
      <c r="O1080" s="638"/>
    </row>
    <row r="1081" spans="2:15" s="481" customFormat="1" x14ac:dyDescent="0.3">
      <c r="B1081" s="86"/>
      <c r="C1081" s="86"/>
      <c r="D1081" s="86"/>
      <c r="E1081" s="638"/>
      <c r="F1081" s="639"/>
      <c r="G1081" s="640"/>
      <c r="H1081" s="745"/>
      <c r="I1081" s="746"/>
      <c r="J1081" s="638"/>
      <c r="K1081" s="746"/>
      <c r="L1081" s="637"/>
      <c r="M1081" s="818"/>
      <c r="N1081" s="818"/>
      <c r="O1081" s="638"/>
    </row>
    <row r="1082" spans="2:15" s="481" customFormat="1" x14ac:dyDescent="0.3">
      <c r="B1082" s="86"/>
      <c r="C1082" s="86"/>
      <c r="D1082" s="86"/>
      <c r="E1082" s="638"/>
      <c r="F1082" s="639"/>
      <c r="G1082" s="640"/>
      <c r="H1082" s="745"/>
      <c r="I1082" s="746"/>
      <c r="J1082" s="638"/>
      <c r="K1082" s="746"/>
      <c r="L1082" s="637"/>
      <c r="M1082" s="818"/>
      <c r="N1082" s="818"/>
      <c r="O1082" s="638"/>
    </row>
    <row r="1083" spans="2:15" s="481" customFormat="1" x14ac:dyDescent="0.3">
      <c r="B1083" s="86"/>
      <c r="C1083" s="86"/>
      <c r="D1083" s="86"/>
      <c r="E1083" s="638"/>
      <c r="F1083" s="639"/>
      <c r="G1083" s="640"/>
      <c r="H1083" s="745"/>
      <c r="I1083" s="746"/>
      <c r="J1083" s="638"/>
      <c r="K1083" s="746"/>
      <c r="L1083" s="637"/>
      <c r="M1083" s="818"/>
      <c r="N1083" s="818"/>
      <c r="O1083" s="638"/>
    </row>
    <row r="1084" spans="2:15" s="481" customFormat="1" x14ac:dyDescent="0.3">
      <c r="B1084" s="86"/>
      <c r="C1084" s="86"/>
      <c r="D1084" s="86"/>
      <c r="E1084" s="638"/>
      <c r="F1084" s="639"/>
      <c r="G1084" s="640"/>
      <c r="H1084" s="745"/>
      <c r="I1084" s="746"/>
      <c r="J1084" s="638"/>
      <c r="K1084" s="746"/>
      <c r="L1084" s="637"/>
      <c r="M1084" s="818"/>
      <c r="N1084" s="818"/>
      <c r="O1084" s="638"/>
    </row>
    <row r="1085" spans="2:15" s="481" customFormat="1" x14ac:dyDescent="0.3">
      <c r="B1085" s="86"/>
      <c r="C1085" s="86"/>
      <c r="D1085" s="86"/>
      <c r="E1085" s="638"/>
      <c r="F1085" s="639"/>
      <c r="G1085" s="640"/>
      <c r="H1085" s="745"/>
      <c r="I1085" s="746"/>
      <c r="J1085" s="638"/>
      <c r="K1085" s="746"/>
      <c r="L1085" s="637"/>
      <c r="M1085" s="818"/>
      <c r="N1085" s="818"/>
      <c r="O1085" s="638"/>
    </row>
    <row r="1086" spans="2:15" s="481" customFormat="1" x14ac:dyDescent="0.3">
      <c r="B1086" s="86"/>
      <c r="C1086" s="86"/>
      <c r="D1086" s="86"/>
      <c r="E1086" s="638"/>
      <c r="F1086" s="639"/>
      <c r="G1086" s="640"/>
      <c r="H1086" s="745"/>
      <c r="I1086" s="746"/>
      <c r="J1086" s="638"/>
      <c r="K1086" s="746"/>
      <c r="L1086" s="637"/>
      <c r="M1086" s="818"/>
      <c r="N1086" s="818"/>
      <c r="O1086" s="638"/>
    </row>
    <row r="1087" spans="2:15" s="481" customFormat="1" x14ac:dyDescent="0.3">
      <c r="B1087" s="86"/>
      <c r="C1087" s="86"/>
      <c r="D1087" s="86"/>
      <c r="E1087" s="638"/>
      <c r="F1087" s="639"/>
      <c r="G1087" s="640"/>
      <c r="H1087" s="745"/>
      <c r="I1087" s="746"/>
      <c r="J1087" s="638"/>
      <c r="K1087" s="746"/>
      <c r="L1087" s="637"/>
      <c r="M1087" s="818"/>
      <c r="N1087" s="818"/>
      <c r="O1087" s="638"/>
    </row>
    <row r="1088" spans="2:15" s="481" customFormat="1" x14ac:dyDescent="0.3">
      <c r="B1088" s="86"/>
      <c r="C1088" s="86"/>
      <c r="D1088" s="86"/>
      <c r="E1088" s="638"/>
      <c r="F1088" s="639"/>
      <c r="G1088" s="640"/>
      <c r="H1088" s="745"/>
      <c r="I1088" s="746"/>
      <c r="J1088" s="638"/>
      <c r="K1088" s="746"/>
      <c r="L1088" s="637"/>
      <c r="M1088" s="818"/>
      <c r="N1088" s="818"/>
      <c r="O1088" s="638"/>
    </row>
    <row r="1089" spans="2:15" s="481" customFormat="1" x14ac:dyDescent="0.3">
      <c r="B1089" s="86"/>
      <c r="C1089" s="86"/>
      <c r="D1089" s="86"/>
      <c r="E1089" s="638"/>
      <c r="F1089" s="639"/>
      <c r="G1089" s="640"/>
      <c r="H1089" s="745"/>
      <c r="I1089" s="746"/>
      <c r="J1089" s="638"/>
      <c r="K1089" s="746"/>
      <c r="L1089" s="637"/>
      <c r="M1089" s="818"/>
      <c r="N1089" s="818"/>
      <c r="O1089" s="638"/>
    </row>
    <row r="1090" spans="2:15" s="481" customFormat="1" x14ac:dyDescent="0.3">
      <c r="B1090" s="86"/>
      <c r="C1090" s="86"/>
      <c r="D1090" s="86"/>
      <c r="E1090" s="638"/>
      <c r="F1090" s="639"/>
      <c r="G1090" s="640"/>
      <c r="H1090" s="745"/>
      <c r="I1090" s="746"/>
      <c r="J1090" s="638"/>
      <c r="K1090" s="746"/>
      <c r="L1090" s="637"/>
      <c r="M1090" s="818"/>
      <c r="N1090" s="818"/>
      <c r="O1090" s="638"/>
    </row>
    <row r="1091" spans="2:15" s="481" customFormat="1" x14ac:dyDescent="0.3">
      <c r="B1091" s="86"/>
      <c r="C1091" s="86"/>
      <c r="D1091" s="86"/>
      <c r="E1091" s="638"/>
      <c r="F1091" s="639"/>
      <c r="G1091" s="640"/>
      <c r="H1091" s="745"/>
      <c r="I1091" s="746"/>
      <c r="J1091" s="638"/>
      <c r="K1091" s="746"/>
      <c r="L1091" s="637"/>
      <c r="M1091" s="818"/>
      <c r="N1091" s="818"/>
      <c r="O1091" s="638"/>
    </row>
    <row r="1092" spans="2:15" s="481" customFormat="1" x14ac:dyDescent="0.3">
      <c r="B1092" s="86"/>
      <c r="C1092" s="86"/>
      <c r="D1092" s="86"/>
      <c r="E1092" s="638"/>
      <c r="F1092" s="639"/>
      <c r="G1092" s="640"/>
      <c r="H1092" s="745"/>
      <c r="I1092" s="746"/>
      <c r="J1092" s="638"/>
      <c r="K1092" s="746"/>
      <c r="L1092" s="637"/>
      <c r="M1092" s="818"/>
      <c r="N1092" s="818"/>
      <c r="O1092" s="638"/>
    </row>
    <row r="1093" spans="2:15" s="481" customFormat="1" x14ac:dyDescent="0.3">
      <c r="B1093" s="86"/>
      <c r="C1093" s="86"/>
      <c r="D1093" s="86"/>
      <c r="E1093" s="638"/>
      <c r="F1093" s="639"/>
      <c r="G1093" s="640"/>
      <c r="H1093" s="745"/>
      <c r="I1093" s="746"/>
      <c r="J1093" s="638"/>
      <c r="K1093" s="746"/>
      <c r="L1093" s="637"/>
      <c r="M1093" s="818"/>
      <c r="N1093" s="818"/>
      <c r="O1093" s="638"/>
    </row>
    <row r="1094" spans="2:15" s="481" customFormat="1" x14ac:dyDescent="0.3">
      <c r="B1094" s="86"/>
      <c r="C1094" s="86"/>
      <c r="D1094" s="86"/>
      <c r="E1094" s="638"/>
      <c r="F1094" s="639"/>
      <c r="G1094" s="640"/>
      <c r="H1094" s="745"/>
      <c r="I1094" s="746"/>
      <c r="J1094" s="638"/>
      <c r="K1094" s="746"/>
      <c r="L1094" s="637"/>
      <c r="M1094" s="818"/>
      <c r="N1094" s="818"/>
      <c r="O1094" s="638"/>
    </row>
    <row r="1095" spans="2:15" s="481" customFormat="1" x14ac:dyDescent="0.3">
      <c r="B1095" s="86"/>
      <c r="C1095" s="86"/>
      <c r="D1095" s="86"/>
      <c r="E1095" s="638"/>
      <c r="F1095" s="639"/>
      <c r="G1095" s="640"/>
      <c r="H1095" s="745"/>
      <c r="I1095" s="746"/>
      <c r="J1095" s="638"/>
      <c r="K1095" s="746"/>
      <c r="L1095" s="637"/>
      <c r="M1095" s="818"/>
      <c r="N1095" s="818"/>
      <c r="O1095" s="638"/>
    </row>
    <row r="1096" spans="2:15" s="481" customFormat="1" x14ac:dyDescent="0.3">
      <c r="B1096" s="86"/>
      <c r="C1096" s="86"/>
      <c r="D1096" s="86"/>
      <c r="E1096" s="638"/>
      <c r="F1096" s="639"/>
      <c r="G1096" s="640"/>
      <c r="H1096" s="745"/>
      <c r="I1096" s="746"/>
      <c r="J1096" s="638"/>
      <c r="K1096" s="746"/>
      <c r="L1096" s="637"/>
      <c r="M1096" s="818"/>
      <c r="N1096" s="818"/>
      <c r="O1096" s="638"/>
    </row>
    <row r="1097" spans="2:15" s="481" customFormat="1" x14ac:dyDescent="0.3">
      <c r="B1097" s="86"/>
      <c r="C1097" s="86"/>
      <c r="D1097" s="86"/>
      <c r="E1097" s="638"/>
      <c r="F1097" s="639"/>
      <c r="G1097" s="640"/>
      <c r="H1097" s="745"/>
      <c r="I1097" s="746"/>
      <c r="J1097" s="638"/>
      <c r="K1097" s="746"/>
      <c r="L1097" s="637"/>
      <c r="M1097" s="818"/>
      <c r="N1097" s="818"/>
      <c r="O1097" s="638"/>
    </row>
    <row r="1098" spans="2:15" s="481" customFormat="1" x14ac:dyDescent="0.3">
      <c r="B1098" s="86"/>
      <c r="C1098" s="86"/>
      <c r="D1098" s="86"/>
      <c r="E1098" s="638"/>
      <c r="F1098" s="639"/>
      <c r="G1098" s="640"/>
      <c r="H1098" s="745"/>
      <c r="I1098" s="746"/>
      <c r="J1098" s="638"/>
      <c r="K1098" s="746"/>
      <c r="L1098" s="637"/>
      <c r="M1098" s="818"/>
      <c r="N1098" s="818"/>
      <c r="O1098" s="638"/>
    </row>
    <row r="1099" spans="2:15" s="481" customFormat="1" x14ac:dyDescent="0.3">
      <c r="B1099" s="86"/>
      <c r="C1099" s="86"/>
      <c r="D1099" s="86"/>
      <c r="E1099" s="638"/>
      <c r="F1099" s="639"/>
      <c r="G1099" s="640"/>
      <c r="H1099" s="745"/>
      <c r="I1099" s="746"/>
      <c r="J1099" s="638"/>
      <c r="K1099" s="746"/>
      <c r="L1099" s="637"/>
      <c r="M1099" s="818"/>
      <c r="N1099" s="818"/>
      <c r="O1099" s="638"/>
    </row>
    <row r="1100" spans="2:15" s="481" customFormat="1" x14ac:dyDescent="0.3">
      <c r="B1100" s="86"/>
      <c r="C1100" s="86"/>
      <c r="D1100" s="86"/>
      <c r="E1100" s="638"/>
      <c r="F1100" s="639"/>
      <c r="G1100" s="640"/>
      <c r="H1100" s="745"/>
      <c r="I1100" s="746"/>
      <c r="J1100" s="638"/>
      <c r="K1100" s="746"/>
      <c r="L1100" s="637"/>
      <c r="M1100" s="818"/>
      <c r="N1100" s="818"/>
      <c r="O1100" s="638"/>
    </row>
    <row r="1101" spans="2:15" s="481" customFormat="1" x14ac:dyDescent="0.3">
      <c r="B1101" s="86"/>
      <c r="C1101" s="86"/>
      <c r="D1101" s="86"/>
      <c r="E1101" s="638"/>
      <c r="F1101" s="639"/>
      <c r="G1101" s="640"/>
      <c r="H1101" s="745"/>
      <c r="I1101" s="746"/>
      <c r="J1101" s="638"/>
      <c r="K1101" s="746"/>
      <c r="L1101" s="637"/>
      <c r="M1101" s="818"/>
      <c r="N1101" s="818"/>
      <c r="O1101" s="638"/>
    </row>
    <row r="1102" spans="2:15" s="481" customFormat="1" x14ac:dyDescent="0.3">
      <c r="B1102" s="86"/>
      <c r="C1102" s="86"/>
      <c r="D1102" s="86"/>
      <c r="E1102" s="638"/>
      <c r="F1102" s="639"/>
      <c r="G1102" s="640"/>
      <c r="H1102" s="745"/>
      <c r="I1102" s="746"/>
      <c r="J1102" s="638"/>
      <c r="K1102" s="746"/>
      <c r="L1102" s="637"/>
      <c r="M1102" s="818"/>
      <c r="N1102" s="818"/>
      <c r="O1102" s="638"/>
    </row>
    <row r="1103" spans="2:15" s="481" customFormat="1" x14ac:dyDescent="0.3">
      <c r="B1103" s="86"/>
      <c r="C1103" s="86"/>
      <c r="D1103" s="86"/>
      <c r="E1103" s="638"/>
      <c r="F1103" s="639"/>
      <c r="G1103" s="640"/>
      <c r="H1103" s="745"/>
      <c r="I1103" s="746"/>
      <c r="J1103" s="638"/>
      <c r="K1103" s="746"/>
      <c r="L1103" s="637"/>
      <c r="M1103" s="818"/>
      <c r="N1103" s="818"/>
      <c r="O1103" s="638"/>
    </row>
    <row r="1104" spans="2:15" s="481" customFormat="1" x14ac:dyDescent="0.3">
      <c r="B1104" s="86"/>
      <c r="C1104" s="86"/>
      <c r="D1104" s="86"/>
      <c r="E1104" s="638"/>
      <c r="F1104" s="639"/>
      <c r="G1104" s="640"/>
      <c r="H1104" s="745"/>
      <c r="I1104" s="746"/>
      <c r="J1104" s="638"/>
      <c r="K1104" s="746"/>
      <c r="L1104" s="637"/>
      <c r="M1104" s="818"/>
      <c r="N1104" s="818"/>
      <c r="O1104" s="638"/>
    </row>
    <row r="1105" spans="2:15" s="481" customFormat="1" x14ac:dyDescent="0.3">
      <c r="B1105" s="86"/>
      <c r="C1105" s="86"/>
      <c r="D1105" s="86"/>
      <c r="E1105" s="638"/>
      <c r="F1105" s="639"/>
      <c r="G1105" s="640"/>
      <c r="H1105" s="745"/>
      <c r="I1105" s="746"/>
      <c r="J1105" s="638"/>
      <c r="K1105" s="746"/>
      <c r="L1105" s="637"/>
      <c r="M1105" s="818"/>
      <c r="N1105" s="818"/>
      <c r="O1105" s="638"/>
    </row>
    <row r="1106" spans="2:15" s="481" customFormat="1" x14ac:dyDescent="0.3">
      <c r="B1106" s="86"/>
      <c r="C1106" s="86"/>
      <c r="D1106" s="86"/>
      <c r="E1106" s="638"/>
      <c r="F1106" s="639"/>
      <c r="G1106" s="640"/>
      <c r="H1106" s="745"/>
      <c r="I1106" s="746"/>
      <c r="J1106" s="638"/>
      <c r="K1106" s="746"/>
      <c r="L1106" s="637"/>
      <c r="M1106" s="818"/>
      <c r="N1106" s="818"/>
      <c r="O1106" s="638"/>
    </row>
    <row r="1107" spans="2:15" s="481" customFormat="1" x14ac:dyDescent="0.3">
      <c r="B1107" s="86"/>
      <c r="C1107" s="86"/>
      <c r="D1107" s="86"/>
      <c r="E1107" s="638"/>
      <c r="F1107" s="639"/>
      <c r="G1107" s="640"/>
      <c r="H1107" s="745"/>
      <c r="I1107" s="746"/>
      <c r="J1107" s="638"/>
      <c r="K1107" s="746"/>
      <c r="L1107" s="637"/>
      <c r="M1107" s="818"/>
      <c r="N1107" s="818"/>
      <c r="O1107" s="638"/>
    </row>
    <row r="1108" spans="2:15" s="481" customFormat="1" x14ac:dyDescent="0.3">
      <c r="B1108" s="86"/>
      <c r="C1108" s="86"/>
      <c r="D1108" s="86"/>
      <c r="E1108" s="638"/>
      <c r="F1108" s="639"/>
      <c r="G1108" s="640"/>
      <c r="H1108" s="745"/>
      <c r="I1108" s="746"/>
      <c r="J1108" s="638"/>
      <c r="K1108" s="746"/>
      <c r="L1108" s="637"/>
      <c r="M1108" s="818"/>
      <c r="N1108" s="818"/>
      <c r="O1108" s="638"/>
    </row>
    <row r="1109" spans="2:15" s="481" customFormat="1" x14ac:dyDescent="0.3">
      <c r="B1109" s="86"/>
      <c r="C1109" s="86"/>
      <c r="D1109" s="86"/>
      <c r="E1109" s="638"/>
      <c r="F1109" s="639"/>
      <c r="G1109" s="640"/>
      <c r="H1109" s="745"/>
      <c r="I1109" s="746"/>
      <c r="J1109" s="638"/>
      <c r="K1109" s="746"/>
      <c r="L1109" s="637"/>
      <c r="M1109" s="818"/>
      <c r="N1109" s="818"/>
      <c r="O1109" s="638"/>
    </row>
    <row r="1110" spans="2:15" s="481" customFormat="1" x14ac:dyDescent="0.3">
      <c r="B1110" s="86"/>
      <c r="C1110" s="86"/>
      <c r="D1110" s="86"/>
      <c r="E1110" s="638"/>
      <c r="F1110" s="639"/>
      <c r="G1110" s="640"/>
      <c r="H1110" s="745"/>
      <c r="I1110" s="746"/>
      <c r="J1110" s="638"/>
      <c r="K1110" s="746"/>
      <c r="L1110" s="637"/>
      <c r="M1110" s="818"/>
      <c r="N1110" s="818"/>
      <c r="O1110" s="638"/>
    </row>
    <row r="1111" spans="2:15" s="481" customFormat="1" x14ac:dyDescent="0.3">
      <c r="B1111" s="86"/>
      <c r="C1111" s="86"/>
      <c r="D1111" s="86"/>
      <c r="E1111" s="638"/>
      <c r="F1111" s="639"/>
      <c r="G1111" s="640"/>
      <c r="H1111" s="745"/>
      <c r="I1111" s="746"/>
      <c r="J1111" s="638"/>
      <c r="K1111" s="746"/>
      <c r="L1111" s="637"/>
      <c r="M1111" s="818"/>
      <c r="N1111" s="818"/>
      <c r="O1111" s="638"/>
    </row>
    <row r="1112" spans="2:15" s="481" customFormat="1" x14ac:dyDescent="0.3">
      <c r="B1112" s="86"/>
      <c r="C1112" s="86"/>
      <c r="D1112" s="86"/>
      <c r="E1112" s="638"/>
      <c r="F1112" s="639"/>
      <c r="G1112" s="640"/>
      <c r="H1112" s="745"/>
      <c r="I1112" s="746"/>
      <c r="J1112" s="638"/>
      <c r="K1112" s="746"/>
      <c r="L1112" s="637"/>
      <c r="M1112" s="818"/>
      <c r="N1112" s="818"/>
      <c r="O1112" s="638"/>
    </row>
    <row r="1113" spans="2:15" s="481" customFormat="1" x14ac:dyDescent="0.3">
      <c r="B1113" s="86"/>
      <c r="C1113" s="86"/>
      <c r="D1113" s="86"/>
      <c r="E1113" s="638"/>
      <c r="F1113" s="639"/>
      <c r="G1113" s="640"/>
      <c r="H1113" s="745"/>
      <c r="I1113" s="746"/>
      <c r="J1113" s="638"/>
      <c r="K1113" s="746"/>
      <c r="L1113" s="637"/>
      <c r="M1113" s="818"/>
      <c r="N1113" s="818"/>
      <c r="O1113" s="638"/>
    </row>
    <row r="1114" spans="2:15" s="481" customFormat="1" x14ac:dyDescent="0.3">
      <c r="B1114" s="86"/>
      <c r="C1114" s="86"/>
      <c r="D1114" s="86"/>
      <c r="E1114" s="638"/>
      <c r="F1114" s="639"/>
      <c r="G1114" s="640"/>
      <c r="H1114" s="745"/>
      <c r="I1114" s="746"/>
      <c r="J1114" s="638"/>
      <c r="K1114" s="746"/>
      <c r="L1114" s="637"/>
      <c r="M1114" s="818"/>
      <c r="N1114" s="818"/>
      <c r="O1114" s="638"/>
    </row>
    <row r="1115" spans="2:15" s="481" customFormat="1" x14ac:dyDescent="0.3">
      <c r="B1115" s="86"/>
      <c r="C1115" s="86"/>
      <c r="D1115" s="86"/>
      <c r="E1115" s="638"/>
      <c r="F1115" s="639"/>
      <c r="G1115" s="640"/>
      <c r="H1115" s="745"/>
      <c r="I1115" s="746"/>
      <c r="J1115" s="638"/>
      <c r="K1115" s="746"/>
      <c r="L1115" s="637"/>
      <c r="M1115" s="818"/>
      <c r="N1115" s="818"/>
      <c r="O1115" s="638"/>
    </row>
    <row r="1116" spans="2:15" s="481" customFormat="1" x14ac:dyDescent="0.3">
      <c r="B1116" s="86"/>
      <c r="C1116" s="86"/>
      <c r="D1116" s="86"/>
      <c r="E1116" s="638"/>
      <c r="F1116" s="639"/>
      <c r="G1116" s="640"/>
      <c r="H1116" s="745"/>
      <c r="I1116" s="746"/>
      <c r="J1116" s="638"/>
      <c r="K1116" s="746"/>
      <c r="L1116" s="637"/>
      <c r="M1116" s="818"/>
      <c r="N1116" s="818"/>
      <c r="O1116" s="638"/>
    </row>
    <row r="1117" spans="2:15" s="481" customFormat="1" x14ac:dyDescent="0.3">
      <c r="B1117" s="86"/>
      <c r="C1117" s="86"/>
      <c r="D1117" s="86"/>
      <c r="E1117" s="638"/>
      <c r="F1117" s="639"/>
      <c r="G1117" s="640"/>
      <c r="H1117" s="745"/>
      <c r="I1117" s="746"/>
      <c r="J1117" s="638"/>
      <c r="K1117" s="746"/>
      <c r="L1117" s="637"/>
      <c r="M1117" s="818"/>
      <c r="N1117" s="818"/>
      <c r="O1117" s="638"/>
    </row>
    <row r="1118" spans="2:15" s="481" customFormat="1" x14ac:dyDescent="0.3">
      <c r="B1118" s="86"/>
      <c r="C1118" s="86"/>
      <c r="D1118" s="86"/>
      <c r="E1118" s="638"/>
      <c r="F1118" s="639"/>
      <c r="G1118" s="640"/>
      <c r="H1118" s="745"/>
      <c r="I1118" s="746"/>
      <c r="J1118" s="638"/>
      <c r="K1118" s="746"/>
      <c r="L1118" s="637"/>
      <c r="M1118" s="818"/>
      <c r="N1118" s="818"/>
      <c r="O1118" s="638"/>
    </row>
    <row r="1119" spans="2:15" s="481" customFormat="1" x14ac:dyDescent="0.3">
      <c r="B1119" s="86"/>
      <c r="C1119" s="86"/>
      <c r="D1119" s="86"/>
      <c r="E1119" s="638"/>
      <c r="F1119" s="639"/>
      <c r="G1119" s="640"/>
      <c r="H1119" s="745"/>
      <c r="I1119" s="746"/>
      <c r="J1119" s="638"/>
      <c r="K1119" s="746"/>
      <c r="L1119" s="637"/>
      <c r="M1119" s="818"/>
      <c r="N1119" s="818"/>
      <c r="O1119" s="638"/>
    </row>
    <row r="1120" spans="2:15" s="481" customFormat="1" x14ac:dyDescent="0.3">
      <c r="B1120" s="86"/>
      <c r="C1120" s="86"/>
      <c r="D1120" s="86"/>
      <c r="E1120" s="638"/>
      <c r="F1120" s="639"/>
      <c r="G1120" s="640"/>
      <c r="H1120" s="745"/>
      <c r="I1120" s="746"/>
      <c r="J1120" s="638"/>
      <c r="K1120" s="746"/>
      <c r="L1120" s="637"/>
      <c r="M1120" s="818"/>
      <c r="N1120" s="818"/>
      <c r="O1120" s="638"/>
    </row>
    <row r="1121" spans="2:15" s="481" customFormat="1" x14ac:dyDescent="0.3">
      <c r="B1121" s="86"/>
      <c r="C1121" s="86"/>
      <c r="D1121" s="86"/>
      <c r="E1121" s="638"/>
      <c r="F1121" s="639"/>
      <c r="G1121" s="640"/>
      <c r="H1121" s="745"/>
      <c r="I1121" s="746"/>
      <c r="J1121" s="638"/>
      <c r="K1121" s="746"/>
      <c r="L1121" s="637"/>
      <c r="M1121" s="818"/>
      <c r="N1121" s="818"/>
      <c r="O1121" s="638"/>
    </row>
    <row r="1122" spans="2:15" s="481" customFormat="1" x14ac:dyDescent="0.3">
      <c r="B1122" s="86"/>
      <c r="C1122" s="86"/>
      <c r="D1122" s="86"/>
      <c r="E1122" s="638"/>
      <c r="F1122" s="639"/>
      <c r="G1122" s="640"/>
      <c r="H1122" s="745"/>
      <c r="I1122" s="746"/>
      <c r="J1122" s="638"/>
      <c r="K1122" s="746"/>
      <c r="L1122" s="637"/>
      <c r="M1122" s="818"/>
      <c r="N1122" s="818"/>
      <c r="O1122" s="638"/>
    </row>
    <row r="1123" spans="2:15" s="481" customFormat="1" x14ac:dyDescent="0.3">
      <c r="B1123" s="86"/>
      <c r="C1123" s="86"/>
      <c r="D1123" s="86"/>
      <c r="E1123" s="638"/>
      <c r="F1123" s="639"/>
      <c r="G1123" s="640"/>
      <c r="H1123" s="745"/>
      <c r="I1123" s="746"/>
      <c r="J1123" s="638"/>
      <c r="K1123" s="746"/>
      <c r="L1123" s="637"/>
      <c r="M1123" s="818"/>
      <c r="N1123" s="818"/>
      <c r="O1123" s="638"/>
    </row>
    <row r="1124" spans="2:15" s="481" customFormat="1" x14ac:dyDescent="0.3">
      <c r="B1124" s="86"/>
      <c r="C1124" s="86"/>
      <c r="D1124" s="86"/>
      <c r="E1124" s="638"/>
      <c r="F1124" s="639"/>
      <c r="G1124" s="640"/>
      <c r="H1124" s="745"/>
      <c r="I1124" s="746"/>
      <c r="J1124" s="638"/>
      <c r="K1124" s="746"/>
      <c r="L1124" s="637"/>
      <c r="M1124" s="818"/>
      <c r="N1124" s="818"/>
      <c r="O1124" s="638"/>
    </row>
    <row r="1125" spans="2:15" s="481" customFormat="1" x14ac:dyDescent="0.3">
      <c r="B1125" s="86"/>
      <c r="C1125" s="86"/>
      <c r="D1125" s="86"/>
      <c r="E1125" s="638"/>
      <c r="F1125" s="639"/>
      <c r="G1125" s="640"/>
      <c r="H1125" s="745"/>
      <c r="I1125" s="746"/>
      <c r="J1125" s="638"/>
      <c r="K1125" s="746"/>
      <c r="L1125" s="637"/>
      <c r="M1125" s="818"/>
      <c r="N1125" s="818"/>
      <c r="O1125" s="638"/>
    </row>
    <row r="1126" spans="2:15" s="481" customFormat="1" x14ac:dyDescent="0.3">
      <c r="B1126" s="86"/>
      <c r="C1126" s="86"/>
      <c r="D1126" s="86"/>
      <c r="E1126" s="638"/>
      <c r="F1126" s="639"/>
      <c r="G1126" s="640"/>
      <c r="H1126" s="745"/>
      <c r="I1126" s="746"/>
      <c r="J1126" s="638"/>
      <c r="K1126" s="746"/>
      <c r="L1126" s="637"/>
      <c r="M1126" s="818"/>
      <c r="N1126" s="818"/>
      <c r="O1126" s="638"/>
    </row>
    <row r="1127" spans="2:15" s="481" customFormat="1" x14ac:dyDescent="0.3">
      <c r="B1127" s="86"/>
      <c r="C1127" s="86"/>
      <c r="D1127" s="86"/>
      <c r="E1127" s="638"/>
      <c r="F1127" s="639"/>
      <c r="G1127" s="640"/>
      <c r="H1127" s="745"/>
      <c r="I1127" s="746"/>
      <c r="J1127" s="638"/>
      <c r="K1127" s="746"/>
      <c r="L1127" s="637"/>
      <c r="M1127" s="818"/>
      <c r="N1127" s="818"/>
      <c r="O1127" s="638"/>
    </row>
    <row r="1128" spans="2:15" s="481" customFormat="1" x14ac:dyDescent="0.3">
      <c r="B1128" s="86"/>
      <c r="C1128" s="86"/>
      <c r="D1128" s="86"/>
      <c r="E1128" s="638"/>
      <c r="F1128" s="639"/>
      <c r="G1128" s="640"/>
      <c r="H1128" s="745"/>
      <c r="I1128" s="746"/>
      <c r="J1128" s="638"/>
      <c r="K1128" s="746"/>
      <c r="L1128" s="637"/>
      <c r="M1128" s="818"/>
      <c r="N1128" s="818"/>
      <c r="O1128" s="638"/>
    </row>
    <row r="1129" spans="2:15" s="481" customFormat="1" x14ac:dyDescent="0.3">
      <c r="B1129" s="86"/>
      <c r="C1129" s="86"/>
      <c r="D1129" s="86"/>
      <c r="E1129" s="638"/>
      <c r="F1129" s="639"/>
      <c r="G1129" s="640"/>
      <c r="H1129" s="745"/>
      <c r="I1129" s="746"/>
      <c r="J1129" s="638"/>
      <c r="K1129" s="746"/>
      <c r="L1129" s="637"/>
      <c r="M1129" s="818"/>
      <c r="N1129" s="818"/>
      <c r="O1129" s="638"/>
    </row>
    <row r="1130" spans="2:15" s="481" customFormat="1" x14ac:dyDescent="0.3">
      <c r="B1130" s="86"/>
      <c r="C1130" s="86"/>
      <c r="D1130" s="86"/>
      <c r="E1130" s="638"/>
      <c r="F1130" s="639"/>
      <c r="G1130" s="640"/>
      <c r="H1130" s="745"/>
      <c r="I1130" s="746"/>
      <c r="J1130" s="638"/>
      <c r="K1130" s="746"/>
      <c r="L1130" s="637"/>
      <c r="M1130" s="818"/>
      <c r="N1130" s="818"/>
      <c r="O1130" s="638"/>
    </row>
    <row r="1131" spans="2:15" s="481" customFormat="1" x14ac:dyDescent="0.3">
      <c r="B1131" s="86"/>
      <c r="C1131" s="86"/>
      <c r="D1131" s="86"/>
      <c r="E1131" s="638"/>
      <c r="F1131" s="639"/>
      <c r="G1131" s="640"/>
      <c r="H1131" s="745"/>
      <c r="I1131" s="746"/>
      <c r="J1131" s="638"/>
      <c r="K1131" s="746"/>
      <c r="L1131" s="637"/>
      <c r="M1131" s="818"/>
      <c r="N1131" s="818"/>
      <c r="O1131" s="638"/>
    </row>
    <row r="1132" spans="2:15" s="481" customFormat="1" x14ac:dyDescent="0.3">
      <c r="B1132" s="86"/>
      <c r="C1132" s="86"/>
      <c r="D1132" s="86"/>
      <c r="E1132" s="638"/>
      <c r="F1132" s="639"/>
      <c r="G1132" s="640"/>
      <c r="H1132" s="745"/>
      <c r="I1132" s="746"/>
      <c r="J1132" s="638"/>
      <c r="K1132" s="746"/>
      <c r="L1132" s="637"/>
      <c r="M1132" s="818"/>
      <c r="N1132" s="818"/>
      <c r="O1132" s="638"/>
    </row>
    <row r="1133" spans="2:15" s="481" customFormat="1" x14ac:dyDescent="0.3">
      <c r="B1133" s="86"/>
      <c r="C1133" s="86"/>
      <c r="D1133" s="86"/>
      <c r="E1133" s="638"/>
      <c r="F1133" s="639"/>
      <c r="G1133" s="640"/>
      <c r="H1133" s="745"/>
      <c r="I1133" s="746"/>
      <c r="J1133" s="638"/>
      <c r="K1133" s="746"/>
      <c r="L1133" s="637"/>
      <c r="M1133" s="818"/>
      <c r="N1133" s="818"/>
      <c r="O1133" s="638"/>
    </row>
    <row r="1134" spans="2:15" s="481" customFormat="1" x14ac:dyDescent="0.3">
      <c r="B1134" s="86"/>
      <c r="C1134" s="86"/>
      <c r="D1134" s="86"/>
      <c r="E1134" s="638"/>
      <c r="F1134" s="639"/>
      <c r="G1134" s="640"/>
      <c r="H1134" s="745"/>
      <c r="I1134" s="746"/>
      <c r="J1134" s="638"/>
      <c r="K1134" s="746"/>
      <c r="L1134" s="637"/>
      <c r="M1134" s="818"/>
      <c r="N1134" s="818"/>
      <c r="O1134" s="638"/>
    </row>
    <row r="1135" spans="2:15" s="481" customFormat="1" x14ac:dyDescent="0.3">
      <c r="B1135" s="86"/>
      <c r="C1135" s="86"/>
      <c r="D1135" s="86"/>
      <c r="E1135" s="638"/>
      <c r="F1135" s="639"/>
      <c r="G1135" s="640"/>
      <c r="H1135" s="745"/>
      <c r="I1135" s="746"/>
      <c r="J1135" s="638"/>
      <c r="K1135" s="746"/>
      <c r="L1135" s="637"/>
      <c r="M1135" s="818"/>
      <c r="N1135" s="818"/>
      <c r="O1135" s="638"/>
    </row>
    <row r="1136" spans="2:15" s="481" customFormat="1" x14ac:dyDescent="0.3">
      <c r="B1136" s="86"/>
      <c r="C1136" s="86"/>
      <c r="D1136" s="86"/>
      <c r="E1136" s="638"/>
      <c r="F1136" s="639"/>
      <c r="G1136" s="640"/>
      <c r="H1136" s="745"/>
      <c r="I1136" s="746"/>
      <c r="J1136" s="638"/>
      <c r="K1136" s="746"/>
      <c r="L1136" s="637"/>
      <c r="M1136" s="818"/>
      <c r="N1136" s="818"/>
      <c r="O1136" s="638"/>
    </row>
    <row r="1137" spans="2:15" s="481" customFormat="1" x14ac:dyDescent="0.3">
      <c r="B1137" s="86"/>
      <c r="C1137" s="86"/>
      <c r="D1137" s="86"/>
      <c r="E1137" s="638"/>
      <c r="F1137" s="639"/>
      <c r="G1137" s="640"/>
      <c r="H1137" s="745"/>
      <c r="I1137" s="746"/>
      <c r="J1137" s="638"/>
      <c r="K1137" s="746"/>
      <c r="L1137" s="637"/>
      <c r="M1137" s="818"/>
      <c r="N1137" s="818"/>
      <c r="O1137" s="638"/>
    </row>
    <row r="1138" spans="2:15" s="481" customFormat="1" x14ac:dyDescent="0.3">
      <c r="B1138" s="86"/>
      <c r="C1138" s="86"/>
      <c r="D1138" s="86"/>
      <c r="E1138" s="638"/>
      <c r="F1138" s="639"/>
      <c r="G1138" s="640"/>
      <c r="H1138" s="745"/>
      <c r="I1138" s="746"/>
      <c r="J1138" s="638"/>
      <c r="K1138" s="746"/>
      <c r="L1138" s="637"/>
      <c r="M1138" s="818"/>
      <c r="N1138" s="818"/>
      <c r="O1138" s="638"/>
    </row>
    <row r="1139" spans="2:15" s="481" customFormat="1" x14ac:dyDescent="0.3">
      <c r="B1139" s="86"/>
      <c r="C1139" s="86"/>
      <c r="D1139" s="86"/>
      <c r="E1139" s="638"/>
      <c r="F1139" s="639"/>
      <c r="G1139" s="640"/>
      <c r="H1139" s="745"/>
      <c r="I1139" s="746"/>
      <c r="J1139" s="638"/>
      <c r="K1139" s="746"/>
      <c r="L1139" s="637"/>
      <c r="M1139" s="818"/>
      <c r="N1139" s="818"/>
      <c r="O1139" s="638"/>
    </row>
    <row r="1140" spans="2:15" s="481" customFormat="1" x14ac:dyDescent="0.3">
      <c r="B1140" s="86"/>
      <c r="C1140" s="86"/>
      <c r="D1140" s="86"/>
      <c r="E1140" s="638"/>
      <c r="F1140" s="639"/>
      <c r="G1140" s="640"/>
      <c r="H1140" s="745"/>
      <c r="I1140" s="746"/>
      <c r="J1140" s="638"/>
      <c r="K1140" s="746"/>
      <c r="L1140" s="637"/>
      <c r="M1140" s="818"/>
      <c r="N1140" s="818"/>
      <c r="O1140" s="638"/>
    </row>
    <row r="1141" spans="2:15" s="481" customFormat="1" x14ac:dyDescent="0.3">
      <c r="B1141" s="86"/>
      <c r="C1141" s="86"/>
      <c r="D1141" s="86"/>
      <c r="E1141" s="638"/>
      <c r="F1141" s="639"/>
      <c r="G1141" s="640"/>
      <c r="H1141" s="745"/>
      <c r="I1141" s="746"/>
      <c r="J1141" s="638"/>
      <c r="K1141" s="746"/>
      <c r="L1141" s="637"/>
      <c r="M1141" s="818"/>
      <c r="N1141" s="818"/>
      <c r="O1141" s="638"/>
    </row>
    <row r="1142" spans="2:15" s="481" customFormat="1" x14ac:dyDescent="0.3">
      <c r="B1142" s="86"/>
      <c r="C1142" s="86"/>
      <c r="D1142" s="86"/>
      <c r="E1142" s="638"/>
      <c r="F1142" s="639"/>
      <c r="G1142" s="640"/>
      <c r="H1142" s="745"/>
      <c r="I1142" s="746"/>
      <c r="J1142" s="638"/>
      <c r="K1142" s="746"/>
      <c r="L1142" s="637"/>
      <c r="M1142" s="818"/>
      <c r="N1142" s="818"/>
      <c r="O1142" s="638"/>
    </row>
    <row r="1143" spans="2:15" s="481" customFormat="1" x14ac:dyDescent="0.3">
      <c r="B1143" s="86"/>
      <c r="C1143" s="86"/>
      <c r="D1143" s="86"/>
      <c r="E1143" s="638"/>
      <c r="F1143" s="639"/>
      <c r="G1143" s="640"/>
      <c r="H1143" s="745"/>
      <c r="I1143" s="746"/>
      <c r="J1143" s="638"/>
      <c r="K1143" s="746"/>
      <c r="L1143" s="637"/>
      <c r="M1143" s="818"/>
      <c r="N1143" s="818"/>
      <c r="O1143" s="638"/>
    </row>
    <row r="1144" spans="2:15" s="481" customFormat="1" x14ac:dyDescent="0.3">
      <c r="B1144" s="86"/>
      <c r="C1144" s="86"/>
      <c r="D1144" s="86"/>
      <c r="E1144" s="638"/>
      <c r="F1144" s="639"/>
      <c r="G1144" s="640"/>
      <c r="H1144" s="745"/>
      <c r="I1144" s="746"/>
      <c r="J1144" s="638"/>
      <c r="K1144" s="746"/>
      <c r="L1144" s="637"/>
      <c r="M1144" s="818"/>
      <c r="N1144" s="818"/>
      <c r="O1144" s="638"/>
    </row>
    <row r="1145" spans="2:15" s="481" customFormat="1" x14ac:dyDescent="0.3">
      <c r="B1145" s="86"/>
      <c r="C1145" s="86"/>
      <c r="D1145" s="86"/>
      <c r="E1145" s="638"/>
      <c r="F1145" s="639"/>
      <c r="G1145" s="640"/>
      <c r="H1145" s="745"/>
      <c r="I1145" s="746"/>
      <c r="J1145" s="638"/>
      <c r="K1145" s="746"/>
      <c r="L1145" s="637"/>
      <c r="M1145" s="818"/>
      <c r="N1145" s="818"/>
      <c r="O1145" s="638"/>
    </row>
    <row r="1146" spans="2:15" s="481" customFormat="1" x14ac:dyDescent="0.3">
      <c r="B1146" s="86"/>
      <c r="C1146" s="86"/>
      <c r="D1146" s="86"/>
      <c r="E1146" s="638"/>
      <c r="F1146" s="639"/>
      <c r="G1146" s="640"/>
      <c r="H1146" s="745"/>
      <c r="I1146" s="746"/>
      <c r="J1146" s="638"/>
      <c r="K1146" s="746"/>
      <c r="L1146" s="637"/>
      <c r="M1146" s="818"/>
      <c r="N1146" s="818"/>
      <c r="O1146" s="638"/>
    </row>
    <row r="1147" spans="2:15" s="481" customFormat="1" x14ac:dyDescent="0.3">
      <c r="B1147" s="86"/>
      <c r="C1147" s="86"/>
      <c r="D1147" s="86"/>
      <c r="E1147" s="638"/>
      <c r="F1147" s="639"/>
      <c r="G1147" s="640"/>
      <c r="H1147" s="745"/>
      <c r="I1147" s="746"/>
      <c r="J1147" s="638"/>
      <c r="K1147" s="746"/>
      <c r="L1147" s="637"/>
      <c r="M1147" s="818"/>
      <c r="N1147" s="818"/>
      <c r="O1147" s="638"/>
    </row>
    <row r="1148" spans="2:15" s="481" customFormat="1" x14ac:dyDescent="0.3">
      <c r="B1148" s="86"/>
      <c r="C1148" s="86"/>
      <c r="D1148" s="86"/>
      <c r="E1148" s="638"/>
      <c r="F1148" s="639"/>
      <c r="G1148" s="640"/>
      <c r="H1148" s="745"/>
      <c r="I1148" s="746"/>
      <c r="J1148" s="638"/>
      <c r="K1148" s="746"/>
      <c r="L1148" s="637"/>
      <c r="M1148" s="818"/>
      <c r="N1148" s="818"/>
      <c r="O1148" s="638"/>
    </row>
    <row r="1149" spans="2:15" s="481" customFormat="1" x14ac:dyDescent="0.3">
      <c r="B1149" s="86"/>
      <c r="C1149" s="86"/>
      <c r="D1149" s="86"/>
      <c r="E1149" s="638"/>
      <c r="F1149" s="639"/>
      <c r="G1149" s="640"/>
      <c r="H1149" s="745"/>
      <c r="I1149" s="746"/>
      <c r="J1149" s="638"/>
      <c r="K1149" s="746"/>
      <c r="L1149" s="637"/>
      <c r="M1149" s="818"/>
      <c r="N1149" s="818"/>
      <c r="O1149" s="638"/>
    </row>
    <row r="1150" spans="2:15" s="481" customFormat="1" x14ac:dyDescent="0.3">
      <c r="B1150" s="86"/>
      <c r="C1150" s="86"/>
      <c r="D1150" s="86"/>
      <c r="E1150" s="638"/>
      <c r="F1150" s="639"/>
      <c r="G1150" s="640"/>
      <c r="H1150" s="745"/>
      <c r="I1150" s="746"/>
      <c r="J1150" s="638"/>
      <c r="K1150" s="746"/>
      <c r="L1150" s="637"/>
      <c r="M1150" s="818"/>
      <c r="N1150" s="818"/>
      <c r="O1150" s="638"/>
    </row>
    <row r="1151" spans="2:15" s="481" customFormat="1" x14ac:dyDescent="0.3">
      <c r="B1151" s="86"/>
      <c r="C1151" s="86"/>
      <c r="D1151" s="86"/>
      <c r="E1151" s="638"/>
      <c r="F1151" s="639"/>
      <c r="G1151" s="640"/>
      <c r="H1151" s="745"/>
      <c r="I1151" s="746"/>
      <c r="J1151" s="638"/>
      <c r="K1151" s="746"/>
      <c r="L1151" s="637"/>
      <c r="M1151" s="818"/>
      <c r="N1151" s="818"/>
      <c r="O1151" s="638"/>
    </row>
    <row r="1152" spans="2:15" s="481" customFormat="1" x14ac:dyDescent="0.3">
      <c r="B1152" s="86"/>
      <c r="C1152" s="86"/>
      <c r="D1152" s="86"/>
      <c r="E1152" s="638"/>
      <c r="F1152" s="639"/>
      <c r="G1152" s="640"/>
      <c r="H1152" s="745"/>
      <c r="I1152" s="746"/>
      <c r="J1152" s="638"/>
      <c r="K1152" s="746"/>
      <c r="L1152" s="637"/>
      <c r="M1152" s="818"/>
      <c r="N1152" s="818"/>
      <c r="O1152" s="638"/>
    </row>
    <row r="1153" spans="2:15" s="481" customFormat="1" x14ac:dyDescent="0.3">
      <c r="B1153" s="86"/>
      <c r="C1153" s="86"/>
      <c r="D1153" s="86"/>
      <c r="E1153" s="638"/>
      <c r="F1153" s="639"/>
      <c r="G1153" s="640"/>
      <c r="H1153" s="745"/>
      <c r="I1153" s="746"/>
      <c r="J1153" s="638"/>
      <c r="K1153" s="746"/>
      <c r="L1153" s="637"/>
      <c r="M1153" s="818"/>
      <c r="N1153" s="818"/>
      <c r="O1153" s="638"/>
    </row>
    <row r="1154" spans="2:15" s="481" customFormat="1" x14ac:dyDescent="0.3">
      <c r="B1154" s="86"/>
      <c r="C1154" s="86"/>
      <c r="D1154" s="86"/>
      <c r="E1154" s="638"/>
      <c r="F1154" s="639"/>
      <c r="G1154" s="640"/>
      <c r="H1154" s="745"/>
      <c r="I1154" s="746"/>
      <c r="J1154" s="638"/>
      <c r="K1154" s="746"/>
      <c r="L1154" s="637"/>
      <c r="M1154" s="818"/>
      <c r="N1154" s="818"/>
      <c r="O1154" s="638"/>
    </row>
    <row r="1155" spans="2:15" s="481" customFormat="1" x14ac:dyDescent="0.3">
      <c r="B1155" s="86"/>
      <c r="C1155" s="86"/>
      <c r="D1155" s="86"/>
      <c r="E1155" s="638"/>
      <c r="F1155" s="639"/>
      <c r="G1155" s="640"/>
      <c r="H1155" s="745"/>
      <c r="I1155" s="746"/>
      <c r="J1155" s="638"/>
      <c r="K1155" s="746"/>
      <c r="L1155" s="637"/>
      <c r="M1155" s="818"/>
      <c r="N1155" s="818"/>
      <c r="O1155" s="638"/>
    </row>
    <row r="1156" spans="2:15" s="481" customFormat="1" x14ac:dyDescent="0.3">
      <c r="B1156" s="86"/>
      <c r="C1156" s="86"/>
      <c r="D1156" s="86"/>
      <c r="E1156" s="638"/>
      <c r="F1156" s="639"/>
      <c r="G1156" s="640"/>
      <c r="H1156" s="745"/>
      <c r="I1156" s="746"/>
      <c r="J1156" s="638"/>
      <c r="K1156" s="746"/>
      <c r="L1156" s="637"/>
      <c r="M1156" s="818"/>
      <c r="N1156" s="818"/>
      <c r="O1156" s="638"/>
    </row>
    <row r="1157" spans="2:15" s="481" customFormat="1" x14ac:dyDescent="0.3">
      <c r="B1157" s="86"/>
      <c r="C1157" s="86"/>
      <c r="D1157" s="86"/>
      <c r="E1157" s="638"/>
      <c r="F1157" s="639"/>
      <c r="G1157" s="640"/>
      <c r="H1157" s="745"/>
      <c r="I1157" s="746"/>
      <c r="J1157" s="638"/>
      <c r="K1157" s="746"/>
      <c r="L1157" s="637"/>
      <c r="M1157" s="818"/>
      <c r="N1157" s="818"/>
      <c r="O1157" s="638"/>
    </row>
    <row r="1158" spans="2:15" s="481" customFormat="1" x14ac:dyDescent="0.3">
      <c r="B1158" s="86"/>
      <c r="C1158" s="86"/>
      <c r="D1158" s="86"/>
      <c r="E1158" s="638"/>
      <c r="F1158" s="639"/>
      <c r="G1158" s="640"/>
      <c r="H1158" s="745"/>
      <c r="I1158" s="746"/>
      <c r="J1158" s="638"/>
      <c r="K1158" s="746"/>
      <c r="L1158" s="637"/>
      <c r="M1158" s="818"/>
      <c r="N1158" s="818"/>
      <c r="O1158" s="638"/>
    </row>
    <row r="1159" spans="2:15" s="481" customFormat="1" x14ac:dyDescent="0.3">
      <c r="B1159" s="86"/>
      <c r="C1159" s="86"/>
      <c r="D1159" s="86"/>
      <c r="E1159" s="638"/>
      <c r="F1159" s="639"/>
      <c r="G1159" s="640"/>
      <c r="H1159" s="745"/>
      <c r="I1159" s="746"/>
      <c r="J1159" s="638"/>
      <c r="K1159" s="746"/>
      <c r="L1159" s="637"/>
      <c r="M1159" s="818"/>
      <c r="N1159" s="818"/>
      <c r="O1159" s="638"/>
    </row>
    <row r="1160" spans="2:15" s="481" customFormat="1" x14ac:dyDescent="0.3">
      <c r="B1160" s="86"/>
      <c r="C1160" s="86"/>
      <c r="D1160" s="86"/>
      <c r="E1160" s="638"/>
      <c r="F1160" s="639"/>
      <c r="G1160" s="640"/>
      <c r="H1160" s="745"/>
      <c r="I1160" s="746"/>
      <c r="J1160" s="638"/>
      <c r="K1160" s="746"/>
      <c r="L1160" s="637"/>
      <c r="M1160" s="818"/>
      <c r="N1160" s="818"/>
      <c r="O1160" s="638"/>
    </row>
    <row r="1161" spans="2:15" s="481" customFormat="1" x14ac:dyDescent="0.3">
      <c r="B1161" s="86"/>
      <c r="C1161" s="86"/>
      <c r="D1161" s="86"/>
      <c r="E1161" s="638"/>
      <c r="F1161" s="639"/>
      <c r="G1161" s="640"/>
      <c r="H1161" s="745"/>
      <c r="I1161" s="746"/>
      <c r="J1161" s="638"/>
      <c r="K1161" s="746"/>
      <c r="L1161" s="637"/>
      <c r="M1161" s="818"/>
      <c r="N1161" s="818"/>
      <c r="O1161" s="638"/>
    </row>
    <row r="1162" spans="2:15" s="481" customFormat="1" x14ac:dyDescent="0.3">
      <c r="B1162" s="86"/>
      <c r="C1162" s="86"/>
      <c r="D1162" s="86"/>
      <c r="E1162" s="638"/>
      <c r="F1162" s="639"/>
      <c r="G1162" s="640"/>
      <c r="H1162" s="745"/>
      <c r="I1162" s="746"/>
      <c r="J1162" s="638"/>
      <c r="K1162" s="746"/>
      <c r="L1162" s="637"/>
      <c r="M1162" s="818"/>
      <c r="N1162" s="818"/>
      <c r="O1162" s="638"/>
    </row>
    <row r="1163" spans="2:15" s="481" customFormat="1" x14ac:dyDescent="0.3">
      <c r="B1163" s="86"/>
      <c r="C1163" s="86"/>
      <c r="D1163" s="86"/>
      <c r="E1163" s="638"/>
      <c r="F1163" s="639"/>
      <c r="G1163" s="640"/>
      <c r="H1163" s="745"/>
      <c r="I1163" s="746"/>
      <c r="J1163" s="638"/>
      <c r="K1163" s="746"/>
      <c r="L1163" s="637"/>
      <c r="M1163" s="818"/>
      <c r="N1163" s="818"/>
      <c r="O1163" s="638"/>
    </row>
    <row r="1164" spans="2:15" s="481" customFormat="1" x14ac:dyDescent="0.3">
      <c r="B1164" s="86"/>
      <c r="C1164" s="86"/>
      <c r="D1164" s="86"/>
      <c r="E1164" s="638"/>
      <c r="F1164" s="639"/>
      <c r="G1164" s="640"/>
      <c r="H1164" s="745"/>
      <c r="I1164" s="746"/>
      <c r="J1164" s="638"/>
      <c r="K1164" s="746"/>
      <c r="L1164" s="637"/>
      <c r="M1164" s="818"/>
      <c r="N1164" s="818"/>
      <c r="O1164" s="638"/>
    </row>
    <row r="1165" spans="2:15" s="481" customFormat="1" x14ac:dyDescent="0.3">
      <c r="B1165" s="86"/>
      <c r="C1165" s="86"/>
      <c r="D1165" s="86"/>
      <c r="E1165" s="638"/>
      <c r="F1165" s="639"/>
      <c r="G1165" s="640"/>
      <c r="H1165" s="745"/>
      <c r="I1165" s="746"/>
      <c r="J1165" s="638"/>
      <c r="K1165" s="746"/>
      <c r="L1165" s="637"/>
      <c r="M1165" s="818"/>
      <c r="N1165" s="818"/>
      <c r="O1165" s="638"/>
    </row>
    <row r="1166" spans="2:15" s="481" customFormat="1" x14ac:dyDescent="0.3">
      <c r="B1166" s="86"/>
      <c r="C1166" s="86"/>
      <c r="D1166" s="86"/>
      <c r="E1166" s="638"/>
      <c r="F1166" s="639"/>
      <c r="G1166" s="640"/>
      <c r="H1166" s="745"/>
      <c r="I1166" s="746"/>
      <c r="J1166" s="638"/>
      <c r="K1166" s="746"/>
      <c r="L1166" s="637"/>
      <c r="M1166" s="818"/>
      <c r="N1166" s="818"/>
      <c r="O1166" s="638"/>
    </row>
    <row r="1167" spans="2:15" s="481" customFormat="1" x14ac:dyDescent="0.3">
      <c r="B1167" s="86"/>
      <c r="C1167" s="86"/>
      <c r="D1167" s="86"/>
      <c r="E1167" s="638"/>
      <c r="F1167" s="639"/>
      <c r="G1167" s="640"/>
      <c r="H1167" s="745"/>
      <c r="I1167" s="746"/>
      <c r="J1167" s="638"/>
      <c r="K1167" s="746"/>
      <c r="L1167" s="637"/>
      <c r="M1167" s="818"/>
      <c r="N1167" s="818"/>
      <c r="O1167" s="638"/>
    </row>
    <row r="1168" spans="2:15" s="481" customFormat="1" x14ac:dyDescent="0.3">
      <c r="B1168" s="86"/>
      <c r="C1168" s="86"/>
      <c r="D1168" s="86"/>
      <c r="E1168" s="638"/>
      <c r="F1168" s="639"/>
      <c r="G1168" s="640"/>
      <c r="H1168" s="745"/>
      <c r="I1168" s="746"/>
      <c r="J1168" s="638"/>
      <c r="K1168" s="746"/>
      <c r="L1168" s="637"/>
      <c r="M1168" s="818"/>
      <c r="N1168" s="818"/>
      <c r="O1168" s="638"/>
    </row>
    <row r="1169" spans="2:15" s="481" customFormat="1" x14ac:dyDescent="0.3">
      <c r="B1169" s="86"/>
      <c r="C1169" s="86"/>
      <c r="D1169" s="86"/>
      <c r="E1169" s="638"/>
      <c r="F1169" s="639"/>
      <c r="G1169" s="640"/>
      <c r="H1169" s="745"/>
      <c r="I1169" s="746"/>
      <c r="J1169" s="638"/>
      <c r="K1169" s="746"/>
      <c r="L1169" s="637"/>
      <c r="M1169" s="818"/>
      <c r="N1169" s="818"/>
      <c r="O1169" s="638"/>
    </row>
    <row r="1170" spans="2:15" s="481" customFormat="1" x14ac:dyDescent="0.3">
      <c r="B1170" s="86"/>
      <c r="C1170" s="86"/>
      <c r="D1170" s="86"/>
      <c r="E1170" s="638"/>
      <c r="F1170" s="639"/>
      <c r="G1170" s="640"/>
      <c r="H1170" s="745"/>
      <c r="I1170" s="746"/>
      <c r="J1170" s="638"/>
      <c r="K1170" s="746"/>
      <c r="L1170" s="637"/>
      <c r="M1170" s="818"/>
      <c r="N1170" s="818"/>
      <c r="O1170" s="638"/>
    </row>
    <row r="1171" spans="2:15" s="481" customFormat="1" x14ac:dyDescent="0.3">
      <c r="B1171" s="86"/>
      <c r="C1171" s="86"/>
      <c r="D1171" s="86"/>
      <c r="E1171" s="638"/>
      <c r="F1171" s="639"/>
      <c r="G1171" s="640"/>
      <c r="H1171" s="745"/>
      <c r="I1171" s="746"/>
      <c r="J1171" s="638"/>
      <c r="K1171" s="746"/>
      <c r="L1171" s="637"/>
      <c r="M1171" s="818"/>
      <c r="N1171" s="818"/>
      <c r="O1171" s="638"/>
    </row>
    <row r="1172" spans="2:15" s="481" customFormat="1" x14ac:dyDescent="0.3">
      <c r="B1172" s="86"/>
      <c r="C1172" s="86"/>
      <c r="D1172" s="86"/>
      <c r="E1172" s="638"/>
      <c r="F1172" s="639"/>
      <c r="G1172" s="640"/>
      <c r="H1172" s="745"/>
      <c r="I1172" s="746"/>
      <c r="J1172" s="638"/>
      <c r="K1172" s="746"/>
      <c r="L1172" s="637"/>
      <c r="M1172" s="818"/>
      <c r="N1172" s="818"/>
      <c r="O1172" s="638"/>
    </row>
    <row r="1173" spans="2:15" s="481" customFormat="1" x14ac:dyDescent="0.3">
      <c r="B1173" s="86"/>
      <c r="C1173" s="86"/>
      <c r="D1173" s="86"/>
      <c r="E1173" s="638"/>
      <c r="F1173" s="639"/>
      <c r="G1173" s="640"/>
      <c r="H1173" s="745"/>
      <c r="I1173" s="746"/>
      <c r="J1173" s="638"/>
      <c r="K1173" s="746"/>
      <c r="L1173" s="637"/>
      <c r="M1173" s="818"/>
      <c r="N1173" s="818"/>
      <c r="O1173" s="638"/>
    </row>
    <row r="1174" spans="2:15" s="481" customFormat="1" x14ac:dyDescent="0.3">
      <c r="B1174" s="86"/>
      <c r="C1174" s="86"/>
      <c r="D1174" s="86"/>
      <c r="E1174" s="638"/>
      <c r="F1174" s="639"/>
      <c r="G1174" s="640"/>
      <c r="H1174" s="745"/>
      <c r="I1174" s="746"/>
      <c r="J1174" s="638"/>
      <c r="K1174" s="746"/>
      <c r="L1174" s="637"/>
      <c r="M1174" s="818"/>
      <c r="N1174" s="818"/>
      <c r="O1174" s="638"/>
    </row>
    <row r="1175" spans="2:15" s="481" customFormat="1" x14ac:dyDescent="0.3">
      <c r="B1175" s="86"/>
      <c r="C1175" s="86"/>
      <c r="D1175" s="86"/>
      <c r="E1175" s="638"/>
      <c r="F1175" s="639"/>
      <c r="G1175" s="640"/>
      <c r="H1175" s="745"/>
      <c r="I1175" s="746"/>
      <c r="J1175" s="638"/>
      <c r="K1175" s="746"/>
      <c r="L1175" s="637"/>
      <c r="M1175" s="818"/>
      <c r="N1175" s="818"/>
      <c r="O1175" s="638"/>
    </row>
    <row r="1176" spans="2:15" s="481" customFormat="1" x14ac:dyDescent="0.3">
      <c r="B1176" s="86"/>
      <c r="C1176" s="86"/>
      <c r="D1176" s="86"/>
      <c r="E1176" s="638"/>
      <c r="F1176" s="639"/>
      <c r="G1176" s="640"/>
      <c r="H1176" s="745"/>
      <c r="I1176" s="746"/>
      <c r="J1176" s="638"/>
      <c r="K1176" s="746"/>
      <c r="L1176" s="637"/>
      <c r="M1176" s="818"/>
      <c r="N1176" s="818"/>
      <c r="O1176" s="638"/>
    </row>
    <row r="1177" spans="2:15" s="481" customFormat="1" x14ac:dyDescent="0.3">
      <c r="B1177" s="86"/>
      <c r="C1177" s="86"/>
      <c r="D1177" s="86"/>
      <c r="E1177" s="638"/>
      <c r="F1177" s="639"/>
      <c r="G1177" s="640"/>
      <c r="H1177" s="745"/>
      <c r="I1177" s="746"/>
      <c r="J1177" s="638"/>
      <c r="K1177" s="746"/>
      <c r="L1177" s="637"/>
      <c r="M1177" s="818"/>
      <c r="N1177" s="818"/>
      <c r="O1177" s="638"/>
    </row>
    <row r="1178" spans="2:15" s="481" customFormat="1" x14ac:dyDescent="0.3">
      <c r="B1178" s="86"/>
      <c r="C1178" s="86"/>
      <c r="D1178" s="86"/>
      <c r="E1178" s="638"/>
      <c r="F1178" s="639"/>
      <c r="G1178" s="640"/>
      <c r="H1178" s="745"/>
      <c r="I1178" s="746"/>
      <c r="J1178" s="638"/>
      <c r="K1178" s="746"/>
      <c r="L1178" s="637"/>
      <c r="M1178" s="818"/>
      <c r="N1178" s="818"/>
      <c r="O1178" s="638"/>
    </row>
    <row r="1179" spans="2:15" s="481" customFormat="1" x14ac:dyDescent="0.3">
      <c r="B1179" s="86"/>
      <c r="C1179" s="86"/>
      <c r="D1179" s="86"/>
      <c r="E1179" s="638"/>
      <c r="F1179" s="639"/>
      <c r="G1179" s="640"/>
      <c r="H1179" s="745"/>
      <c r="I1179" s="746"/>
      <c r="J1179" s="638"/>
      <c r="K1179" s="746"/>
      <c r="L1179" s="637"/>
      <c r="M1179" s="818"/>
      <c r="N1179" s="818"/>
      <c r="O1179" s="638"/>
    </row>
    <row r="1180" spans="2:15" s="481" customFormat="1" x14ac:dyDescent="0.3">
      <c r="B1180" s="86"/>
      <c r="C1180" s="86"/>
      <c r="D1180" s="86"/>
      <c r="E1180" s="638"/>
      <c r="F1180" s="639"/>
      <c r="G1180" s="640"/>
      <c r="H1180" s="745"/>
      <c r="I1180" s="746"/>
      <c r="J1180" s="638"/>
      <c r="K1180" s="746"/>
      <c r="L1180" s="637"/>
      <c r="M1180" s="818"/>
      <c r="N1180" s="818"/>
      <c r="O1180" s="638"/>
    </row>
    <row r="1181" spans="2:15" s="481" customFormat="1" x14ac:dyDescent="0.3">
      <c r="B1181" s="86"/>
      <c r="C1181" s="86"/>
      <c r="D1181" s="86"/>
      <c r="E1181" s="638"/>
      <c r="F1181" s="639"/>
      <c r="G1181" s="640"/>
      <c r="H1181" s="745"/>
      <c r="I1181" s="746"/>
      <c r="J1181" s="638"/>
      <c r="K1181" s="746"/>
      <c r="L1181" s="637"/>
      <c r="M1181" s="818"/>
      <c r="N1181" s="818"/>
      <c r="O1181" s="638"/>
    </row>
    <row r="1182" spans="2:15" s="481" customFormat="1" x14ac:dyDescent="0.3">
      <c r="B1182" s="86"/>
      <c r="C1182" s="86"/>
      <c r="D1182" s="86"/>
      <c r="E1182" s="638"/>
      <c r="F1182" s="639"/>
      <c r="G1182" s="640"/>
      <c r="H1182" s="745"/>
      <c r="I1182" s="746"/>
      <c r="J1182" s="638"/>
      <c r="K1182" s="746"/>
      <c r="L1182" s="637"/>
      <c r="M1182" s="818"/>
      <c r="N1182" s="818"/>
      <c r="O1182" s="638"/>
    </row>
    <row r="1183" spans="2:15" s="481" customFormat="1" x14ac:dyDescent="0.3">
      <c r="B1183" s="86"/>
      <c r="C1183" s="86"/>
      <c r="D1183" s="86"/>
      <c r="E1183" s="638"/>
      <c r="F1183" s="639"/>
      <c r="G1183" s="640"/>
      <c r="H1183" s="745"/>
      <c r="I1183" s="746"/>
      <c r="J1183" s="638"/>
      <c r="K1183" s="746"/>
      <c r="L1183" s="637"/>
      <c r="M1183" s="818"/>
      <c r="N1183" s="818"/>
      <c r="O1183" s="638"/>
    </row>
    <row r="1184" spans="2:15" s="481" customFormat="1" x14ac:dyDescent="0.3">
      <c r="B1184" s="86"/>
      <c r="C1184" s="86"/>
      <c r="D1184" s="86"/>
      <c r="E1184" s="638"/>
      <c r="F1184" s="639"/>
      <c r="G1184" s="640"/>
      <c r="H1184" s="745"/>
      <c r="I1184" s="746"/>
      <c r="J1184" s="638"/>
      <c r="K1184" s="746"/>
      <c r="L1184" s="637"/>
      <c r="M1184" s="818"/>
      <c r="N1184" s="818"/>
      <c r="O1184" s="638"/>
    </row>
    <row r="1185" spans="2:15" s="481" customFormat="1" x14ac:dyDescent="0.3">
      <c r="B1185" s="86"/>
      <c r="C1185" s="86"/>
      <c r="D1185" s="86"/>
      <c r="E1185" s="638"/>
      <c r="F1185" s="639"/>
      <c r="G1185" s="640"/>
      <c r="H1185" s="745"/>
      <c r="I1185" s="746"/>
      <c r="J1185" s="638"/>
      <c r="K1185" s="746"/>
      <c r="L1185" s="637"/>
      <c r="M1185" s="818"/>
      <c r="N1185" s="818"/>
      <c r="O1185" s="638"/>
    </row>
    <row r="1186" spans="2:15" s="481" customFormat="1" x14ac:dyDescent="0.3">
      <c r="B1186" s="86"/>
      <c r="C1186" s="86"/>
      <c r="D1186" s="86"/>
      <c r="E1186" s="638"/>
      <c r="F1186" s="639"/>
      <c r="G1186" s="640"/>
      <c r="H1186" s="745"/>
      <c r="I1186" s="746"/>
      <c r="J1186" s="638"/>
      <c r="K1186" s="746"/>
      <c r="L1186" s="637"/>
      <c r="M1186" s="818"/>
      <c r="N1186" s="818"/>
      <c r="O1186" s="638"/>
    </row>
    <row r="1187" spans="2:15" s="481" customFormat="1" x14ac:dyDescent="0.3">
      <c r="B1187" s="86"/>
      <c r="C1187" s="86"/>
      <c r="D1187" s="86"/>
      <c r="E1187" s="638"/>
      <c r="F1187" s="639"/>
      <c r="G1187" s="640"/>
      <c r="H1187" s="745"/>
      <c r="I1187" s="746"/>
      <c r="J1187" s="638"/>
      <c r="K1187" s="746"/>
      <c r="L1187" s="637"/>
      <c r="M1187" s="818"/>
      <c r="N1187" s="818"/>
      <c r="O1187" s="638"/>
    </row>
    <row r="1188" spans="2:15" s="481" customFormat="1" x14ac:dyDescent="0.3">
      <c r="B1188" s="86"/>
      <c r="C1188" s="86"/>
      <c r="D1188" s="86"/>
      <c r="E1188" s="638"/>
      <c r="F1188" s="639"/>
      <c r="G1188" s="640"/>
      <c r="H1188" s="745"/>
      <c r="I1188" s="746"/>
      <c r="J1188" s="638"/>
      <c r="K1188" s="746"/>
      <c r="L1188" s="637"/>
      <c r="M1188" s="818"/>
      <c r="N1188" s="818"/>
      <c r="O1188" s="638"/>
    </row>
    <row r="1189" spans="2:15" s="481" customFormat="1" x14ac:dyDescent="0.3">
      <c r="B1189" s="86"/>
      <c r="C1189" s="86"/>
      <c r="D1189" s="86"/>
      <c r="E1189" s="638"/>
      <c r="F1189" s="639"/>
      <c r="G1189" s="640"/>
      <c r="H1189" s="745"/>
      <c r="I1189" s="746"/>
      <c r="J1189" s="638"/>
      <c r="K1189" s="746"/>
      <c r="L1189" s="637"/>
      <c r="M1189" s="818"/>
      <c r="N1189" s="818"/>
      <c r="O1189" s="638"/>
    </row>
    <row r="1190" spans="2:15" s="481" customFormat="1" x14ac:dyDescent="0.3">
      <c r="B1190" s="86"/>
      <c r="C1190" s="86"/>
      <c r="D1190" s="86"/>
      <c r="E1190" s="638"/>
      <c r="F1190" s="639"/>
      <c r="G1190" s="640"/>
      <c r="H1190" s="745"/>
      <c r="I1190" s="746"/>
      <c r="J1190" s="638"/>
      <c r="K1190" s="746"/>
      <c r="L1190" s="637"/>
      <c r="M1190" s="818"/>
      <c r="N1190" s="818"/>
      <c r="O1190" s="638"/>
    </row>
    <row r="1191" spans="2:15" s="481" customFormat="1" x14ac:dyDescent="0.3">
      <c r="B1191" s="86"/>
      <c r="C1191" s="86"/>
      <c r="D1191" s="86"/>
      <c r="E1191" s="638"/>
      <c r="F1191" s="639"/>
      <c r="G1191" s="640"/>
      <c r="H1191" s="745"/>
      <c r="I1191" s="746"/>
      <c r="J1191" s="638"/>
      <c r="K1191" s="746"/>
      <c r="L1191" s="637"/>
      <c r="M1191" s="818"/>
      <c r="N1191" s="818"/>
      <c r="O1191" s="638"/>
    </row>
    <row r="1192" spans="2:15" s="481" customFormat="1" x14ac:dyDescent="0.3">
      <c r="B1192" s="86"/>
      <c r="C1192" s="86"/>
      <c r="D1192" s="86"/>
      <c r="E1192" s="638"/>
      <c r="F1192" s="639"/>
      <c r="G1192" s="640"/>
      <c r="H1192" s="745"/>
      <c r="I1192" s="746"/>
      <c r="J1192" s="638"/>
      <c r="K1192" s="746"/>
      <c r="L1192" s="637"/>
      <c r="M1192" s="818"/>
      <c r="N1192" s="818"/>
      <c r="O1192" s="638"/>
    </row>
    <row r="1193" spans="2:15" s="481" customFormat="1" x14ac:dyDescent="0.3">
      <c r="B1193" s="86"/>
      <c r="C1193" s="86"/>
      <c r="D1193" s="86"/>
      <c r="E1193" s="638"/>
      <c r="F1193" s="639"/>
      <c r="G1193" s="640"/>
      <c r="H1193" s="745"/>
      <c r="I1193" s="746"/>
      <c r="J1193" s="638"/>
      <c r="K1193" s="746"/>
      <c r="L1193" s="637"/>
      <c r="M1193" s="818"/>
      <c r="N1193" s="818"/>
      <c r="O1193" s="638"/>
    </row>
    <row r="1194" spans="2:15" s="481" customFormat="1" x14ac:dyDescent="0.3">
      <c r="B1194" s="86"/>
      <c r="C1194" s="86"/>
      <c r="D1194" s="86"/>
      <c r="E1194" s="638"/>
      <c r="F1194" s="639"/>
      <c r="G1194" s="640"/>
      <c r="H1194" s="745"/>
      <c r="I1194" s="746"/>
      <c r="J1194" s="638"/>
      <c r="K1194" s="746"/>
      <c r="L1194" s="637"/>
      <c r="M1194" s="818"/>
      <c r="N1194" s="818"/>
      <c r="O1194" s="638"/>
    </row>
    <row r="1195" spans="2:15" s="481" customFormat="1" x14ac:dyDescent="0.3">
      <c r="B1195" s="86"/>
      <c r="C1195" s="86"/>
      <c r="D1195" s="86"/>
      <c r="E1195" s="638"/>
      <c r="F1195" s="639"/>
      <c r="G1195" s="640"/>
      <c r="H1195" s="745"/>
      <c r="I1195" s="746"/>
      <c r="J1195" s="638"/>
      <c r="K1195" s="746"/>
      <c r="L1195" s="637"/>
      <c r="M1195" s="818"/>
      <c r="N1195" s="818"/>
      <c r="O1195" s="638"/>
    </row>
    <row r="1196" spans="2:15" s="481" customFormat="1" x14ac:dyDescent="0.3">
      <c r="B1196" s="86"/>
      <c r="C1196" s="86"/>
      <c r="D1196" s="86"/>
      <c r="E1196" s="638"/>
      <c r="F1196" s="639"/>
      <c r="G1196" s="640"/>
      <c r="H1196" s="745"/>
      <c r="I1196" s="746"/>
      <c r="J1196" s="638"/>
      <c r="K1196" s="746"/>
      <c r="L1196" s="637"/>
      <c r="M1196" s="818"/>
      <c r="N1196" s="818"/>
      <c r="O1196" s="638"/>
    </row>
    <row r="1197" spans="2:15" s="481" customFormat="1" x14ac:dyDescent="0.3">
      <c r="B1197" s="86"/>
      <c r="C1197" s="86"/>
      <c r="D1197" s="86"/>
      <c r="E1197" s="638"/>
      <c r="F1197" s="639"/>
      <c r="G1197" s="640"/>
      <c r="H1197" s="745"/>
      <c r="I1197" s="746"/>
      <c r="J1197" s="638"/>
      <c r="K1197" s="746"/>
      <c r="L1197" s="637"/>
      <c r="M1197" s="818"/>
      <c r="N1197" s="818"/>
      <c r="O1197" s="638"/>
    </row>
    <row r="1198" spans="2:15" s="481" customFormat="1" x14ac:dyDescent="0.3">
      <c r="B1198" s="86"/>
      <c r="C1198" s="86"/>
      <c r="D1198" s="86"/>
      <c r="E1198" s="638"/>
      <c r="F1198" s="639"/>
      <c r="G1198" s="640"/>
      <c r="H1198" s="745"/>
      <c r="I1198" s="746"/>
      <c r="J1198" s="638"/>
      <c r="K1198" s="746"/>
      <c r="L1198" s="637"/>
      <c r="M1198" s="818"/>
      <c r="N1198" s="818"/>
      <c r="O1198" s="638"/>
    </row>
    <row r="1199" spans="2:15" s="481" customFormat="1" x14ac:dyDescent="0.3">
      <c r="B1199" s="86"/>
      <c r="C1199" s="86"/>
      <c r="D1199" s="86"/>
      <c r="E1199" s="638"/>
      <c r="F1199" s="639"/>
      <c r="G1199" s="640"/>
      <c r="H1199" s="745"/>
      <c r="I1199" s="746"/>
      <c r="J1199" s="638"/>
      <c r="K1199" s="746"/>
      <c r="L1199" s="637"/>
      <c r="M1199" s="818"/>
      <c r="N1199" s="818"/>
      <c r="O1199" s="638"/>
    </row>
    <row r="1200" spans="2:15" s="481" customFormat="1" x14ac:dyDescent="0.3">
      <c r="B1200" s="86"/>
      <c r="C1200" s="86"/>
      <c r="D1200" s="86"/>
      <c r="E1200" s="638"/>
      <c r="F1200" s="639"/>
      <c r="G1200" s="640"/>
      <c r="H1200" s="745"/>
      <c r="I1200" s="746"/>
      <c r="J1200" s="638"/>
      <c r="K1200" s="746"/>
      <c r="L1200" s="637"/>
      <c r="M1200" s="818"/>
      <c r="N1200" s="818"/>
      <c r="O1200" s="638"/>
    </row>
    <row r="1201" spans="2:15" s="481" customFormat="1" x14ac:dyDescent="0.3">
      <c r="B1201" s="86"/>
      <c r="C1201" s="86"/>
      <c r="D1201" s="86"/>
      <c r="E1201" s="638"/>
      <c r="F1201" s="639"/>
      <c r="G1201" s="640"/>
      <c r="H1201" s="745"/>
      <c r="I1201" s="746"/>
      <c r="J1201" s="638"/>
      <c r="K1201" s="746"/>
      <c r="L1201" s="637"/>
      <c r="M1201" s="818"/>
      <c r="N1201" s="818"/>
      <c r="O1201" s="638"/>
    </row>
    <row r="1202" spans="2:15" s="481" customFormat="1" x14ac:dyDescent="0.3">
      <c r="B1202" s="86"/>
      <c r="C1202" s="86"/>
      <c r="D1202" s="86"/>
      <c r="E1202" s="638"/>
      <c r="F1202" s="639"/>
      <c r="G1202" s="640"/>
      <c r="H1202" s="745"/>
      <c r="I1202" s="746"/>
      <c r="J1202" s="638"/>
      <c r="K1202" s="746"/>
      <c r="L1202" s="637"/>
      <c r="M1202" s="818"/>
      <c r="N1202" s="818"/>
      <c r="O1202" s="638"/>
    </row>
    <row r="1203" spans="2:15" s="481" customFormat="1" x14ac:dyDescent="0.3">
      <c r="B1203" s="86"/>
      <c r="C1203" s="86"/>
      <c r="D1203" s="86"/>
      <c r="E1203" s="638"/>
      <c r="F1203" s="639"/>
      <c r="G1203" s="640"/>
      <c r="H1203" s="745"/>
      <c r="I1203" s="746"/>
      <c r="J1203" s="638"/>
      <c r="K1203" s="746"/>
      <c r="L1203" s="637"/>
      <c r="M1203" s="818"/>
      <c r="N1203" s="818"/>
      <c r="O1203" s="638"/>
    </row>
    <row r="1204" spans="2:15" s="481" customFormat="1" x14ac:dyDescent="0.3">
      <c r="B1204" s="86"/>
      <c r="C1204" s="86"/>
      <c r="D1204" s="86"/>
      <c r="E1204" s="638"/>
      <c r="F1204" s="639"/>
      <c r="G1204" s="640"/>
      <c r="H1204" s="745"/>
      <c r="I1204" s="746"/>
      <c r="J1204" s="638"/>
      <c r="K1204" s="746"/>
      <c r="L1204" s="637"/>
      <c r="M1204" s="818"/>
      <c r="N1204" s="818"/>
      <c r="O1204" s="638"/>
    </row>
    <row r="1205" spans="2:15" s="481" customFormat="1" x14ac:dyDescent="0.3">
      <c r="B1205" s="86"/>
      <c r="C1205" s="86"/>
      <c r="D1205" s="86"/>
      <c r="E1205" s="638"/>
      <c r="F1205" s="639"/>
      <c r="G1205" s="640"/>
      <c r="H1205" s="745"/>
      <c r="I1205" s="746"/>
      <c r="J1205" s="638"/>
      <c r="K1205" s="746"/>
      <c r="L1205" s="637"/>
      <c r="M1205" s="818"/>
      <c r="N1205" s="818"/>
      <c r="O1205" s="638"/>
    </row>
    <row r="1206" spans="2:15" s="481" customFormat="1" x14ac:dyDescent="0.3">
      <c r="B1206" s="86"/>
      <c r="C1206" s="86"/>
      <c r="D1206" s="86"/>
      <c r="E1206" s="638"/>
      <c r="F1206" s="639"/>
      <c r="G1206" s="640"/>
      <c r="H1206" s="745"/>
      <c r="I1206" s="746"/>
      <c r="J1206" s="638"/>
      <c r="K1206" s="746"/>
      <c r="L1206" s="637"/>
      <c r="M1206" s="818"/>
      <c r="N1206" s="818"/>
      <c r="O1206" s="638"/>
    </row>
    <row r="1207" spans="2:15" s="481" customFormat="1" x14ac:dyDescent="0.3">
      <c r="B1207" s="86"/>
      <c r="C1207" s="86"/>
      <c r="D1207" s="86"/>
      <c r="E1207" s="638"/>
      <c r="F1207" s="639"/>
      <c r="G1207" s="640"/>
      <c r="H1207" s="745"/>
      <c r="I1207" s="746"/>
      <c r="J1207" s="638"/>
      <c r="K1207" s="746"/>
      <c r="L1207" s="637"/>
      <c r="M1207" s="818"/>
      <c r="N1207" s="818"/>
      <c r="O1207" s="638"/>
    </row>
    <row r="1208" spans="2:15" s="481" customFormat="1" x14ac:dyDescent="0.3">
      <c r="B1208" s="86"/>
      <c r="C1208" s="86"/>
      <c r="D1208" s="86"/>
      <c r="E1208" s="638"/>
      <c r="F1208" s="639"/>
      <c r="G1208" s="640"/>
      <c r="H1208" s="745"/>
      <c r="I1208" s="746"/>
      <c r="J1208" s="638"/>
      <c r="K1208" s="746"/>
      <c r="L1208" s="637"/>
      <c r="M1208" s="818"/>
      <c r="N1208" s="818"/>
      <c r="O1208" s="638"/>
    </row>
    <row r="1209" spans="2:15" s="481" customFormat="1" x14ac:dyDescent="0.3">
      <c r="B1209" s="86"/>
      <c r="C1209" s="86"/>
      <c r="D1209" s="86"/>
      <c r="E1209" s="638"/>
      <c r="F1209" s="639"/>
      <c r="G1209" s="640"/>
      <c r="H1209" s="745"/>
      <c r="I1209" s="746"/>
      <c r="J1209" s="638"/>
      <c r="K1209" s="746"/>
      <c r="L1209" s="637"/>
      <c r="M1209" s="818"/>
      <c r="N1209" s="818"/>
      <c r="O1209" s="638"/>
    </row>
    <row r="1210" spans="2:15" s="481" customFormat="1" x14ac:dyDescent="0.3">
      <c r="B1210" s="86"/>
      <c r="C1210" s="86"/>
      <c r="D1210" s="86"/>
      <c r="E1210" s="638"/>
      <c r="F1210" s="639"/>
      <c r="G1210" s="640"/>
      <c r="H1210" s="745"/>
      <c r="I1210" s="746"/>
      <c r="J1210" s="638"/>
      <c r="K1210" s="746"/>
      <c r="L1210" s="637"/>
      <c r="M1210" s="818"/>
      <c r="N1210" s="818"/>
      <c r="O1210" s="638"/>
    </row>
    <row r="1211" spans="2:15" s="481" customFormat="1" x14ac:dyDescent="0.3">
      <c r="B1211" s="86"/>
      <c r="C1211" s="86"/>
      <c r="D1211" s="86"/>
      <c r="E1211" s="638"/>
      <c r="F1211" s="639"/>
      <c r="G1211" s="640"/>
      <c r="H1211" s="745"/>
      <c r="I1211" s="746"/>
      <c r="J1211" s="638"/>
      <c r="K1211" s="746"/>
      <c r="L1211" s="637"/>
      <c r="M1211" s="818"/>
      <c r="N1211" s="818"/>
      <c r="O1211" s="638"/>
    </row>
    <row r="1212" spans="2:15" s="481" customFormat="1" x14ac:dyDescent="0.3">
      <c r="B1212" s="86"/>
      <c r="C1212" s="86"/>
      <c r="D1212" s="86"/>
      <c r="E1212" s="638"/>
      <c r="F1212" s="639"/>
      <c r="G1212" s="640"/>
      <c r="H1212" s="745"/>
      <c r="I1212" s="746"/>
      <c r="J1212" s="638"/>
      <c r="K1212" s="746"/>
      <c r="L1212" s="637"/>
      <c r="M1212" s="818"/>
      <c r="N1212" s="818"/>
      <c r="O1212" s="638"/>
    </row>
    <row r="1213" spans="2:15" s="481" customFormat="1" x14ac:dyDescent="0.3">
      <c r="B1213" s="86"/>
      <c r="C1213" s="86"/>
      <c r="D1213" s="86"/>
      <c r="E1213" s="638"/>
      <c r="F1213" s="639"/>
      <c r="G1213" s="640"/>
      <c r="H1213" s="745"/>
      <c r="I1213" s="746"/>
      <c r="J1213" s="638"/>
      <c r="K1213" s="746"/>
      <c r="L1213" s="637"/>
      <c r="M1213" s="818"/>
      <c r="N1213" s="818"/>
      <c r="O1213" s="638"/>
    </row>
    <row r="1214" spans="2:15" s="481" customFormat="1" x14ac:dyDescent="0.3">
      <c r="B1214" s="86"/>
      <c r="C1214" s="86"/>
      <c r="D1214" s="86"/>
      <c r="E1214" s="638"/>
      <c r="F1214" s="639"/>
      <c r="G1214" s="640"/>
      <c r="H1214" s="745"/>
      <c r="I1214" s="746"/>
      <c r="J1214" s="638"/>
      <c r="K1214" s="746"/>
      <c r="L1214" s="637"/>
      <c r="M1214" s="818"/>
      <c r="N1214" s="818"/>
      <c r="O1214" s="638"/>
    </row>
    <row r="1215" spans="2:15" s="481" customFormat="1" x14ac:dyDescent="0.3">
      <c r="B1215" s="86"/>
      <c r="C1215" s="86"/>
      <c r="D1215" s="86"/>
      <c r="E1215" s="638"/>
      <c r="F1215" s="639"/>
      <c r="G1215" s="640"/>
      <c r="H1215" s="745"/>
      <c r="I1215" s="746"/>
      <c r="J1215" s="638"/>
      <c r="K1215" s="746"/>
      <c r="L1215" s="637"/>
      <c r="M1215" s="818"/>
      <c r="N1215" s="818"/>
      <c r="O1215" s="638"/>
    </row>
    <row r="1216" spans="2:15" s="481" customFormat="1" x14ac:dyDescent="0.3">
      <c r="B1216" s="86"/>
      <c r="C1216" s="86"/>
      <c r="D1216" s="86"/>
      <c r="E1216" s="638"/>
      <c r="F1216" s="639"/>
      <c r="G1216" s="640"/>
      <c r="H1216" s="745"/>
      <c r="I1216" s="746"/>
      <c r="J1216" s="638"/>
      <c r="K1216" s="746"/>
      <c r="L1216" s="637"/>
      <c r="M1216" s="818"/>
      <c r="N1216" s="818"/>
      <c r="O1216" s="638"/>
    </row>
    <row r="1217" spans="2:15" s="481" customFormat="1" x14ac:dyDescent="0.3">
      <c r="B1217" s="86"/>
      <c r="C1217" s="86"/>
      <c r="D1217" s="86"/>
      <c r="E1217" s="638"/>
      <c r="F1217" s="639"/>
      <c r="G1217" s="640"/>
      <c r="H1217" s="745"/>
      <c r="I1217" s="746"/>
      <c r="J1217" s="638"/>
      <c r="K1217" s="746"/>
      <c r="L1217" s="637"/>
      <c r="M1217" s="818"/>
      <c r="N1217" s="818"/>
      <c r="O1217" s="638"/>
    </row>
    <row r="1218" spans="2:15" s="481" customFormat="1" x14ac:dyDescent="0.3">
      <c r="B1218" s="86"/>
      <c r="C1218" s="86"/>
      <c r="D1218" s="86"/>
      <c r="E1218" s="638"/>
      <c r="F1218" s="639"/>
      <c r="G1218" s="640"/>
      <c r="H1218" s="745"/>
      <c r="I1218" s="746"/>
      <c r="J1218" s="638"/>
      <c r="K1218" s="746"/>
      <c r="L1218" s="637"/>
      <c r="M1218" s="818"/>
      <c r="N1218" s="818"/>
      <c r="O1218" s="638"/>
    </row>
    <row r="1219" spans="2:15" s="481" customFormat="1" x14ac:dyDescent="0.3">
      <c r="B1219" s="86"/>
      <c r="C1219" s="86"/>
      <c r="D1219" s="86"/>
      <c r="E1219" s="638"/>
      <c r="F1219" s="639"/>
      <c r="G1219" s="640"/>
      <c r="H1219" s="745"/>
      <c r="I1219" s="746"/>
      <c r="J1219" s="638"/>
      <c r="K1219" s="746"/>
      <c r="L1219" s="637"/>
      <c r="M1219" s="818"/>
      <c r="N1219" s="818"/>
      <c r="O1219" s="638"/>
    </row>
    <row r="1220" spans="2:15" s="481" customFormat="1" x14ac:dyDescent="0.3">
      <c r="B1220" s="86"/>
      <c r="C1220" s="86"/>
      <c r="D1220" s="86"/>
      <c r="E1220" s="638"/>
      <c r="F1220" s="639"/>
      <c r="G1220" s="640"/>
      <c r="H1220" s="745"/>
      <c r="I1220" s="746"/>
      <c r="J1220" s="638"/>
      <c r="K1220" s="746"/>
      <c r="L1220" s="637"/>
      <c r="M1220" s="818"/>
      <c r="N1220" s="818"/>
      <c r="O1220" s="638"/>
    </row>
    <row r="1221" spans="2:15" s="481" customFormat="1" x14ac:dyDescent="0.3">
      <c r="B1221" s="86"/>
      <c r="C1221" s="86"/>
      <c r="D1221" s="86"/>
      <c r="E1221" s="638"/>
      <c r="F1221" s="639"/>
      <c r="G1221" s="640"/>
      <c r="H1221" s="745"/>
      <c r="I1221" s="746"/>
      <c r="J1221" s="638"/>
      <c r="K1221" s="746"/>
      <c r="L1221" s="637"/>
      <c r="M1221" s="818"/>
      <c r="N1221" s="818"/>
      <c r="O1221" s="638"/>
    </row>
    <row r="1222" spans="2:15" s="481" customFormat="1" x14ac:dyDescent="0.3">
      <c r="B1222" s="86"/>
      <c r="C1222" s="86"/>
      <c r="D1222" s="86"/>
      <c r="E1222" s="638"/>
      <c r="F1222" s="639"/>
      <c r="G1222" s="640"/>
      <c r="H1222" s="745"/>
      <c r="I1222" s="746"/>
      <c r="J1222" s="638"/>
      <c r="K1222" s="746"/>
      <c r="L1222" s="637"/>
      <c r="M1222" s="818"/>
      <c r="N1222" s="818"/>
      <c r="O1222" s="638"/>
    </row>
    <row r="1223" spans="2:15" s="481" customFormat="1" x14ac:dyDescent="0.3">
      <c r="B1223" s="86"/>
      <c r="C1223" s="86"/>
      <c r="D1223" s="86"/>
      <c r="E1223" s="638"/>
      <c r="F1223" s="639"/>
      <c r="G1223" s="640"/>
      <c r="H1223" s="745"/>
      <c r="I1223" s="746"/>
      <c r="J1223" s="638"/>
      <c r="K1223" s="746"/>
      <c r="L1223" s="637"/>
      <c r="M1223" s="818"/>
      <c r="N1223" s="818"/>
      <c r="O1223" s="638"/>
    </row>
    <row r="1224" spans="2:15" s="481" customFormat="1" x14ac:dyDescent="0.3">
      <c r="B1224" s="86"/>
      <c r="C1224" s="86"/>
      <c r="D1224" s="86"/>
      <c r="E1224" s="638"/>
      <c r="F1224" s="639"/>
      <c r="G1224" s="640"/>
      <c r="H1224" s="745"/>
      <c r="I1224" s="746"/>
      <c r="J1224" s="638"/>
      <c r="K1224" s="746"/>
      <c r="L1224" s="637"/>
      <c r="M1224" s="818"/>
      <c r="N1224" s="818"/>
      <c r="O1224" s="638"/>
    </row>
    <row r="1225" spans="2:15" s="481" customFormat="1" x14ac:dyDescent="0.3">
      <c r="B1225" s="86"/>
      <c r="C1225" s="86"/>
      <c r="D1225" s="86"/>
      <c r="E1225" s="638"/>
      <c r="F1225" s="639"/>
      <c r="G1225" s="640"/>
      <c r="H1225" s="745"/>
      <c r="I1225" s="746"/>
      <c r="J1225" s="638"/>
      <c r="K1225" s="746"/>
      <c r="L1225" s="637"/>
      <c r="M1225" s="818"/>
      <c r="N1225" s="818"/>
      <c r="O1225" s="638"/>
    </row>
    <row r="1226" spans="2:15" s="481" customFormat="1" x14ac:dyDescent="0.3">
      <c r="B1226" s="86"/>
      <c r="C1226" s="86"/>
      <c r="D1226" s="86"/>
      <c r="E1226" s="638"/>
      <c r="F1226" s="639"/>
      <c r="G1226" s="640"/>
      <c r="H1226" s="745"/>
      <c r="I1226" s="746"/>
      <c r="J1226" s="638"/>
      <c r="K1226" s="746"/>
      <c r="L1226" s="637"/>
      <c r="M1226" s="818"/>
      <c r="N1226" s="818"/>
      <c r="O1226" s="638"/>
    </row>
    <row r="1227" spans="2:15" s="481" customFormat="1" x14ac:dyDescent="0.3">
      <c r="B1227" s="86"/>
      <c r="C1227" s="86"/>
      <c r="D1227" s="86"/>
      <c r="E1227" s="638"/>
      <c r="F1227" s="639"/>
      <c r="G1227" s="640"/>
      <c r="H1227" s="745"/>
      <c r="I1227" s="746"/>
      <c r="J1227" s="638"/>
      <c r="K1227" s="746"/>
      <c r="L1227" s="637"/>
      <c r="M1227" s="818"/>
      <c r="N1227" s="818"/>
      <c r="O1227" s="638"/>
    </row>
    <row r="1228" spans="2:15" s="481" customFormat="1" x14ac:dyDescent="0.3">
      <c r="B1228" s="86"/>
      <c r="C1228" s="86"/>
      <c r="D1228" s="86"/>
      <c r="E1228" s="638"/>
      <c r="F1228" s="639"/>
      <c r="G1228" s="640"/>
      <c r="H1228" s="745"/>
      <c r="I1228" s="746"/>
      <c r="J1228" s="638"/>
      <c r="K1228" s="746"/>
      <c r="L1228" s="637"/>
      <c r="M1228" s="818"/>
      <c r="N1228" s="818"/>
      <c r="O1228" s="638"/>
    </row>
    <row r="1229" spans="2:15" s="481" customFormat="1" x14ac:dyDescent="0.3">
      <c r="B1229" s="86"/>
      <c r="C1229" s="86"/>
      <c r="D1229" s="86"/>
      <c r="E1229" s="638"/>
      <c r="F1229" s="639"/>
      <c r="G1229" s="640"/>
      <c r="H1229" s="745"/>
      <c r="I1229" s="746"/>
      <c r="J1229" s="638"/>
      <c r="K1229" s="746"/>
      <c r="L1229" s="637"/>
      <c r="M1229" s="818"/>
      <c r="N1229" s="818"/>
      <c r="O1229" s="638"/>
    </row>
    <row r="1230" spans="2:15" s="481" customFormat="1" x14ac:dyDescent="0.3">
      <c r="B1230" s="86"/>
      <c r="C1230" s="86"/>
      <c r="D1230" s="86"/>
      <c r="E1230" s="638"/>
      <c r="F1230" s="639"/>
      <c r="G1230" s="640"/>
      <c r="H1230" s="745"/>
      <c r="I1230" s="746"/>
      <c r="J1230" s="638"/>
      <c r="K1230" s="746"/>
      <c r="L1230" s="637"/>
      <c r="M1230" s="818"/>
      <c r="N1230" s="818"/>
      <c r="O1230" s="638"/>
    </row>
    <row r="1231" spans="2:15" s="481" customFormat="1" x14ac:dyDescent="0.3">
      <c r="B1231" s="86"/>
      <c r="C1231" s="86"/>
      <c r="D1231" s="86"/>
      <c r="E1231" s="638"/>
      <c r="F1231" s="639"/>
      <c r="G1231" s="640"/>
      <c r="H1231" s="745"/>
      <c r="I1231" s="746"/>
      <c r="J1231" s="638"/>
      <c r="K1231" s="746"/>
      <c r="L1231" s="637"/>
      <c r="M1231" s="818"/>
      <c r="N1231" s="818"/>
      <c r="O1231" s="638"/>
    </row>
    <row r="1232" spans="2:15" s="481" customFormat="1" x14ac:dyDescent="0.3">
      <c r="B1232" s="86"/>
      <c r="C1232" s="86"/>
      <c r="D1232" s="86"/>
      <c r="E1232" s="638"/>
      <c r="F1232" s="639"/>
      <c r="G1232" s="640"/>
      <c r="H1232" s="745"/>
      <c r="I1232" s="746"/>
      <c r="J1232" s="638"/>
      <c r="K1232" s="746"/>
      <c r="L1232" s="637"/>
      <c r="M1232" s="818"/>
      <c r="N1232" s="818"/>
      <c r="O1232" s="638"/>
    </row>
    <row r="1233" spans="2:15" s="481" customFormat="1" x14ac:dyDescent="0.3">
      <c r="B1233" s="86"/>
      <c r="C1233" s="86"/>
      <c r="D1233" s="86"/>
      <c r="E1233" s="638"/>
      <c r="F1233" s="639"/>
      <c r="G1233" s="640"/>
      <c r="H1233" s="745"/>
      <c r="I1233" s="746"/>
      <c r="J1233" s="638"/>
      <c r="K1233" s="746"/>
      <c r="L1233" s="637"/>
      <c r="M1233" s="818"/>
      <c r="N1233" s="818"/>
      <c r="O1233" s="638"/>
    </row>
    <row r="1234" spans="2:15" s="481" customFormat="1" x14ac:dyDescent="0.3">
      <c r="B1234" s="86"/>
      <c r="C1234" s="86"/>
      <c r="D1234" s="86"/>
      <c r="E1234" s="638"/>
      <c r="F1234" s="639"/>
      <c r="G1234" s="640"/>
      <c r="H1234" s="745"/>
      <c r="I1234" s="746"/>
      <c r="J1234" s="638"/>
      <c r="K1234" s="746"/>
      <c r="L1234" s="637"/>
      <c r="M1234" s="818"/>
      <c r="N1234" s="818"/>
      <c r="O1234" s="638"/>
    </row>
    <row r="1235" spans="2:15" s="481" customFormat="1" x14ac:dyDescent="0.3">
      <c r="B1235" s="86"/>
      <c r="C1235" s="86"/>
      <c r="D1235" s="86"/>
      <c r="E1235" s="638"/>
      <c r="F1235" s="639"/>
      <c r="G1235" s="640"/>
      <c r="H1235" s="745"/>
      <c r="I1235" s="746"/>
      <c r="J1235" s="638"/>
      <c r="K1235" s="746"/>
      <c r="L1235" s="637"/>
      <c r="M1235" s="818"/>
      <c r="N1235" s="818"/>
      <c r="O1235" s="638"/>
    </row>
    <row r="1236" spans="2:15" s="481" customFormat="1" x14ac:dyDescent="0.3">
      <c r="B1236" s="86"/>
      <c r="C1236" s="86"/>
      <c r="D1236" s="86"/>
      <c r="E1236" s="638"/>
      <c r="F1236" s="639"/>
      <c r="G1236" s="640"/>
      <c r="H1236" s="745"/>
      <c r="I1236" s="746"/>
      <c r="J1236" s="638"/>
      <c r="K1236" s="746"/>
      <c r="L1236" s="637"/>
      <c r="M1236" s="818"/>
      <c r="N1236" s="818"/>
      <c r="O1236" s="638"/>
    </row>
    <row r="1237" spans="2:15" s="481" customFormat="1" x14ac:dyDescent="0.3">
      <c r="B1237" s="86"/>
      <c r="C1237" s="86"/>
      <c r="D1237" s="86"/>
      <c r="E1237" s="638"/>
      <c r="F1237" s="639"/>
      <c r="G1237" s="640"/>
      <c r="H1237" s="745"/>
      <c r="I1237" s="746"/>
      <c r="J1237" s="638"/>
      <c r="K1237" s="746"/>
      <c r="L1237" s="637"/>
      <c r="M1237" s="818"/>
      <c r="N1237" s="818"/>
      <c r="O1237" s="638"/>
    </row>
    <row r="1238" spans="2:15" s="481" customFormat="1" x14ac:dyDescent="0.3">
      <c r="B1238" s="86"/>
      <c r="C1238" s="86"/>
      <c r="D1238" s="86"/>
      <c r="E1238" s="638"/>
      <c r="F1238" s="639"/>
      <c r="G1238" s="640"/>
      <c r="H1238" s="745"/>
      <c r="I1238" s="746"/>
      <c r="J1238" s="638"/>
      <c r="K1238" s="746"/>
      <c r="L1238" s="637"/>
      <c r="M1238" s="818"/>
      <c r="N1238" s="818"/>
      <c r="O1238" s="638"/>
    </row>
    <row r="1239" spans="2:15" s="481" customFormat="1" x14ac:dyDescent="0.3">
      <c r="B1239" s="86"/>
      <c r="C1239" s="86"/>
      <c r="D1239" s="86"/>
      <c r="E1239" s="638"/>
      <c r="F1239" s="639"/>
      <c r="G1239" s="640"/>
      <c r="H1239" s="745"/>
      <c r="I1239" s="746"/>
      <c r="J1239" s="638"/>
      <c r="K1239" s="746"/>
      <c r="L1239" s="637"/>
      <c r="M1239" s="818"/>
      <c r="N1239" s="818"/>
      <c r="O1239" s="638"/>
    </row>
    <row r="1240" spans="2:15" s="481" customFormat="1" x14ac:dyDescent="0.3">
      <c r="B1240" s="86"/>
      <c r="C1240" s="86"/>
      <c r="D1240" s="86"/>
      <c r="E1240" s="638"/>
      <c r="F1240" s="639"/>
      <c r="G1240" s="640"/>
      <c r="H1240" s="745"/>
      <c r="I1240" s="746"/>
      <c r="J1240" s="638"/>
      <c r="K1240" s="746"/>
      <c r="L1240" s="637"/>
      <c r="M1240" s="818"/>
      <c r="N1240" s="818"/>
      <c r="O1240" s="638"/>
    </row>
    <row r="1241" spans="2:15" s="481" customFormat="1" x14ac:dyDescent="0.3">
      <c r="B1241" s="86"/>
      <c r="C1241" s="86"/>
      <c r="D1241" s="86"/>
      <c r="E1241" s="638"/>
      <c r="F1241" s="639"/>
      <c r="G1241" s="640"/>
      <c r="H1241" s="745"/>
      <c r="I1241" s="746"/>
      <c r="J1241" s="638"/>
      <c r="K1241" s="746"/>
      <c r="L1241" s="637"/>
      <c r="M1241" s="818"/>
      <c r="N1241" s="818"/>
      <c r="O1241" s="638"/>
    </row>
    <row r="1242" spans="2:15" s="481" customFormat="1" x14ac:dyDescent="0.3">
      <c r="B1242" s="86"/>
      <c r="C1242" s="86"/>
      <c r="D1242" s="86"/>
      <c r="E1242" s="638"/>
      <c r="F1242" s="639"/>
      <c r="G1242" s="640"/>
      <c r="H1242" s="745"/>
      <c r="I1242" s="746"/>
      <c r="J1242" s="638"/>
      <c r="K1242" s="746"/>
      <c r="L1242" s="637"/>
      <c r="M1242" s="818"/>
      <c r="N1242" s="818"/>
      <c r="O1242" s="638"/>
    </row>
    <row r="1243" spans="2:15" s="481" customFormat="1" x14ac:dyDescent="0.3">
      <c r="B1243" s="86"/>
      <c r="C1243" s="86"/>
      <c r="D1243" s="86"/>
      <c r="E1243" s="638"/>
      <c r="F1243" s="639"/>
      <c r="G1243" s="640"/>
      <c r="H1243" s="745"/>
      <c r="I1243" s="746"/>
      <c r="J1243" s="638"/>
      <c r="K1243" s="746"/>
      <c r="L1243" s="637"/>
      <c r="M1243" s="818"/>
      <c r="N1243" s="818"/>
      <c r="O1243" s="638"/>
    </row>
    <row r="1244" spans="2:15" s="481" customFormat="1" x14ac:dyDescent="0.3">
      <c r="B1244" s="86"/>
      <c r="C1244" s="86"/>
      <c r="D1244" s="86"/>
      <c r="E1244" s="638"/>
      <c r="F1244" s="639"/>
      <c r="G1244" s="640"/>
      <c r="H1244" s="745"/>
      <c r="I1244" s="746"/>
      <c r="J1244" s="638"/>
      <c r="K1244" s="746"/>
      <c r="L1244" s="637"/>
      <c r="M1244" s="818"/>
      <c r="N1244" s="818"/>
      <c r="O1244" s="638"/>
    </row>
    <row r="1245" spans="2:15" s="481" customFormat="1" x14ac:dyDescent="0.3">
      <c r="B1245" s="86"/>
      <c r="C1245" s="86"/>
      <c r="D1245" s="86"/>
      <c r="E1245" s="638"/>
      <c r="F1245" s="639"/>
      <c r="G1245" s="640"/>
      <c r="H1245" s="745"/>
      <c r="I1245" s="746"/>
      <c r="J1245" s="638"/>
      <c r="K1245" s="746"/>
      <c r="L1245" s="637"/>
      <c r="M1245" s="818"/>
      <c r="N1245" s="818"/>
      <c r="O1245" s="638"/>
    </row>
    <row r="1246" spans="2:15" s="481" customFormat="1" x14ac:dyDescent="0.3">
      <c r="B1246" s="86"/>
      <c r="C1246" s="86"/>
      <c r="D1246" s="86"/>
      <c r="E1246" s="638"/>
      <c r="F1246" s="639"/>
      <c r="G1246" s="640"/>
      <c r="H1246" s="745"/>
      <c r="I1246" s="746"/>
      <c r="J1246" s="638"/>
      <c r="K1246" s="746"/>
      <c r="L1246" s="637"/>
      <c r="M1246" s="818"/>
      <c r="N1246" s="818"/>
      <c r="O1246" s="638"/>
    </row>
    <row r="1247" spans="2:15" s="481" customFormat="1" x14ac:dyDescent="0.3">
      <c r="B1247" s="86"/>
      <c r="C1247" s="86"/>
      <c r="D1247" s="86"/>
      <c r="E1247" s="638"/>
      <c r="F1247" s="639"/>
      <c r="G1247" s="640"/>
      <c r="H1247" s="745"/>
      <c r="I1247" s="746"/>
      <c r="J1247" s="638"/>
      <c r="K1247" s="746"/>
      <c r="L1247" s="637"/>
      <c r="M1247" s="818"/>
      <c r="N1247" s="818"/>
      <c r="O1247" s="638"/>
    </row>
    <row r="1248" spans="2:15" s="481" customFormat="1" x14ac:dyDescent="0.3">
      <c r="B1248" s="86"/>
      <c r="C1248" s="86"/>
      <c r="D1248" s="86"/>
      <c r="E1248" s="638"/>
      <c r="F1248" s="639"/>
      <c r="G1248" s="640"/>
      <c r="H1248" s="745"/>
      <c r="I1248" s="746"/>
      <c r="J1248" s="638"/>
      <c r="K1248" s="746"/>
      <c r="L1248" s="637"/>
      <c r="M1248" s="818"/>
      <c r="N1248" s="818"/>
      <c r="O1248" s="638"/>
    </row>
    <row r="1249" spans="2:15" s="481" customFormat="1" x14ac:dyDescent="0.3">
      <c r="B1249" s="86"/>
      <c r="C1249" s="86"/>
      <c r="D1249" s="86"/>
      <c r="E1249" s="638"/>
      <c r="F1249" s="639"/>
      <c r="G1249" s="640"/>
      <c r="H1249" s="745"/>
      <c r="I1249" s="746"/>
      <c r="J1249" s="638"/>
      <c r="K1249" s="746"/>
      <c r="L1249" s="637"/>
      <c r="M1249" s="818"/>
      <c r="N1249" s="818"/>
      <c r="O1249" s="638"/>
    </row>
    <row r="1250" spans="2:15" s="481" customFormat="1" x14ac:dyDescent="0.3">
      <c r="B1250" s="86"/>
      <c r="C1250" s="86"/>
      <c r="D1250" s="86"/>
      <c r="E1250" s="638"/>
      <c r="F1250" s="639"/>
      <c r="G1250" s="640"/>
      <c r="H1250" s="745"/>
      <c r="I1250" s="746"/>
      <c r="J1250" s="638"/>
      <c r="K1250" s="746"/>
      <c r="L1250" s="637"/>
      <c r="M1250" s="818"/>
      <c r="N1250" s="818"/>
      <c r="O1250" s="638"/>
    </row>
    <row r="1251" spans="2:15" s="481" customFormat="1" x14ac:dyDescent="0.3">
      <c r="B1251" s="86"/>
      <c r="C1251" s="86"/>
      <c r="D1251" s="86"/>
      <c r="E1251" s="638"/>
      <c r="F1251" s="639"/>
      <c r="G1251" s="640"/>
      <c r="H1251" s="745"/>
      <c r="I1251" s="746"/>
      <c r="J1251" s="638"/>
      <c r="K1251" s="746"/>
      <c r="L1251" s="637"/>
      <c r="M1251" s="818"/>
      <c r="N1251" s="818"/>
      <c r="O1251" s="638"/>
    </row>
    <row r="1252" spans="2:15" s="481" customFormat="1" x14ac:dyDescent="0.3">
      <c r="B1252" s="86"/>
      <c r="C1252" s="86"/>
      <c r="D1252" s="86"/>
      <c r="E1252" s="638"/>
      <c r="F1252" s="639"/>
      <c r="G1252" s="640"/>
      <c r="H1252" s="745"/>
      <c r="I1252" s="746"/>
      <c r="J1252" s="638"/>
      <c r="K1252" s="746"/>
      <c r="L1252" s="637"/>
      <c r="M1252" s="818"/>
      <c r="N1252" s="818"/>
      <c r="O1252" s="638"/>
    </row>
    <row r="1253" spans="2:15" s="481" customFormat="1" x14ac:dyDescent="0.3">
      <c r="B1253" s="86"/>
      <c r="C1253" s="86"/>
      <c r="D1253" s="86"/>
      <c r="E1253" s="638"/>
      <c r="F1253" s="639"/>
      <c r="G1253" s="640"/>
      <c r="H1253" s="745"/>
      <c r="I1253" s="746"/>
      <c r="J1253" s="638"/>
      <c r="K1253" s="746"/>
      <c r="L1253" s="637"/>
      <c r="M1253" s="818"/>
      <c r="N1253" s="818"/>
      <c r="O1253" s="638"/>
    </row>
    <row r="1254" spans="2:15" s="481" customFormat="1" x14ac:dyDescent="0.3">
      <c r="B1254" s="86"/>
      <c r="C1254" s="86"/>
      <c r="D1254" s="86"/>
      <c r="E1254" s="638"/>
      <c r="F1254" s="639"/>
      <c r="G1254" s="640"/>
      <c r="H1254" s="745"/>
      <c r="I1254" s="746"/>
      <c r="J1254" s="638"/>
      <c r="K1254" s="746"/>
      <c r="L1254" s="637"/>
      <c r="M1254" s="818"/>
      <c r="N1254" s="818"/>
      <c r="O1254" s="638"/>
    </row>
    <row r="1255" spans="2:15" s="481" customFormat="1" x14ac:dyDescent="0.3">
      <c r="B1255" s="86"/>
      <c r="C1255" s="86"/>
      <c r="D1255" s="86"/>
      <c r="E1255" s="638"/>
      <c r="F1255" s="639"/>
      <c r="G1255" s="640"/>
      <c r="H1255" s="745"/>
      <c r="I1255" s="746"/>
      <c r="J1255" s="638"/>
      <c r="K1255" s="746"/>
      <c r="L1255" s="637"/>
      <c r="M1255" s="818"/>
      <c r="N1255" s="818"/>
      <c r="O1255" s="638"/>
    </row>
    <row r="1256" spans="2:15" s="481" customFormat="1" x14ac:dyDescent="0.3">
      <c r="B1256" s="86"/>
      <c r="C1256" s="86"/>
      <c r="D1256" s="86"/>
      <c r="E1256" s="638"/>
      <c r="F1256" s="639"/>
      <c r="G1256" s="640"/>
      <c r="H1256" s="745"/>
      <c r="I1256" s="746"/>
      <c r="J1256" s="638"/>
      <c r="K1256" s="746"/>
      <c r="L1256" s="637"/>
      <c r="M1256" s="818"/>
      <c r="N1256" s="818"/>
      <c r="O1256" s="638"/>
    </row>
    <row r="1257" spans="2:15" s="481" customFormat="1" x14ac:dyDescent="0.3">
      <c r="B1257" s="86"/>
      <c r="C1257" s="86"/>
      <c r="D1257" s="86"/>
      <c r="E1257" s="638"/>
      <c r="F1257" s="639"/>
      <c r="G1257" s="640"/>
      <c r="H1257" s="745"/>
      <c r="I1257" s="746"/>
      <c r="J1257" s="638"/>
      <c r="K1257" s="746"/>
      <c r="L1257" s="637"/>
      <c r="M1257" s="818"/>
      <c r="N1257" s="818"/>
      <c r="O1257" s="638"/>
    </row>
    <row r="1258" spans="2:15" s="481" customFormat="1" x14ac:dyDescent="0.3">
      <c r="B1258" s="86"/>
      <c r="C1258" s="86"/>
      <c r="D1258" s="86"/>
      <c r="E1258" s="638"/>
      <c r="F1258" s="639"/>
      <c r="G1258" s="640"/>
      <c r="H1258" s="745"/>
      <c r="I1258" s="746"/>
      <c r="J1258" s="638"/>
      <c r="K1258" s="746"/>
      <c r="L1258" s="637"/>
      <c r="M1258" s="818"/>
      <c r="N1258" s="818"/>
      <c r="O1258" s="638"/>
    </row>
    <row r="1259" spans="2:15" s="481" customFormat="1" x14ac:dyDescent="0.3">
      <c r="B1259" s="86"/>
      <c r="C1259" s="86"/>
      <c r="D1259" s="86"/>
      <c r="E1259" s="638"/>
      <c r="F1259" s="639"/>
      <c r="G1259" s="640"/>
      <c r="H1259" s="745"/>
      <c r="I1259" s="746"/>
      <c r="J1259" s="638"/>
      <c r="K1259" s="746"/>
      <c r="L1259" s="637"/>
      <c r="M1259" s="818"/>
      <c r="N1259" s="818"/>
      <c r="O1259" s="638"/>
    </row>
    <row r="1260" spans="2:15" s="481" customFormat="1" x14ac:dyDescent="0.3">
      <c r="B1260" s="86"/>
      <c r="C1260" s="86"/>
      <c r="D1260" s="86"/>
      <c r="E1260" s="638"/>
      <c r="F1260" s="639"/>
      <c r="G1260" s="640"/>
      <c r="H1260" s="745"/>
      <c r="I1260" s="746"/>
      <c r="J1260" s="638"/>
      <c r="K1260" s="746"/>
      <c r="L1260" s="637"/>
      <c r="M1260" s="818"/>
      <c r="N1260" s="818"/>
      <c r="O1260" s="638"/>
    </row>
    <row r="1261" spans="2:15" s="481" customFormat="1" x14ac:dyDescent="0.3">
      <c r="B1261" s="86"/>
      <c r="C1261" s="86"/>
      <c r="D1261" s="86"/>
      <c r="E1261" s="638"/>
      <c r="F1261" s="639"/>
      <c r="G1261" s="640"/>
      <c r="H1261" s="745"/>
      <c r="I1261" s="746"/>
      <c r="J1261" s="638"/>
      <c r="K1261" s="746"/>
      <c r="L1261" s="637"/>
      <c r="M1261" s="818"/>
      <c r="N1261" s="818"/>
      <c r="O1261" s="638"/>
    </row>
    <row r="1262" spans="2:15" s="481" customFormat="1" x14ac:dyDescent="0.3">
      <c r="B1262" s="86"/>
      <c r="C1262" s="86"/>
      <c r="D1262" s="86"/>
      <c r="E1262" s="638"/>
      <c r="F1262" s="639"/>
      <c r="G1262" s="640"/>
      <c r="H1262" s="745"/>
      <c r="I1262" s="746"/>
      <c r="J1262" s="638"/>
      <c r="K1262" s="746"/>
      <c r="L1262" s="637"/>
      <c r="M1262" s="818"/>
      <c r="N1262" s="818"/>
      <c r="O1262" s="638"/>
    </row>
    <row r="1263" spans="2:15" s="481" customFormat="1" x14ac:dyDescent="0.3">
      <c r="B1263" s="86"/>
      <c r="C1263" s="86"/>
      <c r="D1263" s="86"/>
      <c r="E1263" s="638"/>
      <c r="F1263" s="639"/>
      <c r="G1263" s="640"/>
      <c r="H1263" s="745"/>
      <c r="I1263" s="746"/>
      <c r="J1263" s="638"/>
      <c r="K1263" s="746"/>
      <c r="L1263" s="637"/>
      <c r="M1263" s="818"/>
      <c r="N1263" s="818"/>
      <c r="O1263" s="638"/>
    </row>
    <row r="1264" spans="2:15" s="481" customFormat="1" x14ac:dyDescent="0.3">
      <c r="B1264" s="86"/>
      <c r="C1264" s="86"/>
      <c r="D1264" s="86"/>
      <c r="E1264" s="638"/>
      <c r="F1264" s="639"/>
      <c r="G1264" s="640"/>
      <c r="H1264" s="745"/>
      <c r="I1264" s="746"/>
      <c r="J1264" s="638"/>
      <c r="K1264" s="746"/>
      <c r="L1264" s="637"/>
      <c r="M1264" s="818"/>
      <c r="N1264" s="818"/>
      <c r="O1264" s="638"/>
    </row>
    <row r="1265" spans="2:15" s="481" customFormat="1" x14ac:dyDescent="0.3">
      <c r="B1265" s="86"/>
      <c r="C1265" s="86"/>
      <c r="D1265" s="86"/>
      <c r="E1265" s="638"/>
      <c r="F1265" s="639"/>
      <c r="G1265" s="640"/>
      <c r="H1265" s="745"/>
      <c r="I1265" s="746"/>
      <c r="J1265" s="638"/>
      <c r="K1265" s="746"/>
      <c r="L1265" s="637"/>
      <c r="M1265" s="818"/>
      <c r="N1265" s="818"/>
      <c r="O1265" s="638"/>
    </row>
    <row r="1266" spans="2:15" s="481" customFormat="1" x14ac:dyDescent="0.3">
      <c r="B1266" s="86"/>
      <c r="C1266" s="86"/>
      <c r="D1266" s="86"/>
      <c r="E1266" s="638"/>
      <c r="F1266" s="639"/>
      <c r="G1266" s="640"/>
      <c r="H1266" s="745"/>
      <c r="I1266" s="746"/>
      <c r="J1266" s="638"/>
      <c r="K1266" s="746"/>
      <c r="L1266" s="637"/>
      <c r="M1266" s="818"/>
      <c r="N1266" s="818"/>
      <c r="O1266" s="638"/>
    </row>
    <row r="1267" spans="2:15" s="481" customFormat="1" x14ac:dyDescent="0.3">
      <c r="B1267" s="86"/>
      <c r="C1267" s="86"/>
      <c r="D1267" s="86"/>
      <c r="E1267" s="638"/>
      <c r="F1267" s="639"/>
      <c r="G1267" s="640"/>
      <c r="H1267" s="745"/>
      <c r="I1267" s="746"/>
      <c r="J1267" s="638"/>
      <c r="K1267" s="746"/>
      <c r="L1267" s="637"/>
      <c r="M1267" s="818"/>
      <c r="N1267" s="818"/>
      <c r="O1267" s="638"/>
    </row>
    <row r="1268" spans="2:15" s="481" customFormat="1" x14ac:dyDescent="0.3">
      <c r="B1268" s="86"/>
      <c r="C1268" s="86"/>
      <c r="D1268" s="86"/>
      <c r="E1268" s="638"/>
      <c r="F1268" s="639"/>
      <c r="G1268" s="640"/>
      <c r="H1268" s="745"/>
      <c r="I1268" s="746"/>
      <c r="J1268" s="638"/>
      <c r="K1268" s="746"/>
      <c r="L1268" s="637"/>
      <c r="M1268" s="818"/>
      <c r="N1268" s="818"/>
      <c r="O1268" s="638"/>
    </row>
    <row r="1269" spans="2:15" s="481" customFormat="1" x14ac:dyDescent="0.3">
      <c r="B1269" s="86"/>
      <c r="C1269" s="86"/>
      <c r="D1269" s="86"/>
      <c r="E1269" s="638"/>
      <c r="F1269" s="639"/>
      <c r="G1269" s="640"/>
      <c r="H1269" s="745"/>
      <c r="I1269" s="746"/>
      <c r="J1269" s="638"/>
      <c r="K1269" s="746"/>
      <c r="L1269" s="637"/>
      <c r="M1269" s="818"/>
      <c r="N1269" s="818"/>
      <c r="O1269" s="638"/>
    </row>
    <row r="1270" spans="2:15" s="481" customFormat="1" x14ac:dyDescent="0.3">
      <c r="B1270" s="86"/>
      <c r="C1270" s="86"/>
      <c r="D1270" s="86"/>
      <c r="E1270" s="638"/>
      <c r="F1270" s="639"/>
      <c r="G1270" s="640"/>
      <c r="H1270" s="745"/>
      <c r="I1270" s="746"/>
      <c r="J1270" s="638"/>
      <c r="K1270" s="746"/>
      <c r="L1270" s="637"/>
      <c r="M1270" s="818"/>
      <c r="N1270" s="818"/>
      <c r="O1270" s="638"/>
    </row>
    <row r="1271" spans="2:15" s="481" customFormat="1" x14ac:dyDescent="0.3">
      <c r="B1271" s="86"/>
      <c r="C1271" s="86"/>
      <c r="D1271" s="86"/>
      <c r="E1271" s="638"/>
      <c r="F1271" s="639"/>
      <c r="G1271" s="640"/>
      <c r="H1271" s="745"/>
      <c r="I1271" s="746"/>
      <c r="J1271" s="638"/>
      <c r="K1271" s="746"/>
      <c r="L1271" s="637"/>
      <c r="M1271" s="818"/>
      <c r="N1271" s="818"/>
      <c r="O1271" s="638"/>
    </row>
    <row r="1272" spans="2:15" s="481" customFormat="1" x14ac:dyDescent="0.3">
      <c r="B1272" s="86"/>
      <c r="C1272" s="86"/>
      <c r="D1272" s="86"/>
      <c r="E1272" s="638"/>
      <c r="F1272" s="639"/>
      <c r="G1272" s="640"/>
      <c r="H1272" s="745"/>
      <c r="I1272" s="746"/>
      <c r="J1272" s="638"/>
      <c r="K1272" s="746"/>
      <c r="L1272" s="637"/>
      <c r="M1272" s="818"/>
      <c r="N1272" s="818"/>
      <c r="O1272" s="638"/>
    </row>
    <row r="1273" spans="2:15" s="481" customFormat="1" x14ac:dyDescent="0.3">
      <c r="B1273" s="86"/>
      <c r="C1273" s="86"/>
      <c r="D1273" s="86"/>
      <c r="E1273" s="638"/>
      <c r="F1273" s="639"/>
      <c r="G1273" s="640"/>
      <c r="H1273" s="745"/>
      <c r="I1273" s="746"/>
      <c r="J1273" s="638"/>
      <c r="K1273" s="746"/>
      <c r="L1273" s="637"/>
      <c r="M1273" s="818"/>
      <c r="N1273" s="818"/>
      <c r="O1273" s="638"/>
    </row>
    <row r="1274" spans="2:15" s="481" customFormat="1" x14ac:dyDescent="0.3">
      <c r="B1274" s="86"/>
      <c r="C1274" s="86"/>
      <c r="D1274" s="86"/>
      <c r="E1274" s="638"/>
      <c r="F1274" s="639"/>
      <c r="G1274" s="640"/>
      <c r="H1274" s="745"/>
      <c r="I1274" s="746"/>
      <c r="J1274" s="638"/>
      <c r="K1274" s="746"/>
      <c r="L1274" s="637"/>
      <c r="M1274" s="818"/>
      <c r="N1274" s="818"/>
      <c r="O1274" s="638"/>
    </row>
    <row r="1275" spans="2:15" s="481" customFormat="1" x14ac:dyDescent="0.3">
      <c r="B1275" s="86"/>
      <c r="C1275" s="86"/>
      <c r="D1275" s="86"/>
      <c r="E1275" s="638"/>
      <c r="F1275" s="639"/>
      <c r="G1275" s="640"/>
      <c r="H1275" s="745"/>
      <c r="I1275" s="746"/>
      <c r="J1275" s="638"/>
      <c r="K1275" s="746"/>
      <c r="L1275" s="637"/>
      <c r="M1275" s="818"/>
      <c r="N1275" s="818"/>
      <c r="O1275" s="638"/>
    </row>
    <row r="1276" spans="2:15" s="481" customFormat="1" x14ac:dyDescent="0.3">
      <c r="B1276" s="86"/>
      <c r="C1276" s="86"/>
      <c r="D1276" s="86"/>
      <c r="E1276" s="638"/>
      <c r="F1276" s="639"/>
      <c r="G1276" s="640"/>
      <c r="H1276" s="745"/>
      <c r="I1276" s="746"/>
      <c r="J1276" s="638"/>
      <c r="K1276" s="746"/>
      <c r="L1276" s="637"/>
      <c r="M1276" s="818"/>
      <c r="N1276" s="818"/>
      <c r="O1276" s="638"/>
    </row>
    <row r="1277" spans="2:15" s="481" customFormat="1" x14ac:dyDescent="0.3">
      <c r="B1277" s="86"/>
      <c r="C1277" s="86"/>
      <c r="D1277" s="86"/>
      <c r="E1277" s="638"/>
      <c r="F1277" s="639"/>
      <c r="G1277" s="640"/>
      <c r="H1277" s="745"/>
      <c r="I1277" s="746"/>
      <c r="J1277" s="638"/>
      <c r="K1277" s="746"/>
      <c r="L1277" s="637"/>
      <c r="M1277" s="818"/>
      <c r="N1277" s="818"/>
      <c r="O1277" s="638"/>
    </row>
    <row r="1278" spans="2:15" s="481" customFormat="1" x14ac:dyDescent="0.3">
      <c r="B1278" s="86"/>
      <c r="C1278" s="86"/>
      <c r="D1278" s="86"/>
      <c r="E1278" s="638"/>
      <c r="F1278" s="639"/>
      <c r="G1278" s="640"/>
      <c r="H1278" s="745"/>
      <c r="I1278" s="746"/>
      <c r="J1278" s="638"/>
      <c r="K1278" s="746"/>
      <c r="L1278" s="637"/>
      <c r="M1278" s="818"/>
      <c r="N1278" s="818"/>
      <c r="O1278" s="638"/>
    </row>
    <row r="1279" spans="2:15" s="481" customFormat="1" x14ac:dyDescent="0.3">
      <c r="B1279" s="86"/>
      <c r="C1279" s="86"/>
      <c r="D1279" s="86"/>
      <c r="E1279" s="638"/>
      <c r="F1279" s="639"/>
      <c r="G1279" s="640"/>
      <c r="H1279" s="745"/>
      <c r="I1279" s="746"/>
      <c r="J1279" s="638"/>
      <c r="K1279" s="746"/>
      <c r="L1279" s="637"/>
      <c r="M1279" s="818"/>
      <c r="N1279" s="818"/>
      <c r="O1279" s="638"/>
    </row>
    <row r="1280" spans="2:15" s="481" customFormat="1" x14ac:dyDescent="0.3">
      <c r="B1280" s="86"/>
      <c r="C1280" s="86"/>
      <c r="D1280" s="86"/>
      <c r="E1280" s="638"/>
      <c r="F1280" s="639"/>
      <c r="G1280" s="640"/>
      <c r="H1280" s="745"/>
      <c r="I1280" s="746"/>
      <c r="J1280" s="638"/>
      <c r="K1280" s="746"/>
      <c r="L1280" s="637"/>
      <c r="M1280" s="818"/>
      <c r="N1280" s="818"/>
      <c r="O1280" s="638"/>
    </row>
    <row r="1281" spans="2:15" s="481" customFormat="1" x14ac:dyDescent="0.3">
      <c r="B1281" s="86"/>
      <c r="C1281" s="86"/>
      <c r="D1281" s="86"/>
      <c r="E1281" s="638"/>
      <c r="F1281" s="639"/>
      <c r="G1281" s="640"/>
      <c r="H1281" s="745"/>
      <c r="I1281" s="746"/>
      <c r="J1281" s="638"/>
      <c r="K1281" s="746"/>
      <c r="L1281" s="637"/>
      <c r="M1281" s="818"/>
      <c r="N1281" s="818"/>
      <c r="O1281" s="638"/>
    </row>
    <row r="1282" spans="2:15" s="481" customFormat="1" x14ac:dyDescent="0.3">
      <c r="B1282" s="86"/>
      <c r="C1282" s="86"/>
      <c r="D1282" s="86"/>
      <c r="E1282" s="638"/>
      <c r="F1282" s="639"/>
      <c r="G1282" s="640"/>
      <c r="H1282" s="745"/>
      <c r="I1282" s="746"/>
      <c r="J1282" s="638"/>
      <c r="K1282" s="746"/>
      <c r="L1282" s="637"/>
      <c r="M1282" s="818"/>
      <c r="N1282" s="818"/>
      <c r="O1282" s="638"/>
    </row>
    <row r="1283" spans="2:15" s="481" customFormat="1" x14ac:dyDescent="0.3">
      <c r="B1283" s="86"/>
      <c r="C1283" s="86"/>
      <c r="D1283" s="86"/>
      <c r="E1283" s="638"/>
      <c r="F1283" s="639"/>
      <c r="G1283" s="640"/>
      <c r="H1283" s="745"/>
      <c r="I1283" s="746"/>
      <c r="J1283" s="638"/>
      <c r="K1283" s="746"/>
      <c r="L1283" s="637"/>
      <c r="M1283" s="818"/>
      <c r="N1283" s="818"/>
      <c r="O1283" s="638"/>
    </row>
    <row r="1284" spans="2:15" s="481" customFormat="1" x14ac:dyDescent="0.3">
      <c r="B1284" s="86"/>
      <c r="C1284" s="86"/>
      <c r="D1284" s="86"/>
      <c r="E1284" s="638"/>
      <c r="F1284" s="639"/>
      <c r="G1284" s="640"/>
      <c r="H1284" s="745"/>
      <c r="I1284" s="746"/>
      <c r="J1284" s="638"/>
      <c r="K1284" s="746"/>
      <c r="L1284" s="637"/>
      <c r="M1284" s="818"/>
      <c r="N1284" s="818"/>
      <c r="O1284" s="638"/>
    </row>
    <row r="1285" spans="2:15" s="481" customFormat="1" x14ac:dyDescent="0.3">
      <c r="B1285" s="86"/>
      <c r="C1285" s="86"/>
      <c r="D1285" s="86"/>
      <c r="E1285" s="638"/>
      <c r="F1285" s="639"/>
      <c r="G1285" s="640"/>
      <c r="H1285" s="745"/>
      <c r="I1285" s="746"/>
      <c r="J1285" s="638"/>
      <c r="K1285" s="746"/>
      <c r="L1285" s="637"/>
      <c r="M1285" s="818"/>
      <c r="N1285" s="818"/>
      <c r="O1285" s="638"/>
    </row>
    <row r="1286" spans="2:15" s="481" customFormat="1" x14ac:dyDescent="0.3">
      <c r="B1286" s="86"/>
      <c r="C1286" s="86"/>
      <c r="D1286" s="86"/>
      <c r="E1286" s="638"/>
      <c r="F1286" s="639"/>
      <c r="G1286" s="640"/>
      <c r="H1286" s="745"/>
      <c r="I1286" s="746"/>
      <c r="J1286" s="638"/>
      <c r="K1286" s="746"/>
      <c r="L1286" s="637"/>
      <c r="M1286" s="818"/>
      <c r="N1286" s="818"/>
      <c r="O1286" s="638"/>
    </row>
    <row r="1287" spans="2:15" s="481" customFormat="1" x14ac:dyDescent="0.3">
      <c r="B1287" s="86"/>
      <c r="C1287" s="86"/>
      <c r="D1287" s="86"/>
      <c r="E1287" s="638"/>
      <c r="F1287" s="639"/>
      <c r="G1287" s="640"/>
      <c r="H1287" s="745"/>
      <c r="I1287" s="746"/>
      <c r="J1287" s="638"/>
      <c r="K1287" s="746"/>
      <c r="L1287" s="637"/>
      <c r="M1287" s="818"/>
      <c r="N1287" s="818"/>
      <c r="O1287" s="638"/>
    </row>
    <row r="1288" spans="2:15" s="481" customFormat="1" x14ac:dyDescent="0.3">
      <c r="B1288" s="86"/>
      <c r="C1288" s="86"/>
      <c r="D1288" s="86"/>
      <c r="E1288" s="638"/>
      <c r="F1288" s="639"/>
      <c r="G1288" s="640"/>
      <c r="H1288" s="745"/>
      <c r="I1288" s="746"/>
      <c r="J1288" s="638"/>
      <c r="K1288" s="746"/>
      <c r="L1288" s="637"/>
      <c r="M1288" s="818"/>
      <c r="N1288" s="818"/>
      <c r="O1288" s="638"/>
    </row>
    <row r="1289" spans="2:15" s="481" customFormat="1" x14ac:dyDescent="0.3">
      <c r="B1289" s="86"/>
      <c r="C1289" s="86"/>
      <c r="D1289" s="86"/>
      <c r="E1289" s="638"/>
      <c r="F1289" s="639"/>
      <c r="G1289" s="640"/>
      <c r="H1289" s="745"/>
      <c r="I1289" s="746"/>
      <c r="J1289" s="638"/>
      <c r="K1289" s="746"/>
      <c r="L1289" s="637"/>
      <c r="M1289" s="818"/>
      <c r="N1289" s="818"/>
      <c r="O1289" s="638"/>
    </row>
    <row r="1290" spans="2:15" s="481" customFormat="1" x14ac:dyDescent="0.3">
      <c r="B1290" s="86"/>
      <c r="C1290" s="86"/>
      <c r="D1290" s="86"/>
      <c r="E1290" s="638"/>
      <c r="F1290" s="639"/>
      <c r="G1290" s="640"/>
      <c r="H1290" s="745"/>
      <c r="I1290" s="746"/>
      <c r="J1290" s="638"/>
      <c r="K1290" s="746"/>
      <c r="L1290" s="637"/>
      <c r="M1290" s="818"/>
      <c r="N1290" s="818"/>
      <c r="O1290" s="638"/>
    </row>
    <row r="1291" spans="2:15" s="481" customFormat="1" x14ac:dyDescent="0.3">
      <c r="B1291" s="86"/>
      <c r="C1291" s="86"/>
      <c r="D1291" s="86"/>
      <c r="E1291" s="638"/>
      <c r="F1291" s="639"/>
      <c r="G1291" s="640"/>
      <c r="H1291" s="745"/>
      <c r="I1291" s="746"/>
      <c r="J1291" s="638"/>
      <c r="K1291" s="746"/>
      <c r="L1291" s="637"/>
      <c r="M1291" s="818"/>
      <c r="N1291" s="818"/>
      <c r="O1291" s="638"/>
    </row>
    <row r="1292" spans="2:15" s="481" customFormat="1" x14ac:dyDescent="0.3">
      <c r="B1292" s="86"/>
      <c r="C1292" s="86"/>
      <c r="D1292" s="86"/>
      <c r="E1292" s="638"/>
      <c r="F1292" s="639"/>
      <c r="G1292" s="640"/>
      <c r="H1292" s="745"/>
      <c r="I1292" s="746"/>
      <c r="J1292" s="638"/>
      <c r="K1292" s="746"/>
      <c r="L1292" s="637"/>
      <c r="M1292" s="818"/>
      <c r="N1292" s="818"/>
      <c r="O1292" s="638"/>
    </row>
    <row r="1293" spans="2:15" s="481" customFormat="1" x14ac:dyDescent="0.3">
      <c r="B1293" s="86"/>
      <c r="C1293" s="86"/>
      <c r="D1293" s="86"/>
      <c r="E1293" s="638"/>
      <c r="F1293" s="639"/>
      <c r="G1293" s="640"/>
      <c r="H1293" s="745"/>
      <c r="I1293" s="746"/>
      <c r="J1293" s="638"/>
      <c r="K1293" s="746"/>
      <c r="L1293" s="637"/>
      <c r="M1293" s="818"/>
      <c r="N1293" s="818"/>
      <c r="O1293" s="638"/>
    </row>
    <row r="1294" spans="2:15" s="481" customFormat="1" x14ac:dyDescent="0.3">
      <c r="B1294" s="86"/>
      <c r="C1294" s="86"/>
      <c r="D1294" s="86"/>
      <c r="E1294" s="638"/>
      <c r="F1294" s="639"/>
      <c r="G1294" s="640"/>
      <c r="H1294" s="745"/>
      <c r="I1294" s="746"/>
      <c r="J1294" s="638"/>
      <c r="K1294" s="746"/>
      <c r="L1294" s="637"/>
      <c r="M1294" s="818"/>
      <c r="N1294" s="818"/>
      <c r="O1294" s="638"/>
    </row>
    <row r="1295" spans="2:15" s="481" customFormat="1" x14ac:dyDescent="0.3">
      <c r="B1295" s="86"/>
      <c r="C1295" s="86"/>
      <c r="D1295" s="86"/>
      <c r="E1295" s="638"/>
      <c r="F1295" s="639"/>
      <c r="G1295" s="640"/>
      <c r="H1295" s="745"/>
      <c r="I1295" s="746"/>
      <c r="J1295" s="638"/>
      <c r="K1295" s="746"/>
      <c r="L1295" s="637"/>
      <c r="M1295" s="818"/>
      <c r="N1295" s="818"/>
      <c r="O1295" s="638"/>
    </row>
    <row r="1296" spans="2:15" s="481" customFormat="1" x14ac:dyDescent="0.3">
      <c r="B1296" s="86"/>
      <c r="C1296" s="86"/>
      <c r="D1296" s="86"/>
      <c r="E1296" s="638"/>
      <c r="F1296" s="639"/>
      <c r="G1296" s="640"/>
      <c r="H1296" s="745"/>
      <c r="I1296" s="746"/>
      <c r="J1296" s="638"/>
      <c r="K1296" s="746"/>
      <c r="L1296" s="637"/>
      <c r="M1296" s="818"/>
      <c r="N1296" s="818"/>
      <c r="O1296" s="638"/>
    </row>
    <row r="1297" spans="2:15" s="481" customFormat="1" x14ac:dyDescent="0.3">
      <c r="B1297" s="86"/>
      <c r="C1297" s="86"/>
      <c r="D1297" s="86"/>
      <c r="E1297" s="638"/>
      <c r="F1297" s="639"/>
      <c r="G1297" s="640"/>
      <c r="H1297" s="745"/>
      <c r="I1297" s="746"/>
      <c r="J1297" s="638"/>
      <c r="K1297" s="746"/>
      <c r="L1297" s="637"/>
      <c r="M1297" s="818"/>
      <c r="N1297" s="818"/>
      <c r="O1297" s="638"/>
    </row>
    <row r="1298" spans="2:15" s="481" customFormat="1" x14ac:dyDescent="0.3">
      <c r="B1298" s="86"/>
      <c r="C1298" s="86"/>
      <c r="D1298" s="86"/>
      <c r="E1298" s="638"/>
      <c r="F1298" s="639"/>
      <c r="G1298" s="640"/>
      <c r="H1298" s="745"/>
      <c r="I1298" s="746"/>
      <c r="J1298" s="638"/>
      <c r="K1298" s="746"/>
      <c r="L1298" s="637"/>
      <c r="M1298" s="818"/>
      <c r="N1298" s="818"/>
      <c r="O1298" s="638"/>
    </row>
    <row r="1299" spans="2:15" s="481" customFormat="1" x14ac:dyDescent="0.3">
      <c r="B1299" s="86"/>
      <c r="C1299" s="86"/>
      <c r="D1299" s="86"/>
      <c r="E1299" s="638"/>
      <c r="F1299" s="639"/>
      <c r="G1299" s="640"/>
      <c r="H1299" s="745"/>
      <c r="I1299" s="746"/>
      <c r="J1299" s="638"/>
      <c r="K1299" s="746"/>
      <c r="L1299" s="637"/>
      <c r="M1299" s="818"/>
      <c r="N1299" s="818"/>
      <c r="O1299" s="638"/>
    </row>
    <row r="1300" spans="2:15" s="481" customFormat="1" x14ac:dyDescent="0.3">
      <c r="B1300" s="86"/>
      <c r="C1300" s="86"/>
      <c r="D1300" s="86"/>
      <c r="E1300" s="638"/>
      <c r="F1300" s="639"/>
      <c r="G1300" s="640"/>
      <c r="H1300" s="745"/>
      <c r="I1300" s="746"/>
      <c r="J1300" s="638"/>
      <c r="K1300" s="746"/>
      <c r="L1300" s="637"/>
      <c r="M1300" s="818"/>
      <c r="N1300" s="818"/>
      <c r="O1300" s="638"/>
    </row>
    <row r="1301" spans="2:15" s="481" customFormat="1" x14ac:dyDescent="0.3">
      <c r="B1301" s="86"/>
      <c r="C1301" s="86"/>
      <c r="D1301" s="86"/>
      <c r="E1301" s="638"/>
      <c r="F1301" s="639"/>
      <c r="G1301" s="640"/>
      <c r="H1301" s="745"/>
      <c r="I1301" s="746"/>
      <c r="J1301" s="638"/>
      <c r="K1301" s="746"/>
      <c r="L1301" s="637"/>
      <c r="M1301" s="818"/>
      <c r="N1301" s="818"/>
      <c r="O1301" s="638"/>
    </row>
    <row r="1302" spans="2:15" s="481" customFormat="1" x14ac:dyDescent="0.3">
      <c r="B1302" s="86"/>
      <c r="C1302" s="86"/>
      <c r="D1302" s="86"/>
      <c r="E1302" s="638"/>
      <c r="F1302" s="639"/>
      <c r="G1302" s="640"/>
      <c r="H1302" s="745"/>
      <c r="I1302" s="746"/>
      <c r="J1302" s="638"/>
      <c r="K1302" s="746"/>
      <c r="L1302" s="637"/>
      <c r="M1302" s="818"/>
      <c r="N1302" s="818"/>
      <c r="O1302" s="638"/>
    </row>
    <row r="1303" spans="2:15" s="481" customFormat="1" x14ac:dyDescent="0.3">
      <c r="B1303" s="86"/>
      <c r="C1303" s="86"/>
      <c r="D1303" s="86"/>
      <c r="E1303" s="638"/>
      <c r="F1303" s="639"/>
      <c r="G1303" s="640"/>
      <c r="H1303" s="745"/>
      <c r="I1303" s="746"/>
      <c r="J1303" s="638"/>
      <c r="K1303" s="746"/>
      <c r="L1303" s="637"/>
      <c r="M1303" s="818"/>
      <c r="N1303" s="818"/>
      <c r="O1303" s="638"/>
    </row>
    <row r="1304" spans="2:15" s="481" customFormat="1" x14ac:dyDescent="0.3">
      <c r="B1304" s="86"/>
      <c r="C1304" s="86"/>
      <c r="D1304" s="86"/>
      <c r="E1304" s="638"/>
      <c r="F1304" s="639"/>
      <c r="G1304" s="640"/>
      <c r="H1304" s="745"/>
      <c r="I1304" s="746"/>
      <c r="J1304" s="638"/>
      <c r="K1304" s="746"/>
      <c r="L1304" s="637"/>
      <c r="M1304" s="818"/>
      <c r="N1304" s="818"/>
      <c r="O1304" s="638"/>
    </row>
    <row r="1305" spans="2:15" s="481" customFormat="1" x14ac:dyDescent="0.3">
      <c r="B1305" s="86"/>
      <c r="C1305" s="86"/>
      <c r="D1305" s="86"/>
      <c r="E1305" s="638"/>
      <c r="F1305" s="639"/>
      <c r="G1305" s="640"/>
      <c r="H1305" s="745"/>
      <c r="I1305" s="746"/>
      <c r="J1305" s="638"/>
      <c r="K1305" s="746"/>
      <c r="L1305" s="637"/>
      <c r="M1305" s="818"/>
      <c r="N1305" s="818"/>
      <c r="O1305" s="638"/>
    </row>
    <row r="1306" spans="2:15" s="481" customFormat="1" x14ac:dyDescent="0.3">
      <c r="B1306" s="86"/>
      <c r="C1306" s="86"/>
      <c r="D1306" s="86"/>
      <c r="E1306" s="638"/>
      <c r="F1306" s="639"/>
      <c r="G1306" s="640"/>
      <c r="H1306" s="745"/>
      <c r="I1306" s="746"/>
      <c r="J1306" s="638"/>
      <c r="K1306" s="746"/>
      <c r="L1306" s="637"/>
      <c r="M1306" s="818"/>
      <c r="N1306" s="818"/>
      <c r="O1306" s="638"/>
    </row>
    <row r="1307" spans="2:15" s="481" customFormat="1" x14ac:dyDescent="0.3">
      <c r="B1307" s="86"/>
      <c r="C1307" s="86"/>
      <c r="D1307" s="86"/>
      <c r="E1307" s="638"/>
      <c r="F1307" s="639"/>
      <c r="G1307" s="640"/>
      <c r="H1307" s="745"/>
      <c r="I1307" s="746"/>
      <c r="J1307" s="638"/>
      <c r="K1307" s="746"/>
      <c r="L1307" s="637"/>
      <c r="M1307" s="818"/>
      <c r="N1307" s="818"/>
      <c r="O1307" s="638"/>
    </row>
    <row r="1308" spans="2:15" s="481" customFormat="1" x14ac:dyDescent="0.3">
      <c r="B1308" s="86"/>
      <c r="C1308" s="86"/>
      <c r="D1308" s="86"/>
      <c r="E1308" s="638"/>
      <c r="F1308" s="639"/>
      <c r="G1308" s="640"/>
      <c r="H1308" s="745"/>
      <c r="I1308" s="746"/>
      <c r="J1308" s="638"/>
      <c r="K1308" s="746"/>
      <c r="L1308" s="637"/>
      <c r="M1308" s="818"/>
      <c r="N1308" s="818"/>
      <c r="O1308" s="638"/>
    </row>
    <row r="1309" spans="2:15" s="481" customFormat="1" x14ac:dyDescent="0.3">
      <c r="B1309" s="86"/>
      <c r="C1309" s="86"/>
      <c r="D1309" s="86"/>
      <c r="E1309" s="638"/>
      <c r="F1309" s="639"/>
      <c r="G1309" s="640"/>
      <c r="H1309" s="745"/>
      <c r="I1309" s="746"/>
      <c r="J1309" s="638"/>
      <c r="K1309" s="746"/>
      <c r="L1309" s="637"/>
      <c r="M1309" s="818"/>
      <c r="N1309" s="818"/>
      <c r="O1309" s="638"/>
    </row>
    <row r="1310" spans="2:15" s="481" customFormat="1" x14ac:dyDescent="0.3">
      <c r="B1310" s="86"/>
      <c r="C1310" s="86"/>
      <c r="D1310" s="86"/>
      <c r="E1310" s="638"/>
      <c r="F1310" s="639"/>
      <c r="G1310" s="640"/>
      <c r="H1310" s="745"/>
      <c r="I1310" s="746"/>
      <c r="J1310" s="638"/>
      <c r="K1310" s="746"/>
      <c r="L1310" s="637"/>
      <c r="M1310" s="818"/>
      <c r="N1310" s="818"/>
      <c r="O1310" s="638"/>
    </row>
    <row r="1311" spans="2:15" s="481" customFormat="1" x14ac:dyDescent="0.3">
      <c r="B1311" s="86"/>
      <c r="C1311" s="86"/>
      <c r="D1311" s="86"/>
      <c r="E1311" s="638"/>
      <c r="F1311" s="639"/>
      <c r="G1311" s="640"/>
      <c r="H1311" s="745"/>
      <c r="I1311" s="746"/>
      <c r="J1311" s="638"/>
      <c r="K1311" s="746"/>
      <c r="L1311" s="637"/>
      <c r="M1311" s="818"/>
      <c r="N1311" s="818"/>
      <c r="O1311" s="638"/>
    </row>
    <row r="1312" spans="2:15" s="481" customFormat="1" x14ac:dyDescent="0.3">
      <c r="B1312" s="86"/>
      <c r="C1312" s="86"/>
      <c r="D1312" s="86"/>
      <c r="E1312" s="638"/>
      <c r="F1312" s="639"/>
      <c r="G1312" s="640"/>
      <c r="H1312" s="745"/>
      <c r="I1312" s="746"/>
      <c r="J1312" s="638"/>
      <c r="K1312" s="746"/>
      <c r="L1312" s="637"/>
      <c r="M1312" s="818"/>
      <c r="N1312" s="818"/>
      <c r="O1312" s="638"/>
    </row>
    <row r="1313" spans="2:15" s="481" customFormat="1" x14ac:dyDescent="0.3">
      <c r="B1313" s="86"/>
      <c r="C1313" s="86"/>
      <c r="D1313" s="86"/>
      <c r="E1313" s="638"/>
      <c r="F1313" s="639"/>
      <c r="G1313" s="640"/>
      <c r="H1313" s="745"/>
      <c r="I1313" s="746"/>
      <c r="J1313" s="638"/>
      <c r="K1313" s="746"/>
      <c r="L1313" s="637"/>
      <c r="M1313" s="818"/>
      <c r="N1313" s="818"/>
      <c r="O1313" s="638"/>
    </row>
    <row r="1314" spans="2:15" s="481" customFormat="1" x14ac:dyDescent="0.3">
      <c r="B1314" s="86"/>
      <c r="C1314" s="86"/>
      <c r="D1314" s="86"/>
      <c r="E1314" s="638"/>
      <c r="F1314" s="639"/>
      <c r="G1314" s="640"/>
      <c r="H1314" s="745"/>
      <c r="I1314" s="746"/>
      <c r="J1314" s="638"/>
      <c r="K1314" s="746"/>
      <c r="L1314" s="637"/>
      <c r="M1314" s="818"/>
      <c r="N1314" s="818"/>
      <c r="O1314" s="638"/>
    </row>
    <row r="1315" spans="2:15" s="481" customFormat="1" x14ac:dyDescent="0.3">
      <c r="B1315" s="86"/>
      <c r="C1315" s="86"/>
      <c r="D1315" s="86"/>
      <c r="E1315" s="638"/>
      <c r="F1315" s="639"/>
      <c r="G1315" s="640"/>
      <c r="H1315" s="745"/>
      <c r="I1315" s="746"/>
      <c r="J1315" s="638"/>
      <c r="K1315" s="746"/>
      <c r="L1315" s="637"/>
      <c r="M1315" s="818"/>
      <c r="N1315" s="818"/>
      <c r="O1315" s="638"/>
    </row>
    <row r="1316" spans="2:15" s="481" customFormat="1" x14ac:dyDescent="0.3">
      <c r="B1316" s="86"/>
      <c r="C1316" s="86"/>
      <c r="D1316" s="86"/>
      <c r="E1316" s="638"/>
      <c r="F1316" s="639"/>
      <c r="G1316" s="640"/>
      <c r="H1316" s="745"/>
      <c r="I1316" s="746"/>
      <c r="J1316" s="638"/>
      <c r="K1316" s="746"/>
      <c r="L1316" s="637"/>
      <c r="M1316" s="818"/>
      <c r="N1316" s="818"/>
      <c r="O1316" s="638"/>
    </row>
    <row r="1317" spans="2:15" s="481" customFormat="1" x14ac:dyDescent="0.3">
      <c r="B1317" s="86"/>
      <c r="C1317" s="86"/>
      <c r="D1317" s="86"/>
      <c r="E1317" s="638"/>
      <c r="F1317" s="639"/>
      <c r="G1317" s="640"/>
      <c r="H1317" s="745"/>
      <c r="I1317" s="746"/>
      <c r="J1317" s="638"/>
      <c r="K1317" s="746"/>
      <c r="L1317" s="637"/>
      <c r="M1317" s="818"/>
      <c r="N1317" s="818"/>
      <c r="O1317" s="638"/>
    </row>
    <row r="1318" spans="2:15" s="481" customFormat="1" x14ac:dyDescent="0.3">
      <c r="B1318" s="86"/>
      <c r="C1318" s="86"/>
      <c r="D1318" s="86"/>
      <c r="E1318" s="638"/>
      <c r="F1318" s="639"/>
      <c r="G1318" s="640"/>
      <c r="H1318" s="745"/>
      <c r="I1318" s="746"/>
      <c r="J1318" s="638"/>
      <c r="K1318" s="746"/>
      <c r="L1318" s="637"/>
      <c r="M1318" s="818"/>
      <c r="N1318" s="818"/>
      <c r="O1318" s="638"/>
    </row>
    <row r="1319" spans="2:15" s="481" customFormat="1" x14ac:dyDescent="0.3">
      <c r="B1319" s="86"/>
      <c r="C1319" s="86"/>
      <c r="D1319" s="86"/>
      <c r="E1319" s="638"/>
      <c r="F1319" s="639"/>
      <c r="G1319" s="640"/>
      <c r="H1319" s="745"/>
      <c r="I1319" s="746"/>
      <c r="J1319" s="638"/>
      <c r="K1319" s="746"/>
      <c r="L1319" s="637"/>
      <c r="M1319" s="818"/>
      <c r="N1319" s="818"/>
      <c r="O1319" s="638"/>
    </row>
    <row r="1320" spans="2:15" s="481" customFormat="1" x14ac:dyDescent="0.3">
      <c r="B1320" s="86"/>
      <c r="C1320" s="86"/>
      <c r="D1320" s="86"/>
      <c r="E1320" s="638"/>
      <c r="F1320" s="639"/>
      <c r="G1320" s="640"/>
      <c r="H1320" s="745"/>
      <c r="I1320" s="746"/>
      <c r="J1320" s="638"/>
      <c r="K1320" s="746"/>
      <c r="L1320" s="637"/>
      <c r="M1320" s="818"/>
      <c r="N1320" s="818"/>
      <c r="O1320" s="638"/>
    </row>
    <row r="1321" spans="2:15" s="481" customFormat="1" x14ac:dyDescent="0.3">
      <c r="B1321" s="86"/>
      <c r="C1321" s="86"/>
      <c r="D1321" s="86"/>
      <c r="E1321" s="638"/>
      <c r="F1321" s="639"/>
      <c r="G1321" s="640"/>
      <c r="H1321" s="745"/>
      <c r="I1321" s="746"/>
      <c r="J1321" s="638"/>
      <c r="K1321" s="746"/>
      <c r="L1321" s="637"/>
      <c r="M1321" s="818"/>
      <c r="N1321" s="818"/>
      <c r="O1321" s="638"/>
    </row>
    <row r="1322" spans="2:15" s="481" customFormat="1" x14ac:dyDescent="0.3">
      <c r="B1322" s="86"/>
      <c r="C1322" s="86"/>
      <c r="D1322" s="86"/>
      <c r="E1322" s="638"/>
      <c r="F1322" s="639"/>
      <c r="G1322" s="640"/>
      <c r="H1322" s="745"/>
      <c r="I1322" s="746"/>
      <c r="J1322" s="638"/>
      <c r="K1322" s="746"/>
      <c r="L1322" s="637"/>
      <c r="M1322" s="818"/>
      <c r="N1322" s="818"/>
      <c r="O1322" s="638"/>
    </row>
    <row r="1323" spans="2:15" s="481" customFormat="1" x14ac:dyDescent="0.3">
      <c r="B1323" s="86"/>
      <c r="C1323" s="86"/>
      <c r="D1323" s="86"/>
      <c r="E1323" s="638"/>
      <c r="F1323" s="639"/>
      <c r="G1323" s="640"/>
      <c r="H1323" s="745"/>
      <c r="I1323" s="746"/>
      <c r="J1323" s="638"/>
      <c r="K1323" s="746"/>
      <c r="L1323" s="637"/>
      <c r="M1323" s="818"/>
      <c r="N1323" s="818"/>
      <c r="O1323" s="638"/>
    </row>
    <row r="1324" spans="2:15" s="481" customFormat="1" x14ac:dyDescent="0.3">
      <c r="B1324" s="86"/>
      <c r="C1324" s="86"/>
      <c r="D1324" s="86"/>
      <c r="E1324" s="638"/>
      <c r="F1324" s="639"/>
      <c r="G1324" s="640"/>
      <c r="H1324" s="745"/>
      <c r="I1324" s="746"/>
      <c r="J1324" s="638"/>
      <c r="K1324" s="746"/>
      <c r="L1324" s="637"/>
      <c r="M1324" s="818"/>
      <c r="N1324" s="818"/>
      <c r="O1324" s="638"/>
    </row>
    <row r="1325" spans="2:15" s="481" customFormat="1" x14ac:dyDescent="0.3">
      <c r="B1325" s="86"/>
      <c r="C1325" s="86"/>
      <c r="D1325" s="86"/>
      <c r="E1325" s="638"/>
      <c r="F1325" s="639"/>
      <c r="G1325" s="640"/>
      <c r="H1325" s="745"/>
      <c r="I1325" s="746"/>
      <c r="J1325" s="638"/>
      <c r="K1325" s="746"/>
      <c r="L1325" s="637"/>
      <c r="M1325" s="818"/>
      <c r="N1325" s="818"/>
      <c r="O1325" s="638"/>
    </row>
    <row r="1326" spans="2:15" s="481" customFormat="1" x14ac:dyDescent="0.3">
      <c r="B1326" s="86"/>
      <c r="C1326" s="86"/>
      <c r="D1326" s="86"/>
      <c r="E1326" s="638"/>
      <c r="F1326" s="639"/>
      <c r="G1326" s="640"/>
      <c r="H1326" s="745"/>
      <c r="I1326" s="746"/>
      <c r="J1326" s="638"/>
      <c r="K1326" s="746"/>
      <c r="L1326" s="637"/>
      <c r="M1326" s="818"/>
      <c r="N1326" s="818"/>
      <c r="O1326" s="638"/>
    </row>
    <row r="1327" spans="2:15" s="481" customFormat="1" x14ac:dyDescent="0.3">
      <c r="B1327" s="86"/>
      <c r="C1327" s="86"/>
      <c r="D1327" s="86"/>
      <c r="E1327" s="638"/>
      <c r="F1327" s="639"/>
      <c r="G1327" s="640"/>
      <c r="H1327" s="745"/>
      <c r="I1327" s="746"/>
      <c r="J1327" s="638"/>
      <c r="K1327" s="746"/>
      <c r="L1327" s="637"/>
      <c r="M1327" s="818"/>
      <c r="N1327" s="818"/>
      <c r="O1327" s="638"/>
    </row>
    <row r="1328" spans="2:15" s="481" customFormat="1" x14ac:dyDescent="0.3">
      <c r="B1328" s="86"/>
      <c r="C1328" s="86"/>
      <c r="D1328" s="86"/>
      <c r="E1328" s="638"/>
      <c r="F1328" s="639"/>
      <c r="G1328" s="640"/>
      <c r="H1328" s="745"/>
      <c r="I1328" s="746"/>
      <c r="J1328" s="638"/>
      <c r="K1328" s="746"/>
      <c r="L1328" s="637"/>
      <c r="M1328" s="818"/>
      <c r="N1328" s="818"/>
      <c r="O1328" s="638"/>
    </row>
    <row r="1329" spans="2:15" s="481" customFormat="1" x14ac:dyDescent="0.3">
      <c r="B1329" s="86"/>
      <c r="C1329" s="86"/>
      <c r="D1329" s="86"/>
      <c r="E1329" s="638"/>
      <c r="F1329" s="639"/>
      <c r="G1329" s="640"/>
      <c r="H1329" s="745"/>
      <c r="I1329" s="746"/>
      <c r="J1329" s="638"/>
      <c r="K1329" s="746"/>
      <c r="L1329" s="637"/>
      <c r="M1329" s="818"/>
      <c r="N1329" s="818"/>
      <c r="O1329" s="638"/>
    </row>
    <row r="1330" spans="2:15" s="481" customFormat="1" x14ac:dyDescent="0.3">
      <c r="B1330" s="86"/>
      <c r="C1330" s="86"/>
      <c r="D1330" s="86"/>
      <c r="E1330" s="638"/>
      <c r="F1330" s="639"/>
      <c r="G1330" s="640"/>
      <c r="H1330" s="745"/>
      <c r="I1330" s="746"/>
      <c r="J1330" s="638"/>
      <c r="K1330" s="746"/>
      <c r="L1330" s="637"/>
      <c r="M1330" s="818"/>
      <c r="N1330" s="818"/>
      <c r="O1330" s="638"/>
    </row>
    <row r="1331" spans="2:15" s="481" customFormat="1" x14ac:dyDescent="0.3">
      <c r="B1331" s="86"/>
      <c r="C1331" s="86"/>
      <c r="D1331" s="86"/>
      <c r="E1331" s="638"/>
      <c r="F1331" s="639"/>
      <c r="G1331" s="640"/>
      <c r="H1331" s="745"/>
      <c r="I1331" s="746"/>
      <c r="J1331" s="638"/>
      <c r="K1331" s="746"/>
      <c r="L1331" s="637"/>
      <c r="M1331" s="818"/>
      <c r="N1331" s="818"/>
      <c r="O1331" s="638"/>
    </row>
    <row r="1332" spans="2:15" s="481" customFormat="1" x14ac:dyDescent="0.3">
      <c r="B1332" s="86"/>
      <c r="C1332" s="86"/>
      <c r="D1332" s="86"/>
      <c r="E1332" s="638"/>
      <c r="F1332" s="639"/>
      <c r="G1332" s="640"/>
      <c r="H1332" s="745"/>
      <c r="I1332" s="746"/>
      <c r="J1332" s="638"/>
      <c r="K1332" s="746"/>
      <c r="L1332" s="637"/>
      <c r="M1332" s="818"/>
      <c r="N1332" s="818"/>
      <c r="O1332" s="638"/>
    </row>
    <row r="1333" spans="2:15" s="481" customFormat="1" x14ac:dyDescent="0.3">
      <c r="B1333" s="86"/>
      <c r="C1333" s="86"/>
      <c r="D1333" s="86"/>
      <c r="E1333" s="638"/>
      <c r="F1333" s="639"/>
      <c r="G1333" s="640"/>
      <c r="H1333" s="745"/>
      <c r="I1333" s="746"/>
      <c r="J1333" s="638"/>
      <c r="K1333" s="746"/>
      <c r="L1333" s="637"/>
      <c r="M1333" s="818"/>
      <c r="N1333" s="818"/>
      <c r="O1333" s="638"/>
    </row>
    <row r="1334" spans="2:15" s="481" customFormat="1" x14ac:dyDescent="0.3">
      <c r="B1334" s="86"/>
      <c r="C1334" s="86"/>
      <c r="D1334" s="86"/>
      <c r="E1334" s="638"/>
      <c r="F1334" s="639"/>
      <c r="G1334" s="640"/>
      <c r="H1334" s="745"/>
      <c r="I1334" s="746"/>
      <c r="J1334" s="638"/>
      <c r="K1334" s="746"/>
      <c r="L1334" s="637"/>
      <c r="M1334" s="818"/>
      <c r="N1334" s="818"/>
      <c r="O1334" s="638"/>
    </row>
    <row r="1335" spans="2:15" s="481" customFormat="1" x14ac:dyDescent="0.3">
      <c r="B1335" s="86"/>
      <c r="C1335" s="86"/>
      <c r="D1335" s="86"/>
      <c r="E1335" s="638"/>
      <c r="F1335" s="639"/>
      <c r="G1335" s="640"/>
      <c r="H1335" s="745"/>
      <c r="I1335" s="746"/>
      <c r="J1335" s="638"/>
      <c r="K1335" s="746"/>
      <c r="L1335" s="637"/>
      <c r="M1335" s="818"/>
      <c r="N1335" s="818"/>
      <c r="O1335" s="638"/>
    </row>
    <row r="1336" spans="2:15" s="481" customFormat="1" x14ac:dyDescent="0.3">
      <c r="B1336" s="86"/>
      <c r="C1336" s="86"/>
      <c r="D1336" s="86"/>
      <c r="E1336" s="638"/>
      <c r="F1336" s="639"/>
      <c r="G1336" s="640"/>
      <c r="H1336" s="745"/>
      <c r="I1336" s="746"/>
      <c r="J1336" s="638"/>
      <c r="K1336" s="746"/>
      <c r="L1336" s="637"/>
      <c r="M1336" s="818"/>
      <c r="N1336" s="818"/>
      <c r="O1336" s="638"/>
    </row>
    <row r="1337" spans="2:15" s="481" customFormat="1" x14ac:dyDescent="0.3">
      <c r="B1337" s="86"/>
      <c r="C1337" s="86"/>
      <c r="D1337" s="86"/>
      <c r="E1337" s="638"/>
      <c r="F1337" s="639"/>
      <c r="G1337" s="640"/>
      <c r="H1337" s="745"/>
      <c r="I1337" s="746"/>
      <c r="J1337" s="638"/>
      <c r="K1337" s="746"/>
      <c r="L1337" s="637"/>
      <c r="M1337" s="818"/>
      <c r="N1337" s="818"/>
      <c r="O1337" s="638"/>
    </row>
    <row r="1338" spans="2:15" s="481" customFormat="1" x14ac:dyDescent="0.3">
      <c r="B1338" s="86"/>
      <c r="C1338" s="86"/>
      <c r="D1338" s="86"/>
      <c r="E1338" s="638"/>
      <c r="F1338" s="639"/>
      <c r="G1338" s="640"/>
      <c r="H1338" s="745"/>
      <c r="I1338" s="746"/>
      <c r="J1338" s="638"/>
      <c r="K1338" s="746"/>
      <c r="L1338" s="637"/>
      <c r="M1338" s="818"/>
      <c r="N1338" s="818"/>
      <c r="O1338" s="638"/>
    </row>
    <row r="1339" spans="2:15" s="481" customFormat="1" x14ac:dyDescent="0.3">
      <c r="B1339" s="86"/>
      <c r="C1339" s="86"/>
      <c r="D1339" s="86"/>
      <c r="E1339" s="638"/>
      <c r="F1339" s="639"/>
      <c r="G1339" s="640"/>
      <c r="H1339" s="745"/>
      <c r="I1339" s="746"/>
      <c r="J1339" s="638"/>
      <c r="K1339" s="746"/>
      <c r="L1339" s="637"/>
      <c r="M1339" s="818"/>
      <c r="N1339" s="818"/>
      <c r="O1339" s="638"/>
    </row>
    <row r="1340" spans="2:15" s="481" customFormat="1" x14ac:dyDescent="0.3">
      <c r="B1340" s="86"/>
      <c r="C1340" s="86"/>
      <c r="D1340" s="86"/>
      <c r="E1340" s="638"/>
      <c r="F1340" s="639"/>
      <c r="G1340" s="640"/>
      <c r="H1340" s="745"/>
      <c r="I1340" s="746"/>
      <c r="J1340" s="638"/>
      <c r="K1340" s="746"/>
      <c r="L1340" s="637"/>
      <c r="M1340" s="818"/>
      <c r="N1340" s="818"/>
      <c r="O1340" s="638"/>
    </row>
    <row r="1341" spans="2:15" s="481" customFormat="1" x14ac:dyDescent="0.3">
      <c r="B1341" s="86"/>
      <c r="C1341" s="86"/>
      <c r="D1341" s="86"/>
      <c r="E1341" s="638"/>
      <c r="F1341" s="639"/>
      <c r="G1341" s="640"/>
      <c r="H1341" s="745"/>
      <c r="I1341" s="746"/>
      <c r="J1341" s="638"/>
      <c r="K1341" s="746"/>
      <c r="L1341" s="637"/>
      <c r="M1341" s="818"/>
      <c r="N1341" s="818"/>
      <c r="O1341" s="638"/>
    </row>
    <row r="1342" spans="2:15" s="481" customFormat="1" x14ac:dyDescent="0.3">
      <c r="B1342" s="86"/>
      <c r="C1342" s="86"/>
      <c r="D1342" s="86"/>
      <c r="E1342" s="638"/>
      <c r="F1342" s="639"/>
      <c r="G1342" s="640"/>
      <c r="H1342" s="745"/>
      <c r="I1342" s="746"/>
      <c r="J1342" s="638"/>
      <c r="K1342" s="746"/>
      <c r="L1342" s="637"/>
      <c r="M1342" s="818"/>
      <c r="N1342" s="818"/>
      <c r="O1342" s="638"/>
    </row>
    <row r="1343" spans="2:15" s="481" customFormat="1" x14ac:dyDescent="0.3">
      <c r="B1343" s="86"/>
      <c r="C1343" s="86"/>
      <c r="D1343" s="86"/>
      <c r="E1343" s="638"/>
      <c r="F1343" s="639"/>
      <c r="G1343" s="640"/>
      <c r="H1343" s="745"/>
      <c r="I1343" s="746"/>
      <c r="J1343" s="638"/>
      <c r="K1343" s="746"/>
      <c r="L1343" s="637"/>
      <c r="M1343" s="818"/>
      <c r="N1343" s="818"/>
      <c r="O1343" s="638"/>
    </row>
    <row r="1344" spans="2:15" s="481" customFormat="1" x14ac:dyDescent="0.3">
      <c r="B1344" s="86"/>
      <c r="C1344" s="86"/>
      <c r="D1344" s="86"/>
      <c r="E1344" s="638"/>
      <c r="F1344" s="639"/>
      <c r="G1344" s="640"/>
      <c r="H1344" s="745"/>
      <c r="I1344" s="746"/>
      <c r="J1344" s="638"/>
      <c r="K1344" s="746"/>
      <c r="L1344" s="637"/>
      <c r="M1344" s="818"/>
      <c r="N1344" s="818"/>
      <c r="O1344" s="638"/>
    </row>
    <row r="1345" spans="2:15" s="481" customFormat="1" x14ac:dyDescent="0.3">
      <c r="B1345" s="86"/>
      <c r="C1345" s="86"/>
      <c r="D1345" s="86"/>
      <c r="E1345" s="638"/>
      <c r="F1345" s="639"/>
      <c r="G1345" s="640"/>
      <c r="H1345" s="745"/>
      <c r="I1345" s="746"/>
      <c r="J1345" s="638"/>
      <c r="K1345" s="746"/>
      <c r="L1345" s="637"/>
      <c r="M1345" s="818"/>
      <c r="N1345" s="818"/>
      <c r="O1345" s="638"/>
    </row>
    <row r="1346" spans="2:15" s="481" customFormat="1" x14ac:dyDescent="0.3">
      <c r="B1346" s="86"/>
      <c r="C1346" s="86"/>
      <c r="D1346" s="86"/>
      <c r="E1346" s="638"/>
      <c r="F1346" s="639"/>
      <c r="G1346" s="640"/>
      <c r="H1346" s="745"/>
      <c r="I1346" s="746"/>
      <c r="J1346" s="638"/>
      <c r="K1346" s="746"/>
      <c r="L1346" s="637"/>
      <c r="M1346" s="818"/>
      <c r="N1346" s="818"/>
      <c r="O1346" s="638"/>
    </row>
    <row r="1347" spans="2:15" s="481" customFormat="1" x14ac:dyDescent="0.3">
      <c r="B1347" s="86"/>
      <c r="C1347" s="86"/>
      <c r="D1347" s="86"/>
      <c r="E1347" s="638"/>
      <c r="F1347" s="639"/>
      <c r="G1347" s="640"/>
      <c r="H1347" s="745"/>
      <c r="I1347" s="746"/>
      <c r="J1347" s="638"/>
      <c r="K1347" s="746"/>
      <c r="L1347" s="637"/>
      <c r="M1347" s="818"/>
      <c r="N1347" s="818"/>
      <c r="O1347" s="638"/>
    </row>
    <row r="1348" spans="2:15" s="481" customFormat="1" x14ac:dyDescent="0.3">
      <c r="B1348" s="86"/>
      <c r="C1348" s="86"/>
      <c r="D1348" s="86"/>
      <c r="E1348" s="638"/>
      <c r="F1348" s="639"/>
      <c r="G1348" s="640"/>
      <c r="H1348" s="745"/>
      <c r="I1348" s="746"/>
      <c r="J1348" s="638"/>
      <c r="K1348" s="746"/>
      <c r="L1348" s="637"/>
      <c r="M1348" s="818"/>
      <c r="N1348" s="818"/>
      <c r="O1348" s="638"/>
    </row>
    <row r="1349" spans="2:15" s="481" customFormat="1" x14ac:dyDescent="0.3">
      <c r="B1349" s="86"/>
      <c r="C1349" s="86"/>
      <c r="D1349" s="86"/>
      <c r="E1349" s="638"/>
      <c r="F1349" s="639"/>
      <c r="G1349" s="640"/>
      <c r="H1349" s="745"/>
      <c r="I1349" s="746"/>
      <c r="J1349" s="638"/>
      <c r="K1349" s="746"/>
      <c r="L1349" s="637"/>
      <c r="M1349" s="818"/>
      <c r="N1349" s="818"/>
      <c r="O1349" s="638"/>
    </row>
    <row r="1350" spans="2:15" s="481" customFormat="1" x14ac:dyDescent="0.3">
      <c r="B1350" s="86"/>
      <c r="C1350" s="86"/>
      <c r="D1350" s="86"/>
      <c r="E1350" s="638"/>
      <c r="F1350" s="639"/>
      <c r="G1350" s="640"/>
      <c r="H1350" s="745"/>
      <c r="I1350" s="746"/>
      <c r="J1350" s="638"/>
      <c r="K1350" s="746"/>
      <c r="L1350" s="637"/>
      <c r="M1350" s="818"/>
      <c r="N1350" s="818"/>
      <c r="O1350" s="638"/>
    </row>
    <row r="1351" spans="2:15" s="481" customFormat="1" x14ac:dyDescent="0.3">
      <c r="B1351" s="86"/>
      <c r="C1351" s="86"/>
      <c r="D1351" s="86"/>
      <c r="E1351" s="638"/>
      <c r="F1351" s="639"/>
      <c r="G1351" s="640"/>
      <c r="H1351" s="745"/>
      <c r="I1351" s="746"/>
      <c r="J1351" s="638"/>
      <c r="K1351" s="746"/>
      <c r="L1351" s="637"/>
      <c r="M1351" s="818"/>
      <c r="N1351" s="818"/>
      <c r="O1351" s="638"/>
    </row>
    <row r="1352" spans="2:15" s="481" customFormat="1" x14ac:dyDescent="0.3">
      <c r="B1352" s="86"/>
      <c r="C1352" s="86"/>
      <c r="D1352" s="86"/>
      <c r="E1352" s="638"/>
      <c r="F1352" s="639"/>
      <c r="G1352" s="640"/>
      <c r="H1352" s="745"/>
      <c r="I1352" s="746"/>
      <c r="J1352" s="638"/>
      <c r="K1352" s="746"/>
      <c r="L1352" s="637"/>
      <c r="M1352" s="818"/>
      <c r="N1352" s="818"/>
      <c r="O1352" s="638"/>
    </row>
    <row r="1353" spans="2:15" s="481" customFormat="1" x14ac:dyDescent="0.3">
      <c r="B1353" s="86"/>
      <c r="C1353" s="86"/>
      <c r="D1353" s="86"/>
      <c r="E1353" s="638"/>
      <c r="F1353" s="639"/>
      <c r="G1353" s="640"/>
      <c r="H1353" s="745"/>
      <c r="I1353" s="746"/>
      <c r="J1353" s="638"/>
      <c r="K1353" s="746"/>
      <c r="L1353" s="637"/>
      <c r="M1353" s="818"/>
      <c r="N1353" s="818"/>
      <c r="O1353" s="638"/>
    </row>
    <row r="1354" spans="2:15" s="481" customFormat="1" x14ac:dyDescent="0.3">
      <c r="B1354" s="86"/>
      <c r="C1354" s="86"/>
      <c r="D1354" s="86"/>
      <c r="E1354" s="638"/>
      <c r="F1354" s="639"/>
      <c r="G1354" s="640"/>
      <c r="H1354" s="745"/>
      <c r="I1354" s="746"/>
      <c r="J1354" s="638"/>
      <c r="K1354" s="746"/>
      <c r="L1354" s="637"/>
      <c r="M1354" s="818"/>
      <c r="N1354" s="818"/>
      <c r="O1354" s="638"/>
    </row>
    <row r="1355" spans="2:15" s="481" customFormat="1" x14ac:dyDescent="0.3">
      <c r="B1355" s="86"/>
      <c r="C1355" s="86"/>
      <c r="D1355" s="86"/>
      <c r="E1355" s="638"/>
      <c r="F1355" s="639"/>
      <c r="G1355" s="640"/>
      <c r="H1355" s="745"/>
      <c r="I1355" s="746"/>
      <c r="J1355" s="638"/>
      <c r="K1355" s="746"/>
      <c r="L1355" s="637"/>
      <c r="M1355" s="818"/>
      <c r="N1355" s="818"/>
      <c r="O1355" s="638"/>
    </row>
    <row r="1356" spans="2:15" s="481" customFormat="1" x14ac:dyDescent="0.3">
      <c r="B1356" s="86"/>
      <c r="C1356" s="86"/>
      <c r="D1356" s="86"/>
      <c r="E1356" s="638"/>
      <c r="F1356" s="639"/>
      <c r="G1356" s="640"/>
      <c r="H1356" s="745"/>
      <c r="I1356" s="746"/>
      <c r="J1356" s="638"/>
      <c r="K1356" s="746"/>
      <c r="L1356" s="637"/>
      <c r="M1356" s="818"/>
      <c r="N1356" s="818"/>
      <c r="O1356" s="638"/>
    </row>
    <row r="1357" spans="2:15" s="481" customFormat="1" x14ac:dyDescent="0.3">
      <c r="B1357" s="86"/>
      <c r="C1357" s="86"/>
      <c r="D1357" s="86"/>
      <c r="E1357" s="638"/>
      <c r="F1357" s="639"/>
      <c r="G1357" s="640"/>
      <c r="H1357" s="745"/>
      <c r="I1357" s="746"/>
      <c r="J1357" s="638"/>
      <c r="K1357" s="746"/>
      <c r="L1357" s="637"/>
      <c r="M1357" s="818"/>
      <c r="N1357" s="818"/>
      <c r="O1357" s="638"/>
    </row>
    <row r="1358" spans="2:15" s="481" customFormat="1" x14ac:dyDescent="0.3">
      <c r="B1358" s="86"/>
      <c r="C1358" s="86"/>
      <c r="D1358" s="86"/>
      <c r="E1358" s="638"/>
      <c r="F1358" s="639"/>
      <c r="G1358" s="640"/>
      <c r="H1358" s="745"/>
      <c r="I1358" s="746"/>
      <c r="J1358" s="638"/>
      <c r="K1358" s="746"/>
      <c r="L1358" s="637"/>
      <c r="M1358" s="818"/>
      <c r="N1358" s="818"/>
      <c r="O1358" s="638"/>
    </row>
    <row r="1359" spans="2:15" s="481" customFormat="1" x14ac:dyDescent="0.3">
      <c r="B1359" s="86"/>
      <c r="C1359" s="86"/>
      <c r="D1359" s="86"/>
      <c r="E1359" s="638"/>
      <c r="F1359" s="639"/>
      <c r="G1359" s="640"/>
      <c r="H1359" s="745"/>
      <c r="I1359" s="746"/>
      <c r="J1359" s="638"/>
      <c r="K1359" s="746"/>
      <c r="L1359" s="637"/>
      <c r="M1359" s="818"/>
      <c r="N1359" s="818"/>
      <c r="O1359" s="638"/>
    </row>
    <row r="1360" spans="2:15" s="481" customFormat="1" x14ac:dyDescent="0.3">
      <c r="B1360" s="86"/>
      <c r="C1360" s="86"/>
      <c r="D1360" s="86"/>
      <c r="E1360" s="638"/>
      <c r="F1360" s="639"/>
      <c r="G1360" s="640"/>
      <c r="H1360" s="745"/>
      <c r="I1360" s="746"/>
      <c r="J1360" s="638"/>
      <c r="K1360" s="746"/>
      <c r="L1360" s="637"/>
      <c r="M1360" s="818"/>
      <c r="N1360" s="818"/>
      <c r="O1360" s="638"/>
    </row>
    <row r="1361" spans="2:15" s="481" customFormat="1" x14ac:dyDescent="0.3">
      <c r="B1361" s="86"/>
      <c r="C1361" s="86"/>
      <c r="D1361" s="86"/>
      <c r="E1361" s="638"/>
      <c r="F1361" s="639"/>
      <c r="G1361" s="640"/>
      <c r="H1361" s="745"/>
      <c r="I1361" s="746"/>
      <c r="J1361" s="638"/>
      <c r="K1361" s="746"/>
      <c r="L1361" s="637"/>
      <c r="M1361" s="818"/>
      <c r="N1361" s="818"/>
      <c r="O1361" s="638"/>
    </row>
    <row r="1362" spans="2:15" s="481" customFormat="1" x14ac:dyDescent="0.3">
      <c r="B1362" s="86"/>
      <c r="C1362" s="86"/>
      <c r="D1362" s="86"/>
      <c r="E1362" s="638"/>
      <c r="F1362" s="639"/>
      <c r="G1362" s="640"/>
      <c r="H1362" s="745"/>
      <c r="I1362" s="746"/>
      <c r="J1362" s="638"/>
      <c r="K1362" s="746"/>
      <c r="L1362" s="637"/>
      <c r="M1362" s="818"/>
      <c r="N1362" s="818"/>
      <c r="O1362" s="638"/>
    </row>
    <row r="1363" spans="2:15" s="481" customFormat="1" x14ac:dyDescent="0.3">
      <c r="B1363" s="86"/>
      <c r="C1363" s="86"/>
      <c r="D1363" s="86"/>
      <c r="E1363" s="638"/>
      <c r="F1363" s="639"/>
      <c r="G1363" s="640"/>
      <c r="H1363" s="745"/>
      <c r="I1363" s="746"/>
      <c r="J1363" s="638"/>
      <c r="K1363" s="746"/>
      <c r="L1363" s="637"/>
      <c r="M1363" s="818"/>
      <c r="N1363" s="818"/>
      <c r="O1363" s="638"/>
    </row>
    <row r="1364" spans="2:15" s="481" customFormat="1" x14ac:dyDescent="0.3">
      <c r="B1364" s="86"/>
      <c r="C1364" s="86"/>
      <c r="D1364" s="86"/>
      <c r="E1364" s="638"/>
      <c r="F1364" s="639"/>
      <c r="G1364" s="640"/>
      <c r="H1364" s="745"/>
      <c r="I1364" s="746"/>
      <c r="J1364" s="638"/>
      <c r="K1364" s="746"/>
      <c r="L1364" s="637"/>
      <c r="M1364" s="818"/>
      <c r="N1364" s="818"/>
      <c r="O1364" s="638"/>
    </row>
    <row r="1365" spans="2:15" s="481" customFormat="1" x14ac:dyDescent="0.3">
      <c r="B1365" s="86"/>
      <c r="C1365" s="86"/>
      <c r="D1365" s="86"/>
      <c r="E1365" s="638"/>
      <c r="F1365" s="639"/>
      <c r="G1365" s="640"/>
      <c r="H1365" s="745"/>
      <c r="I1365" s="746"/>
      <c r="J1365" s="638"/>
      <c r="K1365" s="746"/>
      <c r="L1365" s="637"/>
      <c r="M1365" s="818"/>
      <c r="N1365" s="818"/>
      <c r="O1365" s="638"/>
    </row>
    <row r="1366" spans="2:15" s="481" customFormat="1" x14ac:dyDescent="0.3">
      <c r="B1366" s="86"/>
      <c r="C1366" s="86"/>
      <c r="D1366" s="86"/>
      <c r="E1366" s="638"/>
      <c r="F1366" s="639"/>
      <c r="G1366" s="640"/>
      <c r="H1366" s="745"/>
      <c r="I1366" s="746"/>
      <c r="J1366" s="638"/>
      <c r="K1366" s="746"/>
      <c r="L1366" s="637"/>
      <c r="M1366" s="818"/>
      <c r="N1366" s="818"/>
      <c r="O1366" s="638"/>
    </row>
    <row r="1367" spans="2:15" s="481" customFormat="1" x14ac:dyDescent="0.3">
      <c r="B1367" s="86"/>
      <c r="C1367" s="86"/>
      <c r="D1367" s="86"/>
      <c r="E1367" s="638"/>
      <c r="F1367" s="639"/>
      <c r="G1367" s="640"/>
      <c r="H1367" s="745"/>
      <c r="I1367" s="746"/>
      <c r="J1367" s="638"/>
      <c r="K1367" s="746"/>
      <c r="L1367" s="637"/>
      <c r="M1367" s="818"/>
      <c r="N1367" s="818"/>
      <c r="O1367" s="638"/>
    </row>
    <row r="1368" spans="2:15" s="481" customFormat="1" x14ac:dyDescent="0.3">
      <c r="B1368" s="86"/>
      <c r="C1368" s="86"/>
      <c r="D1368" s="86"/>
      <c r="E1368" s="638"/>
      <c r="F1368" s="639"/>
      <c r="G1368" s="640"/>
      <c r="H1368" s="745"/>
      <c r="I1368" s="746"/>
      <c r="J1368" s="638"/>
      <c r="K1368" s="746"/>
      <c r="L1368" s="637"/>
      <c r="M1368" s="818"/>
      <c r="N1368" s="818"/>
      <c r="O1368" s="638"/>
    </row>
    <row r="1369" spans="2:15" s="481" customFormat="1" x14ac:dyDescent="0.3">
      <c r="B1369" s="86"/>
      <c r="C1369" s="86"/>
      <c r="D1369" s="86"/>
      <c r="E1369" s="638"/>
      <c r="F1369" s="639"/>
      <c r="G1369" s="640"/>
      <c r="H1369" s="745"/>
      <c r="I1369" s="746"/>
      <c r="J1369" s="638"/>
      <c r="K1369" s="746"/>
      <c r="L1369" s="637"/>
      <c r="M1369" s="818"/>
      <c r="N1369" s="818"/>
      <c r="O1369" s="638"/>
    </row>
    <row r="1370" spans="2:15" s="481" customFormat="1" x14ac:dyDescent="0.3">
      <c r="B1370" s="86"/>
      <c r="C1370" s="86"/>
      <c r="D1370" s="86"/>
      <c r="E1370" s="638"/>
      <c r="F1370" s="639"/>
      <c r="G1370" s="640"/>
      <c r="H1370" s="745"/>
      <c r="I1370" s="746"/>
      <c r="J1370" s="638"/>
      <c r="K1370" s="746"/>
      <c r="L1370" s="637"/>
      <c r="M1370" s="818"/>
      <c r="N1370" s="818"/>
      <c r="O1370" s="638"/>
    </row>
    <row r="1371" spans="2:15" s="481" customFormat="1" x14ac:dyDescent="0.3">
      <c r="B1371" s="86"/>
      <c r="C1371" s="86"/>
      <c r="D1371" s="86"/>
      <c r="E1371" s="638"/>
      <c r="F1371" s="639"/>
      <c r="G1371" s="640"/>
      <c r="H1371" s="745"/>
      <c r="I1371" s="746"/>
      <c r="J1371" s="638"/>
      <c r="K1371" s="746"/>
      <c r="L1371" s="637"/>
      <c r="M1371" s="818"/>
      <c r="N1371" s="818"/>
      <c r="O1371" s="638"/>
    </row>
    <row r="1372" spans="2:15" s="481" customFormat="1" x14ac:dyDescent="0.3">
      <c r="B1372" s="86"/>
      <c r="C1372" s="86"/>
      <c r="D1372" s="86"/>
      <c r="E1372" s="638"/>
      <c r="F1372" s="639"/>
      <c r="G1372" s="640"/>
      <c r="H1372" s="745"/>
      <c r="I1372" s="746"/>
      <c r="J1372" s="638"/>
      <c r="K1372" s="746"/>
      <c r="L1372" s="637"/>
      <c r="M1372" s="818"/>
      <c r="N1372" s="818"/>
      <c r="O1372" s="638"/>
    </row>
    <row r="1373" spans="2:15" s="481" customFormat="1" x14ac:dyDescent="0.3">
      <c r="B1373" s="86"/>
      <c r="C1373" s="86"/>
      <c r="D1373" s="86"/>
      <c r="E1373" s="638"/>
      <c r="F1373" s="639"/>
      <c r="G1373" s="640"/>
      <c r="H1373" s="745"/>
      <c r="I1373" s="746"/>
      <c r="J1373" s="638"/>
      <c r="K1373" s="746"/>
      <c r="L1373" s="637"/>
      <c r="M1373" s="818"/>
      <c r="N1373" s="818"/>
      <c r="O1373" s="638"/>
    </row>
    <row r="1374" spans="2:15" s="481" customFormat="1" x14ac:dyDescent="0.3">
      <c r="B1374" s="86"/>
      <c r="C1374" s="86"/>
      <c r="D1374" s="86"/>
      <c r="E1374" s="638"/>
      <c r="F1374" s="639"/>
      <c r="G1374" s="640"/>
      <c r="H1374" s="745"/>
      <c r="I1374" s="746"/>
      <c r="J1374" s="638"/>
      <c r="K1374" s="746"/>
      <c r="L1374" s="637"/>
      <c r="M1374" s="818"/>
      <c r="N1374" s="818"/>
      <c r="O1374" s="638"/>
    </row>
    <row r="1375" spans="2:15" s="481" customFormat="1" x14ac:dyDescent="0.3">
      <c r="B1375" s="86"/>
      <c r="C1375" s="86"/>
      <c r="D1375" s="86"/>
      <c r="E1375" s="638"/>
      <c r="F1375" s="639"/>
      <c r="G1375" s="640"/>
      <c r="H1375" s="745"/>
      <c r="I1375" s="746"/>
      <c r="J1375" s="638"/>
      <c r="K1375" s="746"/>
      <c r="L1375" s="637"/>
      <c r="M1375" s="818"/>
      <c r="N1375" s="818"/>
      <c r="O1375" s="638"/>
    </row>
    <row r="1376" spans="2:15" s="481" customFormat="1" x14ac:dyDescent="0.3">
      <c r="B1376" s="86"/>
      <c r="C1376" s="86"/>
      <c r="D1376" s="86"/>
      <c r="E1376" s="638"/>
      <c r="F1376" s="639"/>
      <c r="G1376" s="640"/>
      <c r="H1376" s="745"/>
      <c r="I1376" s="746"/>
      <c r="J1376" s="638"/>
      <c r="K1376" s="746"/>
      <c r="L1376" s="637"/>
      <c r="M1376" s="818"/>
      <c r="N1376" s="818"/>
      <c r="O1376" s="638"/>
    </row>
    <row r="1377" spans="2:15" s="481" customFormat="1" x14ac:dyDescent="0.3">
      <c r="B1377" s="86"/>
      <c r="C1377" s="86"/>
      <c r="D1377" s="86"/>
      <c r="E1377" s="638"/>
      <c r="F1377" s="639"/>
      <c r="G1377" s="640"/>
      <c r="H1377" s="745"/>
      <c r="I1377" s="746"/>
      <c r="J1377" s="638"/>
      <c r="K1377" s="746"/>
      <c r="L1377" s="637"/>
      <c r="M1377" s="818"/>
      <c r="N1377" s="818"/>
      <c r="O1377" s="638"/>
    </row>
    <row r="1378" spans="2:15" s="481" customFormat="1" x14ac:dyDescent="0.3">
      <c r="B1378" s="86"/>
      <c r="C1378" s="86"/>
      <c r="D1378" s="86"/>
      <c r="E1378" s="638"/>
      <c r="F1378" s="639"/>
      <c r="G1378" s="640"/>
      <c r="H1378" s="745"/>
      <c r="I1378" s="746"/>
      <c r="J1378" s="638"/>
      <c r="K1378" s="746"/>
      <c r="L1378" s="637"/>
      <c r="M1378" s="818"/>
      <c r="N1378" s="818"/>
      <c r="O1378" s="638"/>
    </row>
    <row r="1379" spans="2:15" s="481" customFormat="1" x14ac:dyDescent="0.3">
      <c r="B1379" s="86"/>
      <c r="C1379" s="86"/>
      <c r="D1379" s="86"/>
      <c r="E1379" s="638"/>
      <c r="F1379" s="639"/>
      <c r="G1379" s="640"/>
      <c r="H1379" s="745"/>
      <c r="I1379" s="746"/>
      <c r="J1379" s="638"/>
      <c r="K1379" s="746"/>
      <c r="L1379" s="637"/>
      <c r="M1379" s="818"/>
      <c r="N1379" s="818"/>
      <c r="O1379" s="638"/>
    </row>
    <row r="1380" spans="2:15" s="481" customFormat="1" x14ac:dyDescent="0.3">
      <c r="B1380" s="86"/>
      <c r="C1380" s="86"/>
      <c r="D1380" s="86"/>
      <c r="E1380" s="638"/>
      <c r="F1380" s="639"/>
      <c r="G1380" s="640"/>
      <c r="H1380" s="745"/>
      <c r="I1380" s="746"/>
      <c r="J1380" s="638"/>
      <c r="K1380" s="746"/>
      <c r="L1380" s="637"/>
      <c r="M1380" s="818"/>
      <c r="N1380" s="818"/>
      <c r="O1380" s="638"/>
    </row>
    <row r="1381" spans="2:15" s="481" customFormat="1" x14ac:dyDescent="0.3">
      <c r="B1381" s="86"/>
      <c r="C1381" s="86"/>
      <c r="D1381" s="86"/>
      <c r="E1381" s="638"/>
      <c r="F1381" s="639"/>
      <c r="G1381" s="640"/>
      <c r="H1381" s="745"/>
      <c r="I1381" s="746"/>
      <c r="J1381" s="638"/>
      <c r="K1381" s="746"/>
      <c r="L1381" s="637"/>
      <c r="M1381" s="818"/>
      <c r="N1381" s="818"/>
      <c r="O1381" s="638"/>
    </row>
    <row r="1382" spans="2:15" s="481" customFormat="1" x14ac:dyDescent="0.3">
      <c r="B1382" s="86"/>
      <c r="C1382" s="86"/>
      <c r="D1382" s="86"/>
      <c r="E1382" s="638"/>
      <c r="F1382" s="639"/>
      <c r="G1382" s="640"/>
      <c r="H1382" s="745"/>
      <c r="I1382" s="746"/>
      <c r="J1382" s="638"/>
      <c r="K1382" s="746"/>
      <c r="L1382" s="637"/>
      <c r="M1382" s="818"/>
      <c r="N1382" s="818"/>
      <c r="O1382" s="638"/>
    </row>
    <row r="1383" spans="2:15" s="481" customFormat="1" x14ac:dyDescent="0.3">
      <c r="B1383" s="86"/>
      <c r="C1383" s="86"/>
      <c r="D1383" s="86"/>
      <c r="E1383" s="638"/>
      <c r="F1383" s="639"/>
      <c r="G1383" s="640"/>
      <c r="H1383" s="745"/>
      <c r="I1383" s="746"/>
      <c r="J1383" s="638"/>
      <c r="K1383" s="746"/>
      <c r="L1383" s="637"/>
      <c r="M1383" s="818"/>
      <c r="N1383" s="818"/>
      <c r="O1383" s="638"/>
    </row>
    <row r="1384" spans="2:15" s="481" customFormat="1" x14ac:dyDescent="0.3">
      <c r="B1384" s="86"/>
      <c r="C1384" s="86"/>
      <c r="D1384" s="86"/>
      <c r="E1384" s="638"/>
      <c r="F1384" s="639"/>
      <c r="G1384" s="640"/>
      <c r="H1384" s="745"/>
      <c r="I1384" s="746"/>
      <c r="J1384" s="638"/>
      <c r="K1384" s="746"/>
      <c r="L1384" s="637"/>
      <c r="M1384" s="818"/>
      <c r="N1384" s="818"/>
      <c r="O1384" s="638"/>
    </row>
    <row r="1385" spans="2:15" s="481" customFormat="1" x14ac:dyDescent="0.3">
      <c r="B1385" s="86"/>
      <c r="C1385" s="86"/>
      <c r="D1385" s="86"/>
      <c r="E1385" s="638"/>
      <c r="F1385" s="639"/>
      <c r="G1385" s="640"/>
      <c r="H1385" s="745"/>
      <c r="I1385" s="746"/>
      <c r="J1385" s="638"/>
      <c r="K1385" s="746"/>
      <c r="L1385" s="637"/>
      <c r="M1385" s="818"/>
      <c r="N1385" s="818"/>
      <c r="O1385" s="638"/>
    </row>
    <row r="1386" spans="2:15" s="481" customFormat="1" x14ac:dyDescent="0.3">
      <c r="B1386" s="86"/>
      <c r="C1386" s="86"/>
      <c r="D1386" s="86"/>
      <c r="E1386" s="638"/>
      <c r="F1386" s="639"/>
      <c r="G1386" s="640"/>
      <c r="H1386" s="745"/>
      <c r="I1386" s="746"/>
      <c r="J1386" s="638"/>
      <c r="K1386" s="746"/>
      <c r="L1386" s="637"/>
      <c r="M1386" s="818"/>
      <c r="N1386" s="818"/>
      <c r="O1386" s="638"/>
    </row>
    <row r="1387" spans="2:15" s="481" customFormat="1" x14ac:dyDescent="0.3">
      <c r="B1387" s="86"/>
      <c r="C1387" s="86"/>
      <c r="D1387" s="86"/>
      <c r="E1387" s="638"/>
      <c r="F1387" s="639"/>
      <c r="G1387" s="640"/>
      <c r="H1387" s="745"/>
      <c r="I1387" s="746"/>
      <c r="J1387" s="638"/>
      <c r="K1387" s="746"/>
      <c r="L1387" s="637"/>
      <c r="M1387" s="818"/>
      <c r="N1387" s="818"/>
      <c r="O1387" s="638"/>
    </row>
    <row r="1388" spans="2:15" s="481" customFormat="1" x14ac:dyDescent="0.3">
      <c r="B1388" s="86"/>
      <c r="C1388" s="86"/>
      <c r="D1388" s="86"/>
      <c r="E1388" s="638"/>
      <c r="F1388" s="639"/>
      <c r="G1388" s="640"/>
      <c r="H1388" s="745"/>
      <c r="I1388" s="746"/>
      <c r="J1388" s="638"/>
      <c r="K1388" s="746"/>
      <c r="L1388" s="637"/>
      <c r="M1388" s="818"/>
      <c r="N1388" s="818"/>
      <c r="O1388" s="638"/>
    </row>
    <row r="1389" spans="2:15" s="481" customFormat="1" x14ac:dyDescent="0.3">
      <c r="B1389" s="86"/>
      <c r="C1389" s="86"/>
      <c r="D1389" s="86"/>
      <c r="E1389" s="638"/>
      <c r="F1389" s="639"/>
      <c r="G1389" s="640"/>
      <c r="H1389" s="745"/>
      <c r="I1389" s="746"/>
      <c r="J1389" s="638"/>
      <c r="K1389" s="746"/>
      <c r="L1389" s="637"/>
      <c r="M1389" s="818"/>
      <c r="N1389" s="818"/>
      <c r="O1389" s="638"/>
    </row>
    <row r="1390" spans="2:15" s="481" customFormat="1" x14ac:dyDescent="0.3">
      <c r="B1390" s="86"/>
      <c r="C1390" s="86"/>
      <c r="D1390" s="86"/>
      <c r="E1390" s="638"/>
      <c r="F1390" s="639"/>
      <c r="G1390" s="640"/>
      <c r="H1390" s="745"/>
      <c r="I1390" s="746"/>
      <c r="J1390" s="638"/>
      <c r="K1390" s="746"/>
      <c r="L1390" s="637"/>
      <c r="M1390" s="818"/>
      <c r="N1390" s="818"/>
      <c r="O1390" s="638"/>
    </row>
    <row r="1391" spans="2:15" s="481" customFormat="1" x14ac:dyDescent="0.3">
      <c r="B1391" s="86"/>
      <c r="C1391" s="86"/>
      <c r="D1391" s="86"/>
      <c r="E1391" s="638"/>
      <c r="F1391" s="639"/>
      <c r="G1391" s="640"/>
      <c r="H1391" s="745"/>
      <c r="I1391" s="746"/>
      <c r="J1391" s="638"/>
      <c r="K1391" s="746"/>
      <c r="L1391" s="637"/>
      <c r="M1391" s="818"/>
      <c r="N1391" s="818"/>
      <c r="O1391" s="638"/>
    </row>
    <row r="1392" spans="2:15" s="481" customFormat="1" x14ac:dyDescent="0.3">
      <c r="B1392" s="86"/>
      <c r="C1392" s="86"/>
      <c r="D1392" s="86"/>
      <c r="E1392" s="638"/>
      <c r="F1392" s="639"/>
      <c r="G1392" s="640"/>
      <c r="H1392" s="745"/>
      <c r="I1392" s="746"/>
      <c r="J1392" s="638"/>
      <c r="K1392" s="746"/>
      <c r="L1392" s="637"/>
      <c r="M1392" s="818"/>
      <c r="N1392" s="818"/>
      <c r="O1392" s="638"/>
    </row>
    <row r="1393" spans="2:15" s="481" customFormat="1" x14ac:dyDescent="0.3">
      <c r="B1393" s="86"/>
      <c r="C1393" s="86"/>
      <c r="D1393" s="86"/>
      <c r="E1393" s="638"/>
      <c r="F1393" s="639"/>
      <c r="G1393" s="640"/>
      <c r="H1393" s="745"/>
      <c r="I1393" s="746"/>
      <c r="J1393" s="638"/>
      <c r="K1393" s="746"/>
      <c r="L1393" s="637"/>
      <c r="M1393" s="818"/>
      <c r="N1393" s="818"/>
      <c r="O1393" s="638"/>
    </row>
    <row r="1394" spans="2:15" s="481" customFormat="1" x14ac:dyDescent="0.3">
      <c r="B1394" s="86"/>
      <c r="C1394" s="86"/>
      <c r="D1394" s="86"/>
      <c r="E1394" s="638"/>
      <c r="F1394" s="639"/>
      <c r="G1394" s="640"/>
      <c r="H1394" s="745"/>
      <c r="I1394" s="746"/>
      <c r="J1394" s="638"/>
      <c r="K1394" s="746"/>
      <c r="L1394" s="637"/>
      <c r="M1394" s="818"/>
      <c r="N1394" s="818"/>
      <c r="O1394" s="638"/>
    </row>
    <row r="1395" spans="2:15" s="481" customFormat="1" x14ac:dyDescent="0.3">
      <c r="B1395" s="86"/>
      <c r="C1395" s="86"/>
      <c r="D1395" s="86"/>
      <c r="E1395" s="638"/>
      <c r="F1395" s="639"/>
      <c r="G1395" s="640"/>
      <c r="H1395" s="745"/>
      <c r="I1395" s="746"/>
      <c r="J1395" s="638"/>
      <c r="K1395" s="746"/>
      <c r="L1395" s="637"/>
      <c r="M1395" s="818"/>
      <c r="N1395" s="818"/>
      <c r="O1395" s="638"/>
    </row>
    <row r="1396" spans="2:15" s="481" customFormat="1" x14ac:dyDescent="0.3">
      <c r="B1396" s="86"/>
      <c r="C1396" s="86"/>
      <c r="D1396" s="86"/>
      <c r="E1396" s="638"/>
      <c r="F1396" s="639"/>
      <c r="G1396" s="640"/>
      <c r="H1396" s="745"/>
      <c r="I1396" s="746"/>
      <c r="J1396" s="638"/>
      <c r="K1396" s="746"/>
      <c r="L1396" s="637"/>
      <c r="M1396" s="818"/>
      <c r="N1396" s="818"/>
      <c r="O1396" s="638"/>
    </row>
    <row r="1397" spans="2:15" s="481" customFormat="1" x14ac:dyDescent="0.3">
      <c r="B1397" s="86"/>
      <c r="C1397" s="86"/>
      <c r="D1397" s="86"/>
      <c r="E1397" s="638"/>
      <c r="F1397" s="639"/>
      <c r="G1397" s="640"/>
      <c r="H1397" s="745"/>
      <c r="I1397" s="746"/>
      <c r="J1397" s="638"/>
      <c r="K1397" s="746"/>
      <c r="L1397" s="637"/>
      <c r="M1397" s="818"/>
      <c r="N1397" s="818"/>
      <c r="O1397" s="638"/>
    </row>
    <row r="1398" spans="2:15" s="481" customFormat="1" x14ac:dyDescent="0.3">
      <c r="B1398" s="86"/>
      <c r="C1398" s="86"/>
      <c r="D1398" s="86"/>
      <c r="E1398" s="638"/>
      <c r="F1398" s="639"/>
      <c r="G1398" s="640"/>
      <c r="H1398" s="745"/>
      <c r="I1398" s="746"/>
      <c r="J1398" s="638"/>
      <c r="K1398" s="746"/>
      <c r="L1398" s="637"/>
      <c r="M1398" s="818"/>
      <c r="N1398" s="818"/>
      <c r="O1398" s="638"/>
    </row>
    <row r="1399" spans="2:15" s="481" customFormat="1" x14ac:dyDescent="0.3">
      <c r="B1399" s="86"/>
      <c r="C1399" s="86"/>
      <c r="D1399" s="86"/>
      <c r="E1399" s="638"/>
      <c r="F1399" s="639"/>
      <c r="G1399" s="640"/>
      <c r="H1399" s="745"/>
      <c r="I1399" s="746"/>
      <c r="J1399" s="638"/>
      <c r="K1399" s="746"/>
      <c r="L1399" s="637"/>
      <c r="M1399" s="818"/>
      <c r="N1399" s="818"/>
      <c r="O1399" s="638"/>
    </row>
    <row r="1400" spans="2:15" s="481" customFormat="1" x14ac:dyDescent="0.3">
      <c r="B1400" s="86"/>
      <c r="C1400" s="86"/>
      <c r="D1400" s="86"/>
      <c r="E1400" s="638"/>
      <c r="F1400" s="639"/>
      <c r="G1400" s="640"/>
      <c r="H1400" s="745"/>
      <c r="I1400" s="746"/>
      <c r="J1400" s="638"/>
      <c r="K1400" s="746"/>
      <c r="L1400" s="637"/>
      <c r="M1400" s="818"/>
      <c r="N1400" s="818"/>
      <c r="O1400" s="638"/>
    </row>
    <row r="1401" spans="2:15" s="481" customFormat="1" x14ac:dyDescent="0.3">
      <c r="B1401" s="86"/>
      <c r="C1401" s="86"/>
      <c r="D1401" s="86"/>
      <c r="E1401" s="638"/>
      <c r="F1401" s="639"/>
      <c r="G1401" s="640"/>
      <c r="H1401" s="745"/>
      <c r="I1401" s="746"/>
      <c r="J1401" s="638"/>
      <c r="K1401" s="746"/>
      <c r="L1401" s="637"/>
      <c r="M1401" s="818"/>
      <c r="N1401" s="818"/>
      <c r="O1401" s="638"/>
    </row>
    <row r="1402" spans="2:15" s="481" customFormat="1" x14ac:dyDescent="0.3">
      <c r="B1402" s="86"/>
      <c r="C1402" s="86"/>
      <c r="D1402" s="86"/>
      <c r="E1402" s="638"/>
      <c r="F1402" s="639"/>
      <c r="G1402" s="640"/>
      <c r="H1402" s="745"/>
      <c r="I1402" s="746"/>
      <c r="J1402" s="638"/>
      <c r="K1402" s="746"/>
      <c r="L1402" s="637"/>
      <c r="M1402" s="818"/>
      <c r="N1402" s="818"/>
      <c r="O1402" s="638"/>
    </row>
    <row r="1403" spans="2:15" s="481" customFormat="1" x14ac:dyDescent="0.3">
      <c r="B1403" s="86"/>
      <c r="C1403" s="86"/>
      <c r="D1403" s="86"/>
      <c r="E1403" s="638"/>
      <c r="F1403" s="639"/>
      <c r="G1403" s="640"/>
      <c r="H1403" s="745"/>
      <c r="I1403" s="746"/>
      <c r="J1403" s="638"/>
      <c r="K1403" s="746"/>
      <c r="L1403" s="637"/>
      <c r="M1403" s="818"/>
      <c r="N1403" s="818"/>
      <c r="O1403" s="638"/>
    </row>
    <row r="1404" spans="2:15" s="481" customFormat="1" x14ac:dyDescent="0.3">
      <c r="B1404" s="86"/>
      <c r="C1404" s="86"/>
      <c r="D1404" s="86"/>
      <c r="E1404" s="638"/>
      <c r="F1404" s="639"/>
      <c r="G1404" s="640"/>
      <c r="H1404" s="745"/>
      <c r="I1404" s="746"/>
      <c r="J1404" s="638"/>
      <c r="K1404" s="746"/>
      <c r="L1404" s="637"/>
      <c r="M1404" s="818"/>
      <c r="N1404" s="818"/>
      <c r="O1404" s="638"/>
    </row>
    <row r="1405" spans="2:15" s="481" customFormat="1" x14ac:dyDescent="0.3">
      <c r="B1405" s="86"/>
      <c r="C1405" s="86"/>
      <c r="D1405" s="86"/>
      <c r="E1405" s="638"/>
      <c r="F1405" s="639"/>
      <c r="G1405" s="640"/>
      <c r="H1405" s="745"/>
      <c r="I1405" s="746"/>
      <c r="J1405" s="638"/>
      <c r="K1405" s="746"/>
      <c r="L1405" s="637"/>
      <c r="M1405" s="818"/>
      <c r="N1405" s="818"/>
      <c r="O1405" s="638"/>
    </row>
    <row r="1406" spans="2:15" s="481" customFormat="1" x14ac:dyDescent="0.3">
      <c r="B1406" s="86"/>
      <c r="C1406" s="86"/>
      <c r="D1406" s="86"/>
      <c r="E1406" s="638"/>
      <c r="F1406" s="639"/>
      <c r="G1406" s="640"/>
      <c r="H1406" s="745"/>
      <c r="I1406" s="746"/>
      <c r="J1406" s="638"/>
      <c r="K1406" s="746"/>
      <c r="L1406" s="637"/>
      <c r="M1406" s="818"/>
      <c r="N1406" s="818"/>
      <c r="O1406" s="638"/>
    </row>
    <row r="1407" spans="2:15" s="481" customFormat="1" x14ac:dyDescent="0.3">
      <c r="B1407" s="86"/>
      <c r="C1407" s="86"/>
      <c r="D1407" s="86"/>
      <c r="E1407" s="638"/>
      <c r="F1407" s="639"/>
      <c r="G1407" s="640"/>
      <c r="H1407" s="745"/>
      <c r="I1407" s="746"/>
      <c r="J1407" s="638"/>
      <c r="K1407" s="746"/>
      <c r="L1407" s="637"/>
      <c r="M1407" s="818"/>
      <c r="N1407" s="818"/>
      <c r="O1407" s="638"/>
    </row>
    <row r="1408" spans="2:15" s="481" customFormat="1" x14ac:dyDescent="0.3">
      <c r="B1408" s="86"/>
      <c r="C1408" s="86"/>
      <c r="D1408" s="86"/>
      <c r="E1408" s="638"/>
      <c r="F1408" s="639"/>
      <c r="G1408" s="640"/>
      <c r="H1408" s="745"/>
      <c r="I1408" s="746"/>
      <c r="J1408" s="638"/>
      <c r="K1408" s="746"/>
      <c r="L1408" s="637"/>
      <c r="M1408" s="818"/>
      <c r="N1408" s="818"/>
      <c r="O1408" s="638"/>
    </row>
    <row r="1409" spans="2:15" s="481" customFormat="1" x14ac:dyDescent="0.3">
      <c r="B1409" s="86"/>
      <c r="C1409" s="86"/>
      <c r="D1409" s="86"/>
      <c r="E1409" s="638"/>
      <c r="F1409" s="639"/>
      <c r="G1409" s="640"/>
      <c r="H1409" s="745"/>
      <c r="I1409" s="746"/>
      <c r="J1409" s="638"/>
      <c r="K1409" s="746"/>
      <c r="L1409" s="637"/>
      <c r="M1409" s="818"/>
      <c r="N1409" s="818"/>
      <c r="O1409" s="638"/>
    </row>
    <row r="1410" spans="2:15" s="481" customFormat="1" x14ac:dyDescent="0.3">
      <c r="B1410" s="86"/>
      <c r="C1410" s="86"/>
      <c r="D1410" s="86"/>
      <c r="E1410" s="638"/>
      <c r="F1410" s="639"/>
      <c r="G1410" s="640"/>
      <c r="H1410" s="745"/>
      <c r="I1410" s="746"/>
      <c r="J1410" s="638"/>
      <c r="K1410" s="746"/>
      <c r="L1410" s="637"/>
      <c r="M1410" s="818"/>
      <c r="N1410" s="818"/>
      <c r="O1410" s="638"/>
    </row>
    <row r="1411" spans="2:15" s="481" customFormat="1" x14ac:dyDescent="0.3">
      <c r="B1411" s="86"/>
      <c r="C1411" s="86"/>
      <c r="D1411" s="86"/>
      <c r="E1411" s="638"/>
      <c r="F1411" s="639"/>
      <c r="G1411" s="640"/>
      <c r="H1411" s="745"/>
      <c r="I1411" s="746"/>
      <c r="J1411" s="638"/>
      <c r="K1411" s="746"/>
      <c r="L1411" s="637"/>
      <c r="M1411" s="818"/>
      <c r="N1411" s="818"/>
      <c r="O1411" s="638"/>
    </row>
    <row r="1412" spans="2:15" s="481" customFormat="1" x14ac:dyDescent="0.3">
      <c r="B1412" s="86"/>
      <c r="C1412" s="86"/>
      <c r="D1412" s="86"/>
      <c r="E1412" s="638"/>
      <c r="F1412" s="639"/>
      <c r="G1412" s="640"/>
      <c r="H1412" s="745"/>
      <c r="I1412" s="746"/>
      <c r="J1412" s="638"/>
      <c r="K1412" s="746"/>
      <c r="L1412" s="637"/>
      <c r="M1412" s="818"/>
      <c r="N1412" s="818"/>
      <c r="O1412" s="638"/>
    </row>
    <row r="1413" spans="2:15" s="481" customFormat="1" x14ac:dyDescent="0.3">
      <c r="B1413" s="86"/>
      <c r="C1413" s="86"/>
      <c r="D1413" s="86"/>
      <c r="E1413" s="638"/>
      <c r="F1413" s="639"/>
      <c r="G1413" s="640"/>
      <c r="H1413" s="745"/>
      <c r="I1413" s="746"/>
      <c r="J1413" s="638"/>
      <c r="K1413" s="746"/>
      <c r="L1413" s="637"/>
      <c r="M1413" s="818"/>
      <c r="N1413" s="818"/>
      <c r="O1413" s="638"/>
    </row>
    <row r="1414" spans="2:15" s="481" customFormat="1" x14ac:dyDescent="0.3">
      <c r="B1414" s="86"/>
      <c r="C1414" s="86"/>
      <c r="D1414" s="86"/>
      <c r="E1414" s="638"/>
      <c r="F1414" s="639"/>
      <c r="G1414" s="640"/>
      <c r="H1414" s="745"/>
      <c r="I1414" s="746"/>
      <c r="J1414" s="638"/>
      <c r="K1414" s="746"/>
      <c r="L1414" s="637"/>
      <c r="M1414" s="818"/>
      <c r="N1414" s="818"/>
      <c r="O1414" s="638"/>
    </row>
    <row r="1415" spans="2:15" s="481" customFormat="1" x14ac:dyDescent="0.3">
      <c r="B1415" s="86"/>
      <c r="C1415" s="86"/>
      <c r="D1415" s="86"/>
      <c r="E1415" s="638"/>
      <c r="F1415" s="639"/>
      <c r="G1415" s="640"/>
      <c r="H1415" s="745"/>
      <c r="I1415" s="746"/>
      <c r="J1415" s="638"/>
      <c r="K1415" s="746"/>
      <c r="L1415" s="637"/>
      <c r="M1415" s="818"/>
      <c r="N1415" s="818"/>
      <c r="O1415" s="638"/>
    </row>
    <row r="1416" spans="2:15" s="481" customFormat="1" x14ac:dyDescent="0.3">
      <c r="B1416" s="86"/>
      <c r="C1416" s="86"/>
      <c r="D1416" s="86"/>
      <c r="E1416" s="638"/>
      <c r="F1416" s="639"/>
      <c r="G1416" s="640"/>
      <c r="H1416" s="745"/>
      <c r="I1416" s="746"/>
      <c r="J1416" s="638"/>
      <c r="K1416" s="746"/>
      <c r="L1416" s="637"/>
      <c r="M1416" s="818"/>
      <c r="N1416" s="818"/>
      <c r="O1416" s="638"/>
    </row>
    <row r="1417" spans="2:15" s="481" customFormat="1" x14ac:dyDescent="0.3">
      <c r="B1417" s="86"/>
      <c r="C1417" s="86"/>
      <c r="D1417" s="86"/>
      <c r="E1417" s="638"/>
      <c r="F1417" s="639"/>
      <c r="G1417" s="640"/>
      <c r="H1417" s="745"/>
      <c r="I1417" s="746"/>
      <c r="J1417" s="638"/>
      <c r="K1417" s="746"/>
      <c r="L1417" s="637"/>
      <c r="M1417" s="818"/>
      <c r="N1417" s="818"/>
      <c r="O1417" s="638"/>
    </row>
    <row r="1418" spans="2:15" s="481" customFormat="1" x14ac:dyDescent="0.3">
      <c r="B1418" s="86"/>
      <c r="C1418" s="86"/>
      <c r="D1418" s="86"/>
      <c r="E1418" s="638"/>
      <c r="F1418" s="639"/>
      <c r="G1418" s="640"/>
      <c r="H1418" s="745"/>
      <c r="I1418" s="746"/>
      <c r="J1418" s="638"/>
      <c r="K1418" s="746"/>
      <c r="L1418" s="637"/>
      <c r="M1418" s="818"/>
      <c r="N1418" s="818"/>
      <c r="O1418" s="638"/>
    </row>
    <row r="1419" spans="2:15" s="481" customFormat="1" x14ac:dyDescent="0.3">
      <c r="B1419" s="86"/>
      <c r="C1419" s="86"/>
      <c r="D1419" s="86"/>
      <c r="E1419" s="638"/>
      <c r="F1419" s="639"/>
      <c r="G1419" s="640"/>
      <c r="H1419" s="745"/>
      <c r="I1419" s="746"/>
      <c r="J1419" s="638"/>
      <c r="K1419" s="746"/>
      <c r="L1419" s="637"/>
      <c r="M1419" s="818"/>
      <c r="N1419" s="818"/>
      <c r="O1419" s="638"/>
    </row>
    <row r="1420" spans="2:15" s="481" customFormat="1" x14ac:dyDescent="0.3">
      <c r="B1420" s="86"/>
      <c r="C1420" s="86"/>
      <c r="D1420" s="86"/>
      <c r="E1420" s="638"/>
      <c r="F1420" s="639"/>
      <c r="G1420" s="640"/>
      <c r="H1420" s="745"/>
      <c r="I1420" s="746"/>
      <c r="J1420" s="638"/>
      <c r="K1420" s="746"/>
      <c r="L1420" s="637"/>
      <c r="M1420" s="818"/>
      <c r="N1420" s="818"/>
      <c r="O1420" s="638"/>
    </row>
    <row r="1421" spans="2:15" s="481" customFormat="1" x14ac:dyDescent="0.3">
      <c r="B1421" s="86"/>
      <c r="C1421" s="86"/>
      <c r="D1421" s="86"/>
      <c r="E1421" s="638"/>
      <c r="F1421" s="639"/>
      <c r="G1421" s="640"/>
      <c r="H1421" s="745"/>
      <c r="I1421" s="746"/>
      <c r="J1421" s="638"/>
      <c r="K1421" s="746"/>
      <c r="L1421" s="637"/>
      <c r="M1421" s="818"/>
      <c r="N1421" s="818"/>
      <c r="O1421" s="638"/>
    </row>
    <row r="1422" spans="2:15" s="481" customFormat="1" x14ac:dyDescent="0.3">
      <c r="B1422" s="86"/>
      <c r="C1422" s="86"/>
      <c r="D1422" s="86"/>
      <c r="E1422" s="638"/>
      <c r="F1422" s="639"/>
      <c r="G1422" s="640"/>
      <c r="H1422" s="745"/>
      <c r="I1422" s="746"/>
      <c r="J1422" s="638"/>
      <c r="K1422" s="746"/>
      <c r="L1422" s="637"/>
      <c r="M1422" s="818"/>
      <c r="N1422" s="818"/>
      <c r="O1422" s="638"/>
    </row>
    <row r="1423" spans="2:15" s="481" customFormat="1" x14ac:dyDescent="0.3">
      <c r="B1423" s="86"/>
      <c r="C1423" s="86"/>
      <c r="D1423" s="86"/>
      <c r="E1423" s="638"/>
      <c r="F1423" s="639"/>
      <c r="G1423" s="640"/>
      <c r="H1423" s="745"/>
      <c r="I1423" s="746"/>
      <c r="J1423" s="638"/>
      <c r="K1423" s="746"/>
      <c r="L1423" s="637"/>
      <c r="M1423" s="818"/>
      <c r="N1423" s="818"/>
      <c r="O1423" s="638"/>
    </row>
    <row r="1424" spans="2:15" s="481" customFormat="1" x14ac:dyDescent="0.3">
      <c r="B1424" s="86"/>
      <c r="C1424" s="86"/>
      <c r="D1424" s="86"/>
      <c r="E1424" s="638"/>
      <c r="F1424" s="639"/>
      <c r="G1424" s="640"/>
      <c r="H1424" s="745"/>
      <c r="I1424" s="746"/>
      <c r="J1424" s="638"/>
      <c r="K1424" s="746"/>
      <c r="L1424" s="637"/>
      <c r="M1424" s="818"/>
      <c r="N1424" s="818"/>
      <c r="O1424" s="638"/>
    </row>
    <row r="1425" spans="2:15" s="481" customFormat="1" x14ac:dyDescent="0.3">
      <c r="B1425" s="86"/>
      <c r="C1425" s="86"/>
      <c r="D1425" s="86"/>
      <c r="E1425" s="638"/>
      <c r="F1425" s="639"/>
      <c r="G1425" s="640"/>
      <c r="H1425" s="745"/>
      <c r="I1425" s="746"/>
      <c r="J1425" s="638"/>
      <c r="K1425" s="746"/>
      <c r="L1425" s="637"/>
      <c r="M1425" s="818"/>
      <c r="N1425" s="818"/>
      <c r="O1425" s="638"/>
    </row>
    <row r="1426" spans="2:15" s="481" customFormat="1" x14ac:dyDescent="0.3">
      <c r="B1426" s="86"/>
      <c r="C1426" s="86"/>
      <c r="D1426" s="86"/>
      <c r="E1426" s="638"/>
      <c r="F1426" s="639"/>
      <c r="G1426" s="640"/>
      <c r="H1426" s="745"/>
      <c r="I1426" s="746"/>
      <c r="J1426" s="638"/>
      <c r="K1426" s="746"/>
      <c r="L1426" s="637"/>
      <c r="M1426" s="818"/>
      <c r="N1426" s="818"/>
      <c r="O1426" s="638"/>
    </row>
    <row r="1427" spans="2:15" s="481" customFormat="1" x14ac:dyDescent="0.3">
      <c r="B1427" s="86"/>
      <c r="C1427" s="86"/>
      <c r="D1427" s="86"/>
      <c r="E1427" s="638"/>
      <c r="F1427" s="639"/>
      <c r="G1427" s="640"/>
      <c r="H1427" s="745"/>
      <c r="I1427" s="746"/>
      <c r="J1427" s="638"/>
      <c r="K1427" s="746"/>
      <c r="L1427" s="637"/>
      <c r="M1427" s="818"/>
      <c r="N1427" s="818"/>
      <c r="O1427" s="638"/>
    </row>
    <row r="1428" spans="2:15" s="481" customFormat="1" x14ac:dyDescent="0.3">
      <c r="B1428" s="86"/>
      <c r="C1428" s="86"/>
      <c r="D1428" s="86"/>
      <c r="E1428" s="638"/>
      <c r="F1428" s="639"/>
      <c r="G1428" s="640"/>
      <c r="H1428" s="745"/>
      <c r="I1428" s="746"/>
      <c r="J1428" s="638"/>
      <c r="K1428" s="746"/>
      <c r="L1428" s="637"/>
      <c r="M1428" s="818"/>
      <c r="N1428" s="818"/>
      <c r="O1428" s="638"/>
    </row>
    <row r="1429" spans="2:15" s="481" customFormat="1" x14ac:dyDescent="0.3">
      <c r="B1429" s="86"/>
      <c r="C1429" s="86"/>
      <c r="D1429" s="86"/>
      <c r="E1429" s="638"/>
      <c r="F1429" s="639"/>
      <c r="G1429" s="640"/>
      <c r="H1429" s="745"/>
      <c r="I1429" s="746"/>
      <c r="J1429" s="638"/>
      <c r="K1429" s="746"/>
      <c r="L1429" s="637"/>
      <c r="M1429" s="818"/>
      <c r="N1429" s="818"/>
      <c r="O1429" s="638"/>
    </row>
    <row r="1430" spans="2:15" s="481" customFormat="1" x14ac:dyDescent="0.3">
      <c r="B1430" s="86"/>
      <c r="C1430" s="86"/>
      <c r="D1430" s="86"/>
      <c r="E1430" s="638"/>
      <c r="F1430" s="639"/>
      <c r="G1430" s="640"/>
      <c r="H1430" s="745"/>
      <c r="I1430" s="746"/>
      <c r="J1430" s="638"/>
      <c r="K1430" s="746"/>
      <c r="L1430" s="637"/>
      <c r="M1430" s="818"/>
      <c r="N1430" s="818"/>
      <c r="O1430" s="638"/>
    </row>
    <row r="1431" spans="2:15" s="481" customFormat="1" x14ac:dyDescent="0.3">
      <c r="B1431" s="86"/>
      <c r="C1431" s="86"/>
      <c r="D1431" s="86"/>
      <c r="E1431" s="638"/>
      <c r="F1431" s="639"/>
      <c r="G1431" s="640"/>
      <c r="H1431" s="745"/>
      <c r="I1431" s="746"/>
      <c r="J1431" s="638"/>
      <c r="K1431" s="746"/>
      <c r="L1431" s="637"/>
      <c r="M1431" s="818"/>
      <c r="N1431" s="818"/>
      <c r="O1431" s="638"/>
    </row>
    <row r="1432" spans="2:15" s="481" customFormat="1" x14ac:dyDescent="0.3">
      <c r="B1432" s="86"/>
      <c r="C1432" s="86"/>
      <c r="D1432" s="86"/>
      <c r="E1432" s="638"/>
      <c r="F1432" s="639"/>
      <c r="G1432" s="640"/>
      <c r="H1432" s="745"/>
      <c r="I1432" s="746"/>
      <c r="J1432" s="638"/>
      <c r="K1432" s="746"/>
      <c r="L1432" s="637"/>
      <c r="M1432" s="818"/>
      <c r="N1432" s="818"/>
      <c r="O1432" s="638"/>
    </row>
    <row r="1433" spans="2:15" s="481" customFormat="1" x14ac:dyDescent="0.3">
      <c r="B1433" s="86"/>
      <c r="C1433" s="86"/>
      <c r="D1433" s="86"/>
      <c r="E1433" s="638"/>
      <c r="F1433" s="639"/>
      <c r="G1433" s="640"/>
      <c r="H1433" s="745"/>
      <c r="I1433" s="746"/>
      <c r="J1433" s="638"/>
      <c r="K1433" s="746"/>
      <c r="L1433" s="637"/>
      <c r="M1433" s="818"/>
      <c r="N1433" s="818"/>
      <c r="O1433" s="638"/>
    </row>
    <row r="1434" spans="2:15" s="481" customFormat="1" x14ac:dyDescent="0.3">
      <c r="B1434" s="86"/>
      <c r="C1434" s="86"/>
      <c r="D1434" s="86"/>
      <c r="E1434" s="638"/>
      <c r="F1434" s="639"/>
      <c r="G1434" s="640"/>
      <c r="H1434" s="745"/>
      <c r="I1434" s="746"/>
      <c r="J1434" s="638"/>
      <c r="K1434" s="746"/>
      <c r="L1434" s="637"/>
      <c r="M1434" s="818"/>
      <c r="N1434" s="818"/>
      <c r="O1434" s="638"/>
    </row>
    <row r="1435" spans="2:15" s="481" customFormat="1" x14ac:dyDescent="0.3">
      <c r="B1435" s="86"/>
      <c r="C1435" s="86"/>
      <c r="D1435" s="86"/>
      <c r="E1435" s="638"/>
      <c r="F1435" s="639"/>
      <c r="G1435" s="640"/>
      <c r="H1435" s="745"/>
      <c r="I1435" s="746"/>
      <c r="J1435" s="638"/>
      <c r="K1435" s="746"/>
      <c r="L1435" s="637"/>
      <c r="M1435" s="818"/>
      <c r="N1435" s="818"/>
      <c r="O1435" s="638"/>
    </row>
    <row r="1436" spans="2:15" s="481" customFormat="1" x14ac:dyDescent="0.3">
      <c r="B1436" s="86"/>
      <c r="C1436" s="86"/>
      <c r="D1436" s="86"/>
      <c r="E1436" s="638"/>
      <c r="F1436" s="639"/>
      <c r="G1436" s="640"/>
      <c r="H1436" s="745"/>
      <c r="I1436" s="746"/>
      <c r="J1436" s="638"/>
      <c r="K1436" s="746"/>
      <c r="L1436" s="637"/>
      <c r="M1436" s="818"/>
      <c r="N1436" s="818"/>
      <c r="O1436" s="638"/>
    </row>
    <row r="1437" spans="2:15" s="481" customFormat="1" x14ac:dyDescent="0.3">
      <c r="B1437" s="86"/>
      <c r="C1437" s="86"/>
      <c r="D1437" s="86"/>
      <c r="E1437" s="638"/>
      <c r="F1437" s="639"/>
      <c r="G1437" s="640"/>
      <c r="H1437" s="745"/>
      <c r="I1437" s="746"/>
      <c r="J1437" s="638"/>
      <c r="K1437" s="746"/>
      <c r="L1437" s="637"/>
      <c r="M1437" s="818"/>
      <c r="N1437" s="818"/>
      <c r="O1437" s="638"/>
    </row>
    <row r="1438" spans="2:15" s="481" customFormat="1" x14ac:dyDescent="0.3">
      <c r="B1438" s="86"/>
      <c r="C1438" s="86"/>
      <c r="D1438" s="86"/>
      <c r="E1438" s="638"/>
      <c r="F1438" s="639"/>
      <c r="G1438" s="640"/>
      <c r="H1438" s="745"/>
      <c r="I1438" s="746"/>
      <c r="J1438" s="638"/>
      <c r="K1438" s="746"/>
      <c r="L1438" s="637"/>
      <c r="M1438" s="818"/>
      <c r="N1438" s="818"/>
      <c r="O1438" s="638"/>
    </row>
    <row r="1439" spans="2:15" s="481" customFormat="1" x14ac:dyDescent="0.3">
      <c r="B1439" s="86"/>
      <c r="C1439" s="86"/>
      <c r="D1439" s="86"/>
      <c r="E1439" s="638"/>
      <c r="F1439" s="639"/>
      <c r="G1439" s="640"/>
      <c r="H1439" s="745"/>
      <c r="I1439" s="746"/>
      <c r="J1439" s="638"/>
      <c r="K1439" s="746"/>
      <c r="L1439" s="637"/>
      <c r="M1439" s="818"/>
      <c r="N1439" s="818"/>
      <c r="O1439" s="638"/>
    </row>
    <row r="1440" spans="2:15" s="481" customFormat="1" x14ac:dyDescent="0.3">
      <c r="B1440" s="86"/>
      <c r="C1440" s="86"/>
      <c r="D1440" s="86"/>
      <c r="E1440" s="638"/>
      <c r="F1440" s="639"/>
      <c r="G1440" s="640"/>
      <c r="H1440" s="745"/>
      <c r="I1440" s="746"/>
      <c r="J1440" s="638"/>
      <c r="K1440" s="746"/>
      <c r="L1440" s="637"/>
      <c r="M1440" s="818"/>
      <c r="N1440" s="818"/>
      <c r="O1440" s="638"/>
    </row>
    <row r="1441" spans="2:15" s="481" customFormat="1" x14ac:dyDescent="0.3">
      <c r="B1441" s="86"/>
      <c r="C1441" s="86"/>
      <c r="D1441" s="86"/>
      <c r="E1441" s="638"/>
      <c r="F1441" s="639"/>
      <c r="G1441" s="640"/>
      <c r="H1441" s="745"/>
      <c r="I1441" s="746"/>
      <c r="J1441" s="638"/>
      <c r="K1441" s="746"/>
      <c r="L1441" s="637"/>
      <c r="M1441" s="818"/>
      <c r="N1441" s="818"/>
      <c r="O1441" s="638"/>
    </row>
    <row r="1442" spans="2:15" s="481" customFormat="1" x14ac:dyDescent="0.3">
      <c r="B1442" s="86"/>
      <c r="C1442" s="86"/>
      <c r="D1442" s="86"/>
      <c r="E1442" s="638"/>
      <c r="F1442" s="639"/>
      <c r="G1442" s="640"/>
      <c r="H1442" s="745"/>
      <c r="I1442" s="746"/>
      <c r="J1442" s="638"/>
      <c r="K1442" s="746"/>
      <c r="L1442" s="637"/>
      <c r="M1442" s="818"/>
      <c r="N1442" s="818"/>
      <c r="O1442" s="638"/>
    </row>
    <row r="1443" spans="2:15" s="481" customFormat="1" x14ac:dyDescent="0.3">
      <c r="B1443" s="86"/>
      <c r="C1443" s="86"/>
      <c r="D1443" s="86"/>
      <c r="E1443" s="638"/>
      <c r="F1443" s="639"/>
      <c r="G1443" s="640"/>
      <c r="H1443" s="745"/>
      <c r="I1443" s="746"/>
      <c r="J1443" s="638"/>
      <c r="K1443" s="746"/>
      <c r="L1443" s="637"/>
      <c r="M1443" s="818"/>
      <c r="N1443" s="818"/>
      <c r="O1443" s="638"/>
    </row>
    <row r="1444" spans="2:15" s="481" customFormat="1" x14ac:dyDescent="0.3">
      <c r="B1444" s="86"/>
      <c r="C1444" s="86"/>
      <c r="D1444" s="86"/>
      <c r="E1444" s="638"/>
      <c r="F1444" s="639"/>
      <c r="G1444" s="640"/>
      <c r="H1444" s="745"/>
      <c r="I1444" s="746"/>
      <c r="J1444" s="638"/>
      <c r="K1444" s="746"/>
      <c r="L1444" s="637"/>
      <c r="M1444" s="818"/>
      <c r="N1444" s="818"/>
      <c r="O1444" s="638"/>
    </row>
    <row r="1445" spans="2:15" s="481" customFormat="1" x14ac:dyDescent="0.3">
      <c r="B1445" s="86"/>
      <c r="C1445" s="86"/>
      <c r="D1445" s="86"/>
      <c r="E1445" s="638"/>
      <c r="F1445" s="639"/>
      <c r="G1445" s="640"/>
      <c r="H1445" s="745"/>
      <c r="I1445" s="746"/>
      <c r="J1445" s="638"/>
      <c r="K1445" s="746"/>
      <c r="L1445" s="637"/>
      <c r="M1445" s="818"/>
      <c r="N1445" s="818"/>
      <c r="O1445" s="638"/>
    </row>
    <row r="1446" spans="2:15" s="481" customFormat="1" x14ac:dyDescent="0.3">
      <c r="B1446" s="86"/>
      <c r="C1446" s="86"/>
      <c r="D1446" s="86"/>
      <c r="E1446" s="638"/>
      <c r="F1446" s="639"/>
      <c r="G1446" s="640"/>
      <c r="H1446" s="745"/>
      <c r="I1446" s="746"/>
      <c r="J1446" s="638"/>
      <c r="K1446" s="746"/>
      <c r="L1446" s="637"/>
      <c r="M1446" s="818"/>
      <c r="N1446" s="818"/>
      <c r="O1446" s="638"/>
    </row>
    <row r="1447" spans="2:15" s="481" customFormat="1" x14ac:dyDescent="0.3">
      <c r="B1447" s="86"/>
      <c r="C1447" s="86"/>
      <c r="D1447" s="86"/>
      <c r="E1447" s="638"/>
      <c r="F1447" s="639"/>
      <c r="G1447" s="640"/>
      <c r="H1447" s="745"/>
      <c r="I1447" s="746"/>
      <c r="J1447" s="638"/>
      <c r="K1447" s="746"/>
      <c r="L1447" s="637"/>
      <c r="M1447" s="818"/>
      <c r="N1447" s="818"/>
      <c r="O1447" s="638"/>
    </row>
    <row r="1448" spans="2:15" s="481" customFormat="1" x14ac:dyDescent="0.3">
      <c r="B1448" s="86"/>
      <c r="C1448" s="86"/>
      <c r="D1448" s="86"/>
      <c r="E1448" s="638"/>
      <c r="F1448" s="639"/>
      <c r="G1448" s="640"/>
      <c r="H1448" s="745"/>
      <c r="I1448" s="746"/>
      <c r="J1448" s="638"/>
      <c r="K1448" s="746"/>
      <c r="L1448" s="637"/>
      <c r="M1448" s="818"/>
      <c r="N1448" s="818"/>
      <c r="O1448" s="638"/>
    </row>
    <row r="1449" spans="2:15" s="481" customFormat="1" x14ac:dyDescent="0.3">
      <c r="B1449" s="86"/>
      <c r="C1449" s="86"/>
      <c r="D1449" s="86"/>
      <c r="E1449" s="638"/>
      <c r="F1449" s="639"/>
      <c r="G1449" s="640"/>
      <c r="H1449" s="745"/>
      <c r="I1449" s="746"/>
      <c r="J1449" s="638"/>
      <c r="K1449" s="746"/>
      <c r="L1449" s="637"/>
      <c r="M1449" s="818"/>
      <c r="N1449" s="818"/>
      <c r="O1449" s="638"/>
    </row>
    <row r="1450" spans="2:15" s="481" customFormat="1" x14ac:dyDescent="0.3">
      <c r="B1450" s="86"/>
      <c r="C1450" s="86"/>
      <c r="D1450" s="86"/>
      <c r="E1450" s="638"/>
      <c r="F1450" s="639"/>
      <c r="G1450" s="640"/>
      <c r="H1450" s="745"/>
      <c r="I1450" s="746"/>
      <c r="J1450" s="638"/>
      <c r="K1450" s="746"/>
      <c r="L1450" s="521"/>
      <c r="M1450" s="818"/>
      <c r="N1450" s="818"/>
      <c r="O1450" s="638"/>
    </row>
    <row r="1451" spans="2:15" s="481" customFormat="1" x14ac:dyDescent="0.3">
      <c r="B1451" s="86"/>
      <c r="C1451" s="86"/>
      <c r="D1451" s="86"/>
      <c r="E1451" s="638"/>
      <c r="F1451" s="639"/>
      <c r="G1451" s="640"/>
      <c r="H1451" s="745"/>
      <c r="I1451" s="746"/>
      <c r="J1451" s="638"/>
      <c r="K1451" s="746"/>
      <c r="L1451" s="521"/>
      <c r="M1451" s="818"/>
      <c r="N1451" s="818"/>
      <c r="O1451" s="638"/>
    </row>
    <row r="1452" spans="2:15" s="481" customFormat="1" x14ac:dyDescent="0.3">
      <c r="B1452" s="86"/>
      <c r="C1452" s="86"/>
      <c r="D1452" s="86"/>
      <c r="E1452" s="638"/>
      <c r="F1452" s="639"/>
      <c r="G1452" s="640"/>
      <c r="H1452" s="745"/>
      <c r="I1452" s="746"/>
      <c r="J1452" s="638"/>
      <c r="K1452" s="746"/>
      <c r="L1452" s="521"/>
      <c r="M1452" s="818"/>
      <c r="N1452" s="818"/>
      <c r="O1452" s="638"/>
    </row>
    <row r="1453" spans="2:15" s="481" customFormat="1" x14ac:dyDescent="0.3">
      <c r="B1453" s="86"/>
      <c r="C1453" s="86"/>
      <c r="D1453" s="86"/>
      <c r="E1453" s="638"/>
      <c r="F1453" s="639"/>
      <c r="G1453" s="640"/>
      <c r="H1453" s="745"/>
      <c r="I1453" s="746"/>
      <c r="J1453" s="638"/>
      <c r="K1453" s="746"/>
      <c r="L1453" s="521"/>
      <c r="M1453" s="818"/>
      <c r="N1453" s="818"/>
      <c r="O1453" s="638"/>
    </row>
    <row r="1454" spans="2:15" s="481" customFormat="1" x14ac:dyDescent="0.3">
      <c r="B1454" s="86"/>
      <c r="C1454" s="86"/>
      <c r="D1454" s="86"/>
      <c r="E1454" s="638"/>
      <c r="F1454" s="639"/>
      <c r="G1454" s="640"/>
      <c r="H1454" s="745"/>
      <c r="I1454" s="746"/>
      <c r="J1454" s="638"/>
      <c r="K1454" s="746"/>
      <c r="L1454" s="521"/>
      <c r="M1454" s="818"/>
      <c r="N1454" s="818"/>
      <c r="O1454" s="638"/>
    </row>
    <row r="1455" spans="2:15" s="481" customFormat="1" x14ac:dyDescent="0.3">
      <c r="B1455" s="86"/>
      <c r="C1455" s="86"/>
      <c r="D1455" s="86"/>
      <c r="E1455" s="638"/>
      <c r="F1455" s="639"/>
      <c r="G1455" s="640"/>
      <c r="H1455" s="745"/>
      <c r="I1455" s="746"/>
      <c r="J1455" s="638"/>
      <c r="K1455" s="746"/>
      <c r="L1455" s="521"/>
      <c r="M1455" s="818"/>
      <c r="N1455" s="818"/>
      <c r="O1455" s="638"/>
    </row>
    <row r="1456" spans="2:15" s="481" customFormat="1" x14ac:dyDescent="0.3">
      <c r="B1456" s="86"/>
      <c r="C1456" s="86"/>
      <c r="D1456" s="86"/>
      <c r="E1456" s="638"/>
      <c r="F1456" s="639"/>
      <c r="G1456" s="640"/>
      <c r="H1456" s="745"/>
      <c r="I1456" s="746"/>
      <c r="J1456" s="638"/>
      <c r="K1456" s="746"/>
      <c r="L1456" s="521"/>
      <c r="M1456" s="818"/>
      <c r="N1456" s="818"/>
      <c r="O1456" s="638"/>
    </row>
    <row r="1457" spans="2:15" s="481" customFormat="1" x14ac:dyDescent="0.3">
      <c r="B1457" s="86"/>
      <c r="C1457" s="86"/>
      <c r="D1457" s="86"/>
      <c r="E1457" s="638"/>
      <c r="F1457" s="639"/>
      <c r="G1457" s="640"/>
      <c r="H1457" s="745"/>
      <c r="I1457" s="746"/>
      <c r="J1457" s="638"/>
      <c r="K1457" s="746"/>
      <c r="L1457" s="521"/>
      <c r="M1457" s="818"/>
      <c r="N1457" s="818"/>
      <c r="O1457" s="638"/>
    </row>
    <row r="1458" spans="2:15" s="481" customFormat="1" x14ac:dyDescent="0.3">
      <c r="B1458" s="86"/>
      <c r="C1458" s="86"/>
      <c r="D1458" s="86"/>
      <c r="E1458" s="638"/>
      <c r="F1458" s="639"/>
      <c r="G1458" s="640"/>
      <c r="H1458" s="745"/>
      <c r="I1458" s="746"/>
      <c r="J1458" s="638"/>
      <c r="K1458" s="746"/>
      <c r="L1458" s="521"/>
      <c r="M1458" s="818"/>
      <c r="N1458" s="818"/>
      <c r="O1458" s="638"/>
    </row>
    <row r="1459" spans="2:15" s="481" customFormat="1" x14ac:dyDescent="0.3">
      <c r="B1459" s="86"/>
      <c r="C1459" s="86"/>
      <c r="D1459" s="86"/>
      <c r="E1459" s="638"/>
      <c r="F1459" s="639"/>
      <c r="G1459" s="640"/>
      <c r="H1459" s="745"/>
      <c r="I1459" s="746"/>
      <c r="J1459" s="638"/>
      <c r="K1459" s="746"/>
      <c r="L1459" s="521"/>
      <c r="M1459" s="818"/>
      <c r="N1459" s="818"/>
      <c r="O1459" s="638"/>
    </row>
    <row r="1460" spans="2:15" s="481" customFormat="1" x14ac:dyDescent="0.3">
      <c r="B1460" s="86"/>
      <c r="C1460" s="86"/>
      <c r="D1460" s="86"/>
      <c r="E1460" s="638"/>
      <c r="F1460" s="639"/>
      <c r="G1460" s="640"/>
      <c r="H1460" s="745"/>
      <c r="I1460" s="746"/>
      <c r="J1460" s="638"/>
      <c r="K1460" s="746"/>
      <c r="L1460" s="521"/>
      <c r="M1460" s="818"/>
      <c r="N1460" s="818"/>
      <c r="O1460" s="638"/>
    </row>
    <row r="1461" spans="2:15" s="481" customFormat="1" x14ac:dyDescent="0.3">
      <c r="B1461" s="86"/>
      <c r="C1461" s="86"/>
      <c r="D1461" s="86"/>
      <c r="E1461" s="638"/>
      <c r="F1461" s="639"/>
      <c r="G1461" s="640"/>
      <c r="H1461" s="745"/>
      <c r="I1461" s="746"/>
      <c r="J1461" s="638"/>
      <c r="K1461" s="746"/>
      <c r="L1461" s="521"/>
      <c r="M1461" s="818"/>
      <c r="N1461" s="818"/>
      <c r="O1461" s="638"/>
    </row>
    <row r="1462" spans="2:15" s="481" customFormat="1" x14ac:dyDescent="0.3">
      <c r="B1462" s="86"/>
      <c r="C1462" s="86"/>
      <c r="D1462" s="86"/>
      <c r="E1462" s="638"/>
      <c r="F1462" s="639"/>
      <c r="G1462" s="640"/>
      <c r="H1462" s="745"/>
      <c r="I1462" s="746"/>
      <c r="J1462" s="638"/>
      <c r="K1462" s="746"/>
      <c r="L1462" s="637"/>
      <c r="M1462" s="818"/>
      <c r="N1462" s="818"/>
      <c r="O1462" s="638"/>
    </row>
    <row r="1463" spans="2:15" s="481" customFormat="1" x14ac:dyDescent="0.3">
      <c r="B1463" s="86"/>
      <c r="C1463" s="86"/>
      <c r="D1463" s="86"/>
      <c r="E1463" s="638"/>
      <c r="F1463" s="639"/>
      <c r="G1463" s="640"/>
      <c r="H1463" s="745"/>
      <c r="I1463" s="746"/>
      <c r="J1463" s="638"/>
      <c r="K1463" s="746"/>
      <c r="L1463" s="637"/>
      <c r="M1463" s="818"/>
      <c r="N1463" s="818"/>
      <c r="O1463" s="638"/>
    </row>
    <row r="1464" spans="2:15" s="481" customFormat="1" x14ac:dyDescent="0.3">
      <c r="B1464" s="86"/>
      <c r="C1464" s="86"/>
      <c r="D1464" s="86"/>
      <c r="E1464" s="638"/>
      <c r="F1464" s="639"/>
      <c r="G1464" s="640"/>
      <c r="H1464" s="745"/>
      <c r="I1464" s="746"/>
      <c r="J1464" s="638"/>
      <c r="K1464" s="746"/>
      <c r="L1464" s="637"/>
      <c r="M1464" s="818"/>
      <c r="N1464" s="818"/>
      <c r="O1464" s="638"/>
    </row>
    <row r="1465" spans="2:15" s="481" customFormat="1" x14ac:dyDescent="0.3">
      <c r="B1465" s="86"/>
      <c r="C1465" s="86"/>
      <c r="D1465" s="86"/>
      <c r="E1465" s="638"/>
      <c r="F1465" s="639"/>
      <c r="G1465" s="640"/>
      <c r="H1465" s="745"/>
      <c r="I1465" s="746"/>
      <c r="J1465" s="638"/>
      <c r="K1465" s="746"/>
      <c r="L1465" s="637"/>
      <c r="M1465" s="818"/>
      <c r="N1465" s="818"/>
      <c r="O1465" s="638"/>
    </row>
    <row r="1466" spans="2:15" s="481" customFormat="1" x14ac:dyDescent="0.3">
      <c r="B1466" s="86"/>
      <c r="C1466" s="86"/>
      <c r="D1466" s="86"/>
      <c r="E1466" s="638"/>
      <c r="F1466" s="639"/>
      <c r="G1466" s="640"/>
      <c r="H1466" s="745"/>
      <c r="I1466" s="746"/>
      <c r="J1466" s="638"/>
      <c r="K1466" s="746"/>
      <c r="L1466" s="637"/>
      <c r="M1466" s="818"/>
      <c r="N1466" s="818"/>
      <c r="O1466" s="638"/>
    </row>
    <row r="1467" spans="2:15" s="481" customFormat="1" x14ac:dyDescent="0.3">
      <c r="B1467" s="86"/>
      <c r="C1467" s="86"/>
      <c r="D1467" s="86"/>
      <c r="E1467" s="638"/>
      <c r="F1467" s="639"/>
      <c r="G1467" s="640"/>
      <c r="H1467" s="745"/>
      <c r="I1467" s="746"/>
      <c r="J1467" s="638"/>
      <c r="K1467" s="746"/>
      <c r="L1467" s="637"/>
      <c r="M1467" s="818"/>
      <c r="N1467" s="818"/>
      <c r="O1467" s="638"/>
    </row>
    <row r="1468" spans="2:15" s="481" customFormat="1" x14ac:dyDescent="0.3">
      <c r="B1468" s="86"/>
      <c r="C1468" s="86"/>
      <c r="D1468" s="86"/>
      <c r="E1468" s="638"/>
      <c r="F1468" s="639"/>
      <c r="G1468" s="640"/>
      <c r="H1468" s="745"/>
      <c r="I1468" s="746"/>
      <c r="J1468" s="638"/>
      <c r="K1468" s="746"/>
      <c r="L1468" s="637"/>
      <c r="M1468" s="818"/>
      <c r="N1468" s="818"/>
      <c r="O1468" s="638"/>
    </row>
    <row r="1469" spans="2:15" s="481" customFormat="1" x14ac:dyDescent="0.3">
      <c r="B1469" s="86"/>
      <c r="C1469" s="86"/>
      <c r="D1469" s="86"/>
      <c r="E1469" s="638"/>
      <c r="F1469" s="639"/>
      <c r="G1469" s="640"/>
      <c r="H1469" s="745"/>
      <c r="I1469" s="746"/>
      <c r="J1469" s="638"/>
      <c r="K1469" s="746"/>
      <c r="L1469" s="637"/>
      <c r="M1469" s="818"/>
      <c r="N1469" s="818"/>
      <c r="O1469" s="638"/>
    </row>
    <row r="1470" spans="2:15" s="481" customFormat="1" x14ac:dyDescent="0.3">
      <c r="B1470" s="86"/>
      <c r="C1470" s="86"/>
      <c r="D1470" s="86"/>
      <c r="E1470" s="638"/>
      <c r="F1470" s="639"/>
      <c r="G1470" s="640"/>
      <c r="H1470" s="745"/>
      <c r="I1470" s="746"/>
      <c r="J1470" s="638"/>
      <c r="K1470" s="746"/>
      <c r="L1470" s="637"/>
      <c r="M1470" s="818"/>
      <c r="N1470" s="818"/>
      <c r="O1470" s="638"/>
    </row>
    <row r="1471" spans="2:15" s="481" customFormat="1" x14ac:dyDescent="0.3">
      <c r="B1471" s="86"/>
      <c r="C1471" s="86"/>
      <c r="D1471" s="86"/>
      <c r="E1471" s="638"/>
      <c r="F1471" s="639"/>
      <c r="G1471" s="640"/>
      <c r="H1471" s="745"/>
      <c r="I1471" s="746"/>
      <c r="J1471" s="638"/>
      <c r="K1471" s="746"/>
      <c r="L1471" s="637"/>
      <c r="M1471" s="818"/>
      <c r="N1471" s="818"/>
      <c r="O1471" s="638"/>
    </row>
    <row r="1472" spans="2:15" s="481" customFormat="1" x14ac:dyDescent="0.3">
      <c r="B1472" s="86"/>
      <c r="C1472" s="86"/>
      <c r="D1472" s="86"/>
      <c r="E1472" s="638"/>
      <c r="F1472" s="639"/>
      <c r="G1472" s="640"/>
      <c r="H1472" s="745"/>
      <c r="I1472" s="746"/>
      <c r="J1472" s="638"/>
      <c r="K1472" s="746"/>
      <c r="L1472" s="637"/>
      <c r="M1472" s="818"/>
      <c r="N1472" s="818"/>
      <c r="O1472" s="638"/>
    </row>
    <row r="1473" spans="2:15" s="481" customFormat="1" x14ac:dyDescent="0.3">
      <c r="B1473" s="86"/>
      <c r="C1473" s="86"/>
      <c r="D1473" s="86"/>
      <c r="E1473" s="638"/>
      <c r="F1473" s="639"/>
      <c r="G1473" s="640"/>
      <c r="H1473" s="745"/>
      <c r="I1473" s="746"/>
      <c r="J1473" s="638"/>
      <c r="K1473" s="746"/>
      <c r="L1473" s="637"/>
      <c r="M1473" s="818"/>
      <c r="N1473" s="818"/>
      <c r="O1473" s="638"/>
    </row>
    <row r="1474" spans="2:15" s="481" customFormat="1" x14ac:dyDescent="0.3">
      <c r="B1474" s="86"/>
      <c r="C1474" s="86"/>
      <c r="D1474" s="86"/>
      <c r="E1474" s="638"/>
      <c r="F1474" s="639"/>
      <c r="G1474" s="640"/>
      <c r="H1474" s="745"/>
      <c r="I1474" s="746"/>
      <c r="J1474" s="638"/>
      <c r="K1474" s="746"/>
      <c r="L1474" s="637"/>
      <c r="M1474" s="818"/>
      <c r="N1474" s="818"/>
      <c r="O1474" s="638"/>
    </row>
    <row r="1475" spans="2:15" s="481" customFormat="1" x14ac:dyDescent="0.3">
      <c r="B1475" s="86"/>
      <c r="C1475" s="86"/>
      <c r="D1475" s="86"/>
      <c r="E1475" s="638"/>
      <c r="F1475" s="639"/>
      <c r="G1475" s="640"/>
      <c r="H1475" s="745"/>
      <c r="I1475" s="746"/>
      <c r="J1475" s="638"/>
      <c r="K1475" s="746"/>
      <c r="L1475" s="637"/>
      <c r="M1475" s="818"/>
      <c r="N1475" s="818"/>
      <c r="O1475" s="638"/>
    </row>
    <row r="1476" spans="2:15" s="481" customFormat="1" x14ac:dyDescent="0.3">
      <c r="B1476" s="86"/>
      <c r="C1476" s="86"/>
      <c r="D1476" s="86"/>
      <c r="E1476" s="638"/>
      <c r="F1476" s="639"/>
      <c r="G1476" s="640"/>
      <c r="H1476" s="745"/>
      <c r="I1476" s="746"/>
      <c r="J1476" s="638"/>
      <c r="K1476" s="746"/>
      <c r="L1476" s="637"/>
      <c r="M1476" s="818"/>
      <c r="N1476" s="818"/>
      <c r="O1476" s="638"/>
    </row>
    <row r="1477" spans="2:15" s="481" customFormat="1" x14ac:dyDescent="0.3">
      <c r="B1477" s="86"/>
      <c r="C1477" s="86"/>
      <c r="D1477" s="86"/>
      <c r="E1477" s="638"/>
      <c r="F1477" s="639"/>
      <c r="G1477" s="640"/>
      <c r="H1477" s="745"/>
      <c r="I1477" s="746"/>
      <c r="J1477" s="638"/>
      <c r="K1477" s="746"/>
      <c r="L1477" s="637"/>
      <c r="M1477" s="818"/>
      <c r="N1477" s="818"/>
      <c r="O1477" s="638"/>
    </row>
    <row r="1478" spans="2:15" s="481" customFormat="1" x14ac:dyDescent="0.3">
      <c r="B1478" s="86"/>
      <c r="C1478" s="86"/>
      <c r="D1478" s="86"/>
      <c r="E1478" s="638"/>
      <c r="F1478" s="639"/>
      <c r="G1478" s="640"/>
      <c r="H1478" s="745"/>
      <c r="I1478" s="746"/>
      <c r="J1478" s="638"/>
      <c r="K1478" s="746"/>
      <c r="L1478" s="637"/>
      <c r="M1478" s="818"/>
      <c r="N1478" s="818"/>
      <c r="O1478" s="638"/>
    </row>
    <row r="1479" spans="2:15" s="481" customFormat="1" x14ac:dyDescent="0.3">
      <c r="B1479" s="86"/>
      <c r="C1479" s="86"/>
      <c r="D1479" s="86"/>
      <c r="E1479" s="638"/>
      <c r="F1479" s="639"/>
      <c r="G1479" s="640"/>
      <c r="H1479" s="745"/>
      <c r="I1479" s="746"/>
      <c r="J1479" s="638"/>
      <c r="K1479" s="746"/>
      <c r="L1479" s="637"/>
      <c r="M1479" s="818"/>
      <c r="N1479" s="818"/>
      <c r="O1479" s="638"/>
    </row>
    <row r="1480" spans="2:15" s="481" customFormat="1" x14ac:dyDescent="0.3">
      <c r="B1480" s="86"/>
      <c r="C1480" s="86"/>
      <c r="D1480" s="86"/>
      <c r="E1480" s="638"/>
      <c r="F1480" s="639"/>
      <c r="G1480" s="640"/>
      <c r="H1480" s="745"/>
      <c r="I1480" s="746"/>
      <c r="J1480" s="638"/>
      <c r="K1480" s="746"/>
      <c r="L1480" s="637"/>
      <c r="M1480" s="818"/>
      <c r="N1480" s="818"/>
      <c r="O1480" s="638"/>
    </row>
    <row r="1481" spans="2:15" s="481" customFormat="1" x14ac:dyDescent="0.3">
      <c r="B1481" s="86"/>
      <c r="C1481" s="86"/>
      <c r="D1481" s="86"/>
      <c r="E1481" s="638"/>
      <c r="F1481" s="639"/>
      <c r="G1481" s="640"/>
      <c r="H1481" s="745"/>
      <c r="I1481" s="746"/>
      <c r="J1481" s="638"/>
      <c r="K1481" s="746"/>
      <c r="L1481" s="637"/>
      <c r="M1481" s="818"/>
      <c r="N1481" s="818"/>
      <c r="O1481" s="638"/>
    </row>
    <row r="1482" spans="2:15" s="481" customFormat="1" x14ac:dyDescent="0.3">
      <c r="B1482" s="86"/>
      <c r="C1482" s="86"/>
      <c r="D1482" s="86"/>
      <c r="E1482" s="638"/>
      <c r="F1482" s="639"/>
      <c r="G1482" s="640"/>
      <c r="H1482" s="745"/>
      <c r="I1482" s="746"/>
      <c r="J1482" s="638"/>
      <c r="K1482" s="746"/>
      <c r="L1482" s="637"/>
      <c r="M1482" s="818"/>
      <c r="N1482" s="818"/>
      <c r="O1482" s="638"/>
    </row>
    <row r="1483" spans="2:15" s="481" customFormat="1" x14ac:dyDescent="0.3">
      <c r="B1483" s="86"/>
      <c r="C1483" s="86"/>
      <c r="D1483" s="86"/>
      <c r="E1483" s="638"/>
      <c r="F1483" s="639"/>
      <c r="G1483" s="640"/>
      <c r="H1483" s="745"/>
      <c r="I1483" s="746"/>
      <c r="J1483" s="638"/>
      <c r="K1483" s="746"/>
      <c r="L1483" s="637"/>
      <c r="M1483" s="818"/>
      <c r="N1483" s="818"/>
      <c r="O1483" s="638"/>
    </row>
    <row r="1484" spans="2:15" s="481" customFormat="1" x14ac:dyDescent="0.3">
      <c r="B1484" s="86"/>
      <c r="C1484" s="86"/>
      <c r="D1484" s="86"/>
      <c r="E1484" s="638"/>
      <c r="F1484" s="639"/>
      <c r="G1484" s="640"/>
      <c r="H1484" s="745"/>
      <c r="I1484" s="746"/>
      <c r="J1484" s="638"/>
      <c r="K1484" s="746"/>
      <c r="L1484" s="637"/>
      <c r="M1484" s="818"/>
      <c r="N1484" s="818"/>
      <c r="O1484" s="638"/>
    </row>
  </sheetData>
  <autoFilter ref="B1:Q109" xr:uid="{BCF8F68F-3F55-4475-BED9-575B48E45A1D}">
    <sortState xmlns:xlrd2="http://schemas.microsoft.com/office/spreadsheetml/2017/richdata2" ref="B2:Q109">
      <sortCondition ref="K1:K109"/>
    </sortState>
  </autoFilter>
  <phoneticPr fontId="23" type="noConversion"/>
  <conditionalFormatting sqref="H1:H1048576">
    <cfRule type="duplicateValues" dxfId="163" priority="1342"/>
  </conditionalFormatting>
  <printOptions horizontalCentered="1"/>
  <pageMargins left="0.31496062992125984" right="0.31496062992125984" top="0.35433070866141736" bottom="0.35433070866141736" header="0.31496062992125984" footer="0.31496062992125984"/>
  <pageSetup paperSize="9" scale="60" fitToHeight="0" orientation="portrait" r:id="rId1"/>
  <headerFooter>
    <oddFooter>&amp;L_x000D_&amp;1#&amp;"Calibri"&amp;8&amp;K000000 Sensitivity: LNT Construction General Business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2BE3-B24C-49B3-BE96-3345D9C5FC7A}">
  <sheetPr codeName="Sheet6">
    <pageSetUpPr fitToPage="1"/>
  </sheetPr>
  <dimension ref="B1:J748"/>
  <sheetViews>
    <sheetView view="pageBreakPreview" zoomScale="70" zoomScaleNormal="80" zoomScaleSheetLayoutView="70" workbookViewId="0">
      <pane ySplit="6" topLeftCell="A7" activePane="bottomLeft" state="frozen"/>
      <selection activeCell="G329" sqref="G329"/>
      <selection pane="bottomLeft" activeCell="G735" sqref="G735"/>
    </sheetView>
  </sheetViews>
  <sheetFormatPr defaultColWidth="9.109375" defaultRowHeight="14.4" x14ac:dyDescent="0.3"/>
  <cols>
    <col min="1" max="1" width="2" style="132" customWidth="1"/>
    <col min="2" max="2" width="12.5546875" style="132" customWidth="1"/>
    <col min="3" max="3" width="56" style="132" customWidth="1"/>
    <col min="4" max="4" width="15.88671875" style="132" bestFit="1" customWidth="1"/>
    <col min="5" max="5" width="12.5546875" style="132" customWidth="1"/>
    <col min="6" max="6" width="12.5546875" style="339" customWidth="1"/>
    <col min="7" max="7" width="29.5546875" style="132" customWidth="1"/>
    <col min="8" max="8" width="12.5546875" style="132" customWidth="1"/>
    <col min="9" max="9" width="10.5546875" style="132" customWidth="1"/>
    <col min="10" max="10" width="22.88671875" style="132" customWidth="1"/>
    <col min="11" max="16384" width="9.109375" style="132"/>
  </cols>
  <sheetData>
    <row r="1" spans="2:10" ht="8.25" customHeight="1" x14ac:dyDescent="0.3"/>
    <row r="2" spans="2:10" ht="42" customHeight="1" x14ac:dyDescent="0.3">
      <c r="B2" s="287"/>
      <c r="C2" s="309" t="s">
        <v>141</v>
      </c>
      <c r="D2" s="310"/>
      <c r="E2" s="310"/>
      <c r="F2" s="340"/>
      <c r="G2" s="311"/>
      <c r="H2" s="311"/>
      <c r="I2" s="520"/>
      <c r="J2" s="521"/>
    </row>
    <row r="3" spans="2:10" ht="18" customHeight="1" x14ac:dyDescent="0.3">
      <c r="B3" s="288"/>
      <c r="C3" s="312"/>
      <c r="D3" s="312"/>
      <c r="E3" s="312"/>
      <c r="F3" s="341"/>
      <c r="H3" s="308" t="str">
        <f>CONCATENATE('Detailed breakup'!$O$4," ",'Detailed breakup'!$Q$4)</f>
        <v>Period of bill : 1st Jul'26 to 31st Jul'26</v>
      </c>
      <c r="I3" s="289"/>
      <c r="J3" s="522"/>
    </row>
    <row r="4" spans="2:10" ht="15.6" x14ac:dyDescent="0.3">
      <c r="B4" s="293" t="s">
        <v>761</v>
      </c>
      <c r="C4" s="294"/>
      <c r="D4" s="294"/>
      <c r="E4" s="294"/>
      <c r="F4" s="342"/>
      <c r="G4" s="295"/>
      <c r="H4" s="292"/>
      <c r="I4" s="520"/>
      <c r="J4" s="133" t="str">
        <f>'Abs. - PMC (For Print)'!$D$4</f>
        <v>IPC - 34</v>
      </c>
    </row>
    <row r="5" spans="2:10" ht="15.6" x14ac:dyDescent="0.3">
      <c r="B5" s="245" t="s">
        <v>762</v>
      </c>
      <c r="C5" s="246"/>
      <c r="D5" s="246"/>
      <c r="E5" s="246"/>
      <c r="F5" s="343"/>
      <c r="G5" s="246"/>
      <c r="H5" s="246"/>
      <c r="I5" s="247"/>
      <c r="J5" s="522"/>
    </row>
    <row r="6" spans="2:10" ht="31.5" customHeight="1" x14ac:dyDescent="0.3">
      <c r="B6" s="134" t="s">
        <v>498</v>
      </c>
      <c r="C6" s="135" t="s">
        <v>176</v>
      </c>
      <c r="D6" s="136" t="s">
        <v>500</v>
      </c>
      <c r="E6" s="137" t="s">
        <v>501</v>
      </c>
      <c r="F6" s="344" t="s">
        <v>502</v>
      </c>
      <c r="G6" s="137" t="s">
        <v>763</v>
      </c>
      <c r="H6" s="134" t="s">
        <v>504</v>
      </c>
      <c r="I6" s="136" t="s">
        <v>764</v>
      </c>
      <c r="J6" s="523" t="s">
        <v>507</v>
      </c>
    </row>
    <row r="7" spans="2:10" ht="7.5" customHeight="1" x14ac:dyDescent="0.3">
      <c r="B7" s="338"/>
      <c r="C7" s="142"/>
      <c r="D7" s="143"/>
      <c r="E7" s="144"/>
      <c r="F7" s="345"/>
      <c r="G7" s="144"/>
      <c r="H7" s="144"/>
      <c r="I7" s="515"/>
      <c r="J7" s="524"/>
    </row>
    <row r="8" spans="2:10" ht="15.6" x14ac:dyDescent="0.3">
      <c r="B8" s="49">
        <v>101</v>
      </c>
      <c r="C8" s="140" t="s">
        <v>187</v>
      </c>
      <c r="D8" s="138"/>
      <c r="E8" s="139"/>
      <c r="F8" s="346"/>
      <c r="G8" s="139"/>
      <c r="H8" s="139"/>
      <c r="I8" s="505"/>
      <c r="J8" s="500"/>
    </row>
    <row r="9" spans="2:10" ht="15.6" x14ac:dyDescent="0.3">
      <c r="B9" s="124" t="s">
        <v>765</v>
      </c>
      <c r="C9" s="129" t="s">
        <v>308</v>
      </c>
      <c r="D9" s="127" t="s">
        <v>190</v>
      </c>
      <c r="E9" s="125" t="s">
        <v>510</v>
      </c>
      <c r="F9" s="347">
        <v>0.5</v>
      </c>
      <c r="G9" s="296" t="s">
        <v>766</v>
      </c>
      <c r="H9" s="297">
        <v>45450</v>
      </c>
      <c r="I9" s="305" t="s">
        <v>767</v>
      </c>
      <c r="J9" s="525"/>
    </row>
    <row r="10" spans="2:10" ht="15.6" x14ac:dyDescent="0.3">
      <c r="B10" s="31" t="s">
        <v>765</v>
      </c>
      <c r="C10" s="130" t="s">
        <v>308</v>
      </c>
      <c r="D10" s="43" t="s">
        <v>190</v>
      </c>
      <c r="E10" s="126" t="s">
        <v>510</v>
      </c>
      <c r="F10" s="348">
        <v>0.5</v>
      </c>
      <c r="G10" s="126" t="s">
        <v>768</v>
      </c>
      <c r="H10" s="298">
        <v>45451</v>
      </c>
      <c r="I10" s="128" t="s">
        <v>767</v>
      </c>
      <c r="J10" s="494"/>
    </row>
    <row r="11" spans="2:10" ht="15.6" x14ac:dyDescent="0.3">
      <c r="B11" s="31" t="s">
        <v>765</v>
      </c>
      <c r="C11" s="130" t="s">
        <v>308</v>
      </c>
      <c r="D11" s="43" t="s">
        <v>190</v>
      </c>
      <c r="E11" s="126" t="s">
        <v>515</v>
      </c>
      <c r="F11" s="348">
        <v>0.5</v>
      </c>
      <c r="G11" s="248" t="s">
        <v>769</v>
      </c>
      <c r="H11" s="300">
        <v>45456</v>
      </c>
      <c r="I11" s="306" t="s">
        <v>767</v>
      </c>
      <c r="J11" s="494"/>
    </row>
    <row r="12" spans="2:10" ht="15.6" x14ac:dyDescent="0.3">
      <c r="B12" s="31" t="s">
        <v>765</v>
      </c>
      <c r="C12" s="130" t="s">
        <v>308</v>
      </c>
      <c r="D12" s="43" t="s">
        <v>190</v>
      </c>
      <c r="E12" s="126" t="s">
        <v>515</v>
      </c>
      <c r="F12" s="348">
        <v>0.5</v>
      </c>
      <c r="G12" s="248" t="s">
        <v>770</v>
      </c>
      <c r="H12" s="300">
        <v>45458</v>
      </c>
      <c r="I12" s="306" t="s">
        <v>767</v>
      </c>
      <c r="J12" s="494"/>
    </row>
    <row r="13" spans="2:10" ht="15.6" x14ac:dyDescent="0.3">
      <c r="B13" s="31"/>
      <c r="C13" s="130"/>
      <c r="D13" s="43"/>
      <c r="E13" s="126"/>
      <c r="F13" s="348"/>
      <c r="G13" s="248"/>
      <c r="H13" s="300"/>
      <c r="I13" s="306"/>
      <c r="J13" s="494"/>
    </row>
    <row r="14" spans="2:10" s="58" customFormat="1" ht="15.6" x14ac:dyDescent="0.3">
      <c r="B14" s="352"/>
      <c r="C14" s="353" t="s">
        <v>771</v>
      </c>
      <c r="D14" s="354" t="s">
        <v>190</v>
      </c>
      <c r="E14" s="355"/>
      <c r="F14" s="356">
        <f>SUM(F9:F13)</f>
        <v>2</v>
      </c>
      <c r="G14" s="357"/>
      <c r="H14" s="358"/>
      <c r="I14" s="359"/>
      <c r="J14" s="526"/>
    </row>
    <row r="15" spans="2:10" s="58" customFormat="1" ht="15.6" x14ac:dyDescent="0.3">
      <c r="B15" s="352"/>
      <c r="C15" s="353" t="s">
        <v>772</v>
      </c>
      <c r="D15" s="354" t="s">
        <v>190</v>
      </c>
      <c r="E15" s="355"/>
      <c r="F15" s="356">
        <v>2</v>
      </c>
      <c r="G15" s="357"/>
      <c r="H15" s="358"/>
      <c r="I15" s="359"/>
      <c r="J15" s="526"/>
    </row>
    <row r="16" spans="2:10" s="58" customFormat="1" ht="15.6" x14ac:dyDescent="0.3">
      <c r="B16" s="360"/>
      <c r="C16" s="361" t="s">
        <v>773</v>
      </c>
      <c r="D16" s="362" t="s">
        <v>190</v>
      </c>
      <c r="E16" s="363"/>
      <c r="F16" s="364">
        <f>F14-F15</f>
        <v>0</v>
      </c>
      <c r="G16" s="365"/>
      <c r="H16" s="366"/>
      <c r="I16" s="367"/>
      <c r="J16" s="527"/>
    </row>
    <row r="17" spans="2:10" ht="7.5" customHeight="1" x14ac:dyDescent="0.3">
      <c r="B17" s="338"/>
      <c r="C17" s="142"/>
      <c r="D17" s="143"/>
      <c r="E17" s="144"/>
      <c r="F17" s="345"/>
      <c r="G17" s="144"/>
      <c r="H17" s="144"/>
      <c r="I17" s="515"/>
      <c r="J17" s="524"/>
    </row>
    <row r="18" spans="2:10" ht="15.6" x14ac:dyDescent="0.3">
      <c r="B18" s="145" t="s">
        <v>774</v>
      </c>
      <c r="C18" s="150" t="s">
        <v>775</v>
      </c>
      <c r="D18" s="146" t="s">
        <v>190</v>
      </c>
      <c r="E18" s="147" t="s">
        <v>510</v>
      </c>
      <c r="F18" s="349">
        <v>1</v>
      </c>
      <c r="G18" s="147" t="s">
        <v>776</v>
      </c>
      <c r="H18" s="299">
        <v>45453</v>
      </c>
      <c r="I18" s="337" t="s">
        <v>767</v>
      </c>
      <c r="J18" s="528"/>
    </row>
    <row r="19" spans="2:10" ht="15.6" x14ac:dyDescent="0.3">
      <c r="B19" s="145" t="s">
        <v>774</v>
      </c>
      <c r="C19" s="150" t="s">
        <v>775</v>
      </c>
      <c r="D19" s="146" t="s">
        <v>190</v>
      </c>
      <c r="E19" s="147" t="s">
        <v>515</v>
      </c>
      <c r="F19" s="349">
        <v>1</v>
      </c>
      <c r="G19" s="147" t="s">
        <v>777</v>
      </c>
      <c r="H19" s="299">
        <v>45485</v>
      </c>
      <c r="I19" s="337" t="s">
        <v>778</v>
      </c>
      <c r="J19" s="528"/>
    </row>
    <row r="20" spans="2:10" ht="15.6" x14ac:dyDescent="0.3">
      <c r="B20" s="145"/>
      <c r="C20" s="150"/>
      <c r="D20" s="146"/>
      <c r="E20" s="147"/>
      <c r="F20" s="349"/>
      <c r="G20" s="147"/>
      <c r="H20" s="299"/>
      <c r="I20" s="337"/>
      <c r="J20" s="528"/>
    </row>
    <row r="21" spans="2:10" s="58" customFormat="1" ht="15.6" x14ac:dyDescent="0.3">
      <c r="B21" s="352"/>
      <c r="C21" s="353" t="s">
        <v>771</v>
      </c>
      <c r="D21" s="354" t="s">
        <v>190</v>
      </c>
      <c r="E21" s="355"/>
      <c r="F21" s="356">
        <f>SUM(F18:F20)</f>
        <v>2</v>
      </c>
      <c r="G21" s="357"/>
      <c r="H21" s="358"/>
      <c r="I21" s="359"/>
      <c r="J21" s="526"/>
    </row>
    <row r="22" spans="2:10" s="58" customFormat="1" ht="15.6" x14ac:dyDescent="0.3">
      <c r="B22" s="352"/>
      <c r="C22" s="353" t="s">
        <v>772</v>
      </c>
      <c r="D22" s="354" t="s">
        <v>190</v>
      </c>
      <c r="E22" s="355"/>
      <c r="F22" s="356">
        <v>2</v>
      </c>
      <c r="G22" s="357"/>
      <c r="H22" s="358"/>
      <c r="I22" s="359"/>
      <c r="J22" s="526"/>
    </row>
    <row r="23" spans="2:10" s="58" customFormat="1" ht="15.6" x14ac:dyDescent="0.3">
      <c r="B23" s="360"/>
      <c r="C23" s="361" t="s">
        <v>773</v>
      </c>
      <c r="D23" s="362" t="s">
        <v>190</v>
      </c>
      <c r="E23" s="363"/>
      <c r="F23" s="364">
        <f>F21-F22</f>
        <v>0</v>
      </c>
      <c r="G23" s="365"/>
      <c r="H23" s="366"/>
      <c r="I23" s="367"/>
      <c r="J23" s="527"/>
    </row>
    <row r="24" spans="2:10" ht="7.5" customHeight="1" x14ac:dyDescent="0.3">
      <c r="B24" s="338"/>
      <c r="C24" s="142"/>
      <c r="D24" s="143"/>
      <c r="E24" s="144"/>
      <c r="F24" s="345"/>
      <c r="G24" s="144"/>
      <c r="H24" s="144"/>
      <c r="I24" s="515"/>
      <c r="J24" s="524"/>
    </row>
    <row r="25" spans="2:10" ht="15.6" x14ac:dyDescent="0.3">
      <c r="B25" s="31" t="s">
        <v>779</v>
      </c>
      <c r="C25" s="130" t="s">
        <v>780</v>
      </c>
      <c r="D25" s="43" t="s">
        <v>190</v>
      </c>
      <c r="E25" s="126" t="s">
        <v>510</v>
      </c>
      <c r="F25" s="348">
        <v>1</v>
      </c>
      <c r="G25" s="126" t="s">
        <v>781</v>
      </c>
      <c r="H25" s="298">
        <v>45455</v>
      </c>
      <c r="I25" s="128" t="s">
        <v>767</v>
      </c>
      <c r="J25" s="494"/>
    </row>
    <row r="26" spans="2:10" ht="15.6" x14ac:dyDescent="0.3">
      <c r="B26" s="31" t="s">
        <v>779</v>
      </c>
      <c r="C26" s="130" t="s">
        <v>780</v>
      </c>
      <c r="D26" s="43" t="s">
        <v>190</v>
      </c>
      <c r="E26" s="126" t="s">
        <v>515</v>
      </c>
      <c r="F26" s="348">
        <v>1</v>
      </c>
      <c r="G26" s="126" t="s">
        <v>782</v>
      </c>
      <c r="H26" s="298">
        <v>45504</v>
      </c>
      <c r="I26" s="128" t="s">
        <v>778</v>
      </c>
      <c r="J26" s="494"/>
    </row>
    <row r="27" spans="2:10" ht="15.6" x14ac:dyDescent="0.3">
      <c r="B27" s="31"/>
      <c r="C27" s="130"/>
      <c r="D27" s="43"/>
      <c r="E27" s="126"/>
      <c r="F27" s="348"/>
      <c r="G27" s="126"/>
      <c r="H27" s="298"/>
      <c r="I27" s="128"/>
      <c r="J27" s="494"/>
    </row>
    <row r="28" spans="2:10" s="58" customFormat="1" ht="15.6" x14ac:dyDescent="0.3">
      <c r="B28" s="352"/>
      <c r="C28" s="353" t="s">
        <v>771</v>
      </c>
      <c r="D28" s="354" t="s">
        <v>190</v>
      </c>
      <c r="E28" s="355"/>
      <c r="F28" s="356">
        <f>SUM(F25:F27)</f>
        <v>2</v>
      </c>
      <c r="G28" s="357"/>
      <c r="H28" s="358"/>
      <c r="I28" s="359"/>
      <c r="J28" s="526"/>
    </row>
    <row r="29" spans="2:10" s="58" customFormat="1" ht="15.6" x14ac:dyDescent="0.3">
      <c r="B29" s="352"/>
      <c r="C29" s="353" t="s">
        <v>772</v>
      </c>
      <c r="D29" s="354" t="s">
        <v>190</v>
      </c>
      <c r="E29" s="355"/>
      <c r="F29" s="356">
        <v>2</v>
      </c>
      <c r="G29" s="357"/>
      <c r="H29" s="358"/>
      <c r="I29" s="359"/>
      <c r="J29" s="526"/>
    </row>
    <row r="30" spans="2:10" s="58" customFormat="1" ht="15.6" x14ac:dyDescent="0.3">
      <c r="B30" s="360"/>
      <c r="C30" s="361" t="s">
        <v>773</v>
      </c>
      <c r="D30" s="362" t="s">
        <v>190</v>
      </c>
      <c r="E30" s="363"/>
      <c r="F30" s="364">
        <f>F28-F29</f>
        <v>0</v>
      </c>
      <c r="G30" s="365"/>
      <c r="H30" s="366"/>
      <c r="I30" s="367"/>
      <c r="J30" s="527"/>
    </row>
    <row r="31" spans="2:10" ht="7.5" customHeight="1" x14ac:dyDescent="0.3">
      <c r="B31" s="338"/>
      <c r="C31" s="142"/>
      <c r="D31" s="143"/>
      <c r="E31" s="144"/>
      <c r="F31" s="345"/>
      <c r="G31" s="144"/>
      <c r="H31" s="144"/>
      <c r="I31" s="515"/>
      <c r="J31" s="524"/>
    </row>
    <row r="32" spans="2:10" ht="15.6" x14ac:dyDescent="0.3">
      <c r="B32" s="31" t="s">
        <v>783</v>
      </c>
      <c r="C32" s="130" t="s">
        <v>784</v>
      </c>
      <c r="D32" s="43" t="s">
        <v>190</v>
      </c>
      <c r="E32" s="126" t="s">
        <v>510</v>
      </c>
      <c r="F32" s="348">
        <v>1</v>
      </c>
      <c r="G32" s="126" t="s">
        <v>785</v>
      </c>
      <c r="H32" s="298">
        <v>45457</v>
      </c>
      <c r="I32" s="128" t="s">
        <v>767</v>
      </c>
      <c r="J32" s="494"/>
    </row>
    <row r="33" spans="2:10" ht="15.6" x14ac:dyDescent="0.3">
      <c r="B33" s="31" t="s">
        <v>783</v>
      </c>
      <c r="C33" s="130" t="s">
        <v>784</v>
      </c>
      <c r="D33" s="43" t="s">
        <v>190</v>
      </c>
      <c r="E33" s="126" t="s">
        <v>515</v>
      </c>
      <c r="F33" s="348">
        <v>1</v>
      </c>
      <c r="G33" s="126" t="s">
        <v>786</v>
      </c>
      <c r="H33" s="298">
        <v>45504</v>
      </c>
      <c r="I33" s="128" t="s">
        <v>778</v>
      </c>
      <c r="J33" s="494"/>
    </row>
    <row r="34" spans="2:10" ht="15.6" x14ac:dyDescent="0.3">
      <c r="B34" s="31"/>
      <c r="C34" s="130"/>
      <c r="D34" s="43"/>
      <c r="E34" s="126"/>
      <c r="F34" s="348"/>
      <c r="G34" s="126"/>
      <c r="H34" s="298"/>
      <c r="I34" s="128"/>
      <c r="J34" s="494"/>
    </row>
    <row r="35" spans="2:10" s="58" customFormat="1" ht="15.6" x14ac:dyDescent="0.3">
      <c r="B35" s="352"/>
      <c r="C35" s="353" t="s">
        <v>771</v>
      </c>
      <c r="D35" s="354" t="s">
        <v>190</v>
      </c>
      <c r="E35" s="355"/>
      <c r="F35" s="356">
        <f>SUM(F32:F34)</f>
        <v>2</v>
      </c>
      <c r="G35" s="357"/>
      <c r="H35" s="358"/>
      <c r="I35" s="359"/>
      <c r="J35" s="526"/>
    </row>
    <row r="36" spans="2:10" s="58" customFormat="1" ht="15.6" x14ac:dyDescent="0.3">
      <c r="B36" s="352"/>
      <c r="C36" s="353" t="s">
        <v>772</v>
      </c>
      <c r="D36" s="354" t="s">
        <v>190</v>
      </c>
      <c r="E36" s="355"/>
      <c r="F36" s="356">
        <v>2</v>
      </c>
      <c r="G36" s="357"/>
      <c r="H36" s="358"/>
      <c r="I36" s="359"/>
      <c r="J36" s="526"/>
    </row>
    <row r="37" spans="2:10" s="58" customFormat="1" ht="15.6" x14ac:dyDescent="0.3">
      <c r="B37" s="360"/>
      <c r="C37" s="361" t="s">
        <v>773</v>
      </c>
      <c r="D37" s="362" t="s">
        <v>190</v>
      </c>
      <c r="E37" s="363"/>
      <c r="F37" s="364">
        <f>F35-F36</f>
        <v>0</v>
      </c>
      <c r="G37" s="365"/>
      <c r="H37" s="366"/>
      <c r="I37" s="367"/>
      <c r="J37" s="527"/>
    </row>
    <row r="38" spans="2:10" ht="7.5" customHeight="1" x14ac:dyDescent="0.3">
      <c r="B38" s="338"/>
      <c r="C38" s="142"/>
      <c r="D38" s="143"/>
      <c r="E38" s="144"/>
      <c r="F38" s="345"/>
      <c r="G38" s="144"/>
      <c r="H38" s="144"/>
      <c r="I38" s="515"/>
      <c r="J38" s="524"/>
    </row>
    <row r="39" spans="2:10" ht="15.6" x14ac:dyDescent="0.3">
      <c r="B39" s="31" t="s">
        <v>787</v>
      </c>
      <c r="C39" s="130" t="s">
        <v>788</v>
      </c>
      <c r="D39" s="43" t="s">
        <v>190</v>
      </c>
      <c r="E39" s="126" t="s">
        <v>510</v>
      </c>
      <c r="F39" s="348">
        <v>1</v>
      </c>
      <c r="G39" s="126" t="s">
        <v>789</v>
      </c>
      <c r="H39" s="298">
        <v>45459</v>
      </c>
      <c r="I39" s="128" t="s">
        <v>767</v>
      </c>
      <c r="J39" s="494"/>
    </row>
    <row r="40" spans="2:10" ht="15.6" x14ac:dyDescent="0.3">
      <c r="B40" s="31" t="s">
        <v>787</v>
      </c>
      <c r="C40" s="130" t="s">
        <v>788</v>
      </c>
      <c r="D40" s="43" t="s">
        <v>190</v>
      </c>
      <c r="E40" s="126" t="s">
        <v>515</v>
      </c>
      <c r="F40" s="348">
        <v>1</v>
      </c>
      <c r="G40" s="126" t="s">
        <v>790</v>
      </c>
      <c r="H40" s="298">
        <v>45504</v>
      </c>
      <c r="I40" s="128" t="s">
        <v>778</v>
      </c>
      <c r="J40" s="494"/>
    </row>
    <row r="41" spans="2:10" ht="15.6" x14ac:dyDescent="0.3">
      <c r="B41" s="31"/>
      <c r="C41" s="130"/>
      <c r="D41" s="43"/>
      <c r="E41" s="126"/>
      <c r="F41" s="348"/>
      <c r="G41" s="126"/>
      <c r="H41" s="298"/>
      <c r="I41" s="128"/>
      <c r="J41" s="494"/>
    </row>
    <row r="42" spans="2:10" s="58" customFormat="1" ht="15.6" x14ac:dyDescent="0.3">
      <c r="B42" s="352"/>
      <c r="C42" s="353" t="s">
        <v>771</v>
      </c>
      <c r="D42" s="354" t="s">
        <v>190</v>
      </c>
      <c r="E42" s="355"/>
      <c r="F42" s="356">
        <f>SUM(F39:F41)</f>
        <v>2</v>
      </c>
      <c r="G42" s="357"/>
      <c r="H42" s="358"/>
      <c r="I42" s="359"/>
      <c r="J42" s="526"/>
    </row>
    <row r="43" spans="2:10" s="58" customFormat="1" ht="15.6" x14ac:dyDescent="0.3">
      <c r="B43" s="352"/>
      <c r="C43" s="353" t="s">
        <v>772</v>
      </c>
      <c r="D43" s="354" t="s">
        <v>190</v>
      </c>
      <c r="E43" s="355"/>
      <c r="F43" s="356">
        <v>2</v>
      </c>
      <c r="G43" s="357"/>
      <c r="H43" s="358"/>
      <c r="I43" s="359"/>
      <c r="J43" s="526"/>
    </row>
    <row r="44" spans="2:10" s="58" customFormat="1" ht="15.6" x14ac:dyDescent="0.3">
      <c r="B44" s="360"/>
      <c r="C44" s="361" t="s">
        <v>773</v>
      </c>
      <c r="D44" s="362" t="s">
        <v>190</v>
      </c>
      <c r="E44" s="363"/>
      <c r="F44" s="364">
        <f>F42-F43</f>
        <v>0</v>
      </c>
      <c r="G44" s="365"/>
      <c r="H44" s="366"/>
      <c r="I44" s="367"/>
      <c r="J44" s="527"/>
    </row>
    <row r="45" spans="2:10" ht="7.5" customHeight="1" x14ac:dyDescent="0.3">
      <c r="B45" s="338"/>
      <c r="C45" s="142"/>
      <c r="D45" s="143"/>
      <c r="E45" s="144"/>
      <c r="F45" s="345"/>
      <c r="G45" s="144"/>
      <c r="H45" s="144"/>
      <c r="I45" s="515"/>
      <c r="J45" s="524"/>
    </row>
    <row r="46" spans="2:10" ht="15.6" x14ac:dyDescent="0.3">
      <c r="B46" s="31" t="s">
        <v>791</v>
      </c>
      <c r="C46" s="130" t="s">
        <v>792</v>
      </c>
      <c r="D46" s="43" t="s">
        <v>190</v>
      </c>
      <c r="E46" s="126" t="s">
        <v>510</v>
      </c>
      <c r="F46" s="348">
        <v>1</v>
      </c>
      <c r="G46" s="126" t="s">
        <v>793</v>
      </c>
      <c r="H46" s="298">
        <v>45492</v>
      </c>
      <c r="I46" s="128" t="s">
        <v>778</v>
      </c>
      <c r="J46" s="494"/>
    </row>
    <row r="47" spans="2:10" ht="15.6" x14ac:dyDescent="0.3">
      <c r="B47" s="31" t="s">
        <v>791</v>
      </c>
      <c r="C47" s="130" t="s">
        <v>792</v>
      </c>
      <c r="D47" s="43" t="s">
        <v>190</v>
      </c>
      <c r="E47" s="126" t="s">
        <v>515</v>
      </c>
      <c r="F47" s="482">
        <v>0.9</v>
      </c>
      <c r="G47" s="126" t="s">
        <v>794</v>
      </c>
      <c r="H47" s="298">
        <v>45526</v>
      </c>
      <c r="I47" s="128" t="s">
        <v>795</v>
      </c>
      <c r="J47" s="494"/>
    </row>
    <row r="48" spans="2:10" ht="15.6" x14ac:dyDescent="0.3">
      <c r="B48" s="31" t="s">
        <v>791</v>
      </c>
      <c r="C48" s="130" t="s">
        <v>792</v>
      </c>
      <c r="D48" s="43" t="s">
        <v>190</v>
      </c>
      <c r="E48" s="126" t="s">
        <v>515</v>
      </c>
      <c r="F48" s="482">
        <v>0.1</v>
      </c>
      <c r="G48" s="126" t="s">
        <v>796</v>
      </c>
      <c r="H48" s="298">
        <v>45563</v>
      </c>
      <c r="I48" s="128" t="s">
        <v>797</v>
      </c>
      <c r="J48" s="494"/>
    </row>
    <row r="49" spans="2:10" ht="15.6" x14ac:dyDescent="0.3">
      <c r="B49" s="31"/>
      <c r="C49" s="130"/>
      <c r="D49" s="43"/>
      <c r="E49" s="126"/>
      <c r="F49" s="348"/>
      <c r="G49" s="126"/>
      <c r="H49" s="298"/>
      <c r="I49" s="128"/>
      <c r="J49" s="494"/>
    </row>
    <row r="50" spans="2:10" s="58" customFormat="1" ht="15.6" x14ac:dyDescent="0.3">
      <c r="B50" s="352"/>
      <c r="C50" s="353" t="s">
        <v>771</v>
      </c>
      <c r="D50" s="354" t="s">
        <v>190</v>
      </c>
      <c r="E50" s="355"/>
      <c r="F50" s="356">
        <f>SUM(F46:F49)</f>
        <v>2</v>
      </c>
      <c r="G50" s="357"/>
      <c r="H50" s="358"/>
      <c r="I50" s="359"/>
      <c r="J50" s="526"/>
    </row>
    <row r="51" spans="2:10" s="58" customFormat="1" ht="15.6" x14ac:dyDescent="0.3">
      <c r="B51" s="352"/>
      <c r="C51" s="353" t="s">
        <v>772</v>
      </c>
      <c r="D51" s="354" t="s">
        <v>190</v>
      </c>
      <c r="E51" s="355"/>
      <c r="F51" s="356">
        <v>2</v>
      </c>
      <c r="G51" s="357"/>
      <c r="H51" s="358"/>
      <c r="I51" s="359"/>
      <c r="J51" s="526"/>
    </row>
    <row r="52" spans="2:10" s="58" customFormat="1" ht="15.6" x14ac:dyDescent="0.3">
      <c r="B52" s="360"/>
      <c r="C52" s="361" t="s">
        <v>773</v>
      </c>
      <c r="D52" s="362" t="s">
        <v>190</v>
      </c>
      <c r="E52" s="363"/>
      <c r="F52" s="364">
        <f>F50-F51</f>
        <v>0</v>
      </c>
      <c r="G52" s="365"/>
      <c r="H52" s="366"/>
      <c r="I52" s="367"/>
      <c r="J52" s="527"/>
    </row>
    <row r="53" spans="2:10" ht="7.5" customHeight="1" x14ac:dyDescent="0.3">
      <c r="B53" s="338"/>
      <c r="C53" s="142"/>
      <c r="D53" s="143"/>
      <c r="E53" s="144"/>
      <c r="F53" s="345"/>
      <c r="G53" s="144"/>
      <c r="H53" s="144"/>
      <c r="I53" s="515"/>
      <c r="J53" s="524"/>
    </row>
    <row r="54" spans="2:10" ht="15.6" x14ac:dyDescent="0.3">
      <c r="B54" s="31" t="s">
        <v>798</v>
      </c>
      <c r="C54" s="130" t="s">
        <v>799</v>
      </c>
      <c r="D54" s="43" t="s">
        <v>190</v>
      </c>
      <c r="E54" s="126" t="s">
        <v>510</v>
      </c>
      <c r="F54" s="348">
        <v>4</v>
      </c>
      <c r="G54" s="126" t="s">
        <v>800</v>
      </c>
      <c r="H54" s="298">
        <v>45502</v>
      </c>
      <c r="I54" s="128" t="s">
        <v>778</v>
      </c>
      <c r="J54" s="494"/>
    </row>
    <row r="55" spans="2:10" ht="15.6" x14ac:dyDescent="0.3">
      <c r="B55" s="31" t="s">
        <v>798</v>
      </c>
      <c r="C55" s="130" t="s">
        <v>799</v>
      </c>
      <c r="D55" s="43" t="s">
        <v>190</v>
      </c>
      <c r="E55" s="126" t="s">
        <v>515</v>
      </c>
      <c r="F55" s="482">
        <v>4</v>
      </c>
      <c r="G55" s="126" t="s">
        <v>801</v>
      </c>
      <c r="H55" s="298">
        <v>45533</v>
      </c>
      <c r="I55" s="128" t="s">
        <v>795</v>
      </c>
      <c r="J55" s="494"/>
    </row>
    <row r="56" spans="2:10" ht="15.6" x14ac:dyDescent="0.3">
      <c r="B56" s="31"/>
      <c r="C56" s="130"/>
      <c r="D56" s="43"/>
      <c r="E56" s="126"/>
      <c r="F56" s="348"/>
      <c r="G56" s="126"/>
      <c r="H56" s="298"/>
      <c r="I56" s="128"/>
      <c r="J56" s="494"/>
    </row>
    <row r="57" spans="2:10" s="58" customFormat="1" ht="15.6" x14ac:dyDescent="0.3">
      <c r="B57" s="352"/>
      <c r="C57" s="353" t="s">
        <v>771</v>
      </c>
      <c r="D57" s="354" t="s">
        <v>190</v>
      </c>
      <c r="E57" s="355"/>
      <c r="F57" s="356">
        <f>SUM(F54:F56)</f>
        <v>8</v>
      </c>
      <c r="G57" s="357"/>
      <c r="H57" s="358"/>
      <c r="I57" s="359"/>
      <c r="J57" s="526"/>
    </row>
    <row r="58" spans="2:10" s="58" customFormat="1" ht="15.6" x14ac:dyDescent="0.3">
      <c r="B58" s="352"/>
      <c r="C58" s="353" t="s">
        <v>772</v>
      </c>
      <c r="D58" s="354" t="s">
        <v>190</v>
      </c>
      <c r="E58" s="355"/>
      <c r="F58" s="356">
        <v>8</v>
      </c>
      <c r="G58" s="357"/>
      <c r="H58" s="358"/>
      <c r="I58" s="359"/>
      <c r="J58" s="526"/>
    </row>
    <row r="59" spans="2:10" s="58" customFormat="1" ht="15.6" x14ac:dyDescent="0.3">
      <c r="B59" s="360"/>
      <c r="C59" s="361" t="s">
        <v>773</v>
      </c>
      <c r="D59" s="362" t="s">
        <v>190</v>
      </c>
      <c r="E59" s="363"/>
      <c r="F59" s="364">
        <f>F57-F58</f>
        <v>0</v>
      </c>
      <c r="G59" s="365"/>
      <c r="H59" s="366"/>
      <c r="I59" s="367"/>
      <c r="J59" s="527"/>
    </row>
    <row r="60" spans="2:10" ht="7.5" customHeight="1" x14ac:dyDescent="0.3">
      <c r="B60" s="338"/>
      <c r="C60" s="142"/>
      <c r="D60" s="143"/>
      <c r="E60" s="144"/>
      <c r="F60" s="345"/>
      <c r="G60" s="144"/>
      <c r="H60" s="144"/>
      <c r="I60" s="515"/>
      <c r="J60" s="524"/>
    </row>
    <row r="61" spans="2:10" ht="15.6" x14ac:dyDescent="0.3">
      <c r="B61" s="31" t="s">
        <v>802</v>
      </c>
      <c r="C61" s="130" t="s">
        <v>803</v>
      </c>
      <c r="D61" s="43" t="s">
        <v>190</v>
      </c>
      <c r="E61" s="126" t="s">
        <v>510</v>
      </c>
      <c r="F61" s="348">
        <v>4</v>
      </c>
      <c r="G61" s="126" t="s">
        <v>800</v>
      </c>
      <c r="H61" s="298">
        <v>45502</v>
      </c>
      <c r="I61" s="128" t="s">
        <v>778</v>
      </c>
      <c r="J61" s="494"/>
    </row>
    <row r="62" spans="2:10" ht="15.6" x14ac:dyDescent="0.3">
      <c r="B62" s="31" t="s">
        <v>802</v>
      </c>
      <c r="C62" s="130" t="s">
        <v>803</v>
      </c>
      <c r="D62" s="43" t="s">
        <v>190</v>
      </c>
      <c r="E62" s="126" t="s">
        <v>515</v>
      </c>
      <c r="F62" s="482">
        <v>4</v>
      </c>
      <c r="G62" s="126" t="s">
        <v>801</v>
      </c>
      <c r="H62" s="298">
        <v>45533</v>
      </c>
      <c r="I62" s="128" t="s">
        <v>795</v>
      </c>
      <c r="J62" s="494"/>
    </row>
    <row r="63" spans="2:10" ht="15.6" x14ac:dyDescent="0.3">
      <c r="B63" s="31"/>
      <c r="C63" s="130"/>
      <c r="D63" s="43"/>
      <c r="E63" s="126"/>
      <c r="F63" s="348"/>
      <c r="G63" s="126"/>
      <c r="H63" s="298"/>
      <c r="I63" s="128"/>
      <c r="J63" s="494"/>
    </row>
    <row r="64" spans="2:10" s="58" customFormat="1" ht="15.6" x14ac:dyDescent="0.3">
      <c r="B64" s="352"/>
      <c r="C64" s="353" t="s">
        <v>771</v>
      </c>
      <c r="D64" s="354" t="s">
        <v>190</v>
      </c>
      <c r="E64" s="355"/>
      <c r="F64" s="356">
        <f>SUM(F61:F63)</f>
        <v>8</v>
      </c>
      <c r="G64" s="357"/>
      <c r="H64" s="358"/>
      <c r="I64" s="359"/>
      <c r="J64" s="526"/>
    </row>
    <row r="65" spans="2:10" s="58" customFormat="1" ht="15.6" x14ac:dyDescent="0.3">
      <c r="B65" s="352"/>
      <c r="C65" s="353" t="s">
        <v>772</v>
      </c>
      <c r="D65" s="354" t="s">
        <v>190</v>
      </c>
      <c r="E65" s="355"/>
      <c r="F65" s="356">
        <v>8</v>
      </c>
      <c r="G65" s="357"/>
      <c r="H65" s="358"/>
      <c r="I65" s="359"/>
      <c r="J65" s="526"/>
    </row>
    <row r="66" spans="2:10" s="58" customFormat="1" ht="15.6" x14ac:dyDescent="0.3">
      <c r="B66" s="360"/>
      <c r="C66" s="361" t="s">
        <v>773</v>
      </c>
      <c r="D66" s="362" t="s">
        <v>190</v>
      </c>
      <c r="E66" s="363"/>
      <c r="F66" s="364">
        <f>F64-F65</f>
        <v>0</v>
      </c>
      <c r="G66" s="365"/>
      <c r="H66" s="366"/>
      <c r="I66" s="367"/>
      <c r="J66" s="527"/>
    </row>
    <row r="67" spans="2:10" ht="7.5" customHeight="1" x14ac:dyDescent="0.3">
      <c r="B67" s="338"/>
      <c r="C67" s="142"/>
      <c r="D67" s="143"/>
      <c r="E67" s="144"/>
      <c r="F67" s="345"/>
      <c r="G67" s="144"/>
      <c r="H67" s="144"/>
      <c r="I67" s="515"/>
      <c r="J67" s="524"/>
    </row>
    <row r="68" spans="2:10" ht="15.6" x14ac:dyDescent="0.3">
      <c r="B68" s="31" t="s">
        <v>804</v>
      </c>
      <c r="C68" s="130" t="s">
        <v>805</v>
      </c>
      <c r="D68" s="43" t="s">
        <v>190</v>
      </c>
      <c r="E68" s="126" t="s">
        <v>510</v>
      </c>
      <c r="F68" s="348">
        <v>20</v>
      </c>
      <c r="G68" s="126" t="s">
        <v>800</v>
      </c>
      <c r="H68" s="298">
        <v>45502</v>
      </c>
      <c r="I68" s="128" t="s">
        <v>778</v>
      </c>
      <c r="J68" s="494"/>
    </row>
    <row r="69" spans="2:10" ht="15.6" x14ac:dyDescent="0.3">
      <c r="B69" s="31"/>
      <c r="C69" s="130"/>
      <c r="D69" s="43"/>
      <c r="E69" s="126"/>
      <c r="F69" s="348"/>
      <c r="G69" s="126"/>
      <c r="H69" s="298"/>
      <c r="I69" s="128"/>
      <c r="J69" s="494"/>
    </row>
    <row r="70" spans="2:10" s="58" customFormat="1" ht="15.6" x14ac:dyDescent="0.3">
      <c r="B70" s="352"/>
      <c r="C70" s="353" t="s">
        <v>771</v>
      </c>
      <c r="D70" s="354" t="s">
        <v>190</v>
      </c>
      <c r="E70" s="355"/>
      <c r="F70" s="356">
        <f>SUM(F68:F69)</f>
        <v>20</v>
      </c>
      <c r="G70" s="357"/>
      <c r="H70" s="358"/>
      <c r="I70" s="359"/>
      <c r="J70" s="526"/>
    </row>
    <row r="71" spans="2:10" s="58" customFormat="1" ht="15.6" x14ac:dyDescent="0.3">
      <c r="B71" s="352"/>
      <c r="C71" s="353" t="s">
        <v>772</v>
      </c>
      <c r="D71" s="354" t="s">
        <v>190</v>
      </c>
      <c r="E71" s="355"/>
      <c r="F71" s="356">
        <v>20</v>
      </c>
      <c r="G71" s="357"/>
      <c r="H71" s="358"/>
      <c r="I71" s="359"/>
      <c r="J71" s="526"/>
    </row>
    <row r="72" spans="2:10" s="58" customFormat="1" ht="15.6" x14ac:dyDescent="0.3">
      <c r="B72" s="360"/>
      <c r="C72" s="361" t="s">
        <v>773</v>
      </c>
      <c r="D72" s="362" t="s">
        <v>190</v>
      </c>
      <c r="E72" s="363"/>
      <c r="F72" s="364">
        <f>F70-F71</f>
        <v>0</v>
      </c>
      <c r="G72" s="365"/>
      <c r="H72" s="366"/>
      <c r="I72" s="367"/>
      <c r="J72" s="527"/>
    </row>
    <row r="73" spans="2:10" ht="7.5" customHeight="1" x14ac:dyDescent="0.3">
      <c r="B73" s="338"/>
      <c r="C73" s="142"/>
      <c r="D73" s="143"/>
      <c r="E73" s="144"/>
      <c r="F73" s="345"/>
      <c r="G73" s="144"/>
      <c r="H73" s="144"/>
      <c r="I73" s="515"/>
      <c r="J73" s="524"/>
    </row>
    <row r="74" spans="2:10" ht="15.6" x14ac:dyDescent="0.3">
      <c r="B74" s="31" t="s">
        <v>806</v>
      </c>
      <c r="C74" s="130" t="s">
        <v>807</v>
      </c>
      <c r="D74" s="43" t="s">
        <v>190</v>
      </c>
      <c r="E74" s="126" t="s">
        <v>510</v>
      </c>
      <c r="F74" s="348">
        <v>2</v>
      </c>
      <c r="G74" s="126" t="s">
        <v>800</v>
      </c>
      <c r="H74" s="298">
        <v>45502</v>
      </c>
      <c r="I74" s="128" t="s">
        <v>778</v>
      </c>
      <c r="J74" s="494"/>
    </row>
    <row r="75" spans="2:10" ht="15.6" x14ac:dyDescent="0.3">
      <c r="B75" s="31"/>
      <c r="C75" s="130"/>
      <c r="D75" s="43"/>
      <c r="E75" s="126"/>
      <c r="F75" s="348"/>
      <c r="G75" s="126"/>
      <c r="H75" s="298"/>
      <c r="I75" s="128"/>
      <c r="J75" s="494"/>
    </row>
    <row r="76" spans="2:10" s="58" customFormat="1" ht="15.6" x14ac:dyDescent="0.3">
      <c r="B76" s="352"/>
      <c r="C76" s="353" t="s">
        <v>771</v>
      </c>
      <c r="D76" s="354" t="s">
        <v>190</v>
      </c>
      <c r="E76" s="355"/>
      <c r="F76" s="356">
        <f>SUM(F74:F75)</f>
        <v>2</v>
      </c>
      <c r="G76" s="357"/>
      <c r="H76" s="358"/>
      <c r="I76" s="359"/>
      <c r="J76" s="526"/>
    </row>
    <row r="77" spans="2:10" s="58" customFormat="1" ht="15.6" x14ac:dyDescent="0.3">
      <c r="B77" s="352"/>
      <c r="C77" s="353" t="s">
        <v>772</v>
      </c>
      <c r="D77" s="354" t="s">
        <v>190</v>
      </c>
      <c r="E77" s="355"/>
      <c r="F77" s="356">
        <v>2</v>
      </c>
      <c r="G77" s="357"/>
      <c r="H77" s="358"/>
      <c r="I77" s="359"/>
      <c r="J77" s="526"/>
    </row>
    <row r="78" spans="2:10" s="58" customFormat="1" ht="15.6" x14ac:dyDescent="0.3">
      <c r="B78" s="360"/>
      <c r="C78" s="361" t="s">
        <v>773</v>
      </c>
      <c r="D78" s="362" t="s">
        <v>190</v>
      </c>
      <c r="E78" s="363"/>
      <c r="F78" s="364">
        <f>F76-F77</f>
        <v>0</v>
      </c>
      <c r="G78" s="365"/>
      <c r="H78" s="366"/>
      <c r="I78" s="367"/>
      <c r="J78" s="527"/>
    </row>
    <row r="79" spans="2:10" ht="7.5" customHeight="1" x14ac:dyDescent="0.3">
      <c r="B79" s="338"/>
      <c r="C79" s="142"/>
      <c r="D79" s="143"/>
      <c r="E79" s="144"/>
      <c r="F79" s="345"/>
      <c r="G79" s="144"/>
      <c r="H79" s="144"/>
      <c r="I79" s="515"/>
      <c r="J79" s="524"/>
    </row>
    <row r="80" spans="2:10" ht="15.6" x14ac:dyDescent="0.3">
      <c r="B80" s="31" t="s">
        <v>808</v>
      </c>
      <c r="C80" s="130" t="s">
        <v>809</v>
      </c>
      <c r="D80" s="43" t="s">
        <v>190</v>
      </c>
      <c r="E80" s="126" t="s">
        <v>510</v>
      </c>
      <c r="F80" s="348">
        <v>60</v>
      </c>
      <c r="G80" s="126" t="s">
        <v>800</v>
      </c>
      <c r="H80" s="298">
        <v>45502</v>
      </c>
      <c r="I80" s="128" t="s">
        <v>778</v>
      </c>
      <c r="J80" s="494"/>
    </row>
    <row r="81" spans="2:10" ht="15.6" x14ac:dyDescent="0.3">
      <c r="B81" s="31"/>
      <c r="C81" s="130"/>
      <c r="D81" s="43"/>
      <c r="E81" s="126"/>
      <c r="F81" s="348"/>
      <c r="G81" s="126"/>
      <c r="H81" s="298"/>
      <c r="I81" s="128"/>
      <c r="J81" s="494"/>
    </row>
    <row r="82" spans="2:10" s="58" customFormat="1" ht="15.6" x14ac:dyDescent="0.3">
      <c r="B82" s="352"/>
      <c r="C82" s="353" t="s">
        <v>771</v>
      </c>
      <c r="D82" s="354" t="s">
        <v>190</v>
      </c>
      <c r="E82" s="355"/>
      <c r="F82" s="356">
        <f>SUM(F80:F81)</f>
        <v>60</v>
      </c>
      <c r="G82" s="357"/>
      <c r="H82" s="358"/>
      <c r="I82" s="359"/>
      <c r="J82" s="526"/>
    </row>
    <row r="83" spans="2:10" s="58" customFormat="1" ht="15.6" x14ac:dyDescent="0.3">
      <c r="B83" s="352"/>
      <c r="C83" s="353" t="s">
        <v>772</v>
      </c>
      <c r="D83" s="354" t="s">
        <v>190</v>
      </c>
      <c r="E83" s="355"/>
      <c r="F83" s="356">
        <v>60</v>
      </c>
      <c r="G83" s="357"/>
      <c r="H83" s="358"/>
      <c r="I83" s="359"/>
      <c r="J83" s="526"/>
    </row>
    <row r="84" spans="2:10" s="58" customFormat="1" ht="15.6" x14ac:dyDescent="0.3">
      <c r="B84" s="360"/>
      <c r="C84" s="361" t="s">
        <v>773</v>
      </c>
      <c r="D84" s="362" t="s">
        <v>190</v>
      </c>
      <c r="E84" s="363"/>
      <c r="F84" s="364">
        <f>F82-F83</f>
        <v>0</v>
      </c>
      <c r="G84" s="365"/>
      <c r="H84" s="366"/>
      <c r="I84" s="367"/>
      <c r="J84" s="527"/>
    </row>
    <row r="85" spans="2:10" ht="7.5" customHeight="1" x14ac:dyDescent="0.3">
      <c r="B85" s="338"/>
      <c r="C85" s="142"/>
      <c r="D85" s="143"/>
      <c r="E85" s="144"/>
      <c r="F85" s="345"/>
      <c r="G85" s="144"/>
      <c r="H85" s="144"/>
      <c r="I85" s="515"/>
      <c r="J85" s="524"/>
    </row>
    <row r="86" spans="2:10" ht="15.6" x14ac:dyDescent="0.3">
      <c r="B86" s="31" t="s">
        <v>810</v>
      </c>
      <c r="C86" s="130" t="s">
        <v>811</v>
      </c>
      <c r="D86" s="43" t="s">
        <v>190</v>
      </c>
      <c r="E86" s="126" t="s">
        <v>510</v>
      </c>
      <c r="F86" s="482">
        <v>1</v>
      </c>
      <c r="G86" s="126" t="s">
        <v>812</v>
      </c>
      <c r="H86" s="298">
        <v>45534</v>
      </c>
      <c r="I86" s="128" t="s">
        <v>795</v>
      </c>
      <c r="J86" s="494"/>
    </row>
    <row r="87" spans="2:10" ht="15.6" x14ac:dyDescent="0.3">
      <c r="B87" s="31"/>
      <c r="C87" s="130"/>
      <c r="D87" s="43"/>
      <c r="E87" s="126"/>
      <c r="F87" s="348"/>
      <c r="G87" s="126"/>
      <c r="H87" s="298"/>
      <c r="I87" s="128"/>
      <c r="J87" s="494"/>
    </row>
    <row r="88" spans="2:10" s="58" customFormat="1" ht="15.6" x14ac:dyDescent="0.3">
      <c r="B88" s="352"/>
      <c r="C88" s="353" t="s">
        <v>771</v>
      </c>
      <c r="D88" s="354" t="s">
        <v>190</v>
      </c>
      <c r="E88" s="355"/>
      <c r="F88" s="356">
        <f>SUM(F86:F87)</f>
        <v>1</v>
      </c>
      <c r="G88" s="357"/>
      <c r="H88" s="358"/>
      <c r="I88" s="359"/>
      <c r="J88" s="526"/>
    </row>
    <row r="89" spans="2:10" s="58" customFormat="1" ht="15.6" x14ac:dyDescent="0.3">
      <c r="B89" s="352"/>
      <c r="C89" s="353" t="s">
        <v>772</v>
      </c>
      <c r="D89" s="354" t="s">
        <v>190</v>
      </c>
      <c r="E89" s="355"/>
      <c r="F89" s="356">
        <v>1</v>
      </c>
      <c r="G89" s="357"/>
      <c r="H89" s="358"/>
      <c r="I89" s="359"/>
      <c r="J89" s="526"/>
    </row>
    <row r="90" spans="2:10" s="58" customFormat="1" ht="15.6" x14ac:dyDescent="0.3">
      <c r="B90" s="360"/>
      <c r="C90" s="361" t="s">
        <v>773</v>
      </c>
      <c r="D90" s="362" t="s">
        <v>190</v>
      </c>
      <c r="E90" s="363"/>
      <c r="F90" s="364">
        <f>F88-F89</f>
        <v>0</v>
      </c>
      <c r="G90" s="365"/>
      <c r="H90" s="366"/>
      <c r="I90" s="367"/>
      <c r="J90" s="527"/>
    </row>
    <row r="91" spans="2:10" ht="7.5" customHeight="1" x14ac:dyDescent="0.3">
      <c r="B91" s="338"/>
      <c r="C91" s="142"/>
      <c r="D91" s="143"/>
      <c r="E91" s="144"/>
      <c r="F91" s="345"/>
      <c r="G91" s="144"/>
      <c r="H91" s="144"/>
      <c r="I91" s="515"/>
      <c r="J91" s="524"/>
    </row>
    <row r="92" spans="2:10" ht="15.6" x14ac:dyDescent="0.3">
      <c r="B92" s="31" t="s">
        <v>813</v>
      </c>
      <c r="C92" s="130" t="s">
        <v>814</v>
      </c>
      <c r="D92" s="43" t="s">
        <v>190</v>
      </c>
      <c r="E92" s="126" t="s">
        <v>510</v>
      </c>
      <c r="F92" s="482">
        <v>2</v>
      </c>
      <c r="G92" s="126" t="s">
        <v>812</v>
      </c>
      <c r="H92" s="298">
        <v>45534</v>
      </c>
      <c r="I92" s="128" t="s">
        <v>795</v>
      </c>
      <c r="J92" s="494"/>
    </row>
    <row r="93" spans="2:10" ht="15.6" x14ac:dyDescent="0.3">
      <c r="B93" s="31"/>
      <c r="C93" s="130"/>
      <c r="D93" s="43"/>
      <c r="E93" s="126"/>
      <c r="F93" s="348"/>
      <c r="G93" s="126"/>
      <c r="H93" s="298"/>
      <c r="I93" s="128"/>
      <c r="J93" s="494"/>
    </row>
    <row r="94" spans="2:10" s="58" customFormat="1" ht="15.6" x14ac:dyDescent="0.3">
      <c r="B94" s="352"/>
      <c r="C94" s="353" t="s">
        <v>771</v>
      </c>
      <c r="D94" s="354" t="s">
        <v>190</v>
      </c>
      <c r="E94" s="355"/>
      <c r="F94" s="356">
        <f>SUM(F92:F93)</f>
        <v>2</v>
      </c>
      <c r="G94" s="357"/>
      <c r="H94" s="358"/>
      <c r="I94" s="359"/>
      <c r="J94" s="526"/>
    </row>
    <row r="95" spans="2:10" s="58" customFormat="1" ht="15.6" x14ac:dyDescent="0.3">
      <c r="B95" s="352"/>
      <c r="C95" s="353" t="s">
        <v>772</v>
      </c>
      <c r="D95" s="354" t="s">
        <v>190</v>
      </c>
      <c r="E95" s="355"/>
      <c r="F95" s="356">
        <v>2</v>
      </c>
      <c r="G95" s="357"/>
      <c r="H95" s="358"/>
      <c r="I95" s="359"/>
      <c r="J95" s="526"/>
    </row>
    <row r="96" spans="2:10" s="58" customFormat="1" ht="15.6" x14ac:dyDescent="0.3">
      <c r="B96" s="360"/>
      <c r="C96" s="361" t="s">
        <v>773</v>
      </c>
      <c r="D96" s="362" t="s">
        <v>190</v>
      </c>
      <c r="E96" s="363"/>
      <c r="F96" s="364">
        <f>F94-F95</f>
        <v>0</v>
      </c>
      <c r="G96" s="365"/>
      <c r="H96" s="366"/>
      <c r="I96" s="367"/>
      <c r="J96" s="527"/>
    </row>
    <row r="97" spans="2:10" ht="7.5" customHeight="1" x14ac:dyDescent="0.3">
      <c r="B97" s="338"/>
      <c r="C97" s="142"/>
      <c r="D97" s="143"/>
      <c r="E97" s="144"/>
      <c r="F97" s="345"/>
      <c r="G97" s="144"/>
      <c r="H97" s="144"/>
      <c r="I97" s="515"/>
      <c r="J97" s="524"/>
    </row>
    <row r="98" spans="2:10" ht="15.6" x14ac:dyDescent="0.3">
      <c r="B98" s="31" t="s">
        <v>815</v>
      </c>
      <c r="C98" s="130" t="s">
        <v>816</v>
      </c>
      <c r="D98" s="43" t="s">
        <v>190</v>
      </c>
      <c r="E98" s="126" t="s">
        <v>510</v>
      </c>
      <c r="F98" s="348">
        <v>5</v>
      </c>
      <c r="G98" s="126" t="s">
        <v>800</v>
      </c>
      <c r="H98" s="298">
        <v>45502</v>
      </c>
      <c r="I98" s="128" t="s">
        <v>778</v>
      </c>
      <c r="J98" s="494"/>
    </row>
    <row r="99" spans="2:10" ht="15.6" x14ac:dyDescent="0.3">
      <c r="B99" s="31" t="s">
        <v>815</v>
      </c>
      <c r="C99" s="130" t="s">
        <v>816</v>
      </c>
      <c r="D99" s="43" t="s">
        <v>190</v>
      </c>
      <c r="E99" s="126" t="s">
        <v>515</v>
      </c>
      <c r="F99" s="482">
        <v>5</v>
      </c>
      <c r="G99" s="126" t="s">
        <v>801</v>
      </c>
      <c r="H99" s="298">
        <v>45533</v>
      </c>
      <c r="I99" s="128" t="s">
        <v>795</v>
      </c>
      <c r="J99" s="494"/>
    </row>
    <row r="100" spans="2:10" ht="15.6" x14ac:dyDescent="0.3">
      <c r="B100" s="31"/>
      <c r="C100" s="130"/>
      <c r="D100" s="43"/>
      <c r="E100" s="126"/>
      <c r="F100" s="348"/>
      <c r="G100" s="126"/>
      <c r="H100" s="298"/>
      <c r="I100" s="128"/>
      <c r="J100" s="494"/>
    </row>
    <row r="101" spans="2:10" s="58" customFormat="1" ht="15.6" x14ac:dyDescent="0.3">
      <c r="B101" s="352"/>
      <c r="C101" s="353" t="s">
        <v>771</v>
      </c>
      <c r="D101" s="354" t="s">
        <v>190</v>
      </c>
      <c r="E101" s="355"/>
      <c r="F101" s="356">
        <f>SUM(F98:F100)</f>
        <v>10</v>
      </c>
      <c r="G101" s="357"/>
      <c r="H101" s="358"/>
      <c r="I101" s="359"/>
      <c r="J101" s="526"/>
    </row>
    <row r="102" spans="2:10" s="58" customFormat="1" ht="15.6" x14ac:dyDescent="0.3">
      <c r="B102" s="352"/>
      <c r="C102" s="353" t="s">
        <v>772</v>
      </c>
      <c r="D102" s="354" t="s">
        <v>190</v>
      </c>
      <c r="E102" s="355"/>
      <c r="F102" s="356">
        <v>10</v>
      </c>
      <c r="G102" s="357"/>
      <c r="H102" s="358"/>
      <c r="I102" s="359"/>
      <c r="J102" s="526"/>
    </row>
    <row r="103" spans="2:10" s="58" customFormat="1" ht="15.6" x14ac:dyDescent="0.3">
      <c r="B103" s="360"/>
      <c r="C103" s="361" t="s">
        <v>773</v>
      </c>
      <c r="D103" s="362" t="s">
        <v>190</v>
      </c>
      <c r="E103" s="363"/>
      <c r="F103" s="364">
        <f>F101-F102</f>
        <v>0</v>
      </c>
      <c r="G103" s="365"/>
      <c r="H103" s="366"/>
      <c r="I103" s="367"/>
      <c r="J103" s="527"/>
    </row>
    <row r="104" spans="2:10" ht="7.5" customHeight="1" x14ac:dyDescent="0.3">
      <c r="B104" s="338"/>
      <c r="C104" s="142"/>
      <c r="D104" s="143"/>
      <c r="E104" s="144"/>
      <c r="F104" s="345"/>
      <c r="G104" s="144"/>
      <c r="H104" s="144"/>
      <c r="I104" s="515"/>
      <c r="J104" s="524"/>
    </row>
    <row r="105" spans="2:10" ht="15.6" x14ac:dyDescent="0.3">
      <c r="B105" s="31" t="s">
        <v>817</v>
      </c>
      <c r="C105" s="130" t="s">
        <v>818</v>
      </c>
      <c r="D105" s="43" t="s">
        <v>190</v>
      </c>
      <c r="E105" s="126" t="s">
        <v>510</v>
      </c>
      <c r="F105" s="482">
        <v>1</v>
      </c>
      <c r="G105" s="126" t="s">
        <v>801</v>
      </c>
      <c r="H105" s="298">
        <v>45533</v>
      </c>
      <c r="I105" s="128" t="s">
        <v>795</v>
      </c>
      <c r="J105" s="494"/>
    </row>
    <row r="106" spans="2:10" ht="15.6" x14ac:dyDescent="0.3">
      <c r="B106" s="31" t="s">
        <v>817</v>
      </c>
      <c r="C106" s="130" t="s">
        <v>818</v>
      </c>
      <c r="D106" s="43" t="s">
        <v>190</v>
      </c>
      <c r="E106" s="126" t="s">
        <v>515</v>
      </c>
      <c r="F106" s="482">
        <v>1</v>
      </c>
      <c r="G106" s="126" t="s">
        <v>812</v>
      </c>
      <c r="H106" s="298">
        <v>45534</v>
      </c>
      <c r="I106" s="128" t="s">
        <v>795</v>
      </c>
      <c r="J106" s="494"/>
    </row>
    <row r="107" spans="2:10" ht="15.6" x14ac:dyDescent="0.3">
      <c r="B107" s="31"/>
      <c r="C107" s="130"/>
      <c r="D107" s="43"/>
      <c r="E107" s="126"/>
      <c r="F107" s="348"/>
      <c r="G107" s="126"/>
      <c r="H107" s="298"/>
      <c r="I107" s="128"/>
      <c r="J107" s="494"/>
    </row>
    <row r="108" spans="2:10" s="58" customFormat="1" ht="15.6" x14ac:dyDescent="0.3">
      <c r="B108" s="352"/>
      <c r="C108" s="353" t="s">
        <v>771</v>
      </c>
      <c r="D108" s="354" t="s">
        <v>190</v>
      </c>
      <c r="E108" s="355"/>
      <c r="F108" s="356">
        <f>SUM(F105:F107)</f>
        <v>2</v>
      </c>
      <c r="G108" s="357"/>
      <c r="H108" s="358"/>
      <c r="I108" s="359"/>
      <c r="J108" s="526"/>
    </row>
    <row r="109" spans="2:10" s="58" customFormat="1" ht="15.6" x14ac:dyDescent="0.3">
      <c r="B109" s="352"/>
      <c r="C109" s="353" t="s">
        <v>772</v>
      </c>
      <c r="D109" s="354" t="s">
        <v>190</v>
      </c>
      <c r="E109" s="355"/>
      <c r="F109" s="356">
        <v>2</v>
      </c>
      <c r="G109" s="357"/>
      <c r="H109" s="358"/>
      <c r="I109" s="359"/>
      <c r="J109" s="526"/>
    </row>
    <row r="110" spans="2:10" s="58" customFormat="1" ht="15.6" x14ac:dyDescent="0.3">
      <c r="B110" s="360"/>
      <c r="C110" s="361" t="s">
        <v>773</v>
      </c>
      <c r="D110" s="362" t="s">
        <v>190</v>
      </c>
      <c r="E110" s="363"/>
      <c r="F110" s="364">
        <f>F108-F109</f>
        <v>0</v>
      </c>
      <c r="G110" s="365"/>
      <c r="H110" s="366"/>
      <c r="I110" s="367"/>
      <c r="J110" s="527"/>
    </row>
    <row r="111" spans="2:10" ht="7.5" customHeight="1" x14ac:dyDescent="0.3">
      <c r="B111" s="338"/>
      <c r="C111" s="142"/>
      <c r="D111" s="143"/>
      <c r="E111" s="144"/>
      <c r="F111" s="345"/>
      <c r="G111" s="144"/>
      <c r="H111" s="144"/>
      <c r="I111" s="515"/>
      <c r="J111" s="524"/>
    </row>
    <row r="112" spans="2:10" ht="15.6" x14ac:dyDescent="0.3">
      <c r="B112" s="31" t="s">
        <v>819</v>
      </c>
      <c r="C112" s="130" t="s">
        <v>820</v>
      </c>
      <c r="D112" s="43" t="s">
        <v>190</v>
      </c>
      <c r="E112" s="126"/>
      <c r="F112" s="482">
        <v>6</v>
      </c>
      <c r="G112" s="126" t="s">
        <v>821</v>
      </c>
      <c r="H112" s="298">
        <v>45535</v>
      </c>
      <c r="I112" s="128" t="s">
        <v>795</v>
      </c>
      <c r="J112" s="494"/>
    </row>
    <row r="113" spans="2:10" ht="15.6" x14ac:dyDescent="0.3">
      <c r="B113" s="31"/>
      <c r="C113" s="130"/>
      <c r="D113" s="43"/>
      <c r="E113" s="126"/>
      <c r="F113" s="348"/>
      <c r="G113" s="126"/>
      <c r="H113" s="298"/>
      <c r="I113" s="128"/>
      <c r="J113" s="494"/>
    </row>
    <row r="114" spans="2:10" s="58" customFormat="1" ht="15.6" x14ac:dyDescent="0.3">
      <c r="B114" s="352"/>
      <c r="C114" s="353" t="s">
        <v>771</v>
      </c>
      <c r="D114" s="354" t="s">
        <v>190</v>
      </c>
      <c r="E114" s="355"/>
      <c r="F114" s="356">
        <f>SUM(F112:F113)</f>
        <v>6</v>
      </c>
      <c r="G114" s="357"/>
      <c r="H114" s="358"/>
      <c r="I114" s="359"/>
      <c r="J114" s="526"/>
    </row>
    <row r="115" spans="2:10" s="58" customFormat="1" ht="15.6" x14ac:dyDescent="0.3">
      <c r="B115" s="352"/>
      <c r="C115" s="353" t="s">
        <v>772</v>
      </c>
      <c r="D115" s="354" t="s">
        <v>190</v>
      </c>
      <c r="E115" s="355"/>
      <c r="F115" s="356">
        <v>6</v>
      </c>
      <c r="G115" s="357"/>
      <c r="H115" s="358"/>
      <c r="I115" s="359"/>
      <c r="J115" s="526"/>
    </row>
    <row r="116" spans="2:10" s="58" customFormat="1" ht="15.6" x14ac:dyDescent="0.3">
      <c r="B116" s="360"/>
      <c r="C116" s="361" t="s">
        <v>773</v>
      </c>
      <c r="D116" s="362" t="s">
        <v>190</v>
      </c>
      <c r="E116" s="363"/>
      <c r="F116" s="364">
        <f>F114-F115</f>
        <v>0</v>
      </c>
      <c r="G116" s="365"/>
      <c r="H116" s="366"/>
      <c r="I116" s="367"/>
      <c r="J116" s="527"/>
    </row>
    <row r="117" spans="2:10" ht="7.5" customHeight="1" x14ac:dyDescent="0.3">
      <c r="B117" s="338"/>
      <c r="C117" s="142"/>
      <c r="D117" s="143"/>
      <c r="E117" s="144"/>
      <c r="F117" s="345"/>
      <c r="G117" s="144"/>
      <c r="H117" s="144"/>
      <c r="I117" s="515"/>
      <c r="J117" s="524"/>
    </row>
    <row r="118" spans="2:10" ht="15.6" x14ac:dyDescent="0.3">
      <c r="B118" s="31" t="s">
        <v>822</v>
      </c>
      <c r="C118" s="130" t="s">
        <v>823</v>
      </c>
      <c r="D118" s="43" t="s">
        <v>190</v>
      </c>
      <c r="E118" s="126"/>
      <c r="F118" s="482">
        <v>2</v>
      </c>
      <c r="G118" s="126" t="s">
        <v>821</v>
      </c>
      <c r="H118" s="298">
        <v>45535</v>
      </c>
      <c r="I118" s="128" t="s">
        <v>795</v>
      </c>
      <c r="J118" s="494"/>
    </row>
    <row r="119" spans="2:10" ht="15.6" x14ac:dyDescent="0.3">
      <c r="B119" s="31"/>
      <c r="C119" s="130"/>
      <c r="D119" s="43"/>
      <c r="E119" s="126"/>
      <c r="F119" s="348"/>
      <c r="G119" s="126"/>
      <c r="H119" s="298"/>
      <c r="I119" s="128"/>
      <c r="J119" s="494"/>
    </row>
    <row r="120" spans="2:10" s="58" customFormat="1" ht="15.6" x14ac:dyDescent="0.3">
      <c r="B120" s="352"/>
      <c r="C120" s="353" t="s">
        <v>771</v>
      </c>
      <c r="D120" s="354" t="s">
        <v>190</v>
      </c>
      <c r="E120" s="355"/>
      <c r="F120" s="356">
        <f>SUM(F118:F119)</f>
        <v>2</v>
      </c>
      <c r="G120" s="357"/>
      <c r="H120" s="358"/>
      <c r="I120" s="359"/>
      <c r="J120" s="526"/>
    </row>
    <row r="121" spans="2:10" s="58" customFormat="1" ht="15.6" x14ac:dyDescent="0.3">
      <c r="B121" s="352"/>
      <c r="C121" s="353" t="s">
        <v>772</v>
      </c>
      <c r="D121" s="354" t="s">
        <v>190</v>
      </c>
      <c r="E121" s="355"/>
      <c r="F121" s="356">
        <v>2</v>
      </c>
      <c r="G121" s="357"/>
      <c r="H121" s="358"/>
      <c r="I121" s="359"/>
      <c r="J121" s="526"/>
    </row>
    <row r="122" spans="2:10" s="58" customFormat="1" ht="15.6" x14ac:dyDescent="0.3">
      <c r="B122" s="360"/>
      <c r="C122" s="361" t="s">
        <v>773</v>
      </c>
      <c r="D122" s="362" t="s">
        <v>190</v>
      </c>
      <c r="E122" s="363"/>
      <c r="F122" s="364">
        <f>F120-F121</f>
        <v>0</v>
      </c>
      <c r="G122" s="365"/>
      <c r="H122" s="366"/>
      <c r="I122" s="367"/>
      <c r="J122" s="527"/>
    </row>
    <row r="123" spans="2:10" ht="7.5" customHeight="1" x14ac:dyDescent="0.3">
      <c r="B123" s="338"/>
      <c r="C123" s="142"/>
      <c r="D123" s="143"/>
      <c r="E123" s="144"/>
      <c r="F123" s="345"/>
      <c r="G123" s="144"/>
      <c r="H123" s="144"/>
      <c r="I123" s="515"/>
      <c r="J123" s="524"/>
    </row>
    <row r="124" spans="2:10" ht="15.6" x14ac:dyDescent="0.3">
      <c r="B124" s="49">
        <v>102</v>
      </c>
      <c r="C124" s="140" t="s">
        <v>212</v>
      </c>
      <c r="D124" s="138"/>
      <c r="E124" s="139"/>
      <c r="F124" s="346"/>
      <c r="G124" s="139"/>
      <c r="H124" s="301"/>
      <c r="I124" s="505"/>
      <c r="J124" s="500"/>
    </row>
    <row r="125" spans="2:10" ht="15.6" x14ac:dyDescent="0.3">
      <c r="B125" s="124" t="s">
        <v>824</v>
      </c>
      <c r="C125" s="129" t="s">
        <v>825</v>
      </c>
      <c r="D125" s="127" t="s">
        <v>190</v>
      </c>
      <c r="E125" s="125" t="s">
        <v>510</v>
      </c>
      <c r="F125" s="347">
        <v>0.5</v>
      </c>
      <c r="G125" s="296" t="s">
        <v>826</v>
      </c>
      <c r="H125" s="297">
        <v>45450</v>
      </c>
      <c r="I125" s="305" t="s">
        <v>767</v>
      </c>
      <c r="J125" s="525"/>
    </row>
    <row r="126" spans="2:10" ht="15.6" x14ac:dyDescent="0.3">
      <c r="B126" s="145" t="s">
        <v>824</v>
      </c>
      <c r="C126" s="150" t="s">
        <v>825</v>
      </c>
      <c r="D126" s="146" t="s">
        <v>190</v>
      </c>
      <c r="E126" s="147" t="s">
        <v>510</v>
      </c>
      <c r="F126" s="349">
        <v>0.5</v>
      </c>
      <c r="G126" s="302" t="s">
        <v>827</v>
      </c>
      <c r="H126" s="314">
        <v>45451</v>
      </c>
      <c r="I126" s="306" t="s">
        <v>767</v>
      </c>
      <c r="J126" s="528"/>
    </row>
    <row r="127" spans="2:10" ht="15.6" x14ac:dyDescent="0.3">
      <c r="B127" s="145"/>
      <c r="C127" s="150"/>
      <c r="D127" s="146"/>
      <c r="E127" s="147"/>
      <c r="F127" s="349"/>
      <c r="G127" s="302"/>
      <c r="H127" s="314"/>
      <c r="I127" s="306"/>
      <c r="J127" s="528"/>
    </row>
    <row r="128" spans="2:10" s="58" customFormat="1" ht="15.6" x14ac:dyDescent="0.3">
      <c r="B128" s="352"/>
      <c r="C128" s="353" t="s">
        <v>771</v>
      </c>
      <c r="D128" s="354" t="s">
        <v>190</v>
      </c>
      <c r="E128" s="355"/>
      <c r="F128" s="356">
        <f>SUM(F125:F127)</f>
        <v>1</v>
      </c>
      <c r="G128" s="357"/>
      <c r="H128" s="358"/>
      <c r="I128" s="359"/>
      <c r="J128" s="526"/>
    </row>
    <row r="129" spans="2:10" s="58" customFormat="1" ht="15.6" x14ac:dyDescent="0.3">
      <c r="B129" s="352"/>
      <c r="C129" s="353" t="s">
        <v>772</v>
      </c>
      <c r="D129" s="354" t="s">
        <v>190</v>
      </c>
      <c r="E129" s="355"/>
      <c r="F129" s="356">
        <v>1</v>
      </c>
      <c r="G129" s="357"/>
      <c r="H129" s="358"/>
      <c r="I129" s="359"/>
      <c r="J129" s="526"/>
    </row>
    <row r="130" spans="2:10" s="58" customFormat="1" ht="15.6" x14ac:dyDescent="0.3">
      <c r="B130" s="360"/>
      <c r="C130" s="361" t="s">
        <v>773</v>
      </c>
      <c r="D130" s="362" t="s">
        <v>190</v>
      </c>
      <c r="E130" s="363"/>
      <c r="F130" s="364">
        <f>F128-F129</f>
        <v>0</v>
      </c>
      <c r="G130" s="365"/>
      <c r="H130" s="366"/>
      <c r="I130" s="367"/>
      <c r="J130" s="527"/>
    </row>
    <row r="131" spans="2:10" ht="7.5" customHeight="1" x14ac:dyDescent="0.3">
      <c r="B131" s="338"/>
      <c r="C131" s="142"/>
      <c r="D131" s="143"/>
      <c r="E131" s="144"/>
      <c r="F131" s="345"/>
      <c r="G131" s="144"/>
      <c r="H131" s="144"/>
      <c r="I131" s="515"/>
      <c r="J131" s="524"/>
    </row>
    <row r="132" spans="2:10" ht="15.6" x14ac:dyDescent="0.3">
      <c r="B132" s="476" t="s">
        <v>828</v>
      </c>
      <c r="C132" s="493" t="s">
        <v>829</v>
      </c>
      <c r="D132" s="478" t="s">
        <v>190</v>
      </c>
      <c r="E132" s="290" t="s">
        <v>510</v>
      </c>
      <c r="F132" s="347">
        <v>1</v>
      </c>
      <c r="G132" s="296" t="s">
        <v>830</v>
      </c>
      <c r="H132" s="297">
        <v>45504</v>
      </c>
      <c r="I132" s="305" t="s">
        <v>778</v>
      </c>
      <c r="J132" s="529"/>
    </row>
    <row r="133" spans="2:10" ht="15.6" x14ac:dyDescent="0.3">
      <c r="B133" s="31" t="s">
        <v>828</v>
      </c>
      <c r="C133" s="130" t="s">
        <v>829</v>
      </c>
      <c r="D133" s="43" t="s">
        <v>190</v>
      </c>
      <c r="E133" s="494" t="s">
        <v>515</v>
      </c>
      <c r="F133" s="483">
        <v>1</v>
      </c>
      <c r="G133" s="302" t="s">
        <v>831</v>
      </c>
      <c r="H133" s="314">
        <v>45562</v>
      </c>
      <c r="I133" s="306" t="s">
        <v>797</v>
      </c>
      <c r="J133" s="494"/>
    </row>
    <row r="134" spans="2:10" ht="15.6" x14ac:dyDescent="0.3">
      <c r="B134" s="145"/>
      <c r="C134" s="150"/>
      <c r="D134" s="146"/>
      <c r="E134" s="147"/>
      <c r="F134" s="349"/>
      <c r="G134" s="302"/>
      <c r="H134" s="314"/>
      <c r="I134" s="306"/>
      <c r="J134" s="528"/>
    </row>
    <row r="135" spans="2:10" s="58" customFormat="1" ht="15.6" x14ac:dyDescent="0.3">
      <c r="B135" s="352"/>
      <c r="C135" s="353" t="s">
        <v>771</v>
      </c>
      <c r="D135" s="354" t="s">
        <v>190</v>
      </c>
      <c r="E135" s="355"/>
      <c r="F135" s="356">
        <f>SUM(F132:F134)</f>
        <v>2</v>
      </c>
      <c r="G135" s="357"/>
      <c r="H135" s="358"/>
      <c r="I135" s="359"/>
      <c r="J135" s="526"/>
    </row>
    <row r="136" spans="2:10" s="58" customFormat="1" ht="15.6" x14ac:dyDescent="0.3">
      <c r="B136" s="352"/>
      <c r="C136" s="353" t="s">
        <v>772</v>
      </c>
      <c r="D136" s="354" t="s">
        <v>190</v>
      </c>
      <c r="E136" s="355"/>
      <c r="F136" s="356">
        <v>2</v>
      </c>
      <c r="G136" s="357"/>
      <c r="H136" s="358"/>
      <c r="I136" s="359"/>
      <c r="J136" s="526"/>
    </row>
    <row r="137" spans="2:10" s="58" customFormat="1" ht="15.6" x14ac:dyDescent="0.3">
      <c r="B137" s="360"/>
      <c r="C137" s="361" t="s">
        <v>773</v>
      </c>
      <c r="D137" s="362" t="s">
        <v>190</v>
      </c>
      <c r="E137" s="363"/>
      <c r="F137" s="364">
        <f>F135-F136</f>
        <v>0</v>
      </c>
      <c r="G137" s="365"/>
      <c r="H137" s="366"/>
      <c r="I137" s="367"/>
      <c r="J137" s="527"/>
    </row>
    <row r="138" spans="2:10" ht="7.5" customHeight="1" x14ac:dyDescent="0.3">
      <c r="B138" s="338"/>
      <c r="C138" s="142"/>
      <c r="D138" s="143"/>
      <c r="E138" s="144"/>
      <c r="F138" s="345"/>
      <c r="G138" s="144"/>
      <c r="H138" s="144"/>
      <c r="I138" s="515"/>
      <c r="J138" s="524"/>
    </row>
    <row r="139" spans="2:10" ht="15.6" x14ac:dyDescent="0.3">
      <c r="B139" s="31" t="s">
        <v>832</v>
      </c>
      <c r="C139" s="130" t="s">
        <v>833</v>
      </c>
      <c r="D139" s="43" t="s">
        <v>190</v>
      </c>
      <c r="E139" s="126" t="s">
        <v>510</v>
      </c>
      <c r="F139" s="348">
        <v>0.5</v>
      </c>
      <c r="G139" s="248" t="s">
        <v>834</v>
      </c>
      <c r="H139" s="300">
        <v>45453</v>
      </c>
      <c r="I139" s="306" t="s">
        <v>767</v>
      </c>
      <c r="J139" s="494"/>
    </row>
    <row r="140" spans="2:10" ht="15.6" x14ac:dyDescent="0.3">
      <c r="B140" s="31" t="s">
        <v>832</v>
      </c>
      <c r="C140" s="130" t="s">
        <v>833</v>
      </c>
      <c r="D140" s="43" t="s">
        <v>190</v>
      </c>
      <c r="E140" s="126" t="s">
        <v>515</v>
      </c>
      <c r="F140" s="348">
        <v>0.5</v>
      </c>
      <c r="G140" s="248" t="s">
        <v>835</v>
      </c>
      <c r="H140" s="300">
        <v>45454</v>
      </c>
      <c r="I140" s="306" t="s">
        <v>767</v>
      </c>
      <c r="J140" s="494"/>
    </row>
    <row r="141" spans="2:10" ht="15.6" x14ac:dyDescent="0.3">
      <c r="B141" s="31" t="s">
        <v>832</v>
      </c>
      <c r="C141" s="130" t="s">
        <v>833</v>
      </c>
      <c r="D141" s="43" t="s">
        <v>190</v>
      </c>
      <c r="E141" s="126" t="s">
        <v>510</v>
      </c>
      <c r="F141" s="348">
        <v>0.5</v>
      </c>
      <c r="G141" s="248" t="s">
        <v>836</v>
      </c>
      <c r="H141" s="300">
        <v>45455</v>
      </c>
      <c r="I141" s="306" t="s">
        <v>767</v>
      </c>
      <c r="J141" s="494"/>
    </row>
    <row r="142" spans="2:10" ht="15.6" x14ac:dyDescent="0.3">
      <c r="B142" s="31" t="s">
        <v>832</v>
      </c>
      <c r="C142" s="130" t="s">
        <v>833</v>
      </c>
      <c r="D142" s="43" t="s">
        <v>190</v>
      </c>
      <c r="E142" s="126" t="s">
        <v>515</v>
      </c>
      <c r="F142" s="348">
        <v>0.5</v>
      </c>
      <c r="G142" s="248" t="s">
        <v>837</v>
      </c>
      <c r="H142" s="300">
        <v>45456</v>
      </c>
      <c r="I142" s="306" t="s">
        <v>767</v>
      </c>
      <c r="J142" s="494"/>
    </row>
    <row r="143" spans="2:10" ht="15.6" x14ac:dyDescent="0.3">
      <c r="B143" s="31"/>
      <c r="C143" s="130"/>
      <c r="D143" s="43"/>
      <c r="E143" s="126"/>
      <c r="F143" s="348"/>
      <c r="G143" s="248"/>
      <c r="H143" s="300"/>
      <c r="I143" s="306"/>
      <c r="J143" s="494"/>
    </row>
    <row r="144" spans="2:10" s="58" customFormat="1" ht="15.6" x14ac:dyDescent="0.3">
      <c r="B144" s="352"/>
      <c r="C144" s="353" t="s">
        <v>771</v>
      </c>
      <c r="D144" s="354" t="s">
        <v>190</v>
      </c>
      <c r="E144" s="355"/>
      <c r="F144" s="356">
        <f>SUM(F139:F143)</f>
        <v>2</v>
      </c>
      <c r="G144" s="357"/>
      <c r="H144" s="358"/>
      <c r="I144" s="359"/>
      <c r="J144" s="526"/>
    </row>
    <row r="145" spans="2:10" s="58" customFormat="1" ht="15.6" x14ac:dyDescent="0.3">
      <c r="B145" s="352"/>
      <c r="C145" s="353" t="s">
        <v>772</v>
      </c>
      <c r="D145" s="354" t="s">
        <v>190</v>
      </c>
      <c r="E145" s="355"/>
      <c r="F145" s="356">
        <v>2</v>
      </c>
      <c r="G145" s="357"/>
      <c r="H145" s="358"/>
      <c r="I145" s="359"/>
      <c r="J145" s="526"/>
    </row>
    <row r="146" spans="2:10" s="58" customFormat="1" ht="15.6" x14ac:dyDescent="0.3">
      <c r="B146" s="360"/>
      <c r="C146" s="361" t="s">
        <v>773</v>
      </c>
      <c r="D146" s="362" t="s">
        <v>190</v>
      </c>
      <c r="E146" s="363"/>
      <c r="F146" s="364">
        <f>F144-F145</f>
        <v>0</v>
      </c>
      <c r="G146" s="365"/>
      <c r="H146" s="366"/>
      <c r="I146" s="367"/>
      <c r="J146" s="527"/>
    </row>
    <row r="147" spans="2:10" ht="7.5" customHeight="1" x14ac:dyDescent="0.3">
      <c r="B147" s="338"/>
      <c r="C147" s="142"/>
      <c r="D147" s="143"/>
      <c r="E147" s="144"/>
      <c r="F147" s="345"/>
      <c r="G147" s="144"/>
      <c r="H147" s="144"/>
      <c r="I147" s="515"/>
      <c r="J147" s="524"/>
    </row>
    <row r="148" spans="2:10" ht="15.6" x14ac:dyDescent="0.3">
      <c r="B148" s="31" t="s">
        <v>838</v>
      </c>
      <c r="C148" s="130" t="s">
        <v>839</v>
      </c>
      <c r="D148" s="43" t="s">
        <v>190</v>
      </c>
      <c r="E148" s="126" t="s">
        <v>510</v>
      </c>
      <c r="F148" s="348">
        <v>1</v>
      </c>
      <c r="G148" s="126" t="s">
        <v>840</v>
      </c>
      <c r="H148" s="298">
        <v>45455</v>
      </c>
      <c r="I148" s="128" t="s">
        <v>767</v>
      </c>
      <c r="J148" s="494"/>
    </row>
    <row r="149" spans="2:10" ht="15.6" x14ac:dyDescent="0.3">
      <c r="B149" s="31" t="s">
        <v>838</v>
      </c>
      <c r="C149" s="130" t="s">
        <v>839</v>
      </c>
      <c r="D149" s="43" t="s">
        <v>190</v>
      </c>
      <c r="E149" s="126" t="s">
        <v>515</v>
      </c>
      <c r="F149" s="348">
        <v>1</v>
      </c>
      <c r="G149" s="126" t="s">
        <v>841</v>
      </c>
      <c r="H149" s="298">
        <v>45455</v>
      </c>
      <c r="I149" s="128" t="s">
        <v>767</v>
      </c>
      <c r="J149" s="494"/>
    </row>
    <row r="150" spans="2:10" ht="15.6" x14ac:dyDescent="0.3">
      <c r="B150" s="31"/>
      <c r="C150" s="130"/>
      <c r="D150" s="43"/>
      <c r="E150" s="126"/>
      <c r="F150" s="348"/>
      <c r="G150" s="126"/>
      <c r="H150" s="298"/>
      <c r="I150" s="337"/>
      <c r="J150" s="494"/>
    </row>
    <row r="151" spans="2:10" s="58" customFormat="1" ht="15.6" x14ac:dyDescent="0.3">
      <c r="B151" s="352"/>
      <c r="C151" s="353" t="s">
        <v>771</v>
      </c>
      <c r="D151" s="354" t="s">
        <v>190</v>
      </c>
      <c r="E151" s="355"/>
      <c r="F151" s="356">
        <f>SUM(F148:F150)</f>
        <v>2</v>
      </c>
      <c r="G151" s="357"/>
      <c r="H151" s="358"/>
      <c r="I151" s="359"/>
      <c r="J151" s="526"/>
    </row>
    <row r="152" spans="2:10" s="58" customFormat="1" ht="15.6" x14ac:dyDescent="0.3">
      <c r="B152" s="352"/>
      <c r="C152" s="353" t="s">
        <v>772</v>
      </c>
      <c r="D152" s="354" t="s">
        <v>190</v>
      </c>
      <c r="E152" s="355"/>
      <c r="F152" s="356">
        <v>2</v>
      </c>
      <c r="G152" s="357"/>
      <c r="H152" s="358"/>
      <c r="I152" s="359"/>
      <c r="J152" s="526"/>
    </row>
    <row r="153" spans="2:10" s="58" customFormat="1" ht="15.6" x14ac:dyDescent="0.3">
      <c r="B153" s="360"/>
      <c r="C153" s="361" t="s">
        <v>773</v>
      </c>
      <c r="D153" s="362" t="s">
        <v>190</v>
      </c>
      <c r="E153" s="363"/>
      <c r="F153" s="364">
        <f>F151-F152</f>
        <v>0</v>
      </c>
      <c r="G153" s="365"/>
      <c r="H153" s="366"/>
      <c r="I153" s="367"/>
      <c r="J153" s="527"/>
    </row>
    <row r="154" spans="2:10" ht="7.5" customHeight="1" x14ac:dyDescent="0.3">
      <c r="B154" s="338"/>
      <c r="C154" s="142"/>
      <c r="D154" s="143"/>
      <c r="E154" s="144"/>
      <c r="F154" s="345"/>
      <c r="G154" s="144"/>
      <c r="H154" s="144"/>
      <c r="I154" s="515"/>
      <c r="J154" s="524"/>
    </row>
    <row r="155" spans="2:10" ht="15.6" x14ac:dyDescent="0.3">
      <c r="B155" s="31" t="s">
        <v>842</v>
      </c>
      <c r="C155" s="130" t="s">
        <v>843</v>
      </c>
      <c r="D155" s="43" t="s">
        <v>190</v>
      </c>
      <c r="E155" s="126" t="s">
        <v>510</v>
      </c>
      <c r="F155" s="348">
        <v>1</v>
      </c>
      <c r="G155" s="126" t="s">
        <v>844</v>
      </c>
      <c r="H155" s="298">
        <v>45454</v>
      </c>
      <c r="I155" s="128" t="s">
        <v>767</v>
      </c>
      <c r="J155" s="494"/>
    </row>
    <row r="156" spans="2:10" ht="15.6" x14ac:dyDescent="0.3">
      <c r="B156" s="31"/>
      <c r="C156" s="130"/>
      <c r="D156" s="43"/>
      <c r="E156" s="126"/>
      <c r="F156" s="348"/>
      <c r="G156" s="126"/>
      <c r="H156" s="298"/>
      <c r="I156" s="128"/>
      <c r="J156" s="494"/>
    </row>
    <row r="157" spans="2:10" s="58" customFormat="1" ht="15.6" x14ac:dyDescent="0.3">
      <c r="B157" s="352"/>
      <c r="C157" s="353" t="s">
        <v>771</v>
      </c>
      <c r="D157" s="354" t="s">
        <v>190</v>
      </c>
      <c r="E157" s="355"/>
      <c r="F157" s="356">
        <f>SUM(F155:F156)</f>
        <v>1</v>
      </c>
      <c r="G157" s="357"/>
      <c r="H157" s="358"/>
      <c r="I157" s="359"/>
      <c r="J157" s="526"/>
    </row>
    <row r="158" spans="2:10" s="58" customFormat="1" ht="15.6" x14ac:dyDescent="0.3">
      <c r="B158" s="352"/>
      <c r="C158" s="353" t="s">
        <v>772</v>
      </c>
      <c r="D158" s="354" t="s">
        <v>190</v>
      </c>
      <c r="E158" s="355"/>
      <c r="F158" s="356">
        <v>1</v>
      </c>
      <c r="G158" s="357"/>
      <c r="H158" s="358"/>
      <c r="I158" s="359"/>
      <c r="J158" s="526"/>
    </row>
    <row r="159" spans="2:10" s="58" customFormat="1" ht="15.6" x14ac:dyDescent="0.3">
      <c r="B159" s="360"/>
      <c r="C159" s="361" t="s">
        <v>773</v>
      </c>
      <c r="D159" s="362" t="s">
        <v>190</v>
      </c>
      <c r="E159" s="363"/>
      <c r="F159" s="364">
        <f>F157-F158</f>
        <v>0</v>
      </c>
      <c r="G159" s="365"/>
      <c r="H159" s="366"/>
      <c r="I159" s="367"/>
      <c r="J159" s="527"/>
    </row>
    <row r="160" spans="2:10" ht="7.5" customHeight="1" x14ac:dyDescent="0.3">
      <c r="B160" s="338"/>
      <c r="C160" s="142"/>
      <c r="D160" s="143"/>
      <c r="E160" s="144"/>
      <c r="F160" s="345"/>
      <c r="G160" s="144"/>
      <c r="H160" s="144"/>
      <c r="I160" s="515"/>
      <c r="J160" s="524"/>
    </row>
    <row r="161" spans="2:10" ht="15.6" x14ac:dyDescent="0.3">
      <c r="B161" s="31" t="s">
        <v>845</v>
      </c>
      <c r="C161" s="130" t="s">
        <v>846</v>
      </c>
      <c r="D161" s="43" t="s">
        <v>190</v>
      </c>
      <c r="E161" s="126" t="s">
        <v>510</v>
      </c>
      <c r="F161" s="348">
        <v>1</v>
      </c>
      <c r="G161" s="126" t="s">
        <v>847</v>
      </c>
      <c r="H161" s="298">
        <v>45504</v>
      </c>
      <c r="I161" s="128" t="s">
        <v>778</v>
      </c>
      <c r="J161" s="494"/>
    </row>
    <row r="162" spans="2:10" ht="15.6" x14ac:dyDescent="0.3">
      <c r="B162" s="31" t="s">
        <v>845</v>
      </c>
      <c r="C162" s="130" t="s">
        <v>846</v>
      </c>
      <c r="D162" s="43" t="s">
        <v>190</v>
      </c>
      <c r="E162" s="126" t="s">
        <v>515</v>
      </c>
      <c r="F162" s="482">
        <v>1</v>
      </c>
      <c r="G162" s="126" t="s">
        <v>848</v>
      </c>
      <c r="H162" s="298">
        <v>45563</v>
      </c>
      <c r="I162" s="306" t="s">
        <v>797</v>
      </c>
      <c r="J162" s="494"/>
    </row>
    <row r="163" spans="2:10" ht="15.6" x14ac:dyDescent="0.3">
      <c r="B163" s="31"/>
      <c r="C163" s="130"/>
      <c r="D163" s="43"/>
      <c r="E163" s="126"/>
      <c r="F163" s="348"/>
      <c r="G163" s="126"/>
      <c r="H163" s="298"/>
      <c r="I163" s="128"/>
      <c r="J163" s="494"/>
    </row>
    <row r="164" spans="2:10" s="58" customFormat="1" ht="15.6" x14ac:dyDescent="0.3">
      <c r="B164" s="352"/>
      <c r="C164" s="353" t="s">
        <v>771</v>
      </c>
      <c r="D164" s="354" t="s">
        <v>190</v>
      </c>
      <c r="E164" s="355"/>
      <c r="F164" s="356">
        <f>SUM(F161:F163)</f>
        <v>2</v>
      </c>
      <c r="G164" s="357"/>
      <c r="H164" s="358"/>
      <c r="I164" s="359"/>
      <c r="J164" s="526"/>
    </row>
    <row r="165" spans="2:10" s="58" customFormat="1" ht="15.6" x14ac:dyDescent="0.3">
      <c r="B165" s="352"/>
      <c r="C165" s="353" t="s">
        <v>772</v>
      </c>
      <c r="D165" s="354" t="s">
        <v>190</v>
      </c>
      <c r="E165" s="355"/>
      <c r="F165" s="356">
        <v>2</v>
      </c>
      <c r="G165" s="357"/>
      <c r="H165" s="358"/>
      <c r="I165" s="359"/>
      <c r="J165" s="526"/>
    </row>
    <row r="166" spans="2:10" s="58" customFormat="1" ht="15.6" x14ac:dyDescent="0.3">
      <c r="B166" s="360"/>
      <c r="C166" s="361" t="s">
        <v>773</v>
      </c>
      <c r="D166" s="362" t="s">
        <v>190</v>
      </c>
      <c r="E166" s="363"/>
      <c r="F166" s="364">
        <f>F164-F165</f>
        <v>0</v>
      </c>
      <c r="G166" s="365"/>
      <c r="H166" s="366"/>
      <c r="I166" s="367"/>
      <c r="J166" s="527"/>
    </row>
    <row r="167" spans="2:10" ht="7.5" customHeight="1" x14ac:dyDescent="0.3">
      <c r="B167" s="338"/>
      <c r="C167" s="142"/>
      <c r="D167" s="143"/>
      <c r="E167" s="144"/>
      <c r="F167" s="345"/>
      <c r="G167" s="144"/>
      <c r="H167" s="144"/>
      <c r="I167" s="515"/>
      <c r="J167" s="524"/>
    </row>
    <row r="168" spans="2:10" ht="15.6" x14ac:dyDescent="0.3">
      <c r="B168" s="31" t="s">
        <v>849</v>
      </c>
      <c r="C168" s="130" t="s">
        <v>850</v>
      </c>
      <c r="D168" s="43" t="s">
        <v>190</v>
      </c>
      <c r="E168" s="126" t="s">
        <v>510</v>
      </c>
      <c r="F168" s="348">
        <v>1</v>
      </c>
      <c r="G168" s="126" t="s">
        <v>851</v>
      </c>
      <c r="H168" s="298">
        <v>45458</v>
      </c>
      <c r="I168" s="128" t="s">
        <v>767</v>
      </c>
      <c r="J168" s="494"/>
    </row>
    <row r="169" spans="2:10" ht="15.6" x14ac:dyDescent="0.3">
      <c r="B169" s="31" t="s">
        <v>849</v>
      </c>
      <c r="C169" s="130" t="s">
        <v>850</v>
      </c>
      <c r="D169" s="43" t="s">
        <v>190</v>
      </c>
      <c r="E169" s="126" t="s">
        <v>515</v>
      </c>
      <c r="F169" s="348">
        <v>0.5</v>
      </c>
      <c r="G169" s="248" t="s">
        <v>852</v>
      </c>
      <c r="H169" s="300">
        <v>45460</v>
      </c>
      <c r="I169" s="306" t="s">
        <v>767</v>
      </c>
      <c r="J169" s="494"/>
    </row>
    <row r="170" spans="2:10" ht="15.6" x14ac:dyDescent="0.3">
      <c r="B170" s="31" t="s">
        <v>849</v>
      </c>
      <c r="C170" s="130" t="s">
        <v>850</v>
      </c>
      <c r="D170" s="43" t="s">
        <v>190</v>
      </c>
      <c r="E170" s="126" t="s">
        <v>515</v>
      </c>
      <c r="F170" s="348">
        <v>0.5</v>
      </c>
      <c r="G170" s="248" t="s">
        <v>853</v>
      </c>
      <c r="H170" s="300">
        <v>45462</v>
      </c>
      <c r="I170" s="306" t="s">
        <v>767</v>
      </c>
      <c r="J170" s="494"/>
    </row>
    <row r="171" spans="2:10" ht="15.6" x14ac:dyDescent="0.3">
      <c r="B171" s="31"/>
      <c r="C171" s="130"/>
      <c r="D171" s="43"/>
      <c r="E171" s="126"/>
      <c r="F171" s="348"/>
      <c r="G171" s="248"/>
      <c r="H171" s="300"/>
      <c r="I171" s="306"/>
      <c r="J171" s="494"/>
    </row>
    <row r="172" spans="2:10" s="58" customFormat="1" ht="15.6" x14ac:dyDescent="0.3">
      <c r="B172" s="352"/>
      <c r="C172" s="353" t="s">
        <v>771</v>
      </c>
      <c r="D172" s="354" t="s">
        <v>190</v>
      </c>
      <c r="E172" s="355"/>
      <c r="F172" s="356">
        <f>SUM(F168:F171)</f>
        <v>2</v>
      </c>
      <c r="G172" s="357"/>
      <c r="H172" s="358"/>
      <c r="I172" s="359"/>
      <c r="J172" s="526"/>
    </row>
    <row r="173" spans="2:10" s="58" customFormat="1" ht="15.6" x14ac:dyDescent="0.3">
      <c r="B173" s="352"/>
      <c r="C173" s="353" t="s">
        <v>772</v>
      </c>
      <c r="D173" s="354" t="s">
        <v>190</v>
      </c>
      <c r="E173" s="355"/>
      <c r="F173" s="356">
        <v>2</v>
      </c>
      <c r="G173" s="357"/>
      <c r="H173" s="358"/>
      <c r="I173" s="359"/>
      <c r="J173" s="526"/>
    </row>
    <row r="174" spans="2:10" s="58" customFormat="1" ht="15.6" x14ac:dyDescent="0.3">
      <c r="B174" s="360"/>
      <c r="C174" s="361" t="s">
        <v>773</v>
      </c>
      <c r="D174" s="362" t="s">
        <v>190</v>
      </c>
      <c r="E174" s="363"/>
      <c r="F174" s="364">
        <f>F172-F173</f>
        <v>0</v>
      </c>
      <c r="G174" s="365"/>
      <c r="H174" s="366"/>
      <c r="I174" s="367"/>
      <c r="J174" s="527"/>
    </row>
    <row r="175" spans="2:10" ht="7.5" customHeight="1" x14ac:dyDescent="0.3">
      <c r="B175" s="338"/>
      <c r="C175" s="142"/>
      <c r="D175" s="143"/>
      <c r="E175" s="144"/>
      <c r="F175" s="345"/>
      <c r="G175" s="144"/>
      <c r="H175" s="144"/>
      <c r="I175" s="515"/>
      <c r="J175" s="524"/>
    </row>
    <row r="176" spans="2:10" ht="15.6" x14ac:dyDescent="0.3">
      <c r="B176" s="31" t="s">
        <v>854</v>
      </c>
      <c r="C176" s="130" t="s">
        <v>855</v>
      </c>
      <c r="D176" s="43" t="s">
        <v>190</v>
      </c>
      <c r="E176" s="126" t="s">
        <v>510</v>
      </c>
      <c r="F176" s="348">
        <v>0.5</v>
      </c>
      <c r="G176" s="248" t="s">
        <v>856</v>
      </c>
      <c r="H176" s="300">
        <v>45457</v>
      </c>
      <c r="I176" s="306" t="s">
        <v>767</v>
      </c>
      <c r="J176" s="494"/>
    </row>
    <row r="177" spans="2:10" ht="15.6" x14ac:dyDescent="0.3">
      <c r="B177" s="31" t="s">
        <v>854</v>
      </c>
      <c r="C177" s="130" t="s">
        <v>855</v>
      </c>
      <c r="D177" s="43" t="s">
        <v>190</v>
      </c>
      <c r="E177" s="126" t="s">
        <v>515</v>
      </c>
      <c r="F177" s="348">
        <v>1</v>
      </c>
      <c r="G177" s="126" t="s">
        <v>857</v>
      </c>
      <c r="H177" s="298">
        <v>45457</v>
      </c>
      <c r="I177" s="128" t="s">
        <v>767</v>
      </c>
      <c r="J177" s="494"/>
    </row>
    <row r="178" spans="2:10" ht="15.6" x14ac:dyDescent="0.3">
      <c r="B178" s="31" t="s">
        <v>854</v>
      </c>
      <c r="C178" s="130" t="s">
        <v>855</v>
      </c>
      <c r="D178" s="43" t="s">
        <v>190</v>
      </c>
      <c r="E178" s="126" t="s">
        <v>510</v>
      </c>
      <c r="F178" s="348">
        <v>0.5</v>
      </c>
      <c r="G178" s="248" t="s">
        <v>858</v>
      </c>
      <c r="H178" s="300">
        <v>45460</v>
      </c>
      <c r="I178" s="306" t="s">
        <v>767</v>
      </c>
      <c r="J178" s="494"/>
    </row>
    <row r="179" spans="2:10" ht="15.6" x14ac:dyDescent="0.3">
      <c r="B179" s="31"/>
      <c r="C179" s="130"/>
      <c r="D179" s="43"/>
      <c r="E179" s="126"/>
      <c r="F179" s="348"/>
      <c r="G179" s="126"/>
      <c r="H179" s="298"/>
      <c r="I179" s="128"/>
      <c r="J179" s="494"/>
    </row>
    <row r="180" spans="2:10" s="58" customFormat="1" ht="15.6" x14ac:dyDescent="0.3">
      <c r="B180" s="352"/>
      <c r="C180" s="353" t="s">
        <v>771</v>
      </c>
      <c r="D180" s="354" t="s">
        <v>190</v>
      </c>
      <c r="E180" s="355"/>
      <c r="F180" s="356">
        <f>SUM(F176:F179)</f>
        <v>2</v>
      </c>
      <c r="G180" s="357"/>
      <c r="H180" s="358"/>
      <c r="I180" s="359"/>
      <c r="J180" s="526"/>
    </row>
    <row r="181" spans="2:10" s="58" customFormat="1" ht="15.6" x14ac:dyDescent="0.3">
      <c r="B181" s="352"/>
      <c r="C181" s="353" t="s">
        <v>772</v>
      </c>
      <c r="D181" s="354" t="s">
        <v>190</v>
      </c>
      <c r="E181" s="355"/>
      <c r="F181" s="356">
        <v>2</v>
      </c>
      <c r="G181" s="357"/>
      <c r="H181" s="358"/>
      <c r="I181" s="359"/>
      <c r="J181" s="526"/>
    </row>
    <row r="182" spans="2:10" s="58" customFormat="1" ht="15.6" x14ac:dyDescent="0.3">
      <c r="B182" s="360"/>
      <c r="C182" s="361" t="s">
        <v>773</v>
      </c>
      <c r="D182" s="362" t="s">
        <v>190</v>
      </c>
      <c r="E182" s="363"/>
      <c r="F182" s="364">
        <f>F180-F181</f>
        <v>0</v>
      </c>
      <c r="G182" s="365"/>
      <c r="H182" s="366"/>
      <c r="I182" s="367"/>
      <c r="J182" s="527"/>
    </row>
    <row r="183" spans="2:10" ht="7.5" customHeight="1" x14ac:dyDescent="0.3">
      <c r="B183" s="338"/>
      <c r="C183" s="142"/>
      <c r="D183" s="143"/>
      <c r="E183" s="144"/>
      <c r="F183" s="345"/>
      <c r="G183" s="144"/>
      <c r="H183" s="144"/>
      <c r="I183" s="515"/>
      <c r="J183" s="524"/>
    </row>
    <row r="184" spans="2:10" ht="15.6" x14ac:dyDescent="0.3">
      <c r="B184" s="31" t="s">
        <v>859</v>
      </c>
      <c r="C184" s="130" t="s">
        <v>860</v>
      </c>
      <c r="D184" s="43" t="s">
        <v>190</v>
      </c>
      <c r="E184" s="126" t="s">
        <v>510</v>
      </c>
      <c r="F184" s="348">
        <v>1</v>
      </c>
      <c r="G184" s="126" t="s">
        <v>861</v>
      </c>
      <c r="H184" s="298">
        <v>45456</v>
      </c>
      <c r="I184" s="128" t="s">
        <v>767</v>
      </c>
      <c r="J184" s="494"/>
    </row>
    <row r="185" spans="2:10" ht="15.6" x14ac:dyDescent="0.3">
      <c r="B185" s="31"/>
      <c r="C185" s="130"/>
      <c r="D185" s="43"/>
      <c r="E185" s="126"/>
      <c r="F185" s="348"/>
      <c r="G185" s="126"/>
      <c r="H185" s="298"/>
      <c r="I185" s="128"/>
      <c r="J185" s="494"/>
    </row>
    <row r="186" spans="2:10" s="58" customFormat="1" ht="15.6" x14ac:dyDescent="0.3">
      <c r="B186" s="352"/>
      <c r="C186" s="353" t="s">
        <v>771</v>
      </c>
      <c r="D186" s="354" t="s">
        <v>190</v>
      </c>
      <c r="E186" s="355"/>
      <c r="F186" s="356">
        <f>SUM(F184:F185)</f>
        <v>1</v>
      </c>
      <c r="G186" s="357"/>
      <c r="H186" s="358"/>
      <c r="I186" s="359"/>
      <c r="J186" s="526"/>
    </row>
    <row r="187" spans="2:10" s="58" customFormat="1" ht="15.6" x14ac:dyDescent="0.3">
      <c r="B187" s="352"/>
      <c r="C187" s="353" t="s">
        <v>772</v>
      </c>
      <c r="D187" s="354" t="s">
        <v>190</v>
      </c>
      <c r="E187" s="355"/>
      <c r="F187" s="356">
        <v>1</v>
      </c>
      <c r="G187" s="357"/>
      <c r="H187" s="358"/>
      <c r="I187" s="359"/>
      <c r="J187" s="526"/>
    </row>
    <row r="188" spans="2:10" s="58" customFormat="1" ht="15.6" x14ac:dyDescent="0.3">
      <c r="B188" s="360"/>
      <c r="C188" s="361" t="s">
        <v>773</v>
      </c>
      <c r="D188" s="362" t="s">
        <v>190</v>
      </c>
      <c r="E188" s="363"/>
      <c r="F188" s="364">
        <f>F186-F187</f>
        <v>0</v>
      </c>
      <c r="G188" s="365"/>
      <c r="H188" s="366"/>
      <c r="I188" s="367"/>
      <c r="J188" s="527"/>
    </row>
    <row r="189" spans="2:10" ht="7.5" customHeight="1" x14ac:dyDescent="0.3">
      <c r="B189" s="338"/>
      <c r="C189" s="142"/>
      <c r="D189" s="143"/>
      <c r="E189" s="144"/>
      <c r="F189" s="345"/>
      <c r="G189" s="144"/>
      <c r="H189" s="144"/>
      <c r="I189" s="515"/>
      <c r="J189" s="524"/>
    </row>
    <row r="190" spans="2:10" ht="15.6" x14ac:dyDescent="0.3">
      <c r="B190" s="31" t="s">
        <v>862</v>
      </c>
      <c r="C190" s="130" t="s">
        <v>863</v>
      </c>
      <c r="D190" s="43" t="s">
        <v>190</v>
      </c>
      <c r="E190" s="126" t="s">
        <v>510</v>
      </c>
      <c r="F190" s="348">
        <v>1</v>
      </c>
      <c r="G190" s="126" t="s">
        <v>864</v>
      </c>
      <c r="H190" s="298">
        <v>45504</v>
      </c>
      <c r="I190" s="128" t="s">
        <v>778</v>
      </c>
      <c r="J190" s="494"/>
    </row>
    <row r="191" spans="2:10" ht="15.6" x14ac:dyDescent="0.3">
      <c r="B191" s="31" t="s">
        <v>862</v>
      </c>
      <c r="C191" s="130" t="s">
        <v>863</v>
      </c>
      <c r="D191" s="43" t="s">
        <v>190</v>
      </c>
      <c r="E191" s="126" t="s">
        <v>515</v>
      </c>
      <c r="F191" s="482">
        <v>1</v>
      </c>
      <c r="G191" s="126" t="s">
        <v>865</v>
      </c>
      <c r="H191" s="298">
        <v>45564</v>
      </c>
      <c r="I191" s="128" t="s">
        <v>797</v>
      </c>
      <c r="J191" s="494"/>
    </row>
    <row r="192" spans="2:10" ht="15.6" x14ac:dyDescent="0.3">
      <c r="B192" s="31"/>
      <c r="C192" s="130"/>
      <c r="D192" s="43"/>
      <c r="E192" s="126"/>
      <c r="F192" s="348"/>
      <c r="G192" s="126"/>
      <c r="H192" s="298"/>
      <c r="I192" s="128"/>
      <c r="J192" s="494"/>
    </row>
    <row r="193" spans="2:10" s="58" customFormat="1" ht="15.6" x14ac:dyDescent="0.3">
      <c r="B193" s="352"/>
      <c r="C193" s="353" t="s">
        <v>771</v>
      </c>
      <c r="D193" s="354" t="s">
        <v>190</v>
      </c>
      <c r="E193" s="355"/>
      <c r="F193" s="356">
        <f>SUM(F190:F192)</f>
        <v>2</v>
      </c>
      <c r="G193" s="357"/>
      <c r="H193" s="358"/>
      <c r="I193" s="359"/>
      <c r="J193" s="526"/>
    </row>
    <row r="194" spans="2:10" s="58" customFormat="1" ht="15.6" x14ac:dyDescent="0.3">
      <c r="B194" s="352"/>
      <c r="C194" s="353" t="s">
        <v>772</v>
      </c>
      <c r="D194" s="354" t="s">
        <v>190</v>
      </c>
      <c r="E194" s="355"/>
      <c r="F194" s="356">
        <v>2</v>
      </c>
      <c r="G194" s="357"/>
      <c r="H194" s="358"/>
      <c r="I194" s="359"/>
      <c r="J194" s="526"/>
    </row>
    <row r="195" spans="2:10" s="58" customFormat="1" ht="15.6" x14ac:dyDescent="0.3">
      <c r="B195" s="360"/>
      <c r="C195" s="361" t="s">
        <v>773</v>
      </c>
      <c r="D195" s="362" t="s">
        <v>190</v>
      </c>
      <c r="E195" s="363"/>
      <c r="F195" s="364">
        <f>F193-F194</f>
        <v>0</v>
      </c>
      <c r="G195" s="365"/>
      <c r="H195" s="366"/>
      <c r="I195" s="367"/>
      <c r="J195" s="527"/>
    </row>
    <row r="196" spans="2:10" ht="7.5" customHeight="1" x14ac:dyDescent="0.3">
      <c r="B196" s="338"/>
      <c r="C196" s="142"/>
      <c r="D196" s="143"/>
      <c r="E196" s="144"/>
      <c r="F196" s="345"/>
      <c r="G196" s="144"/>
      <c r="H196" s="144"/>
      <c r="I196" s="515"/>
      <c r="J196" s="524"/>
    </row>
    <row r="197" spans="2:10" ht="15.6" x14ac:dyDescent="0.3">
      <c r="B197" s="31" t="s">
        <v>866</v>
      </c>
      <c r="C197" s="130" t="s">
        <v>867</v>
      </c>
      <c r="D197" s="43" t="s">
        <v>190</v>
      </c>
      <c r="E197" s="126" t="s">
        <v>510</v>
      </c>
      <c r="F197" s="482">
        <v>1</v>
      </c>
      <c r="G197" s="126" t="s">
        <v>868</v>
      </c>
      <c r="H197" s="298">
        <v>45526</v>
      </c>
      <c r="I197" s="128" t="s">
        <v>795</v>
      </c>
      <c r="J197" s="494"/>
    </row>
    <row r="198" spans="2:10" ht="15.6" x14ac:dyDescent="0.3">
      <c r="B198" s="31" t="s">
        <v>866</v>
      </c>
      <c r="C198" s="130" t="s">
        <v>867</v>
      </c>
      <c r="D198" s="43" t="s">
        <v>190</v>
      </c>
      <c r="E198" s="126" t="s">
        <v>515</v>
      </c>
      <c r="F198" s="482">
        <v>0.5</v>
      </c>
      <c r="G198" s="126" t="s">
        <v>869</v>
      </c>
      <c r="H198" s="298">
        <v>45531</v>
      </c>
      <c r="I198" s="128" t="s">
        <v>795</v>
      </c>
      <c r="J198" s="494"/>
    </row>
    <row r="199" spans="2:10" ht="15.6" x14ac:dyDescent="0.3">
      <c r="B199" s="31" t="s">
        <v>866</v>
      </c>
      <c r="C199" s="130" t="s">
        <v>867</v>
      </c>
      <c r="D199" s="43" t="s">
        <v>190</v>
      </c>
      <c r="E199" s="126" t="s">
        <v>515</v>
      </c>
      <c r="F199" s="482">
        <v>0.5</v>
      </c>
      <c r="G199" s="126" t="s">
        <v>870</v>
      </c>
      <c r="H199" s="298">
        <v>45590</v>
      </c>
      <c r="I199" s="128" t="s">
        <v>871</v>
      </c>
      <c r="J199" s="494"/>
    </row>
    <row r="200" spans="2:10" ht="15.6" x14ac:dyDescent="0.3">
      <c r="B200" s="31"/>
      <c r="C200" s="130"/>
      <c r="D200" s="43"/>
      <c r="E200" s="126"/>
      <c r="F200" s="348"/>
      <c r="G200" s="126"/>
      <c r="H200" s="298"/>
      <c r="I200" s="128"/>
      <c r="J200" s="494"/>
    </row>
    <row r="201" spans="2:10" s="58" customFormat="1" ht="15.6" x14ac:dyDescent="0.3">
      <c r="B201" s="352"/>
      <c r="C201" s="353" t="s">
        <v>771</v>
      </c>
      <c r="D201" s="354" t="s">
        <v>190</v>
      </c>
      <c r="E201" s="355"/>
      <c r="F201" s="356">
        <f>SUM(F197:F200)</f>
        <v>2</v>
      </c>
      <c r="G201" s="357"/>
      <c r="H201" s="358"/>
      <c r="I201" s="359"/>
      <c r="J201" s="526"/>
    </row>
    <row r="202" spans="2:10" s="58" customFormat="1" ht="15.6" x14ac:dyDescent="0.3">
      <c r="B202" s="352"/>
      <c r="C202" s="353" t="s">
        <v>772</v>
      </c>
      <c r="D202" s="354" t="s">
        <v>190</v>
      </c>
      <c r="E202" s="355"/>
      <c r="F202" s="356">
        <v>2</v>
      </c>
      <c r="G202" s="357"/>
      <c r="H202" s="358"/>
      <c r="I202" s="359"/>
      <c r="J202" s="526"/>
    </row>
    <row r="203" spans="2:10" s="58" customFormat="1" ht="15.6" x14ac:dyDescent="0.3">
      <c r="B203" s="360"/>
      <c r="C203" s="361" t="s">
        <v>773</v>
      </c>
      <c r="D203" s="362" t="s">
        <v>190</v>
      </c>
      <c r="E203" s="363"/>
      <c r="F203" s="364">
        <f>F201-F202</f>
        <v>0</v>
      </c>
      <c r="G203" s="365"/>
      <c r="H203" s="366"/>
      <c r="I203" s="367"/>
      <c r="J203" s="527"/>
    </row>
    <row r="204" spans="2:10" ht="7.5" customHeight="1" x14ac:dyDescent="0.3">
      <c r="B204" s="338"/>
      <c r="C204" s="142"/>
      <c r="D204" s="143"/>
      <c r="E204" s="144"/>
      <c r="F204" s="345"/>
      <c r="G204" s="144"/>
      <c r="H204" s="144"/>
      <c r="I204" s="515"/>
      <c r="J204" s="524"/>
    </row>
    <row r="205" spans="2:10" ht="15.6" x14ac:dyDescent="0.3">
      <c r="B205" s="31" t="s">
        <v>872</v>
      </c>
      <c r="C205" s="130" t="s">
        <v>873</v>
      </c>
      <c r="D205" s="43" t="s">
        <v>190</v>
      </c>
      <c r="E205" s="126" t="s">
        <v>510</v>
      </c>
      <c r="F205" s="348">
        <v>1</v>
      </c>
      <c r="G205" s="126" t="s">
        <v>874</v>
      </c>
      <c r="H205" s="298">
        <v>45460</v>
      </c>
      <c r="I205" s="128" t="s">
        <v>767</v>
      </c>
      <c r="J205" s="494"/>
    </row>
    <row r="206" spans="2:10" ht="15.6" x14ac:dyDescent="0.3">
      <c r="B206" s="31" t="s">
        <v>872</v>
      </c>
      <c r="C206" s="130" t="s">
        <v>873</v>
      </c>
      <c r="D206" s="43" t="s">
        <v>190</v>
      </c>
      <c r="E206" s="126" t="s">
        <v>515</v>
      </c>
      <c r="F206" s="348">
        <v>1</v>
      </c>
      <c r="G206" s="126" t="s">
        <v>875</v>
      </c>
      <c r="H206" s="298">
        <v>45460</v>
      </c>
      <c r="I206" s="128" t="s">
        <v>767</v>
      </c>
      <c r="J206" s="494"/>
    </row>
    <row r="207" spans="2:10" ht="15.6" x14ac:dyDescent="0.3">
      <c r="B207" s="31"/>
      <c r="C207" s="130"/>
      <c r="D207" s="43"/>
      <c r="E207" s="126"/>
      <c r="F207" s="348"/>
      <c r="G207" s="126"/>
      <c r="H207" s="298"/>
      <c r="I207" s="128"/>
      <c r="J207" s="494"/>
    </row>
    <row r="208" spans="2:10" s="58" customFormat="1" ht="15.6" x14ac:dyDescent="0.3">
      <c r="B208" s="352"/>
      <c r="C208" s="353" t="s">
        <v>771</v>
      </c>
      <c r="D208" s="354" t="s">
        <v>190</v>
      </c>
      <c r="E208" s="355"/>
      <c r="F208" s="356">
        <f>SUM(F205:F207)</f>
        <v>2</v>
      </c>
      <c r="G208" s="357"/>
      <c r="H208" s="358"/>
      <c r="I208" s="359"/>
      <c r="J208" s="526"/>
    </row>
    <row r="209" spans="2:10" s="58" customFormat="1" ht="15.6" x14ac:dyDescent="0.3">
      <c r="B209" s="352"/>
      <c r="C209" s="353" t="s">
        <v>772</v>
      </c>
      <c r="D209" s="354" t="s">
        <v>190</v>
      </c>
      <c r="E209" s="355"/>
      <c r="F209" s="356">
        <v>2</v>
      </c>
      <c r="G209" s="357"/>
      <c r="H209" s="358"/>
      <c r="I209" s="359"/>
      <c r="J209" s="526"/>
    </row>
    <row r="210" spans="2:10" s="58" customFormat="1" ht="15.6" x14ac:dyDescent="0.3">
      <c r="B210" s="360"/>
      <c r="C210" s="361" t="s">
        <v>773</v>
      </c>
      <c r="D210" s="362" t="s">
        <v>190</v>
      </c>
      <c r="E210" s="363"/>
      <c r="F210" s="364">
        <f>F208-F209</f>
        <v>0</v>
      </c>
      <c r="G210" s="365"/>
      <c r="H210" s="366"/>
      <c r="I210" s="367"/>
      <c r="J210" s="527"/>
    </row>
    <row r="211" spans="2:10" ht="7.5" customHeight="1" x14ac:dyDescent="0.3">
      <c r="B211" s="338"/>
      <c r="C211" s="142"/>
      <c r="D211" s="143"/>
      <c r="E211" s="144"/>
      <c r="F211" s="345"/>
      <c r="G211" s="144"/>
      <c r="H211" s="144"/>
      <c r="I211" s="515"/>
      <c r="J211" s="524"/>
    </row>
    <row r="212" spans="2:10" ht="15.6" x14ac:dyDescent="0.3">
      <c r="B212" s="31" t="s">
        <v>876</v>
      </c>
      <c r="C212" s="130" t="s">
        <v>877</v>
      </c>
      <c r="D212" s="43" t="s">
        <v>190</v>
      </c>
      <c r="E212" s="126" t="s">
        <v>510</v>
      </c>
      <c r="F212" s="348">
        <v>1</v>
      </c>
      <c r="G212" s="126" t="s">
        <v>878</v>
      </c>
      <c r="H212" s="298">
        <v>45465</v>
      </c>
      <c r="I212" s="128" t="s">
        <v>767</v>
      </c>
      <c r="J212" s="494"/>
    </row>
    <row r="213" spans="2:10" ht="15.6" x14ac:dyDescent="0.3">
      <c r="B213" s="31"/>
      <c r="C213" s="130"/>
      <c r="D213" s="43"/>
      <c r="E213" s="126"/>
      <c r="F213" s="348"/>
      <c r="G213" s="126"/>
      <c r="H213" s="298"/>
      <c r="I213" s="128"/>
      <c r="J213" s="494"/>
    </row>
    <row r="214" spans="2:10" s="58" customFormat="1" ht="15.6" x14ac:dyDescent="0.3">
      <c r="B214" s="352"/>
      <c r="C214" s="353" t="s">
        <v>771</v>
      </c>
      <c r="D214" s="354" t="s">
        <v>190</v>
      </c>
      <c r="E214" s="355"/>
      <c r="F214" s="356">
        <f>SUM(F212:F213)</f>
        <v>1</v>
      </c>
      <c r="G214" s="357"/>
      <c r="H214" s="358"/>
      <c r="I214" s="359"/>
      <c r="J214" s="526"/>
    </row>
    <row r="215" spans="2:10" s="58" customFormat="1" ht="15.6" x14ac:dyDescent="0.3">
      <c r="B215" s="352"/>
      <c r="C215" s="353" t="s">
        <v>772</v>
      </c>
      <c r="D215" s="354" t="s">
        <v>190</v>
      </c>
      <c r="E215" s="355"/>
      <c r="F215" s="356">
        <v>1</v>
      </c>
      <c r="G215" s="357"/>
      <c r="H215" s="358"/>
      <c r="I215" s="359"/>
      <c r="J215" s="526"/>
    </row>
    <row r="216" spans="2:10" s="58" customFormat="1" ht="15.6" x14ac:dyDescent="0.3">
      <c r="B216" s="360"/>
      <c r="C216" s="361" t="s">
        <v>773</v>
      </c>
      <c r="D216" s="362" t="s">
        <v>190</v>
      </c>
      <c r="E216" s="363"/>
      <c r="F216" s="364">
        <f>F214-F215</f>
        <v>0</v>
      </c>
      <c r="G216" s="365"/>
      <c r="H216" s="366"/>
      <c r="I216" s="367"/>
      <c r="J216" s="527"/>
    </row>
    <row r="217" spans="2:10" ht="7.5" customHeight="1" x14ac:dyDescent="0.3">
      <c r="B217" s="338"/>
      <c r="C217" s="142"/>
      <c r="D217" s="143"/>
      <c r="E217" s="144"/>
      <c r="F217" s="345"/>
      <c r="G217" s="144"/>
      <c r="H217" s="144"/>
      <c r="I217" s="515"/>
      <c r="J217" s="524"/>
    </row>
    <row r="218" spans="2:10" ht="15.6" x14ac:dyDescent="0.3">
      <c r="B218" s="31" t="s">
        <v>879</v>
      </c>
      <c r="C218" s="130" t="s">
        <v>880</v>
      </c>
      <c r="D218" s="43" t="s">
        <v>190</v>
      </c>
      <c r="E218" s="126" t="s">
        <v>510</v>
      </c>
      <c r="F218" s="348">
        <v>1</v>
      </c>
      <c r="G218" s="126" t="s">
        <v>881</v>
      </c>
      <c r="H218" s="298">
        <v>45504</v>
      </c>
      <c r="I218" s="128" t="s">
        <v>778</v>
      </c>
      <c r="J218" s="494"/>
    </row>
    <row r="219" spans="2:10" ht="15.6" x14ac:dyDescent="0.3">
      <c r="B219" s="31" t="s">
        <v>879</v>
      </c>
      <c r="C219" s="130" t="s">
        <v>880</v>
      </c>
      <c r="D219" s="43" t="s">
        <v>190</v>
      </c>
      <c r="E219" s="126" t="s">
        <v>515</v>
      </c>
      <c r="F219" s="482">
        <v>1</v>
      </c>
      <c r="G219" s="126" t="s">
        <v>882</v>
      </c>
      <c r="H219" s="298">
        <v>45564</v>
      </c>
      <c r="I219" s="128" t="s">
        <v>797</v>
      </c>
      <c r="J219" s="494"/>
    </row>
    <row r="220" spans="2:10" ht="15.6" x14ac:dyDescent="0.3">
      <c r="B220" s="31"/>
      <c r="C220" s="130"/>
      <c r="D220" s="43"/>
      <c r="E220" s="126"/>
      <c r="F220" s="348"/>
      <c r="G220" s="126"/>
      <c r="H220" s="298"/>
      <c r="I220" s="128"/>
      <c r="J220" s="494"/>
    </row>
    <row r="221" spans="2:10" s="58" customFormat="1" ht="15.6" x14ac:dyDescent="0.3">
      <c r="B221" s="352"/>
      <c r="C221" s="353" t="s">
        <v>771</v>
      </c>
      <c r="D221" s="354" t="s">
        <v>190</v>
      </c>
      <c r="E221" s="355"/>
      <c r="F221" s="356">
        <f>SUM(F218:F220)</f>
        <v>2</v>
      </c>
      <c r="G221" s="357"/>
      <c r="H221" s="358"/>
      <c r="I221" s="359"/>
      <c r="J221" s="526"/>
    </row>
    <row r="222" spans="2:10" s="58" customFormat="1" ht="15.6" x14ac:dyDescent="0.3">
      <c r="B222" s="352"/>
      <c r="C222" s="353" t="s">
        <v>772</v>
      </c>
      <c r="D222" s="354" t="s">
        <v>190</v>
      </c>
      <c r="E222" s="355"/>
      <c r="F222" s="356">
        <v>2</v>
      </c>
      <c r="G222" s="357"/>
      <c r="H222" s="358"/>
      <c r="I222" s="359"/>
      <c r="J222" s="526"/>
    </row>
    <row r="223" spans="2:10" s="58" customFormat="1" ht="15.6" x14ac:dyDescent="0.3">
      <c r="B223" s="360"/>
      <c r="C223" s="361" t="s">
        <v>773</v>
      </c>
      <c r="D223" s="362" t="s">
        <v>190</v>
      </c>
      <c r="E223" s="363"/>
      <c r="F223" s="364">
        <f>F221-F222</f>
        <v>0</v>
      </c>
      <c r="G223" s="365"/>
      <c r="H223" s="366"/>
      <c r="I223" s="367"/>
      <c r="J223" s="527"/>
    </row>
    <row r="224" spans="2:10" ht="7.5" customHeight="1" x14ac:dyDescent="0.3">
      <c r="B224" s="338"/>
      <c r="C224" s="142"/>
      <c r="D224" s="143"/>
      <c r="E224" s="144"/>
      <c r="F224" s="345"/>
      <c r="G224" s="144"/>
      <c r="H224" s="144"/>
      <c r="I224" s="515"/>
      <c r="J224" s="524"/>
    </row>
    <row r="225" spans="2:10" ht="15.6" x14ac:dyDescent="0.3">
      <c r="B225" s="31" t="s">
        <v>883</v>
      </c>
      <c r="C225" s="130" t="s">
        <v>884</v>
      </c>
      <c r="D225" s="43" t="s">
        <v>190</v>
      </c>
      <c r="E225" s="126" t="s">
        <v>510</v>
      </c>
      <c r="F225" s="482">
        <v>1</v>
      </c>
      <c r="G225" s="126" t="s">
        <v>885</v>
      </c>
      <c r="H225" s="298">
        <v>45526</v>
      </c>
      <c r="I225" s="128" t="s">
        <v>795</v>
      </c>
      <c r="J225" s="494"/>
    </row>
    <row r="226" spans="2:10" ht="15.6" x14ac:dyDescent="0.3">
      <c r="B226" s="31" t="s">
        <v>883</v>
      </c>
      <c r="C226" s="130" t="s">
        <v>884</v>
      </c>
      <c r="D226" s="43" t="s">
        <v>190</v>
      </c>
      <c r="E226" s="126" t="s">
        <v>515</v>
      </c>
      <c r="F226" s="482">
        <v>1</v>
      </c>
      <c r="G226" s="126" t="s">
        <v>886</v>
      </c>
      <c r="H226" s="298">
        <v>45562</v>
      </c>
      <c r="I226" s="128" t="s">
        <v>797</v>
      </c>
      <c r="J226" s="494"/>
    </row>
    <row r="227" spans="2:10" ht="15.6" x14ac:dyDescent="0.3">
      <c r="B227" s="31"/>
      <c r="C227" s="130"/>
      <c r="D227" s="43"/>
      <c r="E227" s="126"/>
      <c r="F227" s="348"/>
      <c r="G227" s="126"/>
      <c r="H227" s="298"/>
      <c r="I227" s="128"/>
      <c r="J227" s="494"/>
    </row>
    <row r="228" spans="2:10" s="58" customFormat="1" ht="15.6" x14ac:dyDescent="0.3">
      <c r="B228" s="352"/>
      <c r="C228" s="353" t="s">
        <v>771</v>
      </c>
      <c r="D228" s="354" t="s">
        <v>190</v>
      </c>
      <c r="E228" s="355"/>
      <c r="F228" s="356">
        <f>SUM(F225:F227)</f>
        <v>2</v>
      </c>
      <c r="G228" s="357"/>
      <c r="H228" s="358"/>
      <c r="I228" s="359"/>
      <c r="J228" s="526"/>
    </row>
    <row r="229" spans="2:10" s="58" customFormat="1" ht="15.6" x14ac:dyDescent="0.3">
      <c r="B229" s="352"/>
      <c r="C229" s="353" t="s">
        <v>772</v>
      </c>
      <c r="D229" s="354" t="s">
        <v>190</v>
      </c>
      <c r="E229" s="355"/>
      <c r="F229" s="356">
        <v>2</v>
      </c>
      <c r="G229" s="357"/>
      <c r="H229" s="358"/>
      <c r="I229" s="359"/>
      <c r="J229" s="526"/>
    </row>
    <row r="230" spans="2:10" s="58" customFormat="1" ht="15.6" x14ac:dyDescent="0.3">
      <c r="B230" s="360"/>
      <c r="C230" s="361" t="s">
        <v>773</v>
      </c>
      <c r="D230" s="362" t="s">
        <v>190</v>
      </c>
      <c r="E230" s="363"/>
      <c r="F230" s="364">
        <f>F228-F229</f>
        <v>0</v>
      </c>
      <c r="G230" s="365"/>
      <c r="H230" s="366"/>
      <c r="I230" s="367"/>
      <c r="J230" s="527"/>
    </row>
    <row r="231" spans="2:10" ht="7.5" customHeight="1" x14ac:dyDescent="0.3">
      <c r="B231" s="338"/>
      <c r="C231" s="142"/>
      <c r="D231" s="143"/>
      <c r="E231" s="144"/>
      <c r="F231" s="345"/>
      <c r="G231" s="144"/>
      <c r="H231" s="144"/>
      <c r="I231" s="515"/>
      <c r="J231" s="524"/>
    </row>
    <row r="232" spans="2:10" ht="15.6" x14ac:dyDescent="0.3">
      <c r="B232" s="31" t="s">
        <v>887</v>
      </c>
      <c r="C232" s="130" t="s">
        <v>888</v>
      </c>
      <c r="D232" s="43" t="s">
        <v>190</v>
      </c>
      <c r="E232" s="126" t="s">
        <v>510</v>
      </c>
      <c r="F232" s="482">
        <v>1</v>
      </c>
      <c r="G232" s="126" t="s">
        <v>889</v>
      </c>
      <c r="H232" s="298">
        <v>45533</v>
      </c>
      <c r="I232" s="128" t="s">
        <v>795</v>
      </c>
      <c r="J232" s="494"/>
    </row>
    <row r="233" spans="2:10" ht="15.6" x14ac:dyDescent="0.3">
      <c r="B233" s="31" t="s">
        <v>887</v>
      </c>
      <c r="C233" s="130" t="s">
        <v>888</v>
      </c>
      <c r="D233" s="43" t="s">
        <v>190</v>
      </c>
      <c r="E233" s="126" t="s">
        <v>515</v>
      </c>
      <c r="F233" s="482">
        <v>1</v>
      </c>
      <c r="G233" s="126" t="s">
        <v>890</v>
      </c>
      <c r="H233" s="298">
        <v>45565</v>
      </c>
      <c r="I233" s="128" t="s">
        <v>797</v>
      </c>
      <c r="J233" s="494"/>
    </row>
    <row r="234" spans="2:10" ht="15.6" x14ac:dyDescent="0.3">
      <c r="B234" s="31"/>
      <c r="C234" s="130"/>
      <c r="D234" s="43"/>
      <c r="E234" s="126"/>
      <c r="F234" s="348"/>
      <c r="G234" s="126"/>
      <c r="H234" s="298"/>
      <c r="I234" s="128"/>
      <c r="J234" s="494"/>
    </row>
    <row r="235" spans="2:10" s="58" customFormat="1" ht="15.6" x14ac:dyDescent="0.3">
      <c r="B235" s="352"/>
      <c r="C235" s="353" t="s">
        <v>771</v>
      </c>
      <c r="D235" s="354" t="s">
        <v>190</v>
      </c>
      <c r="E235" s="355"/>
      <c r="F235" s="356">
        <f>SUM(F232:F234)</f>
        <v>2</v>
      </c>
      <c r="G235" s="357"/>
      <c r="H235" s="358"/>
      <c r="I235" s="359"/>
      <c r="J235" s="526"/>
    </row>
    <row r="236" spans="2:10" s="58" customFormat="1" ht="15.6" x14ac:dyDescent="0.3">
      <c r="B236" s="352"/>
      <c r="C236" s="353" t="s">
        <v>772</v>
      </c>
      <c r="D236" s="354" t="s">
        <v>190</v>
      </c>
      <c r="E236" s="355"/>
      <c r="F236" s="356">
        <v>2</v>
      </c>
      <c r="G236" s="357"/>
      <c r="H236" s="358"/>
      <c r="I236" s="359"/>
      <c r="J236" s="526"/>
    </row>
    <row r="237" spans="2:10" s="58" customFormat="1" ht="15.6" x14ac:dyDescent="0.3">
      <c r="B237" s="360"/>
      <c r="C237" s="361" t="s">
        <v>773</v>
      </c>
      <c r="D237" s="362" t="s">
        <v>190</v>
      </c>
      <c r="E237" s="363"/>
      <c r="F237" s="364">
        <f>F235-F236</f>
        <v>0</v>
      </c>
      <c r="G237" s="365"/>
      <c r="H237" s="366"/>
      <c r="I237" s="367"/>
      <c r="J237" s="527"/>
    </row>
    <row r="238" spans="2:10" ht="7.5" customHeight="1" x14ac:dyDescent="0.3">
      <c r="B238" s="338"/>
      <c r="C238" s="142"/>
      <c r="D238" s="143"/>
      <c r="E238" s="144"/>
      <c r="F238" s="345"/>
      <c r="G238" s="144"/>
      <c r="H238" s="144"/>
      <c r="I238" s="515"/>
      <c r="J238" s="524"/>
    </row>
    <row r="239" spans="2:10" ht="15.6" x14ac:dyDescent="0.3">
      <c r="B239" s="31" t="s">
        <v>891</v>
      </c>
      <c r="C239" s="130" t="s">
        <v>892</v>
      </c>
      <c r="D239" s="43" t="s">
        <v>190</v>
      </c>
      <c r="E239" s="126" t="s">
        <v>510</v>
      </c>
      <c r="F239" s="348">
        <v>1</v>
      </c>
      <c r="G239" s="126" t="s">
        <v>893</v>
      </c>
      <c r="H239" s="298">
        <v>45461</v>
      </c>
      <c r="I239" s="128" t="s">
        <v>767</v>
      </c>
      <c r="J239" s="494"/>
    </row>
    <row r="240" spans="2:10" ht="15.6" x14ac:dyDescent="0.3">
      <c r="B240" s="31"/>
      <c r="C240" s="130"/>
      <c r="D240" s="43"/>
      <c r="E240" s="126"/>
      <c r="F240" s="348"/>
      <c r="G240" s="126"/>
      <c r="H240" s="298"/>
      <c r="I240" s="337"/>
      <c r="J240" s="494"/>
    </row>
    <row r="241" spans="2:10" s="58" customFormat="1" ht="15.6" x14ac:dyDescent="0.3">
      <c r="B241" s="352"/>
      <c r="C241" s="353" t="s">
        <v>771</v>
      </c>
      <c r="D241" s="354" t="s">
        <v>190</v>
      </c>
      <c r="E241" s="355"/>
      <c r="F241" s="356">
        <f>SUM(F239:F240)</f>
        <v>1</v>
      </c>
      <c r="G241" s="357"/>
      <c r="H241" s="358"/>
      <c r="I241" s="359"/>
      <c r="J241" s="526"/>
    </row>
    <row r="242" spans="2:10" s="58" customFormat="1" ht="15.6" x14ac:dyDescent="0.3">
      <c r="B242" s="352"/>
      <c r="C242" s="353" t="s">
        <v>772</v>
      </c>
      <c r="D242" s="354" t="s">
        <v>190</v>
      </c>
      <c r="E242" s="355"/>
      <c r="F242" s="356">
        <v>1</v>
      </c>
      <c r="G242" s="357"/>
      <c r="H242" s="358"/>
      <c r="I242" s="359"/>
      <c r="J242" s="526"/>
    </row>
    <row r="243" spans="2:10" s="58" customFormat="1" ht="15.6" x14ac:dyDescent="0.3">
      <c r="B243" s="360"/>
      <c r="C243" s="361" t="s">
        <v>773</v>
      </c>
      <c r="D243" s="362" t="s">
        <v>190</v>
      </c>
      <c r="E243" s="363"/>
      <c r="F243" s="364">
        <f>F241-F242</f>
        <v>0</v>
      </c>
      <c r="G243" s="365"/>
      <c r="H243" s="366"/>
      <c r="I243" s="367"/>
      <c r="J243" s="527"/>
    </row>
    <row r="244" spans="2:10" ht="7.5" customHeight="1" x14ac:dyDescent="0.3">
      <c r="B244" s="338"/>
      <c r="C244" s="142"/>
      <c r="D244" s="143"/>
      <c r="E244" s="144"/>
      <c r="F244" s="345"/>
      <c r="G244" s="144"/>
      <c r="H244" s="144"/>
      <c r="I244" s="515"/>
      <c r="J244" s="524"/>
    </row>
    <row r="245" spans="2:10" ht="15.6" x14ac:dyDescent="0.3">
      <c r="B245" s="31" t="s">
        <v>894</v>
      </c>
      <c r="C245" s="130" t="s">
        <v>895</v>
      </c>
      <c r="D245" s="43" t="s">
        <v>190</v>
      </c>
      <c r="E245" s="126" t="s">
        <v>510</v>
      </c>
      <c r="F245" s="348">
        <v>1</v>
      </c>
      <c r="G245" s="126" t="s">
        <v>896</v>
      </c>
      <c r="H245" s="298">
        <v>45504</v>
      </c>
      <c r="I245" s="128" t="s">
        <v>778</v>
      </c>
      <c r="J245" s="494"/>
    </row>
    <row r="246" spans="2:10" ht="15.6" x14ac:dyDescent="0.3">
      <c r="B246" s="31" t="s">
        <v>894</v>
      </c>
      <c r="C246" s="130" t="s">
        <v>895</v>
      </c>
      <c r="D246" s="43" t="s">
        <v>190</v>
      </c>
      <c r="E246" s="126" t="s">
        <v>515</v>
      </c>
      <c r="F246" s="482">
        <v>1</v>
      </c>
      <c r="G246" s="126" t="s">
        <v>897</v>
      </c>
      <c r="H246" s="298">
        <v>45624</v>
      </c>
      <c r="I246" s="128" t="s">
        <v>898</v>
      </c>
      <c r="J246" s="494"/>
    </row>
    <row r="247" spans="2:10" ht="15.6" x14ac:dyDescent="0.3">
      <c r="B247" s="31"/>
      <c r="C247" s="130"/>
      <c r="D247" s="43"/>
      <c r="E247" s="126"/>
      <c r="F247" s="348"/>
      <c r="G247" s="126"/>
      <c r="H247" s="298"/>
      <c r="I247" s="128"/>
      <c r="J247" s="494"/>
    </row>
    <row r="248" spans="2:10" s="58" customFormat="1" ht="15.6" x14ac:dyDescent="0.3">
      <c r="B248" s="352"/>
      <c r="C248" s="353" t="s">
        <v>771</v>
      </c>
      <c r="D248" s="354" t="s">
        <v>190</v>
      </c>
      <c r="E248" s="355"/>
      <c r="F248" s="356">
        <f>SUM(F245:F247)</f>
        <v>2</v>
      </c>
      <c r="G248" s="357"/>
      <c r="H248" s="358"/>
      <c r="I248" s="359"/>
      <c r="J248" s="526"/>
    </row>
    <row r="249" spans="2:10" s="58" customFormat="1" ht="15.6" x14ac:dyDescent="0.3">
      <c r="B249" s="352"/>
      <c r="C249" s="353" t="s">
        <v>772</v>
      </c>
      <c r="D249" s="354" t="s">
        <v>190</v>
      </c>
      <c r="E249" s="355"/>
      <c r="F249" s="356">
        <v>2</v>
      </c>
      <c r="G249" s="357"/>
      <c r="H249" s="358"/>
      <c r="I249" s="359"/>
      <c r="J249" s="526"/>
    </row>
    <row r="250" spans="2:10" s="58" customFormat="1" ht="15.6" x14ac:dyDescent="0.3">
      <c r="B250" s="360"/>
      <c r="C250" s="361" t="s">
        <v>773</v>
      </c>
      <c r="D250" s="362" t="s">
        <v>190</v>
      </c>
      <c r="E250" s="363"/>
      <c r="F250" s="364">
        <f>F248-F249</f>
        <v>0</v>
      </c>
      <c r="G250" s="365"/>
      <c r="H250" s="366"/>
      <c r="I250" s="367"/>
      <c r="J250" s="527"/>
    </row>
    <row r="251" spans="2:10" ht="7.5" customHeight="1" x14ac:dyDescent="0.3">
      <c r="B251" s="338"/>
      <c r="C251" s="142"/>
      <c r="D251" s="143"/>
      <c r="E251" s="144"/>
      <c r="F251" s="345"/>
      <c r="G251" s="144"/>
      <c r="H251" s="144"/>
      <c r="I251" s="515"/>
      <c r="J251" s="524"/>
    </row>
    <row r="252" spans="2:10" ht="15.6" x14ac:dyDescent="0.3">
      <c r="B252" s="31" t="s">
        <v>899</v>
      </c>
      <c r="C252" s="130" t="s">
        <v>900</v>
      </c>
      <c r="D252" s="43" t="s">
        <v>190</v>
      </c>
      <c r="E252" s="126" t="s">
        <v>510</v>
      </c>
      <c r="F252" s="482">
        <v>1</v>
      </c>
      <c r="G252" s="126" t="s">
        <v>901</v>
      </c>
      <c r="H252" s="298">
        <v>45530</v>
      </c>
      <c r="I252" s="128" t="s">
        <v>795</v>
      </c>
      <c r="J252" s="494"/>
    </row>
    <row r="253" spans="2:10" ht="15.6" x14ac:dyDescent="0.3">
      <c r="B253" s="31" t="s">
        <v>899</v>
      </c>
      <c r="C253" s="130" t="s">
        <v>900</v>
      </c>
      <c r="D253" s="43" t="s">
        <v>190</v>
      </c>
      <c r="E253" s="126" t="s">
        <v>515</v>
      </c>
      <c r="F253" s="482">
        <v>1</v>
      </c>
      <c r="G253" s="126" t="s">
        <v>902</v>
      </c>
      <c r="H253" s="298">
        <v>45530</v>
      </c>
      <c r="I253" s="128" t="s">
        <v>795</v>
      </c>
      <c r="J253" s="494"/>
    </row>
    <row r="254" spans="2:10" ht="15.6" x14ac:dyDescent="0.3">
      <c r="B254" s="31"/>
      <c r="C254" s="130"/>
      <c r="D254" s="43"/>
      <c r="E254" s="126"/>
      <c r="F254" s="348"/>
      <c r="G254" s="126"/>
      <c r="H254" s="298"/>
      <c r="I254" s="337"/>
      <c r="J254" s="494"/>
    </row>
    <row r="255" spans="2:10" s="58" customFormat="1" ht="15.6" x14ac:dyDescent="0.3">
      <c r="B255" s="352"/>
      <c r="C255" s="353" t="s">
        <v>771</v>
      </c>
      <c r="D255" s="354" t="s">
        <v>190</v>
      </c>
      <c r="E255" s="355"/>
      <c r="F255" s="356">
        <f>SUM(F252:F254)</f>
        <v>2</v>
      </c>
      <c r="G255" s="357"/>
      <c r="H255" s="358"/>
      <c r="I255" s="359"/>
      <c r="J255" s="526"/>
    </row>
    <row r="256" spans="2:10" s="58" customFormat="1" ht="15.6" x14ac:dyDescent="0.3">
      <c r="B256" s="352"/>
      <c r="C256" s="353" t="s">
        <v>772</v>
      </c>
      <c r="D256" s="354" t="s">
        <v>190</v>
      </c>
      <c r="E256" s="355"/>
      <c r="F256" s="356">
        <v>2</v>
      </c>
      <c r="G256" s="357"/>
      <c r="H256" s="358"/>
      <c r="I256" s="359"/>
      <c r="J256" s="526"/>
    </row>
    <row r="257" spans="2:10" s="58" customFormat="1" ht="15.6" x14ac:dyDescent="0.3">
      <c r="B257" s="360"/>
      <c r="C257" s="361" t="s">
        <v>773</v>
      </c>
      <c r="D257" s="362" t="s">
        <v>190</v>
      </c>
      <c r="E257" s="363"/>
      <c r="F257" s="364">
        <f>F255-F256</f>
        <v>0</v>
      </c>
      <c r="G257" s="365"/>
      <c r="H257" s="366"/>
      <c r="I257" s="367"/>
      <c r="J257" s="527"/>
    </row>
    <row r="258" spans="2:10" ht="7.5" customHeight="1" x14ac:dyDescent="0.3">
      <c r="B258" s="338"/>
      <c r="C258" s="142"/>
      <c r="D258" s="143"/>
      <c r="E258" s="144"/>
      <c r="F258" s="345"/>
      <c r="G258" s="144"/>
      <c r="H258" s="144"/>
      <c r="I258" s="515"/>
      <c r="J258" s="524"/>
    </row>
    <row r="259" spans="2:10" ht="15.6" x14ac:dyDescent="0.3">
      <c r="B259" s="31" t="s">
        <v>903</v>
      </c>
      <c r="C259" s="130" t="s">
        <v>904</v>
      </c>
      <c r="D259" s="43" t="s">
        <v>190</v>
      </c>
      <c r="E259" s="126" t="s">
        <v>510</v>
      </c>
      <c r="F259" s="348">
        <v>1</v>
      </c>
      <c r="G259" s="126" t="s">
        <v>905</v>
      </c>
      <c r="H259" s="298">
        <v>45500</v>
      </c>
      <c r="I259" s="128" t="s">
        <v>778</v>
      </c>
      <c r="J259" s="494"/>
    </row>
    <row r="260" spans="2:10" ht="15.6" x14ac:dyDescent="0.3">
      <c r="B260" s="31" t="s">
        <v>903</v>
      </c>
      <c r="C260" s="130" t="s">
        <v>904</v>
      </c>
      <c r="D260" s="43" t="s">
        <v>190</v>
      </c>
      <c r="E260" s="126" t="s">
        <v>515</v>
      </c>
      <c r="F260" s="482">
        <v>1</v>
      </c>
      <c r="G260" s="126" t="s">
        <v>906</v>
      </c>
      <c r="H260" s="298">
        <v>45562</v>
      </c>
      <c r="I260" s="337" t="s">
        <v>797</v>
      </c>
      <c r="J260" s="494"/>
    </row>
    <row r="261" spans="2:10" ht="15.6" x14ac:dyDescent="0.3">
      <c r="B261" s="31"/>
      <c r="C261" s="130"/>
      <c r="D261" s="43"/>
      <c r="E261" s="126"/>
      <c r="F261" s="348"/>
      <c r="G261" s="126"/>
      <c r="H261" s="298"/>
      <c r="I261" s="337"/>
      <c r="J261" s="494"/>
    </row>
    <row r="262" spans="2:10" s="58" customFormat="1" ht="15.6" x14ac:dyDescent="0.3">
      <c r="B262" s="352"/>
      <c r="C262" s="353" t="s">
        <v>771</v>
      </c>
      <c r="D262" s="354" t="s">
        <v>190</v>
      </c>
      <c r="E262" s="355"/>
      <c r="F262" s="356">
        <f>SUM(F259:F261)</f>
        <v>2</v>
      </c>
      <c r="G262" s="357"/>
      <c r="H262" s="358"/>
      <c r="I262" s="359"/>
      <c r="J262" s="526"/>
    </row>
    <row r="263" spans="2:10" s="58" customFormat="1" ht="15.6" x14ac:dyDescent="0.3">
      <c r="B263" s="352"/>
      <c r="C263" s="353" t="s">
        <v>772</v>
      </c>
      <c r="D263" s="354" t="s">
        <v>190</v>
      </c>
      <c r="E263" s="355"/>
      <c r="F263" s="356">
        <v>2</v>
      </c>
      <c r="G263" s="357"/>
      <c r="H263" s="358"/>
      <c r="I263" s="359"/>
      <c r="J263" s="526"/>
    </row>
    <row r="264" spans="2:10" s="58" customFormat="1" ht="15.6" x14ac:dyDescent="0.3">
      <c r="B264" s="360"/>
      <c r="C264" s="361" t="s">
        <v>773</v>
      </c>
      <c r="D264" s="362" t="s">
        <v>190</v>
      </c>
      <c r="E264" s="363"/>
      <c r="F264" s="364">
        <f>F262-F263</f>
        <v>0</v>
      </c>
      <c r="G264" s="365"/>
      <c r="H264" s="366"/>
      <c r="I264" s="367"/>
      <c r="J264" s="527"/>
    </row>
    <row r="265" spans="2:10" ht="7.5" customHeight="1" x14ac:dyDescent="0.3">
      <c r="B265" s="338"/>
      <c r="C265" s="142"/>
      <c r="D265" s="143"/>
      <c r="E265" s="144"/>
      <c r="F265" s="345"/>
      <c r="G265" s="144"/>
      <c r="H265" s="144"/>
      <c r="I265" s="515"/>
      <c r="J265" s="524"/>
    </row>
    <row r="266" spans="2:10" ht="15.6" x14ac:dyDescent="0.3">
      <c r="B266" s="31" t="s">
        <v>907</v>
      </c>
      <c r="C266" s="130" t="s">
        <v>908</v>
      </c>
      <c r="D266" s="43" t="s">
        <v>190</v>
      </c>
      <c r="E266" s="126" t="s">
        <v>510</v>
      </c>
      <c r="F266" s="482">
        <v>1</v>
      </c>
      <c r="G266" s="126" t="s">
        <v>909</v>
      </c>
      <c r="H266" s="298">
        <v>45530</v>
      </c>
      <c r="I266" s="128" t="s">
        <v>795</v>
      </c>
      <c r="J266" s="494"/>
    </row>
    <row r="267" spans="2:10" ht="15.6" x14ac:dyDescent="0.3">
      <c r="B267" s="31"/>
      <c r="C267" s="130"/>
      <c r="D267" s="43"/>
      <c r="E267" s="126"/>
      <c r="F267" s="348"/>
      <c r="G267" s="126"/>
      <c r="H267" s="298"/>
      <c r="I267" s="337"/>
      <c r="J267" s="494"/>
    </row>
    <row r="268" spans="2:10" s="58" customFormat="1" ht="15.6" x14ac:dyDescent="0.3">
      <c r="B268" s="352"/>
      <c r="C268" s="353" t="s">
        <v>771</v>
      </c>
      <c r="D268" s="354" t="s">
        <v>190</v>
      </c>
      <c r="E268" s="355"/>
      <c r="F268" s="356">
        <f>SUM(F266:F267)</f>
        <v>1</v>
      </c>
      <c r="G268" s="357"/>
      <c r="H268" s="358"/>
      <c r="I268" s="359"/>
      <c r="J268" s="526"/>
    </row>
    <row r="269" spans="2:10" s="58" customFormat="1" ht="15.6" x14ac:dyDescent="0.3">
      <c r="B269" s="352"/>
      <c r="C269" s="353" t="s">
        <v>772</v>
      </c>
      <c r="D269" s="354" t="s">
        <v>190</v>
      </c>
      <c r="E269" s="355"/>
      <c r="F269" s="356">
        <v>1</v>
      </c>
      <c r="G269" s="357"/>
      <c r="H269" s="358"/>
      <c r="I269" s="359"/>
      <c r="J269" s="526"/>
    </row>
    <row r="270" spans="2:10" s="58" customFormat="1" ht="15.6" x14ac:dyDescent="0.3">
      <c r="B270" s="360"/>
      <c r="C270" s="361" t="s">
        <v>773</v>
      </c>
      <c r="D270" s="362" t="s">
        <v>190</v>
      </c>
      <c r="E270" s="363"/>
      <c r="F270" s="364">
        <f>F268-F269</f>
        <v>0</v>
      </c>
      <c r="G270" s="365"/>
      <c r="H270" s="366"/>
      <c r="I270" s="367"/>
      <c r="J270" s="527"/>
    </row>
    <row r="271" spans="2:10" ht="7.5" customHeight="1" x14ac:dyDescent="0.3">
      <c r="B271" s="338"/>
      <c r="C271" s="142"/>
      <c r="D271" s="143"/>
      <c r="E271" s="144"/>
      <c r="F271" s="345"/>
      <c r="G271" s="144"/>
      <c r="H271" s="144"/>
      <c r="I271" s="515"/>
      <c r="J271" s="524"/>
    </row>
    <row r="272" spans="2:10" ht="15.6" x14ac:dyDescent="0.3">
      <c r="B272" s="31" t="s">
        <v>910</v>
      </c>
      <c r="C272" s="130" t="s">
        <v>911</v>
      </c>
      <c r="D272" s="43" t="s">
        <v>190</v>
      </c>
      <c r="E272" s="126" t="s">
        <v>510</v>
      </c>
      <c r="F272" s="348">
        <v>1</v>
      </c>
      <c r="G272" s="126" t="s">
        <v>912</v>
      </c>
      <c r="H272" s="298">
        <v>45504</v>
      </c>
      <c r="I272" s="128" t="s">
        <v>778</v>
      </c>
      <c r="J272" s="494"/>
    </row>
    <row r="273" spans="2:10" ht="15.6" x14ac:dyDescent="0.3">
      <c r="B273" s="31" t="s">
        <v>910</v>
      </c>
      <c r="C273" s="130" t="s">
        <v>911</v>
      </c>
      <c r="D273" s="43" t="s">
        <v>190</v>
      </c>
      <c r="E273" s="126" t="s">
        <v>913</v>
      </c>
      <c r="F273" s="482">
        <v>1</v>
      </c>
      <c r="G273" s="126" t="s">
        <v>914</v>
      </c>
      <c r="H273" s="298">
        <v>45626</v>
      </c>
      <c r="I273" s="337" t="s">
        <v>898</v>
      </c>
      <c r="J273" s="494"/>
    </row>
    <row r="274" spans="2:10" ht="15.6" x14ac:dyDescent="0.3">
      <c r="B274" s="31"/>
      <c r="C274" s="130"/>
      <c r="D274" s="43"/>
      <c r="E274" s="126"/>
      <c r="F274" s="482"/>
      <c r="G274" s="126"/>
      <c r="H274" s="298"/>
      <c r="I274" s="337"/>
      <c r="J274" s="494"/>
    </row>
    <row r="275" spans="2:10" s="58" customFormat="1" ht="15.6" x14ac:dyDescent="0.3">
      <c r="B275" s="352"/>
      <c r="C275" s="353" t="s">
        <v>771</v>
      </c>
      <c r="D275" s="354" t="s">
        <v>190</v>
      </c>
      <c r="E275" s="355"/>
      <c r="F275" s="543">
        <f>SUM(F272:F274)</f>
        <v>2</v>
      </c>
      <c r="G275" s="357"/>
      <c r="H275" s="358"/>
      <c r="I275" s="359"/>
      <c r="J275" s="526"/>
    </row>
    <row r="276" spans="2:10" s="58" customFormat="1" ht="15.6" x14ac:dyDescent="0.3">
      <c r="B276" s="352"/>
      <c r="C276" s="353" t="s">
        <v>772</v>
      </c>
      <c r="D276" s="354" t="s">
        <v>190</v>
      </c>
      <c r="E276" s="355"/>
      <c r="F276" s="543">
        <v>2</v>
      </c>
      <c r="G276" s="357"/>
      <c r="H276" s="358"/>
      <c r="I276" s="359"/>
      <c r="J276" s="526"/>
    </row>
    <row r="277" spans="2:10" s="58" customFormat="1" ht="15.6" x14ac:dyDescent="0.3">
      <c r="B277" s="360"/>
      <c r="C277" s="361" t="s">
        <v>773</v>
      </c>
      <c r="D277" s="362" t="s">
        <v>190</v>
      </c>
      <c r="E277" s="363"/>
      <c r="F277" s="544">
        <f>F275-F276</f>
        <v>0</v>
      </c>
      <c r="G277" s="365"/>
      <c r="H277" s="366"/>
      <c r="I277" s="367"/>
      <c r="J277" s="527"/>
    </row>
    <row r="278" spans="2:10" ht="7.5" customHeight="1" x14ac:dyDescent="0.3">
      <c r="B278" s="338"/>
      <c r="C278" s="142"/>
      <c r="D278" s="143"/>
      <c r="E278" s="144"/>
      <c r="F278" s="545"/>
      <c r="G278" s="144"/>
      <c r="H278" s="144"/>
      <c r="I278" s="515"/>
      <c r="J278" s="524"/>
    </row>
    <row r="279" spans="2:10" ht="15.6" x14ac:dyDescent="0.3">
      <c r="B279" s="31" t="s">
        <v>915</v>
      </c>
      <c r="C279" s="130" t="s">
        <v>916</v>
      </c>
      <c r="D279" s="43" t="s">
        <v>190</v>
      </c>
      <c r="E279" s="126" t="s">
        <v>510</v>
      </c>
      <c r="F279" s="482">
        <v>1</v>
      </c>
      <c r="G279" s="126" t="s">
        <v>917</v>
      </c>
      <c r="H279" s="298">
        <v>45526</v>
      </c>
      <c r="I279" s="128" t="s">
        <v>795</v>
      </c>
      <c r="J279" s="494"/>
    </row>
    <row r="280" spans="2:10" ht="15.6" x14ac:dyDescent="0.3">
      <c r="B280" s="31" t="s">
        <v>915</v>
      </c>
      <c r="C280" s="130" t="s">
        <v>916</v>
      </c>
      <c r="D280" s="43" t="s">
        <v>190</v>
      </c>
      <c r="E280" s="126" t="s">
        <v>515</v>
      </c>
      <c r="F280" s="482">
        <v>1</v>
      </c>
      <c r="G280" s="126" t="s">
        <v>918</v>
      </c>
      <c r="H280" s="298">
        <v>45625</v>
      </c>
      <c r="I280" s="337" t="s">
        <v>898</v>
      </c>
      <c r="J280" s="494"/>
    </row>
    <row r="281" spans="2:10" ht="15.6" x14ac:dyDescent="0.3">
      <c r="B281" s="31"/>
      <c r="C281" s="130"/>
      <c r="D281" s="43"/>
      <c r="E281" s="126"/>
      <c r="F281" s="348"/>
      <c r="G281" s="126"/>
      <c r="H281" s="298"/>
      <c r="I281" s="337"/>
      <c r="J281" s="494"/>
    </row>
    <row r="282" spans="2:10" s="58" customFormat="1" ht="15.6" x14ac:dyDescent="0.3">
      <c r="B282" s="352"/>
      <c r="C282" s="353" t="s">
        <v>771</v>
      </c>
      <c r="D282" s="354" t="s">
        <v>190</v>
      </c>
      <c r="E282" s="355"/>
      <c r="F282" s="356">
        <f>SUM(F279:F281)</f>
        <v>2</v>
      </c>
      <c r="G282" s="357"/>
      <c r="H282" s="358"/>
      <c r="I282" s="359"/>
      <c r="J282" s="526"/>
    </row>
    <row r="283" spans="2:10" s="58" customFormat="1" ht="15.6" x14ac:dyDescent="0.3">
      <c r="B283" s="352"/>
      <c r="C283" s="353" t="s">
        <v>772</v>
      </c>
      <c r="D283" s="354" t="s">
        <v>190</v>
      </c>
      <c r="E283" s="355"/>
      <c r="F283" s="356">
        <v>2</v>
      </c>
      <c r="G283" s="357"/>
      <c r="H283" s="358"/>
      <c r="I283" s="359"/>
      <c r="J283" s="526"/>
    </row>
    <row r="284" spans="2:10" s="58" customFormat="1" ht="15.6" x14ac:dyDescent="0.3">
      <c r="B284" s="360"/>
      <c r="C284" s="361" t="s">
        <v>773</v>
      </c>
      <c r="D284" s="362" t="s">
        <v>190</v>
      </c>
      <c r="E284" s="363"/>
      <c r="F284" s="364">
        <f>F282-F283</f>
        <v>0</v>
      </c>
      <c r="G284" s="365"/>
      <c r="H284" s="366"/>
      <c r="I284" s="367"/>
      <c r="J284" s="527"/>
    </row>
    <row r="285" spans="2:10" ht="7.5" customHeight="1" x14ac:dyDescent="0.3">
      <c r="B285" s="338"/>
      <c r="C285" s="142"/>
      <c r="D285" s="143"/>
      <c r="E285" s="144"/>
      <c r="F285" s="345"/>
      <c r="G285" s="144"/>
      <c r="H285" s="144"/>
      <c r="I285" s="515"/>
      <c r="J285" s="524"/>
    </row>
    <row r="286" spans="2:10" ht="15.6" x14ac:dyDescent="0.3">
      <c r="B286" s="31" t="s">
        <v>919</v>
      </c>
      <c r="C286" s="130" t="s">
        <v>920</v>
      </c>
      <c r="D286" s="43" t="s">
        <v>190</v>
      </c>
      <c r="E286" s="126" t="s">
        <v>510</v>
      </c>
      <c r="F286" s="482">
        <v>1</v>
      </c>
      <c r="G286" s="126" t="s">
        <v>921</v>
      </c>
      <c r="H286" s="298">
        <v>45534</v>
      </c>
      <c r="I286" s="128" t="s">
        <v>795</v>
      </c>
      <c r="J286" s="494"/>
    </row>
    <row r="287" spans="2:10" ht="15.6" x14ac:dyDescent="0.3">
      <c r="B287" s="31" t="s">
        <v>919</v>
      </c>
      <c r="C287" s="130" t="s">
        <v>920</v>
      </c>
      <c r="D287" s="43" t="s">
        <v>190</v>
      </c>
      <c r="E287" s="126" t="s">
        <v>515</v>
      </c>
      <c r="F287" s="482">
        <v>1</v>
      </c>
      <c r="G287" s="126" t="s">
        <v>922</v>
      </c>
      <c r="H287" s="298">
        <v>45565</v>
      </c>
      <c r="I287" s="337" t="s">
        <v>797</v>
      </c>
      <c r="J287" s="494"/>
    </row>
    <row r="288" spans="2:10" ht="15.6" x14ac:dyDescent="0.3">
      <c r="B288" s="31"/>
      <c r="C288" s="130"/>
      <c r="D288" s="43"/>
      <c r="E288" s="126"/>
      <c r="F288" s="348"/>
      <c r="G288" s="126"/>
      <c r="H288" s="298"/>
      <c r="I288" s="337"/>
      <c r="J288" s="494"/>
    </row>
    <row r="289" spans="2:10" s="58" customFormat="1" ht="15.6" x14ac:dyDescent="0.3">
      <c r="B289" s="352"/>
      <c r="C289" s="353" t="s">
        <v>771</v>
      </c>
      <c r="D289" s="354" t="s">
        <v>190</v>
      </c>
      <c r="E289" s="355"/>
      <c r="F289" s="356">
        <f>SUM(F286:F288)</f>
        <v>2</v>
      </c>
      <c r="G289" s="357"/>
      <c r="H289" s="358"/>
      <c r="I289" s="359"/>
      <c r="J289" s="526"/>
    </row>
    <row r="290" spans="2:10" s="58" customFormat="1" ht="15.6" x14ac:dyDescent="0.3">
      <c r="B290" s="352"/>
      <c r="C290" s="353" t="s">
        <v>772</v>
      </c>
      <c r="D290" s="354" t="s">
        <v>190</v>
      </c>
      <c r="E290" s="355"/>
      <c r="F290" s="356">
        <v>2</v>
      </c>
      <c r="G290" s="357"/>
      <c r="H290" s="358"/>
      <c r="I290" s="359"/>
      <c r="J290" s="526"/>
    </row>
    <row r="291" spans="2:10" s="58" customFormat="1" ht="15.6" x14ac:dyDescent="0.3">
      <c r="B291" s="360"/>
      <c r="C291" s="361" t="s">
        <v>773</v>
      </c>
      <c r="D291" s="362" t="s">
        <v>190</v>
      </c>
      <c r="E291" s="363"/>
      <c r="F291" s="364">
        <f>F289-F290</f>
        <v>0</v>
      </c>
      <c r="G291" s="365"/>
      <c r="H291" s="366"/>
      <c r="I291" s="367"/>
      <c r="J291" s="527"/>
    </row>
    <row r="292" spans="2:10" ht="7.5" customHeight="1" x14ac:dyDescent="0.3">
      <c r="B292" s="338"/>
      <c r="C292" s="142"/>
      <c r="D292" s="143"/>
      <c r="E292" s="144"/>
      <c r="F292" s="345"/>
      <c r="G292" s="144"/>
      <c r="H292" s="144"/>
      <c r="I292" s="515"/>
      <c r="J292" s="524"/>
    </row>
    <row r="293" spans="2:10" ht="15.6" x14ac:dyDescent="0.3">
      <c r="B293" s="31" t="s">
        <v>923</v>
      </c>
      <c r="C293" s="130" t="s">
        <v>924</v>
      </c>
      <c r="D293" s="43" t="s">
        <v>190</v>
      </c>
      <c r="E293" s="126" t="s">
        <v>510</v>
      </c>
      <c r="F293" s="482">
        <v>1</v>
      </c>
      <c r="G293" s="126" t="s">
        <v>925</v>
      </c>
      <c r="H293" s="298">
        <v>45534</v>
      </c>
      <c r="I293" s="128" t="s">
        <v>795</v>
      </c>
      <c r="J293" s="494"/>
    </row>
    <row r="294" spans="2:10" ht="15.6" x14ac:dyDescent="0.3">
      <c r="B294" s="31" t="s">
        <v>923</v>
      </c>
      <c r="C294" s="130" t="s">
        <v>924</v>
      </c>
      <c r="D294" s="43" t="s">
        <v>190</v>
      </c>
      <c r="E294" s="126" t="s">
        <v>515</v>
      </c>
      <c r="F294" s="482">
        <v>1</v>
      </c>
      <c r="G294" s="126" t="s">
        <v>926</v>
      </c>
      <c r="H294" s="298">
        <v>45565</v>
      </c>
      <c r="I294" s="337" t="s">
        <v>797</v>
      </c>
      <c r="J294" s="494"/>
    </row>
    <row r="295" spans="2:10" ht="15.6" x14ac:dyDescent="0.3">
      <c r="B295" s="31"/>
      <c r="C295" s="130"/>
      <c r="D295" s="43"/>
      <c r="E295" s="126"/>
      <c r="F295" s="348"/>
      <c r="G295" s="126"/>
      <c r="H295" s="298"/>
      <c r="I295" s="337"/>
      <c r="J295" s="494"/>
    </row>
    <row r="296" spans="2:10" s="58" customFormat="1" ht="15.6" x14ac:dyDescent="0.3">
      <c r="B296" s="352"/>
      <c r="C296" s="353" t="s">
        <v>771</v>
      </c>
      <c r="D296" s="354" t="s">
        <v>190</v>
      </c>
      <c r="E296" s="355"/>
      <c r="F296" s="356">
        <f>SUM(F293:F295)</f>
        <v>2</v>
      </c>
      <c r="G296" s="357"/>
      <c r="H296" s="358"/>
      <c r="I296" s="359"/>
      <c r="J296" s="526"/>
    </row>
    <row r="297" spans="2:10" s="58" customFormat="1" ht="15.6" x14ac:dyDescent="0.3">
      <c r="B297" s="352"/>
      <c r="C297" s="353" t="s">
        <v>772</v>
      </c>
      <c r="D297" s="354" t="s">
        <v>190</v>
      </c>
      <c r="E297" s="355"/>
      <c r="F297" s="356">
        <v>2</v>
      </c>
      <c r="G297" s="357"/>
      <c r="H297" s="358"/>
      <c r="I297" s="359"/>
      <c r="J297" s="526"/>
    </row>
    <row r="298" spans="2:10" s="58" customFormat="1" ht="15.6" x14ac:dyDescent="0.3">
      <c r="B298" s="360"/>
      <c r="C298" s="361" t="s">
        <v>773</v>
      </c>
      <c r="D298" s="362" t="s">
        <v>190</v>
      </c>
      <c r="E298" s="363"/>
      <c r="F298" s="364">
        <f>F296-F297</f>
        <v>0</v>
      </c>
      <c r="G298" s="365"/>
      <c r="H298" s="366"/>
      <c r="I298" s="367"/>
      <c r="J298" s="527"/>
    </row>
    <row r="299" spans="2:10" ht="7.5" customHeight="1" x14ac:dyDescent="0.3">
      <c r="B299" s="338"/>
      <c r="C299" s="142"/>
      <c r="D299" s="143"/>
      <c r="E299" s="144"/>
      <c r="F299" s="345"/>
      <c r="G299" s="144"/>
      <c r="H299" s="144"/>
      <c r="I299" s="515"/>
      <c r="J299" s="524"/>
    </row>
    <row r="300" spans="2:10" ht="15.6" x14ac:dyDescent="0.3">
      <c r="B300" s="49">
        <v>103</v>
      </c>
      <c r="C300" s="140" t="s">
        <v>220</v>
      </c>
      <c r="D300" s="138"/>
      <c r="E300" s="139"/>
      <c r="F300" s="346"/>
      <c r="G300" s="139"/>
      <c r="H300" s="301"/>
      <c r="I300" s="505"/>
      <c r="J300" s="500"/>
    </row>
    <row r="301" spans="2:10" ht="31.2" x14ac:dyDescent="0.3">
      <c r="B301" s="476" t="s">
        <v>927</v>
      </c>
      <c r="C301" s="477" t="s">
        <v>221</v>
      </c>
      <c r="D301" s="478" t="s">
        <v>222</v>
      </c>
      <c r="E301" s="296" t="s">
        <v>510</v>
      </c>
      <c r="F301" s="480">
        <v>0.5</v>
      </c>
      <c r="G301" s="296" t="s">
        <v>928</v>
      </c>
      <c r="H301" s="297">
        <v>45535</v>
      </c>
      <c r="I301" s="305" t="s">
        <v>795</v>
      </c>
      <c r="J301" s="530"/>
    </row>
    <row r="302" spans="2:10" ht="31.2" x14ac:dyDescent="0.3">
      <c r="B302" s="31" t="s">
        <v>927</v>
      </c>
      <c r="C302" s="479" t="s">
        <v>221</v>
      </c>
      <c r="D302" s="43" t="s">
        <v>222</v>
      </c>
      <c r="E302" s="302" t="s">
        <v>515</v>
      </c>
      <c r="F302" s="483">
        <v>0.5</v>
      </c>
      <c r="G302" s="302" t="s">
        <v>929</v>
      </c>
      <c r="H302" s="314">
        <v>45535</v>
      </c>
      <c r="I302" s="306" t="s">
        <v>795</v>
      </c>
      <c r="J302" s="503"/>
    </row>
    <row r="303" spans="2:10" ht="31.2" x14ac:dyDescent="0.3">
      <c r="B303" s="31" t="s">
        <v>927</v>
      </c>
      <c r="C303" s="479" t="s">
        <v>221</v>
      </c>
      <c r="D303" s="146" t="s">
        <v>222</v>
      </c>
      <c r="E303" s="302" t="s">
        <v>510</v>
      </c>
      <c r="F303" s="483">
        <v>0.5</v>
      </c>
      <c r="G303" s="594" t="s">
        <v>930</v>
      </c>
      <c r="H303" s="314">
        <v>45655</v>
      </c>
      <c r="I303" s="306" t="s">
        <v>931</v>
      </c>
      <c r="J303" s="503"/>
    </row>
    <row r="304" spans="2:10" ht="31.2" x14ac:dyDescent="0.3">
      <c r="B304" s="31" t="s">
        <v>927</v>
      </c>
      <c r="C304" s="479" t="s">
        <v>221</v>
      </c>
      <c r="D304" s="146" t="s">
        <v>222</v>
      </c>
      <c r="E304" s="302" t="s">
        <v>515</v>
      </c>
      <c r="F304" s="483">
        <v>0.5</v>
      </c>
      <c r="G304" s="594" t="s">
        <v>932</v>
      </c>
      <c r="H304" s="314">
        <v>45655</v>
      </c>
      <c r="I304" s="306" t="s">
        <v>931</v>
      </c>
      <c r="J304" s="503"/>
    </row>
    <row r="305" spans="2:10" ht="31.2" x14ac:dyDescent="0.3">
      <c r="B305" s="31" t="s">
        <v>927</v>
      </c>
      <c r="C305" s="479" t="s">
        <v>221</v>
      </c>
      <c r="D305" s="146" t="s">
        <v>222</v>
      </c>
      <c r="E305" s="302" t="s">
        <v>510</v>
      </c>
      <c r="F305" s="483">
        <v>0.5</v>
      </c>
      <c r="G305" s="594" t="s">
        <v>933</v>
      </c>
      <c r="H305" s="783">
        <v>45747</v>
      </c>
      <c r="I305" s="306" t="s">
        <v>934</v>
      </c>
      <c r="J305" s="503"/>
    </row>
    <row r="306" spans="2:10" ht="31.2" x14ac:dyDescent="0.3">
      <c r="B306" s="31" t="s">
        <v>927</v>
      </c>
      <c r="C306" s="479" t="s">
        <v>221</v>
      </c>
      <c r="D306" s="146" t="s">
        <v>222</v>
      </c>
      <c r="E306" s="302" t="s">
        <v>515</v>
      </c>
      <c r="F306" s="483">
        <v>0.5</v>
      </c>
      <c r="G306" s="594" t="s">
        <v>935</v>
      </c>
      <c r="H306" s="783">
        <v>45747</v>
      </c>
      <c r="I306" s="306" t="s">
        <v>934</v>
      </c>
      <c r="J306" s="503"/>
    </row>
    <row r="307" spans="2:10" ht="31.2" x14ac:dyDescent="0.3">
      <c r="B307" s="31" t="s">
        <v>927</v>
      </c>
      <c r="C307" s="479" t="s">
        <v>221</v>
      </c>
      <c r="D307" s="146" t="s">
        <v>222</v>
      </c>
      <c r="E307" s="302" t="s">
        <v>510</v>
      </c>
      <c r="F307" s="483">
        <v>0.5</v>
      </c>
      <c r="G307" s="594" t="s">
        <v>936</v>
      </c>
      <c r="H307" s="783">
        <v>45838</v>
      </c>
      <c r="I307" s="306" t="s">
        <v>937</v>
      </c>
      <c r="J307" s="503"/>
    </row>
    <row r="308" spans="2:10" ht="31.2" x14ac:dyDescent="0.3">
      <c r="B308" s="31" t="s">
        <v>927</v>
      </c>
      <c r="C308" s="479" t="s">
        <v>221</v>
      </c>
      <c r="D308" s="146" t="s">
        <v>222</v>
      </c>
      <c r="E308" s="302" t="s">
        <v>515</v>
      </c>
      <c r="F308" s="483">
        <v>0.5</v>
      </c>
      <c r="G308" s="594" t="s">
        <v>938</v>
      </c>
      <c r="H308" s="783">
        <v>45838</v>
      </c>
      <c r="I308" s="306" t="s">
        <v>937</v>
      </c>
      <c r="J308" s="503"/>
    </row>
    <row r="309" spans="2:10" ht="31.2" x14ac:dyDescent="0.3">
      <c r="B309" s="31" t="s">
        <v>927</v>
      </c>
      <c r="C309" s="479" t="s">
        <v>221</v>
      </c>
      <c r="D309" s="146" t="s">
        <v>222</v>
      </c>
      <c r="E309" s="302" t="s">
        <v>510</v>
      </c>
      <c r="F309" s="483">
        <v>0.5</v>
      </c>
      <c r="G309" s="594" t="s">
        <v>939</v>
      </c>
      <c r="H309" s="783">
        <v>45930</v>
      </c>
      <c r="I309" s="306" t="s">
        <v>940</v>
      </c>
      <c r="J309" s="503"/>
    </row>
    <row r="310" spans="2:10" ht="31.2" x14ac:dyDescent="0.3">
      <c r="B310" s="31" t="s">
        <v>927</v>
      </c>
      <c r="C310" s="479" t="s">
        <v>221</v>
      </c>
      <c r="D310" s="146" t="s">
        <v>222</v>
      </c>
      <c r="E310" s="302" t="s">
        <v>515</v>
      </c>
      <c r="F310" s="483">
        <v>0.5</v>
      </c>
      <c r="G310" s="594" t="s">
        <v>941</v>
      </c>
      <c r="H310" s="783">
        <v>45930</v>
      </c>
      <c r="I310" s="306" t="s">
        <v>940</v>
      </c>
      <c r="J310" s="503"/>
    </row>
    <row r="311" spans="2:10" ht="31.2" x14ac:dyDescent="0.3">
      <c r="B311" s="31" t="s">
        <v>927</v>
      </c>
      <c r="C311" s="479" t="s">
        <v>221</v>
      </c>
      <c r="D311" s="146" t="s">
        <v>222</v>
      </c>
      <c r="E311" s="302" t="s">
        <v>510</v>
      </c>
      <c r="F311" s="483">
        <v>0.5</v>
      </c>
      <c r="G311" s="594" t="s">
        <v>942</v>
      </c>
      <c r="H311" s="783">
        <v>46022</v>
      </c>
      <c r="I311" s="306" t="s">
        <v>943</v>
      </c>
      <c r="J311" s="503"/>
    </row>
    <row r="312" spans="2:10" ht="31.2" x14ac:dyDescent="0.3">
      <c r="B312" s="31" t="s">
        <v>927</v>
      </c>
      <c r="C312" s="479" t="s">
        <v>221</v>
      </c>
      <c r="D312" s="146" t="s">
        <v>222</v>
      </c>
      <c r="E312" s="302" t="s">
        <v>515</v>
      </c>
      <c r="F312" s="483">
        <v>0.5</v>
      </c>
      <c r="G312" s="594" t="s">
        <v>944</v>
      </c>
      <c r="H312" s="783">
        <v>46022</v>
      </c>
      <c r="I312" s="306" t="s">
        <v>943</v>
      </c>
      <c r="J312" s="503"/>
    </row>
    <row r="313" spans="2:10" ht="31.2" x14ac:dyDescent="0.3">
      <c r="B313" s="31" t="s">
        <v>927</v>
      </c>
      <c r="C313" s="479" t="s">
        <v>221</v>
      </c>
      <c r="D313" s="146" t="s">
        <v>222</v>
      </c>
      <c r="E313" s="302" t="s">
        <v>510</v>
      </c>
      <c r="F313" s="483">
        <v>0.5</v>
      </c>
      <c r="G313" s="594" t="s">
        <v>945</v>
      </c>
      <c r="H313" s="783">
        <v>46111</v>
      </c>
      <c r="I313" s="306" t="s">
        <v>946</v>
      </c>
      <c r="J313" s="503"/>
    </row>
    <row r="314" spans="2:10" ht="31.2" x14ac:dyDescent="0.3">
      <c r="B314" s="31" t="s">
        <v>927</v>
      </c>
      <c r="C314" s="479" t="s">
        <v>221</v>
      </c>
      <c r="D314" s="146" t="s">
        <v>222</v>
      </c>
      <c r="E314" s="302" t="s">
        <v>515</v>
      </c>
      <c r="F314" s="483">
        <v>0.5</v>
      </c>
      <c r="G314" s="594" t="s">
        <v>947</v>
      </c>
      <c r="H314" s="783">
        <v>46111</v>
      </c>
      <c r="I314" s="306" t="s">
        <v>946</v>
      </c>
      <c r="J314" s="503"/>
    </row>
    <row r="315" spans="2:10" ht="31.2" x14ac:dyDescent="0.3">
      <c r="B315" s="31" t="s">
        <v>927</v>
      </c>
      <c r="C315" s="479" t="s">
        <v>221</v>
      </c>
      <c r="D315" s="146" t="s">
        <v>222</v>
      </c>
      <c r="E315" s="302" t="s">
        <v>510</v>
      </c>
      <c r="F315" s="483">
        <v>0.5</v>
      </c>
      <c r="G315" s="594" t="s">
        <v>948</v>
      </c>
      <c r="H315" s="783">
        <v>46203</v>
      </c>
      <c r="I315" s="306" t="s">
        <v>949</v>
      </c>
      <c r="J315" s="503"/>
    </row>
    <row r="316" spans="2:10" ht="31.2" x14ac:dyDescent="0.3">
      <c r="B316" s="31" t="s">
        <v>927</v>
      </c>
      <c r="C316" s="479" t="s">
        <v>221</v>
      </c>
      <c r="D316" s="146" t="s">
        <v>222</v>
      </c>
      <c r="E316" s="302" t="s">
        <v>515</v>
      </c>
      <c r="F316" s="483">
        <v>0.5</v>
      </c>
      <c r="G316" s="594" t="s">
        <v>950</v>
      </c>
      <c r="H316" s="783">
        <v>46203</v>
      </c>
      <c r="I316" s="306" t="s">
        <v>949</v>
      </c>
      <c r="J316" s="503"/>
    </row>
    <row r="317" spans="2:10" ht="15.6" x14ac:dyDescent="0.3">
      <c r="B317" s="145"/>
      <c r="C317" s="150"/>
      <c r="D317" s="146"/>
      <c r="E317" s="147"/>
      <c r="F317" s="483"/>
      <c r="G317" s="302"/>
      <c r="H317" s="314"/>
      <c r="I317" s="306"/>
      <c r="J317" s="528"/>
    </row>
    <row r="318" spans="2:10" s="58" customFormat="1" ht="15.6" x14ac:dyDescent="0.3">
      <c r="B318" s="352"/>
      <c r="C318" s="353" t="s">
        <v>771</v>
      </c>
      <c r="D318" s="354" t="s">
        <v>222</v>
      </c>
      <c r="E318" s="355"/>
      <c r="F318" s="543">
        <f>SUM(F301:F317)</f>
        <v>8</v>
      </c>
      <c r="G318" s="357"/>
      <c r="H318" s="358"/>
      <c r="I318" s="359"/>
      <c r="J318" s="526"/>
    </row>
    <row r="319" spans="2:10" s="58" customFormat="1" ht="15.6" x14ac:dyDescent="0.3">
      <c r="B319" s="352"/>
      <c r="C319" s="353" t="s">
        <v>772</v>
      </c>
      <c r="D319" s="354" t="s">
        <v>222</v>
      </c>
      <c r="E319" s="355"/>
      <c r="F319" s="543">
        <v>8</v>
      </c>
      <c r="G319" s="357"/>
      <c r="H319" s="358"/>
      <c r="I319" s="359"/>
      <c r="J319" s="526"/>
    </row>
    <row r="320" spans="2:10" s="58" customFormat="1" ht="15.6" x14ac:dyDescent="0.3">
      <c r="B320" s="360"/>
      <c r="C320" s="361" t="s">
        <v>773</v>
      </c>
      <c r="D320" s="362" t="s">
        <v>222</v>
      </c>
      <c r="E320" s="363"/>
      <c r="F320" s="544">
        <f>F318-F319</f>
        <v>0</v>
      </c>
      <c r="G320" s="365"/>
      <c r="H320" s="366"/>
      <c r="I320" s="367"/>
      <c r="J320" s="527"/>
    </row>
    <row r="321" spans="2:10" ht="7.5" customHeight="1" x14ac:dyDescent="0.3">
      <c r="B321" s="338"/>
      <c r="C321" s="142"/>
      <c r="D321" s="143"/>
      <c r="E321" s="144"/>
      <c r="F321" s="545"/>
      <c r="G321" s="144"/>
      <c r="H321" s="144"/>
      <c r="I321" s="515"/>
      <c r="J321" s="524"/>
    </row>
    <row r="322" spans="2:10" ht="31.2" x14ac:dyDescent="0.3">
      <c r="B322" s="124" t="s">
        <v>951</v>
      </c>
      <c r="C322" s="377" t="s">
        <v>952</v>
      </c>
      <c r="D322" s="127" t="s">
        <v>225</v>
      </c>
      <c r="E322" s="125"/>
      <c r="F322" s="480">
        <v>6</v>
      </c>
      <c r="G322" s="296" t="s">
        <v>953</v>
      </c>
      <c r="H322" s="297">
        <v>45526</v>
      </c>
      <c r="I322" s="305" t="s">
        <v>795</v>
      </c>
      <c r="J322" s="525"/>
    </row>
    <row r="323" spans="2:10" ht="31.2" x14ac:dyDescent="0.3">
      <c r="B323" s="145" t="s">
        <v>951</v>
      </c>
      <c r="C323" s="475" t="s">
        <v>952</v>
      </c>
      <c r="D323" s="146" t="s">
        <v>225</v>
      </c>
      <c r="E323" s="147"/>
      <c r="F323" s="483">
        <v>6</v>
      </c>
      <c r="G323" s="248" t="s">
        <v>954</v>
      </c>
      <c r="H323" s="314">
        <v>45655</v>
      </c>
      <c r="I323" s="306" t="s">
        <v>931</v>
      </c>
      <c r="J323" s="528"/>
    </row>
    <row r="324" spans="2:10" ht="31.2" x14ac:dyDescent="0.3">
      <c r="B324" s="145" t="s">
        <v>951</v>
      </c>
      <c r="C324" s="475" t="s">
        <v>952</v>
      </c>
      <c r="D324" s="146" t="s">
        <v>225</v>
      </c>
      <c r="E324" s="147"/>
      <c r="F324" s="483">
        <v>6</v>
      </c>
      <c r="G324" s="594" t="s">
        <v>955</v>
      </c>
      <c r="H324" s="783">
        <v>45747</v>
      </c>
      <c r="I324" s="306" t="s">
        <v>934</v>
      </c>
      <c r="J324" s="528"/>
    </row>
    <row r="325" spans="2:10" ht="31.2" x14ac:dyDescent="0.3">
      <c r="B325" s="145" t="s">
        <v>951</v>
      </c>
      <c r="C325" s="475" t="s">
        <v>952</v>
      </c>
      <c r="D325" s="146" t="s">
        <v>225</v>
      </c>
      <c r="E325" s="147"/>
      <c r="F325" s="483">
        <v>6</v>
      </c>
      <c r="G325" s="594" t="s">
        <v>956</v>
      </c>
      <c r="H325" s="783">
        <v>45838</v>
      </c>
      <c r="I325" s="306" t="s">
        <v>937</v>
      </c>
      <c r="J325" s="528"/>
    </row>
    <row r="326" spans="2:10" ht="31.2" x14ac:dyDescent="0.3">
      <c r="B326" s="145" t="s">
        <v>951</v>
      </c>
      <c r="C326" s="475" t="s">
        <v>952</v>
      </c>
      <c r="D326" s="146" t="s">
        <v>225</v>
      </c>
      <c r="E326" s="147"/>
      <c r="F326" s="483">
        <v>6</v>
      </c>
      <c r="G326" s="594" t="s">
        <v>957</v>
      </c>
      <c r="H326" s="783">
        <v>45930</v>
      </c>
      <c r="I326" s="306" t="s">
        <v>940</v>
      </c>
      <c r="J326" s="528"/>
    </row>
    <row r="327" spans="2:10" ht="31.2" x14ac:dyDescent="0.3">
      <c r="B327" s="145" t="s">
        <v>951</v>
      </c>
      <c r="C327" s="475" t="s">
        <v>952</v>
      </c>
      <c r="D327" s="146" t="s">
        <v>225</v>
      </c>
      <c r="E327" s="147"/>
      <c r="F327" s="483">
        <v>6</v>
      </c>
      <c r="G327" s="594" t="s">
        <v>958</v>
      </c>
      <c r="H327" s="783">
        <v>46022</v>
      </c>
      <c r="I327" s="306" t="s">
        <v>943</v>
      </c>
      <c r="J327" s="528"/>
    </row>
    <row r="328" spans="2:10" ht="31.2" x14ac:dyDescent="0.3">
      <c r="B328" s="145" t="s">
        <v>951</v>
      </c>
      <c r="C328" s="475" t="s">
        <v>952</v>
      </c>
      <c r="D328" s="146" t="s">
        <v>225</v>
      </c>
      <c r="E328" s="147"/>
      <c r="F328" s="483">
        <v>6</v>
      </c>
      <c r="G328" s="594" t="s">
        <v>959</v>
      </c>
      <c r="H328" s="783">
        <v>46111</v>
      </c>
      <c r="I328" s="306" t="s">
        <v>946</v>
      </c>
      <c r="J328" s="528"/>
    </row>
    <row r="329" spans="2:10" ht="31.2" x14ac:dyDescent="0.3">
      <c r="B329" s="145" t="s">
        <v>951</v>
      </c>
      <c r="C329" s="475" t="s">
        <v>952</v>
      </c>
      <c r="D329" s="146" t="s">
        <v>225</v>
      </c>
      <c r="E329" s="147"/>
      <c r="F329" s="483">
        <v>6</v>
      </c>
      <c r="G329" s="594" t="s">
        <v>960</v>
      </c>
      <c r="H329" s="783">
        <v>46203</v>
      </c>
      <c r="I329" s="306" t="s">
        <v>949</v>
      </c>
      <c r="J329" s="528"/>
    </row>
    <row r="330" spans="2:10" ht="15.6" x14ac:dyDescent="0.3">
      <c r="B330" s="145"/>
      <c r="C330" s="150"/>
      <c r="D330" s="146"/>
      <c r="E330" s="147"/>
      <c r="F330" s="483"/>
      <c r="G330" s="302"/>
      <c r="H330" s="314"/>
      <c r="I330" s="306"/>
      <c r="J330" s="528"/>
    </row>
    <row r="331" spans="2:10" s="58" customFormat="1" ht="15.6" x14ac:dyDescent="0.3">
      <c r="B331" s="352"/>
      <c r="C331" s="353" t="s">
        <v>771</v>
      </c>
      <c r="D331" s="354" t="s">
        <v>225</v>
      </c>
      <c r="E331" s="355"/>
      <c r="F331" s="543">
        <f>SUM(F322:F330)</f>
        <v>48</v>
      </c>
      <c r="G331" s="357"/>
      <c r="H331" s="358"/>
      <c r="I331" s="359"/>
      <c r="J331" s="526"/>
    </row>
    <row r="332" spans="2:10" s="58" customFormat="1" ht="15.6" x14ac:dyDescent="0.3">
      <c r="B332" s="352"/>
      <c r="C332" s="353" t="s">
        <v>772</v>
      </c>
      <c r="D332" s="354" t="s">
        <v>225</v>
      </c>
      <c r="E332" s="355"/>
      <c r="F332" s="543">
        <v>48</v>
      </c>
      <c r="G332" s="357"/>
      <c r="H332" s="358"/>
      <c r="I332" s="359"/>
      <c r="J332" s="526"/>
    </row>
    <row r="333" spans="2:10" s="58" customFormat="1" ht="15.6" x14ac:dyDescent="0.3">
      <c r="B333" s="360"/>
      <c r="C333" s="361" t="s">
        <v>773</v>
      </c>
      <c r="D333" s="362" t="s">
        <v>225</v>
      </c>
      <c r="E333" s="363"/>
      <c r="F333" s="544">
        <f>F331-F332</f>
        <v>0</v>
      </c>
      <c r="G333" s="365"/>
      <c r="H333" s="366"/>
      <c r="I333" s="367"/>
      <c r="J333" s="527"/>
    </row>
    <row r="334" spans="2:10" ht="7.5" customHeight="1" x14ac:dyDescent="0.3">
      <c r="B334" s="338"/>
      <c r="C334" s="142"/>
      <c r="D334" s="143"/>
      <c r="E334" s="144"/>
      <c r="F334" s="545"/>
      <c r="G334" s="144"/>
      <c r="H334" s="144"/>
      <c r="I334" s="515"/>
      <c r="J334" s="524"/>
    </row>
    <row r="335" spans="2:10" ht="31.2" x14ac:dyDescent="0.3">
      <c r="B335" s="124" t="s">
        <v>961</v>
      </c>
      <c r="C335" s="377" t="s">
        <v>962</v>
      </c>
      <c r="D335" s="127" t="s">
        <v>225</v>
      </c>
      <c r="E335" s="125"/>
      <c r="F335" s="480">
        <v>2</v>
      </c>
      <c r="G335" s="296" t="s">
        <v>963</v>
      </c>
      <c r="H335" s="297">
        <v>45596</v>
      </c>
      <c r="I335" s="305" t="s">
        <v>871</v>
      </c>
      <c r="J335" s="525"/>
    </row>
    <row r="336" spans="2:10" ht="31.2" x14ac:dyDescent="0.3">
      <c r="B336" s="145" t="s">
        <v>961</v>
      </c>
      <c r="C336" s="475" t="s">
        <v>962</v>
      </c>
      <c r="D336" s="146" t="s">
        <v>225</v>
      </c>
      <c r="E336" s="147"/>
      <c r="F336" s="483">
        <v>2</v>
      </c>
      <c r="G336" s="302" t="s">
        <v>964</v>
      </c>
      <c r="H336" s="314">
        <v>45655</v>
      </c>
      <c r="I336" s="306" t="s">
        <v>931</v>
      </c>
      <c r="J336" s="528"/>
    </row>
    <row r="337" spans="2:10" ht="31.2" x14ac:dyDescent="0.3">
      <c r="B337" s="145" t="s">
        <v>961</v>
      </c>
      <c r="C337" s="475" t="s">
        <v>962</v>
      </c>
      <c r="D337" s="146" t="s">
        <v>225</v>
      </c>
      <c r="E337" s="147"/>
      <c r="F337" s="483">
        <v>2</v>
      </c>
      <c r="G337" s="594" t="s">
        <v>965</v>
      </c>
      <c r="H337" s="783">
        <v>45747</v>
      </c>
      <c r="I337" s="306" t="s">
        <v>934</v>
      </c>
      <c r="J337" s="528"/>
    </row>
    <row r="338" spans="2:10" ht="31.2" x14ac:dyDescent="0.3">
      <c r="B338" s="145" t="s">
        <v>961</v>
      </c>
      <c r="C338" s="475" t="s">
        <v>962</v>
      </c>
      <c r="D338" s="146" t="s">
        <v>225</v>
      </c>
      <c r="E338" s="147"/>
      <c r="F338" s="483">
        <v>2</v>
      </c>
      <c r="G338" s="594" t="s">
        <v>966</v>
      </c>
      <c r="H338" s="783">
        <v>45838</v>
      </c>
      <c r="I338" s="306" t="s">
        <v>937</v>
      </c>
      <c r="J338" s="528"/>
    </row>
    <row r="339" spans="2:10" ht="31.2" x14ac:dyDescent="0.3">
      <c r="B339" s="145" t="s">
        <v>961</v>
      </c>
      <c r="C339" s="475" t="s">
        <v>962</v>
      </c>
      <c r="D339" s="146" t="s">
        <v>225</v>
      </c>
      <c r="E339" s="147"/>
      <c r="F339" s="483">
        <v>2</v>
      </c>
      <c r="G339" s="594" t="s">
        <v>967</v>
      </c>
      <c r="H339" s="783">
        <v>45930</v>
      </c>
      <c r="I339" s="306" t="s">
        <v>940</v>
      </c>
      <c r="J339" s="528"/>
    </row>
    <row r="340" spans="2:10" ht="31.2" x14ac:dyDescent="0.3">
      <c r="B340" s="145" t="s">
        <v>961</v>
      </c>
      <c r="C340" s="475" t="s">
        <v>962</v>
      </c>
      <c r="D340" s="146" t="s">
        <v>225</v>
      </c>
      <c r="E340" s="147"/>
      <c r="F340" s="483">
        <v>2</v>
      </c>
      <c r="G340" s="594" t="s">
        <v>968</v>
      </c>
      <c r="H340" s="783">
        <v>46022</v>
      </c>
      <c r="I340" s="306" t="s">
        <v>943</v>
      </c>
      <c r="J340" s="528"/>
    </row>
    <row r="341" spans="2:10" ht="31.2" x14ac:dyDescent="0.3">
      <c r="B341" s="145" t="s">
        <v>961</v>
      </c>
      <c r="C341" s="475" t="s">
        <v>962</v>
      </c>
      <c r="D341" s="146" t="s">
        <v>225</v>
      </c>
      <c r="E341" s="147"/>
      <c r="F341" s="483">
        <v>2</v>
      </c>
      <c r="G341" s="594" t="s">
        <v>969</v>
      </c>
      <c r="H341" s="783">
        <v>46111</v>
      </c>
      <c r="I341" s="306" t="s">
        <v>946</v>
      </c>
      <c r="J341" s="528"/>
    </row>
    <row r="342" spans="2:10" ht="31.2" x14ac:dyDescent="0.3">
      <c r="B342" s="145" t="s">
        <v>961</v>
      </c>
      <c r="C342" s="475" t="s">
        <v>962</v>
      </c>
      <c r="D342" s="146" t="s">
        <v>225</v>
      </c>
      <c r="E342" s="147"/>
      <c r="F342" s="483">
        <v>2</v>
      </c>
      <c r="G342" s="594" t="s">
        <v>970</v>
      </c>
      <c r="H342" s="783">
        <v>46203</v>
      </c>
      <c r="I342" s="306" t="s">
        <v>949</v>
      </c>
      <c r="J342" s="528"/>
    </row>
    <row r="343" spans="2:10" ht="15.6" x14ac:dyDescent="0.3">
      <c r="B343" s="145"/>
      <c r="C343" s="150"/>
      <c r="D343" s="146"/>
      <c r="E343" s="147"/>
      <c r="F343" s="483"/>
      <c r="G343" s="302"/>
      <c r="H343" s="314"/>
      <c r="I343" s="306"/>
      <c r="J343" s="528"/>
    </row>
    <row r="344" spans="2:10" s="58" customFormat="1" ht="15.6" x14ac:dyDescent="0.3">
      <c r="B344" s="352"/>
      <c r="C344" s="353" t="s">
        <v>771</v>
      </c>
      <c r="D344" s="354" t="s">
        <v>225</v>
      </c>
      <c r="E344" s="355"/>
      <c r="F344" s="543">
        <f>SUM(F335:F343)</f>
        <v>16</v>
      </c>
      <c r="G344" s="357"/>
      <c r="H344" s="358"/>
      <c r="I344" s="359"/>
      <c r="J344" s="526"/>
    </row>
    <row r="345" spans="2:10" s="58" customFormat="1" ht="15.6" x14ac:dyDescent="0.3">
      <c r="B345" s="352"/>
      <c r="C345" s="353" t="s">
        <v>772</v>
      </c>
      <c r="D345" s="354" t="s">
        <v>225</v>
      </c>
      <c r="E345" s="355"/>
      <c r="F345" s="543">
        <v>16</v>
      </c>
      <c r="G345" s="357"/>
      <c r="H345" s="358"/>
      <c r="I345" s="359"/>
      <c r="J345" s="526"/>
    </row>
    <row r="346" spans="2:10" s="58" customFormat="1" ht="15.6" x14ac:dyDescent="0.3">
      <c r="B346" s="360"/>
      <c r="C346" s="361" t="s">
        <v>773</v>
      </c>
      <c r="D346" s="362" t="s">
        <v>225</v>
      </c>
      <c r="E346" s="363"/>
      <c r="F346" s="544">
        <f>F344-F345</f>
        <v>0</v>
      </c>
      <c r="G346" s="365"/>
      <c r="H346" s="366"/>
      <c r="I346" s="367"/>
      <c r="J346" s="527"/>
    </row>
    <row r="347" spans="2:10" ht="7.5" customHeight="1" x14ac:dyDescent="0.3">
      <c r="B347" s="338"/>
      <c r="C347" s="142"/>
      <c r="D347" s="143"/>
      <c r="E347" s="144"/>
      <c r="F347" s="545"/>
      <c r="G347" s="144"/>
      <c r="H347" s="144"/>
      <c r="I347" s="515"/>
      <c r="J347" s="524"/>
    </row>
    <row r="348" spans="2:10" ht="31.2" x14ac:dyDescent="0.3">
      <c r="B348" s="124" t="s">
        <v>971</v>
      </c>
      <c r="C348" s="377" t="s">
        <v>972</v>
      </c>
      <c r="D348" s="127" t="s">
        <v>225</v>
      </c>
      <c r="E348" s="125"/>
      <c r="F348" s="480">
        <v>1</v>
      </c>
      <c r="G348" s="296" t="s">
        <v>963</v>
      </c>
      <c r="H348" s="297">
        <v>45596</v>
      </c>
      <c r="I348" s="305" t="s">
        <v>871</v>
      </c>
      <c r="J348" s="525"/>
    </row>
    <row r="349" spans="2:10" ht="31.2" x14ac:dyDescent="0.3">
      <c r="B349" s="145" t="s">
        <v>971</v>
      </c>
      <c r="C349" s="475" t="s">
        <v>972</v>
      </c>
      <c r="D349" s="146" t="s">
        <v>225</v>
      </c>
      <c r="E349" s="147"/>
      <c r="F349" s="483">
        <v>1</v>
      </c>
      <c r="G349" s="302" t="s">
        <v>973</v>
      </c>
      <c r="H349" s="314">
        <v>45655</v>
      </c>
      <c r="I349" s="306" t="s">
        <v>931</v>
      </c>
      <c r="J349" s="528"/>
    </row>
    <row r="350" spans="2:10" ht="31.2" x14ac:dyDescent="0.3">
      <c r="B350" s="145" t="s">
        <v>971</v>
      </c>
      <c r="C350" s="475" t="s">
        <v>972</v>
      </c>
      <c r="D350" s="146" t="s">
        <v>225</v>
      </c>
      <c r="E350" s="147"/>
      <c r="F350" s="483">
        <v>1</v>
      </c>
      <c r="G350" s="594" t="s">
        <v>974</v>
      </c>
      <c r="H350" s="783">
        <v>45747</v>
      </c>
      <c r="I350" s="306" t="s">
        <v>934</v>
      </c>
      <c r="J350" s="528"/>
    </row>
    <row r="351" spans="2:10" ht="31.2" x14ac:dyDescent="0.3">
      <c r="B351" s="145" t="s">
        <v>971</v>
      </c>
      <c r="C351" s="475" t="s">
        <v>972</v>
      </c>
      <c r="D351" s="146" t="s">
        <v>225</v>
      </c>
      <c r="E351" s="147"/>
      <c r="F351" s="483">
        <v>1</v>
      </c>
      <c r="G351" s="594" t="s">
        <v>975</v>
      </c>
      <c r="H351" s="783">
        <v>45838</v>
      </c>
      <c r="I351" s="306" t="s">
        <v>937</v>
      </c>
      <c r="J351" s="528"/>
    </row>
    <row r="352" spans="2:10" ht="31.2" x14ac:dyDescent="0.3">
      <c r="B352" s="145" t="s">
        <v>971</v>
      </c>
      <c r="C352" s="475" t="s">
        <v>972</v>
      </c>
      <c r="D352" s="146" t="s">
        <v>225</v>
      </c>
      <c r="E352" s="147"/>
      <c r="F352" s="483">
        <v>1</v>
      </c>
      <c r="G352" s="594" t="s">
        <v>976</v>
      </c>
      <c r="H352" s="783">
        <v>45930</v>
      </c>
      <c r="I352" s="306" t="s">
        <v>940</v>
      </c>
      <c r="J352" s="528"/>
    </row>
    <row r="353" spans="2:10" ht="31.2" x14ac:dyDescent="0.3">
      <c r="B353" s="145" t="s">
        <v>971</v>
      </c>
      <c r="C353" s="475" t="s">
        <v>972</v>
      </c>
      <c r="D353" s="146" t="s">
        <v>225</v>
      </c>
      <c r="E353" s="147"/>
      <c r="F353" s="483">
        <v>1</v>
      </c>
      <c r="G353" s="594" t="s">
        <v>977</v>
      </c>
      <c r="H353" s="783">
        <v>46022</v>
      </c>
      <c r="I353" s="306" t="s">
        <v>943</v>
      </c>
      <c r="J353" s="528"/>
    </row>
    <row r="354" spans="2:10" ht="31.2" x14ac:dyDescent="0.3">
      <c r="B354" s="145" t="s">
        <v>971</v>
      </c>
      <c r="C354" s="475" t="s">
        <v>972</v>
      </c>
      <c r="D354" s="146" t="s">
        <v>225</v>
      </c>
      <c r="E354" s="147"/>
      <c r="F354" s="483">
        <v>1</v>
      </c>
      <c r="G354" s="594" t="s">
        <v>978</v>
      </c>
      <c r="H354" s="783">
        <v>46111</v>
      </c>
      <c r="I354" s="306" t="s">
        <v>946</v>
      </c>
      <c r="J354" s="528"/>
    </row>
    <row r="355" spans="2:10" ht="31.2" x14ac:dyDescent="0.3">
      <c r="B355" s="145" t="s">
        <v>971</v>
      </c>
      <c r="C355" s="475" t="s">
        <v>972</v>
      </c>
      <c r="D355" s="146" t="s">
        <v>225</v>
      </c>
      <c r="E355" s="147"/>
      <c r="F355" s="483">
        <v>1</v>
      </c>
      <c r="G355" s="594" t="s">
        <v>979</v>
      </c>
      <c r="H355" s="783">
        <v>46203</v>
      </c>
      <c r="I355" s="306" t="s">
        <v>949</v>
      </c>
      <c r="J355" s="528"/>
    </row>
    <row r="356" spans="2:10" ht="15.6" x14ac:dyDescent="0.3">
      <c r="B356" s="145"/>
      <c r="C356" s="150"/>
      <c r="D356" s="146"/>
      <c r="E356" s="147"/>
      <c r="F356" s="483"/>
      <c r="G356" s="302"/>
      <c r="H356" s="314"/>
      <c r="I356" s="306"/>
      <c r="J356" s="528"/>
    </row>
    <row r="357" spans="2:10" s="58" customFormat="1" ht="15.6" x14ac:dyDescent="0.3">
      <c r="B357" s="352"/>
      <c r="C357" s="353" t="s">
        <v>771</v>
      </c>
      <c r="D357" s="354" t="s">
        <v>225</v>
      </c>
      <c r="E357" s="355"/>
      <c r="F357" s="543">
        <f>SUM(F348:F356)</f>
        <v>8</v>
      </c>
      <c r="G357" s="357"/>
      <c r="H357" s="358"/>
      <c r="I357" s="359"/>
      <c r="J357" s="526"/>
    </row>
    <row r="358" spans="2:10" s="58" customFormat="1" ht="15.6" x14ac:dyDescent="0.3">
      <c r="B358" s="352"/>
      <c r="C358" s="353" t="s">
        <v>772</v>
      </c>
      <c r="D358" s="354" t="s">
        <v>225</v>
      </c>
      <c r="E358" s="355"/>
      <c r="F358" s="543">
        <v>8</v>
      </c>
      <c r="G358" s="357"/>
      <c r="H358" s="358"/>
      <c r="I358" s="359"/>
      <c r="J358" s="526"/>
    </row>
    <row r="359" spans="2:10" s="58" customFormat="1" ht="15.6" x14ac:dyDescent="0.3">
      <c r="B359" s="360"/>
      <c r="C359" s="361" t="s">
        <v>773</v>
      </c>
      <c r="D359" s="362" t="s">
        <v>225</v>
      </c>
      <c r="E359" s="363"/>
      <c r="F359" s="544">
        <f>F357-F358</f>
        <v>0</v>
      </c>
      <c r="G359" s="365"/>
      <c r="H359" s="366"/>
      <c r="I359" s="367"/>
      <c r="J359" s="527"/>
    </row>
    <row r="360" spans="2:10" ht="7.5" customHeight="1" x14ac:dyDescent="0.3">
      <c r="B360" s="338"/>
      <c r="C360" s="142"/>
      <c r="D360" s="143"/>
      <c r="E360" s="144"/>
      <c r="F360" s="545"/>
      <c r="G360" s="144"/>
      <c r="H360" s="144"/>
      <c r="I360" s="515"/>
      <c r="J360" s="524"/>
    </row>
    <row r="361" spans="2:10" ht="31.2" x14ac:dyDescent="0.3">
      <c r="B361" s="124" t="s">
        <v>980</v>
      </c>
      <c r="C361" s="377" t="s">
        <v>228</v>
      </c>
      <c r="D361" s="127" t="s">
        <v>222</v>
      </c>
      <c r="E361" s="296" t="s">
        <v>510</v>
      </c>
      <c r="F361" s="480">
        <v>1</v>
      </c>
      <c r="G361" s="296" t="s">
        <v>981</v>
      </c>
      <c r="H361" s="297">
        <v>45535</v>
      </c>
      <c r="I361" s="305" t="s">
        <v>795</v>
      </c>
      <c r="J361" s="530"/>
    </row>
    <row r="362" spans="2:10" ht="31.2" x14ac:dyDescent="0.3">
      <c r="B362" s="145" t="s">
        <v>980</v>
      </c>
      <c r="C362" s="475" t="s">
        <v>228</v>
      </c>
      <c r="D362" s="146" t="s">
        <v>222</v>
      </c>
      <c r="E362" s="302" t="s">
        <v>510</v>
      </c>
      <c r="F362" s="483">
        <v>1</v>
      </c>
      <c r="G362" s="248" t="s">
        <v>982</v>
      </c>
      <c r="H362" s="314">
        <v>45655</v>
      </c>
      <c r="I362" s="306" t="s">
        <v>931</v>
      </c>
      <c r="J362" s="503"/>
    </row>
    <row r="363" spans="2:10" ht="31.2" x14ac:dyDescent="0.3">
      <c r="B363" s="145" t="s">
        <v>980</v>
      </c>
      <c r="C363" s="475" t="s">
        <v>228</v>
      </c>
      <c r="D363" s="146" t="s">
        <v>222</v>
      </c>
      <c r="E363" s="147" t="s">
        <v>510</v>
      </c>
      <c r="F363" s="483">
        <v>1</v>
      </c>
      <c r="G363" s="594" t="s">
        <v>983</v>
      </c>
      <c r="H363" s="783">
        <v>45747</v>
      </c>
      <c r="I363" s="306" t="s">
        <v>934</v>
      </c>
      <c r="J363" s="528"/>
    </row>
    <row r="364" spans="2:10" ht="31.2" x14ac:dyDescent="0.3">
      <c r="B364" s="145" t="s">
        <v>980</v>
      </c>
      <c r="C364" s="475" t="s">
        <v>228</v>
      </c>
      <c r="D364" s="146" t="s">
        <v>222</v>
      </c>
      <c r="E364" s="147" t="s">
        <v>510</v>
      </c>
      <c r="F364" s="483">
        <v>1</v>
      </c>
      <c r="G364" s="594" t="s">
        <v>984</v>
      </c>
      <c r="H364" s="783">
        <v>45838</v>
      </c>
      <c r="I364" s="306" t="s">
        <v>937</v>
      </c>
      <c r="J364" s="528"/>
    </row>
    <row r="365" spans="2:10" ht="31.2" x14ac:dyDescent="0.3">
      <c r="B365" s="145" t="s">
        <v>980</v>
      </c>
      <c r="C365" s="475" t="s">
        <v>228</v>
      </c>
      <c r="D365" s="146" t="s">
        <v>222</v>
      </c>
      <c r="E365" s="147" t="s">
        <v>510</v>
      </c>
      <c r="F365" s="483">
        <v>1</v>
      </c>
      <c r="G365" s="594" t="s">
        <v>985</v>
      </c>
      <c r="H365" s="783">
        <v>45930</v>
      </c>
      <c r="I365" s="306" t="s">
        <v>940</v>
      </c>
      <c r="J365" s="528"/>
    </row>
    <row r="366" spans="2:10" ht="31.2" x14ac:dyDescent="0.3">
      <c r="B366" s="145" t="s">
        <v>980</v>
      </c>
      <c r="C366" s="475" t="s">
        <v>228</v>
      </c>
      <c r="D366" s="146" t="s">
        <v>222</v>
      </c>
      <c r="E366" s="147" t="s">
        <v>510</v>
      </c>
      <c r="F366" s="483">
        <v>1</v>
      </c>
      <c r="G366" s="594" t="s">
        <v>986</v>
      </c>
      <c r="H366" s="783">
        <v>46022</v>
      </c>
      <c r="I366" s="306" t="s">
        <v>943</v>
      </c>
      <c r="J366" s="528"/>
    </row>
    <row r="367" spans="2:10" ht="31.2" x14ac:dyDescent="0.3">
      <c r="B367" s="145" t="s">
        <v>980</v>
      </c>
      <c r="C367" s="475" t="s">
        <v>228</v>
      </c>
      <c r="D367" s="146" t="s">
        <v>222</v>
      </c>
      <c r="E367" s="147" t="s">
        <v>510</v>
      </c>
      <c r="F367" s="483">
        <v>1</v>
      </c>
      <c r="G367" s="594" t="s">
        <v>987</v>
      </c>
      <c r="H367" s="783">
        <v>46111</v>
      </c>
      <c r="I367" s="306" t="s">
        <v>946</v>
      </c>
      <c r="J367" s="528"/>
    </row>
    <row r="368" spans="2:10" ht="31.2" x14ac:dyDescent="0.3">
      <c r="B368" s="145" t="s">
        <v>980</v>
      </c>
      <c r="C368" s="475" t="s">
        <v>228</v>
      </c>
      <c r="D368" s="146" t="s">
        <v>222</v>
      </c>
      <c r="E368" s="147" t="s">
        <v>510</v>
      </c>
      <c r="F368" s="483">
        <v>1</v>
      </c>
      <c r="G368" s="594" t="s">
        <v>988</v>
      </c>
      <c r="H368" s="783">
        <v>46203</v>
      </c>
      <c r="I368" s="306" t="s">
        <v>949</v>
      </c>
      <c r="J368" s="528"/>
    </row>
    <row r="369" spans="2:10" ht="15.6" x14ac:dyDescent="0.3">
      <c r="B369" s="145"/>
      <c r="C369" s="150"/>
      <c r="D369" s="146"/>
      <c r="E369" s="147"/>
      <c r="F369" s="483"/>
      <c r="G369" s="302"/>
      <c r="H369" s="314"/>
      <c r="I369" s="306"/>
      <c r="J369" s="528"/>
    </row>
    <row r="370" spans="2:10" s="58" customFormat="1" ht="15.6" x14ac:dyDescent="0.3">
      <c r="B370" s="352"/>
      <c r="C370" s="353" t="s">
        <v>771</v>
      </c>
      <c r="D370" s="354" t="s">
        <v>222</v>
      </c>
      <c r="E370" s="355"/>
      <c r="F370" s="543">
        <f>SUM(F361:F369)</f>
        <v>8</v>
      </c>
      <c r="G370" s="357"/>
      <c r="H370" s="358"/>
      <c r="I370" s="359"/>
      <c r="J370" s="526"/>
    </row>
    <row r="371" spans="2:10" s="58" customFormat="1" ht="15.6" x14ac:dyDescent="0.3">
      <c r="B371" s="352"/>
      <c r="C371" s="353" t="s">
        <v>772</v>
      </c>
      <c r="D371" s="354" t="s">
        <v>222</v>
      </c>
      <c r="E371" s="355"/>
      <c r="F371" s="543">
        <v>8</v>
      </c>
      <c r="G371" s="357"/>
      <c r="H371" s="358"/>
      <c r="I371" s="359"/>
      <c r="J371" s="526"/>
    </row>
    <row r="372" spans="2:10" s="58" customFormat="1" ht="15.6" x14ac:dyDescent="0.3">
      <c r="B372" s="360"/>
      <c r="C372" s="361" t="s">
        <v>773</v>
      </c>
      <c r="D372" s="362" t="s">
        <v>222</v>
      </c>
      <c r="E372" s="363"/>
      <c r="F372" s="544">
        <f>F370-F371</f>
        <v>0</v>
      </c>
      <c r="G372" s="365"/>
      <c r="H372" s="366"/>
      <c r="I372" s="367"/>
      <c r="J372" s="527"/>
    </row>
    <row r="373" spans="2:10" ht="7.5" customHeight="1" x14ac:dyDescent="0.3">
      <c r="B373" s="338"/>
      <c r="C373" s="142"/>
      <c r="D373" s="143"/>
      <c r="E373" s="144"/>
      <c r="F373" s="545"/>
      <c r="G373" s="144"/>
      <c r="H373" s="144"/>
      <c r="I373" s="515"/>
      <c r="J373" s="524"/>
    </row>
    <row r="374" spans="2:10" ht="31.2" x14ac:dyDescent="0.3">
      <c r="B374" s="124" t="s">
        <v>989</v>
      </c>
      <c r="C374" s="377" t="s">
        <v>229</v>
      </c>
      <c r="D374" s="127" t="s">
        <v>222</v>
      </c>
      <c r="E374" s="296" t="s">
        <v>510</v>
      </c>
      <c r="F374" s="480">
        <v>0.5</v>
      </c>
      <c r="G374" s="296" t="s">
        <v>990</v>
      </c>
      <c r="H374" s="297">
        <v>45535</v>
      </c>
      <c r="I374" s="305" t="s">
        <v>795</v>
      </c>
      <c r="J374" s="530"/>
    </row>
    <row r="375" spans="2:10" ht="31.2" x14ac:dyDescent="0.3">
      <c r="B375" s="145" t="s">
        <v>989</v>
      </c>
      <c r="C375" s="475" t="s">
        <v>229</v>
      </c>
      <c r="D375" s="146" t="s">
        <v>222</v>
      </c>
      <c r="E375" s="302" t="s">
        <v>515</v>
      </c>
      <c r="F375" s="483">
        <v>0.5</v>
      </c>
      <c r="G375" s="302" t="s">
        <v>991</v>
      </c>
      <c r="H375" s="314">
        <v>45535</v>
      </c>
      <c r="I375" s="306" t="s">
        <v>795</v>
      </c>
      <c r="J375" s="503"/>
    </row>
    <row r="376" spans="2:10" ht="31.2" x14ac:dyDescent="0.3">
      <c r="B376" s="145" t="s">
        <v>989</v>
      </c>
      <c r="C376" s="475" t="s">
        <v>229</v>
      </c>
      <c r="D376" s="146" t="s">
        <v>222</v>
      </c>
      <c r="E376" s="302" t="s">
        <v>510</v>
      </c>
      <c r="F376" s="483">
        <v>0.5</v>
      </c>
      <c r="G376" s="248" t="s">
        <v>992</v>
      </c>
      <c r="H376" s="314">
        <v>45655</v>
      </c>
      <c r="I376" s="306" t="s">
        <v>931</v>
      </c>
      <c r="J376" s="503"/>
    </row>
    <row r="377" spans="2:10" ht="31.2" x14ac:dyDescent="0.3">
      <c r="B377" s="145" t="s">
        <v>989</v>
      </c>
      <c r="C377" s="475" t="s">
        <v>229</v>
      </c>
      <c r="D377" s="146" t="s">
        <v>222</v>
      </c>
      <c r="E377" s="302" t="s">
        <v>515</v>
      </c>
      <c r="F377" s="483">
        <v>0.5</v>
      </c>
      <c r="G377" s="248" t="s">
        <v>993</v>
      </c>
      <c r="H377" s="314">
        <v>45655</v>
      </c>
      <c r="I377" s="306" t="s">
        <v>931</v>
      </c>
      <c r="J377" s="503"/>
    </row>
    <row r="378" spans="2:10" ht="31.2" x14ac:dyDescent="0.3">
      <c r="B378" s="145" t="s">
        <v>989</v>
      </c>
      <c r="C378" s="475" t="s">
        <v>229</v>
      </c>
      <c r="D378" s="146" t="s">
        <v>222</v>
      </c>
      <c r="E378" s="302" t="s">
        <v>510</v>
      </c>
      <c r="F378" s="483">
        <v>0.5</v>
      </c>
      <c r="G378" s="594" t="s">
        <v>994</v>
      </c>
      <c r="H378" s="783">
        <v>45747</v>
      </c>
      <c r="I378" s="306" t="s">
        <v>934</v>
      </c>
      <c r="J378" s="503"/>
    </row>
    <row r="379" spans="2:10" ht="31.2" x14ac:dyDescent="0.3">
      <c r="B379" s="145" t="s">
        <v>989</v>
      </c>
      <c r="C379" s="475" t="s">
        <v>229</v>
      </c>
      <c r="D379" s="146" t="s">
        <v>222</v>
      </c>
      <c r="E379" s="302" t="s">
        <v>515</v>
      </c>
      <c r="F379" s="483">
        <v>0.5</v>
      </c>
      <c r="G379" s="594" t="s">
        <v>995</v>
      </c>
      <c r="H379" s="783">
        <v>45747</v>
      </c>
      <c r="I379" s="306" t="s">
        <v>934</v>
      </c>
      <c r="J379" s="503"/>
    </row>
    <row r="380" spans="2:10" ht="31.2" x14ac:dyDescent="0.3">
      <c r="B380" s="145" t="s">
        <v>989</v>
      </c>
      <c r="C380" s="475" t="s">
        <v>229</v>
      </c>
      <c r="D380" s="146" t="s">
        <v>222</v>
      </c>
      <c r="E380" s="302" t="s">
        <v>510</v>
      </c>
      <c r="F380" s="483">
        <v>0.5</v>
      </c>
      <c r="G380" s="594" t="s">
        <v>996</v>
      </c>
      <c r="H380" s="783">
        <v>45838</v>
      </c>
      <c r="I380" s="306" t="s">
        <v>937</v>
      </c>
      <c r="J380" s="503"/>
    </row>
    <row r="381" spans="2:10" ht="31.2" x14ac:dyDescent="0.3">
      <c r="B381" s="145" t="s">
        <v>989</v>
      </c>
      <c r="C381" s="475" t="s">
        <v>229</v>
      </c>
      <c r="D381" s="146" t="s">
        <v>222</v>
      </c>
      <c r="E381" s="302" t="s">
        <v>515</v>
      </c>
      <c r="F381" s="483">
        <v>0.5</v>
      </c>
      <c r="G381" s="594" t="s">
        <v>997</v>
      </c>
      <c r="H381" s="783">
        <v>45838</v>
      </c>
      <c r="I381" s="306" t="s">
        <v>937</v>
      </c>
      <c r="J381" s="503"/>
    </row>
    <row r="382" spans="2:10" ht="31.2" x14ac:dyDescent="0.3">
      <c r="B382" s="145" t="s">
        <v>989</v>
      </c>
      <c r="C382" s="475" t="s">
        <v>229</v>
      </c>
      <c r="D382" s="146" t="s">
        <v>222</v>
      </c>
      <c r="E382" s="302" t="s">
        <v>510</v>
      </c>
      <c r="F382" s="483">
        <v>0.5</v>
      </c>
      <c r="G382" s="594" t="s">
        <v>998</v>
      </c>
      <c r="H382" s="783">
        <v>45930</v>
      </c>
      <c r="I382" s="306" t="s">
        <v>940</v>
      </c>
      <c r="J382" s="503"/>
    </row>
    <row r="383" spans="2:10" ht="31.2" x14ac:dyDescent="0.3">
      <c r="B383" s="145" t="s">
        <v>989</v>
      </c>
      <c r="C383" s="475" t="s">
        <v>229</v>
      </c>
      <c r="D383" s="146" t="s">
        <v>222</v>
      </c>
      <c r="E383" s="302" t="s">
        <v>515</v>
      </c>
      <c r="F383" s="483">
        <v>0.5</v>
      </c>
      <c r="G383" s="594" t="s">
        <v>999</v>
      </c>
      <c r="H383" s="783">
        <v>45930</v>
      </c>
      <c r="I383" s="306" t="s">
        <v>940</v>
      </c>
      <c r="J383" s="503"/>
    </row>
    <row r="384" spans="2:10" ht="31.2" x14ac:dyDescent="0.3">
      <c r="B384" s="145" t="s">
        <v>989</v>
      </c>
      <c r="C384" s="475" t="s">
        <v>229</v>
      </c>
      <c r="D384" s="146" t="s">
        <v>222</v>
      </c>
      <c r="E384" s="302" t="s">
        <v>510</v>
      </c>
      <c r="F384" s="483">
        <v>0.5</v>
      </c>
      <c r="G384" s="594" t="s">
        <v>1000</v>
      </c>
      <c r="H384" s="783">
        <v>46022</v>
      </c>
      <c r="I384" s="306" t="s">
        <v>943</v>
      </c>
      <c r="J384" s="503"/>
    </row>
    <row r="385" spans="2:10" ht="31.2" x14ac:dyDescent="0.3">
      <c r="B385" s="145" t="s">
        <v>989</v>
      </c>
      <c r="C385" s="475" t="s">
        <v>229</v>
      </c>
      <c r="D385" s="146" t="s">
        <v>222</v>
      </c>
      <c r="E385" s="302" t="s">
        <v>515</v>
      </c>
      <c r="F385" s="483">
        <v>0.5</v>
      </c>
      <c r="G385" s="594" t="s">
        <v>1001</v>
      </c>
      <c r="H385" s="783">
        <v>46022</v>
      </c>
      <c r="I385" s="306" t="s">
        <v>943</v>
      </c>
      <c r="J385" s="503"/>
    </row>
    <row r="386" spans="2:10" ht="31.2" x14ac:dyDescent="0.3">
      <c r="B386" s="145" t="s">
        <v>989</v>
      </c>
      <c r="C386" s="475" t="s">
        <v>229</v>
      </c>
      <c r="D386" s="146" t="s">
        <v>222</v>
      </c>
      <c r="E386" s="302" t="s">
        <v>510</v>
      </c>
      <c r="F386" s="483">
        <v>0.5</v>
      </c>
      <c r="G386" s="594" t="s">
        <v>1002</v>
      </c>
      <c r="H386" s="783">
        <v>46111</v>
      </c>
      <c r="I386" s="306" t="s">
        <v>946</v>
      </c>
      <c r="J386" s="503"/>
    </row>
    <row r="387" spans="2:10" ht="31.2" x14ac:dyDescent="0.3">
      <c r="B387" s="145" t="s">
        <v>989</v>
      </c>
      <c r="C387" s="475" t="s">
        <v>229</v>
      </c>
      <c r="D387" s="146" t="s">
        <v>222</v>
      </c>
      <c r="E387" s="302" t="s">
        <v>515</v>
      </c>
      <c r="F387" s="483">
        <v>0.5</v>
      </c>
      <c r="G387" s="594" t="s">
        <v>1003</v>
      </c>
      <c r="H387" s="783">
        <v>46111</v>
      </c>
      <c r="I387" s="306" t="s">
        <v>946</v>
      </c>
      <c r="J387" s="503"/>
    </row>
    <row r="388" spans="2:10" ht="31.2" x14ac:dyDescent="0.3">
      <c r="B388" s="145" t="s">
        <v>989</v>
      </c>
      <c r="C388" s="475" t="s">
        <v>229</v>
      </c>
      <c r="D388" s="146" t="s">
        <v>222</v>
      </c>
      <c r="E388" s="302" t="s">
        <v>510</v>
      </c>
      <c r="F388" s="483">
        <v>0.5</v>
      </c>
      <c r="G388" s="594" t="s">
        <v>1004</v>
      </c>
      <c r="H388" s="783">
        <v>46203</v>
      </c>
      <c r="I388" s="306" t="s">
        <v>949</v>
      </c>
      <c r="J388" s="503"/>
    </row>
    <row r="389" spans="2:10" ht="31.2" x14ac:dyDescent="0.3">
      <c r="B389" s="145" t="s">
        <v>989</v>
      </c>
      <c r="C389" s="475" t="s">
        <v>229</v>
      </c>
      <c r="D389" s="146" t="s">
        <v>222</v>
      </c>
      <c r="E389" s="302" t="s">
        <v>515</v>
      </c>
      <c r="F389" s="483">
        <v>0.5</v>
      </c>
      <c r="G389" s="594" t="s">
        <v>1005</v>
      </c>
      <c r="H389" s="783">
        <v>46203</v>
      </c>
      <c r="I389" s="306" t="s">
        <v>949</v>
      </c>
      <c r="J389" s="503"/>
    </row>
    <row r="390" spans="2:10" ht="15.6" x14ac:dyDescent="0.3">
      <c r="B390" s="145"/>
      <c r="C390" s="150"/>
      <c r="D390" s="146"/>
      <c r="E390" s="147"/>
      <c r="F390" s="483"/>
      <c r="G390" s="302"/>
      <c r="H390" s="314"/>
      <c r="I390" s="306"/>
      <c r="J390" s="528"/>
    </row>
    <row r="391" spans="2:10" s="58" customFormat="1" ht="15.6" x14ac:dyDescent="0.3">
      <c r="B391" s="352"/>
      <c r="C391" s="353" t="s">
        <v>771</v>
      </c>
      <c r="D391" s="354" t="s">
        <v>222</v>
      </c>
      <c r="E391" s="355"/>
      <c r="F391" s="543">
        <f>SUM(F374:F390)</f>
        <v>8</v>
      </c>
      <c r="G391" s="357"/>
      <c r="H391" s="358"/>
      <c r="I391" s="359"/>
      <c r="J391" s="526"/>
    </row>
    <row r="392" spans="2:10" s="58" customFormat="1" ht="15.6" x14ac:dyDescent="0.3">
      <c r="B392" s="352"/>
      <c r="C392" s="353" t="s">
        <v>772</v>
      </c>
      <c r="D392" s="354" t="s">
        <v>222</v>
      </c>
      <c r="E392" s="355"/>
      <c r="F392" s="543">
        <v>8</v>
      </c>
      <c r="G392" s="357"/>
      <c r="H392" s="358"/>
      <c r="I392" s="359"/>
      <c r="J392" s="526"/>
    </row>
    <row r="393" spans="2:10" s="58" customFormat="1" ht="15.6" x14ac:dyDescent="0.3">
      <c r="B393" s="360"/>
      <c r="C393" s="361" t="s">
        <v>773</v>
      </c>
      <c r="D393" s="362" t="s">
        <v>222</v>
      </c>
      <c r="E393" s="363"/>
      <c r="F393" s="544">
        <f>F391-F392</f>
        <v>0</v>
      </c>
      <c r="G393" s="365"/>
      <c r="H393" s="366"/>
      <c r="I393" s="367"/>
      <c r="J393" s="527"/>
    </row>
    <row r="394" spans="2:10" ht="7.5" customHeight="1" x14ac:dyDescent="0.3">
      <c r="B394" s="338"/>
      <c r="C394" s="142"/>
      <c r="D394" s="143"/>
      <c r="E394" s="144"/>
      <c r="F394" s="545"/>
      <c r="G394" s="144"/>
      <c r="H394" s="144"/>
      <c r="I394" s="515"/>
      <c r="J394" s="524"/>
    </row>
    <row r="395" spans="2:10" ht="31.2" x14ac:dyDescent="0.3">
      <c r="B395" s="124" t="s">
        <v>1006</v>
      </c>
      <c r="C395" s="377" t="s">
        <v>215</v>
      </c>
      <c r="D395" s="127" t="s">
        <v>222</v>
      </c>
      <c r="E395" s="296" t="s">
        <v>510</v>
      </c>
      <c r="F395" s="480">
        <v>0.5</v>
      </c>
      <c r="G395" s="296" t="s">
        <v>1007</v>
      </c>
      <c r="H395" s="297">
        <v>45535</v>
      </c>
      <c r="I395" s="305" t="s">
        <v>795</v>
      </c>
      <c r="J395" s="530"/>
    </row>
    <row r="396" spans="2:10" ht="31.2" x14ac:dyDescent="0.3">
      <c r="B396" s="145" t="s">
        <v>1006</v>
      </c>
      <c r="C396" s="475" t="s">
        <v>215</v>
      </c>
      <c r="D396" s="146" t="s">
        <v>222</v>
      </c>
      <c r="E396" s="302" t="s">
        <v>515</v>
      </c>
      <c r="F396" s="483">
        <v>0.5</v>
      </c>
      <c r="G396" s="302" t="s">
        <v>1008</v>
      </c>
      <c r="H396" s="314">
        <v>45535</v>
      </c>
      <c r="I396" s="306" t="s">
        <v>795</v>
      </c>
      <c r="J396" s="503"/>
    </row>
    <row r="397" spans="2:10" ht="31.2" x14ac:dyDescent="0.3">
      <c r="B397" s="145" t="s">
        <v>1006</v>
      </c>
      <c r="C397" s="475" t="s">
        <v>215</v>
      </c>
      <c r="D397" s="146" t="s">
        <v>222</v>
      </c>
      <c r="E397" s="302" t="s">
        <v>510</v>
      </c>
      <c r="F397" s="483">
        <v>0.5</v>
      </c>
      <c r="G397" s="248" t="s">
        <v>1009</v>
      </c>
      <c r="H397" s="314">
        <v>45655</v>
      </c>
      <c r="I397" s="306" t="s">
        <v>931</v>
      </c>
      <c r="J397" s="503"/>
    </row>
    <row r="398" spans="2:10" ht="31.2" x14ac:dyDescent="0.3">
      <c r="B398" s="145" t="s">
        <v>1006</v>
      </c>
      <c r="C398" s="475" t="s">
        <v>215</v>
      </c>
      <c r="D398" s="146" t="s">
        <v>222</v>
      </c>
      <c r="E398" s="302" t="s">
        <v>515</v>
      </c>
      <c r="F398" s="483">
        <v>0.5</v>
      </c>
      <c r="G398" s="248" t="s">
        <v>1010</v>
      </c>
      <c r="H398" s="314">
        <v>45655</v>
      </c>
      <c r="I398" s="306" t="s">
        <v>931</v>
      </c>
      <c r="J398" s="503"/>
    </row>
    <row r="399" spans="2:10" ht="31.2" x14ac:dyDescent="0.3">
      <c r="B399" s="145" t="s">
        <v>1006</v>
      </c>
      <c r="C399" s="475" t="s">
        <v>215</v>
      </c>
      <c r="D399" s="146" t="s">
        <v>222</v>
      </c>
      <c r="E399" s="302" t="s">
        <v>510</v>
      </c>
      <c r="F399" s="483">
        <v>0.5</v>
      </c>
      <c r="G399" s="594" t="s">
        <v>1011</v>
      </c>
      <c r="H399" s="783">
        <v>45747</v>
      </c>
      <c r="I399" s="306" t="s">
        <v>934</v>
      </c>
      <c r="J399" s="503"/>
    </row>
    <row r="400" spans="2:10" ht="31.2" x14ac:dyDescent="0.3">
      <c r="B400" s="145" t="s">
        <v>1006</v>
      </c>
      <c r="C400" s="475" t="s">
        <v>215</v>
      </c>
      <c r="D400" s="146" t="s">
        <v>222</v>
      </c>
      <c r="E400" s="302" t="s">
        <v>515</v>
      </c>
      <c r="F400" s="483">
        <v>0.5</v>
      </c>
      <c r="G400" s="594" t="s">
        <v>1012</v>
      </c>
      <c r="H400" s="783">
        <v>45747</v>
      </c>
      <c r="I400" s="306" t="s">
        <v>934</v>
      </c>
      <c r="J400" s="503"/>
    </row>
    <row r="401" spans="2:10" ht="31.2" x14ac:dyDescent="0.3">
      <c r="B401" s="145" t="s">
        <v>1006</v>
      </c>
      <c r="C401" s="475" t="s">
        <v>215</v>
      </c>
      <c r="D401" s="146" t="s">
        <v>222</v>
      </c>
      <c r="E401" s="302" t="s">
        <v>510</v>
      </c>
      <c r="F401" s="483">
        <v>0.5</v>
      </c>
      <c r="G401" s="594" t="s">
        <v>1013</v>
      </c>
      <c r="H401" s="783">
        <v>45838</v>
      </c>
      <c r="I401" s="306" t="s">
        <v>937</v>
      </c>
      <c r="J401" s="503"/>
    </row>
    <row r="402" spans="2:10" ht="31.2" x14ac:dyDescent="0.3">
      <c r="B402" s="145" t="s">
        <v>1006</v>
      </c>
      <c r="C402" s="475" t="s">
        <v>215</v>
      </c>
      <c r="D402" s="146" t="s">
        <v>222</v>
      </c>
      <c r="E402" s="302" t="s">
        <v>515</v>
      </c>
      <c r="F402" s="483">
        <v>0.5</v>
      </c>
      <c r="G402" s="594" t="s">
        <v>1014</v>
      </c>
      <c r="H402" s="783">
        <v>45838</v>
      </c>
      <c r="I402" s="306" t="s">
        <v>937</v>
      </c>
      <c r="J402" s="503"/>
    </row>
    <row r="403" spans="2:10" ht="31.2" x14ac:dyDescent="0.3">
      <c r="B403" s="145" t="s">
        <v>1006</v>
      </c>
      <c r="C403" s="475" t="s">
        <v>215</v>
      </c>
      <c r="D403" s="146" t="s">
        <v>222</v>
      </c>
      <c r="E403" s="302" t="s">
        <v>510</v>
      </c>
      <c r="F403" s="483">
        <v>0.5</v>
      </c>
      <c r="G403" s="594" t="s">
        <v>1015</v>
      </c>
      <c r="H403" s="783">
        <v>45930</v>
      </c>
      <c r="I403" s="306" t="s">
        <v>940</v>
      </c>
      <c r="J403" s="503"/>
    </row>
    <row r="404" spans="2:10" ht="31.2" x14ac:dyDescent="0.3">
      <c r="B404" s="145" t="s">
        <v>1006</v>
      </c>
      <c r="C404" s="475" t="s">
        <v>215</v>
      </c>
      <c r="D404" s="146" t="s">
        <v>222</v>
      </c>
      <c r="E404" s="302" t="s">
        <v>515</v>
      </c>
      <c r="F404" s="483">
        <v>0.5</v>
      </c>
      <c r="G404" s="594" t="s">
        <v>1016</v>
      </c>
      <c r="H404" s="783">
        <v>45930</v>
      </c>
      <c r="I404" s="306" t="s">
        <v>940</v>
      </c>
      <c r="J404" s="503"/>
    </row>
    <row r="405" spans="2:10" ht="31.2" x14ac:dyDescent="0.3">
      <c r="B405" s="145" t="s">
        <v>1006</v>
      </c>
      <c r="C405" s="475" t="s">
        <v>215</v>
      </c>
      <c r="D405" s="146" t="s">
        <v>222</v>
      </c>
      <c r="E405" s="302" t="s">
        <v>510</v>
      </c>
      <c r="F405" s="483">
        <v>0.5</v>
      </c>
      <c r="G405" s="594" t="s">
        <v>1017</v>
      </c>
      <c r="H405" s="783">
        <v>46022</v>
      </c>
      <c r="I405" s="306" t="s">
        <v>943</v>
      </c>
      <c r="J405" s="503"/>
    </row>
    <row r="406" spans="2:10" ht="31.2" x14ac:dyDescent="0.3">
      <c r="B406" s="145" t="s">
        <v>1006</v>
      </c>
      <c r="C406" s="475" t="s">
        <v>215</v>
      </c>
      <c r="D406" s="146" t="s">
        <v>222</v>
      </c>
      <c r="E406" s="302" t="s">
        <v>515</v>
      </c>
      <c r="F406" s="483">
        <v>0.5</v>
      </c>
      <c r="G406" s="594" t="s">
        <v>1018</v>
      </c>
      <c r="H406" s="783">
        <v>46022</v>
      </c>
      <c r="I406" s="306" t="s">
        <v>943</v>
      </c>
      <c r="J406" s="503"/>
    </row>
    <row r="407" spans="2:10" ht="31.2" x14ac:dyDescent="0.3">
      <c r="B407" s="145" t="s">
        <v>1006</v>
      </c>
      <c r="C407" s="475" t="s">
        <v>215</v>
      </c>
      <c r="D407" s="146" t="s">
        <v>222</v>
      </c>
      <c r="E407" s="302" t="s">
        <v>510</v>
      </c>
      <c r="F407" s="483">
        <v>0.5</v>
      </c>
      <c r="G407" s="594" t="s">
        <v>1019</v>
      </c>
      <c r="H407" s="783">
        <v>46111</v>
      </c>
      <c r="I407" s="306" t="s">
        <v>946</v>
      </c>
      <c r="J407" s="503"/>
    </row>
    <row r="408" spans="2:10" ht="31.2" x14ac:dyDescent="0.3">
      <c r="B408" s="145" t="s">
        <v>1006</v>
      </c>
      <c r="C408" s="475" t="s">
        <v>215</v>
      </c>
      <c r="D408" s="146" t="s">
        <v>222</v>
      </c>
      <c r="E408" s="302" t="s">
        <v>515</v>
      </c>
      <c r="F408" s="483">
        <v>0.5</v>
      </c>
      <c r="G408" s="594" t="s">
        <v>1020</v>
      </c>
      <c r="H408" s="783">
        <v>46111</v>
      </c>
      <c r="I408" s="306" t="s">
        <v>946</v>
      </c>
      <c r="J408" s="503"/>
    </row>
    <row r="409" spans="2:10" ht="31.2" x14ac:dyDescent="0.3">
      <c r="B409" s="145" t="s">
        <v>1006</v>
      </c>
      <c r="C409" s="475" t="s">
        <v>215</v>
      </c>
      <c r="D409" s="146" t="s">
        <v>222</v>
      </c>
      <c r="E409" s="302" t="s">
        <v>510</v>
      </c>
      <c r="F409" s="483">
        <v>0.5</v>
      </c>
      <c r="G409" s="594" t="s">
        <v>1021</v>
      </c>
      <c r="H409" s="783">
        <v>46203</v>
      </c>
      <c r="I409" s="306" t="s">
        <v>949</v>
      </c>
      <c r="J409" s="503"/>
    </row>
    <row r="410" spans="2:10" ht="31.2" x14ac:dyDescent="0.3">
      <c r="B410" s="145" t="s">
        <v>1006</v>
      </c>
      <c r="C410" s="475" t="s">
        <v>215</v>
      </c>
      <c r="D410" s="146" t="s">
        <v>222</v>
      </c>
      <c r="E410" s="302" t="s">
        <v>515</v>
      </c>
      <c r="F410" s="483">
        <v>0.5</v>
      </c>
      <c r="G410" s="594" t="s">
        <v>1022</v>
      </c>
      <c r="H410" s="783">
        <v>46203</v>
      </c>
      <c r="I410" s="306" t="s">
        <v>949</v>
      </c>
      <c r="J410" s="503"/>
    </row>
    <row r="411" spans="2:10" ht="15.6" x14ac:dyDescent="0.3">
      <c r="B411" s="145"/>
      <c r="C411" s="150"/>
      <c r="D411" s="146"/>
      <c r="E411" s="147"/>
      <c r="F411" s="483"/>
      <c r="G411" s="302"/>
      <c r="H411" s="314"/>
      <c r="I411" s="306"/>
      <c r="J411" s="528"/>
    </row>
    <row r="412" spans="2:10" s="58" customFormat="1" ht="15.6" x14ac:dyDescent="0.3">
      <c r="B412" s="352"/>
      <c r="C412" s="353" t="s">
        <v>771</v>
      </c>
      <c r="D412" s="354" t="s">
        <v>222</v>
      </c>
      <c r="E412" s="355"/>
      <c r="F412" s="356">
        <f>SUM(F395:F411)</f>
        <v>8</v>
      </c>
      <c r="G412" s="357"/>
      <c r="H412" s="358"/>
      <c r="I412" s="359"/>
      <c r="J412" s="526"/>
    </row>
    <row r="413" spans="2:10" s="58" customFormat="1" ht="15.6" x14ac:dyDescent="0.3">
      <c r="B413" s="352"/>
      <c r="C413" s="353" t="s">
        <v>772</v>
      </c>
      <c r="D413" s="354" t="s">
        <v>222</v>
      </c>
      <c r="E413" s="355"/>
      <c r="F413" s="356">
        <v>8</v>
      </c>
      <c r="G413" s="357"/>
      <c r="H413" s="358"/>
      <c r="I413" s="359"/>
      <c r="J413" s="526"/>
    </row>
    <row r="414" spans="2:10" s="58" customFormat="1" ht="15.6" x14ac:dyDescent="0.3">
      <c r="B414" s="360"/>
      <c r="C414" s="361" t="s">
        <v>773</v>
      </c>
      <c r="D414" s="362" t="s">
        <v>222</v>
      </c>
      <c r="E414" s="363"/>
      <c r="F414" s="364">
        <f>F412-F413</f>
        <v>0</v>
      </c>
      <c r="G414" s="365"/>
      <c r="H414" s="366"/>
      <c r="I414" s="367"/>
      <c r="J414" s="527"/>
    </row>
    <row r="415" spans="2:10" ht="7.5" customHeight="1" x14ac:dyDescent="0.3">
      <c r="B415" s="338"/>
      <c r="C415" s="142"/>
      <c r="D415" s="143"/>
      <c r="E415" s="144"/>
      <c r="F415" s="345"/>
      <c r="G415" s="144"/>
      <c r="H415" s="144"/>
      <c r="I415" s="515"/>
      <c r="J415" s="524"/>
    </row>
    <row r="416" spans="2:10" ht="15.6" x14ac:dyDescent="0.3">
      <c r="B416" s="49">
        <v>104</v>
      </c>
      <c r="C416" s="140" t="s">
        <v>230</v>
      </c>
      <c r="D416" s="138"/>
      <c r="E416" s="139"/>
      <c r="F416" s="346"/>
      <c r="G416" s="139"/>
      <c r="H416" s="301"/>
      <c r="I416" s="576"/>
      <c r="J416" s="500"/>
    </row>
    <row r="417" spans="2:10" ht="31.2" x14ac:dyDescent="0.3">
      <c r="B417" s="476" t="s">
        <v>1023</v>
      </c>
      <c r="C417" s="477" t="s">
        <v>1024</v>
      </c>
      <c r="D417" s="478" t="s">
        <v>232</v>
      </c>
      <c r="E417" s="290"/>
      <c r="F417" s="484">
        <v>1</v>
      </c>
      <c r="G417" s="681" t="s">
        <v>1025</v>
      </c>
      <c r="H417" s="485">
        <v>45654</v>
      </c>
      <c r="I417" s="486" t="s">
        <v>1026</v>
      </c>
      <c r="J417" s="529"/>
    </row>
    <row r="418" spans="2:10" ht="31.2" x14ac:dyDescent="0.3">
      <c r="B418" s="31" t="s">
        <v>1023</v>
      </c>
      <c r="C418" s="479" t="s">
        <v>1024</v>
      </c>
      <c r="D418" s="43" t="s">
        <v>232</v>
      </c>
      <c r="E418" s="126"/>
      <c r="F418" s="482">
        <v>1</v>
      </c>
      <c r="G418" s="248" t="s">
        <v>1027</v>
      </c>
      <c r="H418" s="300">
        <v>45899</v>
      </c>
      <c r="I418" s="487" t="s">
        <v>1026</v>
      </c>
      <c r="J418" s="494"/>
    </row>
    <row r="419" spans="2:10" ht="31.2" x14ac:dyDescent="0.3">
      <c r="B419" s="31" t="s">
        <v>1023</v>
      </c>
      <c r="C419" s="479" t="s">
        <v>1024</v>
      </c>
      <c r="D419" s="43" t="s">
        <v>232</v>
      </c>
      <c r="E419" s="126"/>
      <c r="F419" s="482">
        <v>1</v>
      </c>
      <c r="G419" s="248" t="s">
        <v>1028</v>
      </c>
      <c r="H419" s="783">
        <v>46022</v>
      </c>
      <c r="I419" s="306" t="s">
        <v>943</v>
      </c>
      <c r="J419" s="494"/>
    </row>
    <row r="420" spans="2:10" ht="31.2" x14ac:dyDescent="0.3">
      <c r="B420" s="31" t="s">
        <v>1023</v>
      </c>
      <c r="C420" s="479" t="s">
        <v>1024</v>
      </c>
      <c r="D420" s="43" t="s">
        <v>232</v>
      </c>
      <c r="E420" s="126"/>
      <c r="F420" s="482">
        <v>1</v>
      </c>
      <c r="G420" s="587" t="s">
        <v>1029</v>
      </c>
      <c r="H420" s="783">
        <v>46197</v>
      </c>
      <c r="I420" s="306" t="s">
        <v>949</v>
      </c>
      <c r="J420" s="494"/>
    </row>
    <row r="421" spans="2:10" ht="15.6" x14ac:dyDescent="0.3">
      <c r="B421" s="31"/>
      <c r="C421" s="479"/>
      <c r="D421" s="43"/>
      <c r="E421" s="126"/>
      <c r="F421" s="482"/>
      <c r="G421" s="248"/>
      <c r="H421" s="300"/>
      <c r="I421" s="487"/>
      <c r="J421" s="494"/>
    </row>
    <row r="422" spans="2:10" ht="15.6" x14ac:dyDescent="0.3">
      <c r="B422" s="31"/>
      <c r="C422" s="353" t="s">
        <v>771</v>
      </c>
      <c r="D422" s="354" t="s">
        <v>232</v>
      </c>
      <c r="E422" s="126"/>
      <c r="F422" s="543">
        <f>SUM(F417:F421)</f>
        <v>4</v>
      </c>
      <c r="G422" s="248"/>
      <c r="H422" s="300"/>
      <c r="I422" s="487"/>
      <c r="J422" s="494"/>
    </row>
    <row r="423" spans="2:10" ht="15.6" x14ac:dyDescent="0.3">
      <c r="B423" s="31"/>
      <c r="C423" s="353" t="s">
        <v>772</v>
      </c>
      <c r="D423" s="354" t="s">
        <v>232</v>
      </c>
      <c r="E423" s="126"/>
      <c r="F423" s="543">
        <v>4</v>
      </c>
      <c r="G423" s="248"/>
      <c r="H423" s="300"/>
      <c r="I423" s="487"/>
      <c r="J423" s="494"/>
    </row>
    <row r="424" spans="2:10" ht="15.6" x14ac:dyDescent="0.3">
      <c r="B424" s="31"/>
      <c r="C424" s="361" t="s">
        <v>773</v>
      </c>
      <c r="D424" s="362" t="s">
        <v>232</v>
      </c>
      <c r="E424" s="126"/>
      <c r="F424" s="364">
        <f>F422-F423</f>
        <v>0</v>
      </c>
      <c r="G424" s="248"/>
      <c r="H424" s="300"/>
      <c r="I424" s="487"/>
      <c r="J424" s="494"/>
    </row>
    <row r="425" spans="2:10" ht="7.5" customHeight="1" x14ac:dyDescent="0.3">
      <c r="B425" s="338"/>
      <c r="C425" s="142"/>
      <c r="D425" s="143"/>
      <c r="E425" s="144"/>
      <c r="F425" s="345"/>
      <c r="G425" s="144"/>
      <c r="H425" s="144"/>
      <c r="I425" s="515"/>
      <c r="J425" s="524"/>
    </row>
    <row r="426" spans="2:10" ht="31.2" x14ac:dyDescent="0.3">
      <c r="B426" s="476" t="s">
        <v>1030</v>
      </c>
      <c r="C426" s="477" t="s">
        <v>1031</v>
      </c>
      <c r="D426" s="478" t="s">
        <v>235</v>
      </c>
      <c r="E426" s="290" t="s">
        <v>510</v>
      </c>
      <c r="F426" s="484">
        <v>0.5</v>
      </c>
      <c r="G426" s="302" t="s">
        <v>1032</v>
      </c>
      <c r="H426" s="485">
        <v>45535</v>
      </c>
      <c r="I426" s="486" t="s">
        <v>795</v>
      </c>
      <c r="J426" s="529"/>
    </row>
    <row r="427" spans="2:10" ht="31.2" x14ac:dyDescent="0.3">
      <c r="B427" s="31" t="s">
        <v>1030</v>
      </c>
      <c r="C427" s="479" t="s">
        <v>1031</v>
      </c>
      <c r="D427" s="43" t="s">
        <v>235</v>
      </c>
      <c r="E427" s="126" t="s">
        <v>515</v>
      </c>
      <c r="F427" s="482">
        <v>0.5</v>
      </c>
      <c r="G427" s="537" t="s">
        <v>1033</v>
      </c>
      <c r="H427" s="300">
        <v>45535</v>
      </c>
      <c r="I427" s="487" t="s">
        <v>795</v>
      </c>
      <c r="J427" s="494"/>
    </row>
    <row r="428" spans="2:10" ht="31.2" x14ac:dyDescent="0.3">
      <c r="B428" s="675" t="s">
        <v>1030</v>
      </c>
      <c r="C428" s="676" t="s">
        <v>1031</v>
      </c>
      <c r="D428" s="677" t="s">
        <v>235</v>
      </c>
      <c r="E428" s="678" t="s">
        <v>510</v>
      </c>
      <c r="F428" s="482">
        <v>0.5</v>
      </c>
      <c r="G428" s="594" t="s">
        <v>1034</v>
      </c>
      <c r="H428" s="300">
        <v>45583</v>
      </c>
      <c r="I428" s="306" t="s">
        <v>1026</v>
      </c>
      <c r="J428" s="679"/>
    </row>
    <row r="429" spans="2:10" ht="31.2" x14ac:dyDescent="0.3">
      <c r="B429" s="31" t="s">
        <v>1030</v>
      </c>
      <c r="C429" s="479" t="s">
        <v>1031</v>
      </c>
      <c r="D429" s="43" t="s">
        <v>235</v>
      </c>
      <c r="E429" s="126" t="s">
        <v>515</v>
      </c>
      <c r="F429" s="482">
        <v>0.5</v>
      </c>
      <c r="G429" s="680" t="s">
        <v>1035</v>
      </c>
      <c r="H429" s="300">
        <v>45583</v>
      </c>
      <c r="I429" s="306" t="s">
        <v>1026</v>
      </c>
      <c r="J429" s="494"/>
    </row>
    <row r="430" spans="2:10" ht="31.2" x14ac:dyDescent="0.3">
      <c r="B430" s="675" t="s">
        <v>1030</v>
      </c>
      <c r="C430" s="676" t="s">
        <v>1031</v>
      </c>
      <c r="D430" s="677" t="s">
        <v>235</v>
      </c>
      <c r="E430" s="678" t="s">
        <v>510</v>
      </c>
      <c r="F430" s="482">
        <v>0.5</v>
      </c>
      <c r="G430" s="594" t="s">
        <v>1036</v>
      </c>
      <c r="H430" s="300">
        <v>45647</v>
      </c>
      <c r="I430" s="306" t="s">
        <v>1026</v>
      </c>
      <c r="J430" s="679"/>
    </row>
    <row r="431" spans="2:10" ht="31.2" x14ac:dyDescent="0.3">
      <c r="B431" s="31" t="s">
        <v>1030</v>
      </c>
      <c r="C431" s="479" t="s">
        <v>1031</v>
      </c>
      <c r="D431" s="43" t="s">
        <v>235</v>
      </c>
      <c r="E431" s="126" t="s">
        <v>515</v>
      </c>
      <c r="F431" s="482">
        <v>0.5</v>
      </c>
      <c r="G431" s="594" t="s">
        <v>1037</v>
      </c>
      <c r="H431" s="300">
        <v>45647</v>
      </c>
      <c r="I431" s="306" t="s">
        <v>1026</v>
      </c>
      <c r="J431" s="494"/>
    </row>
    <row r="432" spans="2:10" ht="31.2" x14ac:dyDescent="0.3">
      <c r="B432" s="31" t="s">
        <v>1030</v>
      </c>
      <c r="C432" s="479" t="s">
        <v>1031</v>
      </c>
      <c r="D432" s="43" t="s">
        <v>235</v>
      </c>
      <c r="E432" s="126" t="s">
        <v>510</v>
      </c>
      <c r="F432" s="482">
        <v>0.5</v>
      </c>
      <c r="G432" s="594" t="s">
        <v>1038</v>
      </c>
      <c r="H432" s="300">
        <v>45712</v>
      </c>
      <c r="I432" s="306" t="s">
        <v>1026</v>
      </c>
      <c r="J432" s="494"/>
    </row>
    <row r="433" spans="2:10" ht="31.2" x14ac:dyDescent="0.3">
      <c r="B433" s="31" t="s">
        <v>1030</v>
      </c>
      <c r="C433" s="479" t="s">
        <v>1031</v>
      </c>
      <c r="D433" s="43" t="s">
        <v>235</v>
      </c>
      <c r="E433" s="126" t="s">
        <v>515</v>
      </c>
      <c r="F433" s="482">
        <v>0.5</v>
      </c>
      <c r="G433" s="594" t="s">
        <v>1039</v>
      </c>
      <c r="H433" s="300">
        <v>45712</v>
      </c>
      <c r="I433" s="306" t="s">
        <v>1026</v>
      </c>
      <c r="J433" s="494"/>
    </row>
    <row r="434" spans="2:10" ht="31.2" x14ac:dyDescent="0.3">
      <c r="B434" s="31" t="s">
        <v>1030</v>
      </c>
      <c r="C434" s="479" t="s">
        <v>1031</v>
      </c>
      <c r="D434" s="43" t="s">
        <v>235</v>
      </c>
      <c r="E434" s="126" t="s">
        <v>510</v>
      </c>
      <c r="F434" s="482">
        <v>0.5</v>
      </c>
      <c r="G434" s="594" t="s">
        <v>1040</v>
      </c>
      <c r="H434" s="300">
        <v>45771</v>
      </c>
      <c r="I434" s="306" t="s">
        <v>1026</v>
      </c>
      <c r="J434" s="494"/>
    </row>
    <row r="435" spans="2:10" ht="31.2" x14ac:dyDescent="0.3">
      <c r="B435" s="31" t="s">
        <v>1030</v>
      </c>
      <c r="C435" s="479" t="s">
        <v>1031</v>
      </c>
      <c r="D435" s="43" t="s">
        <v>235</v>
      </c>
      <c r="E435" s="126" t="s">
        <v>515</v>
      </c>
      <c r="F435" s="482">
        <v>0.5</v>
      </c>
      <c r="G435" s="594" t="s">
        <v>1041</v>
      </c>
      <c r="H435" s="300">
        <v>45771</v>
      </c>
      <c r="I435" s="306" t="s">
        <v>1026</v>
      </c>
      <c r="J435" s="494"/>
    </row>
    <row r="436" spans="2:10" ht="31.2" x14ac:dyDescent="0.3">
      <c r="B436" s="31" t="s">
        <v>1030</v>
      </c>
      <c r="C436" s="479" t="s">
        <v>1031</v>
      </c>
      <c r="D436" s="43" t="s">
        <v>235</v>
      </c>
      <c r="E436" s="126" t="s">
        <v>510</v>
      </c>
      <c r="F436" s="482">
        <v>0.5</v>
      </c>
      <c r="G436" s="594" t="s">
        <v>1042</v>
      </c>
      <c r="H436" s="314">
        <v>45832</v>
      </c>
      <c r="I436" s="306" t="s">
        <v>1026</v>
      </c>
      <c r="J436" s="528"/>
    </row>
    <row r="437" spans="2:10" ht="31.2" x14ac:dyDescent="0.3">
      <c r="B437" s="31" t="s">
        <v>1030</v>
      </c>
      <c r="C437" s="479" t="s">
        <v>1031</v>
      </c>
      <c r="D437" s="43" t="s">
        <v>235</v>
      </c>
      <c r="E437" s="126" t="s">
        <v>515</v>
      </c>
      <c r="F437" s="482">
        <v>0.5</v>
      </c>
      <c r="G437" s="594" t="s">
        <v>1043</v>
      </c>
      <c r="H437" s="314">
        <v>45832</v>
      </c>
      <c r="I437" s="306" t="s">
        <v>1026</v>
      </c>
      <c r="J437" s="528"/>
    </row>
    <row r="438" spans="2:10" ht="31.2" x14ac:dyDescent="0.3">
      <c r="B438" s="31" t="s">
        <v>1030</v>
      </c>
      <c r="C438" s="479" t="s">
        <v>1031</v>
      </c>
      <c r="D438" s="43" t="s">
        <v>235</v>
      </c>
      <c r="E438" s="126" t="s">
        <v>510</v>
      </c>
      <c r="F438" s="482">
        <v>0.5</v>
      </c>
      <c r="G438" s="594" t="s">
        <v>1044</v>
      </c>
      <c r="H438" s="314">
        <v>45899</v>
      </c>
      <c r="I438" s="306" t="s">
        <v>1026</v>
      </c>
      <c r="J438" s="528"/>
    </row>
    <row r="439" spans="2:10" ht="31.2" x14ac:dyDescent="0.3">
      <c r="B439" s="31" t="s">
        <v>1030</v>
      </c>
      <c r="C439" s="479" t="s">
        <v>1031</v>
      </c>
      <c r="D439" s="43" t="s">
        <v>235</v>
      </c>
      <c r="E439" s="126" t="s">
        <v>515</v>
      </c>
      <c r="F439" s="482">
        <v>0.5</v>
      </c>
      <c r="G439" s="594" t="s">
        <v>1045</v>
      </c>
      <c r="H439" s="314">
        <v>45899</v>
      </c>
      <c r="I439" s="306" t="s">
        <v>1026</v>
      </c>
      <c r="J439" s="528"/>
    </row>
    <row r="440" spans="2:10" ht="31.2" x14ac:dyDescent="0.3">
      <c r="B440" s="31" t="s">
        <v>1030</v>
      </c>
      <c r="C440" s="479" t="s">
        <v>1031</v>
      </c>
      <c r="D440" s="43" t="s">
        <v>235</v>
      </c>
      <c r="E440" s="126" t="s">
        <v>510</v>
      </c>
      <c r="F440" s="482">
        <v>0.5</v>
      </c>
      <c r="G440" s="594" t="s">
        <v>1046</v>
      </c>
      <c r="H440" s="314">
        <v>45952</v>
      </c>
      <c r="I440" s="306" t="s">
        <v>1026</v>
      </c>
      <c r="J440" s="528"/>
    </row>
    <row r="441" spans="2:10" ht="31.2" x14ac:dyDescent="0.3">
      <c r="B441" s="31" t="s">
        <v>1030</v>
      </c>
      <c r="C441" s="479" t="s">
        <v>1031</v>
      </c>
      <c r="D441" s="43" t="s">
        <v>235</v>
      </c>
      <c r="E441" s="126" t="s">
        <v>515</v>
      </c>
      <c r="F441" s="482">
        <v>0.5</v>
      </c>
      <c r="G441" s="594" t="s">
        <v>1047</v>
      </c>
      <c r="H441" s="314">
        <v>45952</v>
      </c>
      <c r="I441" s="306" t="s">
        <v>1026</v>
      </c>
      <c r="J441" s="528"/>
    </row>
    <row r="442" spans="2:10" ht="31.2" x14ac:dyDescent="0.3">
      <c r="B442" s="31" t="s">
        <v>1030</v>
      </c>
      <c r="C442" s="479" t="s">
        <v>1031</v>
      </c>
      <c r="D442" s="43" t="s">
        <v>235</v>
      </c>
      <c r="E442" s="126" t="s">
        <v>510</v>
      </c>
      <c r="F442" s="482">
        <v>0.5</v>
      </c>
      <c r="G442" s="248" t="s">
        <v>1048</v>
      </c>
      <c r="H442" s="783">
        <v>46022</v>
      </c>
      <c r="I442" s="306" t="s">
        <v>943</v>
      </c>
      <c r="J442" s="528"/>
    </row>
    <row r="443" spans="2:10" ht="31.2" x14ac:dyDescent="0.3">
      <c r="B443" s="31" t="s">
        <v>1030</v>
      </c>
      <c r="C443" s="479" t="s">
        <v>1031</v>
      </c>
      <c r="D443" s="43" t="s">
        <v>235</v>
      </c>
      <c r="E443" s="126" t="s">
        <v>515</v>
      </c>
      <c r="F443" s="482">
        <v>0.5</v>
      </c>
      <c r="G443" s="248" t="s">
        <v>1049</v>
      </c>
      <c r="H443" s="783">
        <v>46022</v>
      </c>
      <c r="I443" s="306" t="s">
        <v>943</v>
      </c>
      <c r="J443" s="528"/>
    </row>
    <row r="444" spans="2:10" ht="31.2" x14ac:dyDescent="0.3">
      <c r="B444" s="31" t="s">
        <v>1030</v>
      </c>
      <c r="C444" s="479" t="s">
        <v>1031</v>
      </c>
      <c r="D444" s="43" t="s">
        <v>235</v>
      </c>
      <c r="E444" s="126" t="s">
        <v>510</v>
      </c>
      <c r="F444" s="482">
        <v>0.5</v>
      </c>
      <c r="G444" s="248" t="s">
        <v>1050</v>
      </c>
      <c r="H444" s="783">
        <v>46108</v>
      </c>
      <c r="I444" s="306" t="s">
        <v>946</v>
      </c>
      <c r="J444" s="528"/>
    </row>
    <row r="445" spans="2:10" ht="31.2" x14ac:dyDescent="0.3">
      <c r="B445" s="31" t="s">
        <v>1030</v>
      </c>
      <c r="C445" s="479" t="s">
        <v>1031</v>
      </c>
      <c r="D445" s="43" t="s">
        <v>235</v>
      </c>
      <c r="E445" s="126" t="s">
        <v>515</v>
      </c>
      <c r="F445" s="482">
        <v>0.5</v>
      </c>
      <c r="G445" s="248" t="s">
        <v>1051</v>
      </c>
      <c r="H445" s="783">
        <v>46108</v>
      </c>
      <c r="I445" s="306" t="s">
        <v>946</v>
      </c>
      <c r="J445" s="528"/>
    </row>
    <row r="446" spans="2:10" ht="31.2" x14ac:dyDescent="0.3">
      <c r="B446" s="31" t="s">
        <v>1030</v>
      </c>
      <c r="C446" s="479" t="s">
        <v>1031</v>
      </c>
      <c r="D446" s="43" t="s">
        <v>235</v>
      </c>
      <c r="E446" s="126" t="s">
        <v>510</v>
      </c>
      <c r="F446" s="482">
        <v>0.5</v>
      </c>
      <c r="G446" s="248" t="s">
        <v>1052</v>
      </c>
      <c r="H446" s="783">
        <v>46133</v>
      </c>
      <c r="I446" s="306" t="s">
        <v>1053</v>
      </c>
      <c r="J446" s="528"/>
    </row>
    <row r="447" spans="2:10" ht="31.2" x14ac:dyDescent="0.3">
      <c r="B447" s="31" t="s">
        <v>1030</v>
      </c>
      <c r="C447" s="479" t="s">
        <v>1031</v>
      </c>
      <c r="D447" s="43" t="s">
        <v>235</v>
      </c>
      <c r="E447" s="126" t="s">
        <v>515</v>
      </c>
      <c r="F447" s="482">
        <v>0.5</v>
      </c>
      <c r="G447" s="248" t="s">
        <v>1054</v>
      </c>
      <c r="H447" s="783">
        <v>46133</v>
      </c>
      <c r="I447" s="306" t="s">
        <v>1053</v>
      </c>
      <c r="J447" s="528"/>
    </row>
    <row r="448" spans="2:10" ht="31.2" x14ac:dyDescent="0.3">
      <c r="B448" s="31" t="s">
        <v>1030</v>
      </c>
      <c r="C448" s="479" t="s">
        <v>1031</v>
      </c>
      <c r="D448" s="43" t="s">
        <v>235</v>
      </c>
      <c r="E448" s="126" t="s">
        <v>510</v>
      </c>
      <c r="F448" s="482">
        <v>0.5</v>
      </c>
      <c r="G448" s="587" t="s">
        <v>1055</v>
      </c>
      <c r="H448" s="783">
        <v>46196</v>
      </c>
      <c r="I448" s="306" t="s">
        <v>949</v>
      </c>
      <c r="J448" s="528"/>
    </row>
    <row r="449" spans="2:10" ht="31.2" x14ac:dyDescent="0.3">
      <c r="B449" s="31" t="s">
        <v>1030</v>
      </c>
      <c r="C449" s="479" t="s">
        <v>1031</v>
      </c>
      <c r="D449" s="43" t="s">
        <v>235</v>
      </c>
      <c r="E449" s="126" t="s">
        <v>515</v>
      </c>
      <c r="F449" s="482">
        <v>0.5</v>
      </c>
      <c r="G449" s="587" t="s">
        <v>1056</v>
      </c>
      <c r="H449" s="783">
        <v>46196</v>
      </c>
      <c r="I449" s="306" t="s">
        <v>949</v>
      </c>
      <c r="J449" s="528"/>
    </row>
    <row r="450" spans="2:10" ht="15.6" x14ac:dyDescent="0.3">
      <c r="B450" s="145"/>
      <c r="C450" s="150"/>
      <c r="D450" s="146"/>
      <c r="E450" s="147"/>
      <c r="F450" s="349"/>
      <c r="G450" s="302"/>
      <c r="H450" s="314"/>
      <c r="I450" s="306"/>
      <c r="J450" s="528"/>
    </row>
    <row r="451" spans="2:10" s="58" customFormat="1" ht="15.6" x14ac:dyDescent="0.3">
      <c r="B451" s="352"/>
      <c r="C451" s="353" t="s">
        <v>771</v>
      </c>
      <c r="D451" s="354" t="s">
        <v>235</v>
      </c>
      <c r="E451" s="355"/>
      <c r="F451" s="356">
        <f>SUM(F426:F450)</f>
        <v>12</v>
      </c>
      <c r="G451" s="357"/>
      <c r="H451" s="358"/>
      <c r="I451" s="359"/>
      <c r="J451" s="526"/>
    </row>
    <row r="452" spans="2:10" s="58" customFormat="1" ht="15.6" x14ac:dyDescent="0.3">
      <c r="B452" s="352"/>
      <c r="C452" s="353" t="s">
        <v>772</v>
      </c>
      <c r="D452" s="354" t="s">
        <v>235</v>
      </c>
      <c r="E452" s="355"/>
      <c r="F452" s="356">
        <v>12</v>
      </c>
      <c r="G452" s="357"/>
      <c r="H452" s="358"/>
      <c r="I452" s="359"/>
      <c r="J452" s="526"/>
    </row>
    <row r="453" spans="2:10" s="58" customFormat="1" ht="15.6" x14ac:dyDescent="0.3">
      <c r="B453" s="360"/>
      <c r="C453" s="361" t="s">
        <v>773</v>
      </c>
      <c r="D453" s="362" t="s">
        <v>235</v>
      </c>
      <c r="E453" s="363"/>
      <c r="F453" s="364">
        <f>F451-F452</f>
        <v>0</v>
      </c>
      <c r="G453" s="365"/>
      <c r="H453" s="366"/>
      <c r="I453" s="367"/>
      <c r="J453" s="527"/>
    </row>
    <row r="454" spans="2:10" ht="7.5" customHeight="1" x14ac:dyDescent="0.3">
      <c r="B454" s="338"/>
      <c r="C454" s="142"/>
      <c r="D454" s="143"/>
      <c r="E454" s="144"/>
      <c r="F454" s="345"/>
      <c r="G454" s="144"/>
      <c r="H454" s="144"/>
      <c r="I454" s="515"/>
      <c r="J454" s="524"/>
    </row>
    <row r="455" spans="2:10" ht="31.2" x14ac:dyDescent="0.3">
      <c r="B455" s="476" t="s">
        <v>1057</v>
      </c>
      <c r="C455" s="477" t="s">
        <v>1058</v>
      </c>
      <c r="D455" s="478" t="s">
        <v>235</v>
      </c>
      <c r="E455" s="290" t="s">
        <v>510</v>
      </c>
      <c r="F455" s="484">
        <v>0.5</v>
      </c>
      <c r="G455" s="302" t="s">
        <v>1032</v>
      </c>
      <c r="H455" s="485">
        <v>45535</v>
      </c>
      <c r="I455" s="486" t="s">
        <v>795</v>
      </c>
      <c r="J455" s="529"/>
    </row>
    <row r="456" spans="2:10" ht="31.2" x14ac:dyDescent="0.3">
      <c r="B456" s="31" t="s">
        <v>1057</v>
      </c>
      <c r="C456" s="479" t="s">
        <v>1058</v>
      </c>
      <c r="D456" s="43" t="s">
        <v>235</v>
      </c>
      <c r="E456" s="126" t="s">
        <v>515</v>
      </c>
      <c r="F456" s="482">
        <v>0.5</v>
      </c>
      <c r="G456" s="537" t="s">
        <v>1033</v>
      </c>
      <c r="H456" s="300">
        <v>45535</v>
      </c>
      <c r="I456" s="487" t="s">
        <v>795</v>
      </c>
      <c r="J456" s="494"/>
    </row>
    <row r="457" spans="2:10" ht="31.2" x14ac:dyDescent="0.3">
      <c r="B457" s="31" t="s">
        <v>1057</v>
      </c>
      <c r="C457" s="479" t="s">
        <v>1058</v>
      </c>
      <c r="D457" s="677" t="s">
        <v>235</v>
      </c>
      <c r="E457" s="678" t="s">
        <v>510</v>
      </c>
      <c r="F457" s="482">
        <v>0.5</v>
      </c>
      <c r="G457" s="594" t="s">
        <v>1034</v>
      </c>
      <c r="H457" s="300">
        <v>45583</v>
      </c>
      <c r="I457" s="306" t="s">
        <v>1026</v>
      </c>
      <c r="J457" s="528"/>
    </row>
    <row r="458" spans="2:10" ht="31.2" x14ac:dyDescent="0.3">
      <c r="B458" s="31" t="s">
        <v>1057</v>
      </c>
      <c r="C458" s="479" t="s">
        <v>1058</v>
      </c>
      <c r="D458" s="43" t="s">
        <v>235</v>
      </c>
      <c r="E458" s="126" t="s">
        <v>515</v>
      </c>
      <c r="F458" s="482">
        <v>0.5</v>
      </c>
      <c r="G458" s="680" t="s">
        <v>1035</v>
      </c>
      <c r="H458" s="300">
        <v>45583</v>
      </c>
      <c r="I458" s="306" t="s">
        <v>1026</v>
      </c>
      <c r="J458" s="528"/>
    </row>
    <row r="459" spans="2:10" ht="31.2" x14ac:dyDescent="0.3">
      <c r="B459" s="31" t="s">
        <v>1057</v>
      </c>
      <c r="C459" s="479" t="s">
        <v>1058</v>
      </c>
      <c r="D459" s="677" t="s">
        <v>235</v>
      </c>
      <c r="E459" s="678" t="s">
        <v>510</v>
      </c>
      <c r="F459" s="482">
        <v>0.5</v>
      </c>
      <c r="G459" s="594" t="s">
        <v>1036</v>
      </c>
      <c r="H459" s="300">
        <v>45647</v>
      </c>
      <c r="I459" s="306" t="s">
        <v>1026</v>
      </c>
      <c r="J459" s="528"/>
    </row>
    <row r="460" spans="2:10" ht="31.2" x14ac:dyDescent="0.3">
      <c r="B460" s="31" t="s">
        <v>1057</v>
      </c>
      <c r="C460" s="479" t="s">
        <v>1058</v>
      </c>
      <c r="D460" s="43" t="s">
        <v>235</v>
      </c>
      <c r="E460" s="126" t="s">
        <v>515</v>
      </c>
      <c r="F460" s="482">
        <v>0.5</v>
      </c>
      <c r="G460" s="594" t="s">
        <v>1037</v>
      </c>
      <c r="H460" s="300">
        <v>45647</v>
      </c>
      <c r="I460" s="306" t="s">
        <v>1026</v>
      </c>
      <c r="J460" s="528"/>
    </row>
    <row r="461" spans="2:10" ht="31.2" x14ac:dyDescent="0.3">
      <c r="B461" s="31" t="s">
        <v>1057</v>
      </c>
      <c r="C461" s="479" t="s">
        <v>1058</v>
      </c>
      <c r="D461" s="677" t="s">
        <v>235</v>
      </c>
      <c r="E461" s="678" t="s">
        <v>510</v>
      </c>
      <c r="F461" s="482">
        <v>0.5</v>
      </c>
      <c r="G461" s="594" t="s">
        <v>1038</v>
      </c>
      <c r="H461" s="300">
        <v>45712</v>
      </c>
      <c r="I461" s="306" t="s">
        <v>1026</v>
      </c>
      <c r="J461" s="528"/>
    </row>
    <row r="462" spans="2:10" ht="31.2" x14ac:dyDescent="0.3">
      <c r="B462" s="31" t="s">
        <v>1057</v>
      </c>
      <c r="C462" s="479" t="s">
        <v>1058</v>
      </c>
      <c r="D462" s="43" t="s">
        <v>235</v>
      </c>
      <c r="E462" s="126" t="s">
        <v>515</v>
      </c>
      <c r="F462" s="482">
        <v>0.5</v>
      </c>
      <c r="G462" s="594" t="s">
        <v>1039</v>
      </c>
      <c r="H462" s="300">
        <v>45712</v>
      </c>
      <c r="I462" s="306" t="s">
        <v>1026</v>
      </c>
      <c r="J462" s="528"/>
    </row>
    <row r="463" spans="2:10" ht="31.2" x14ac:dyDescent="0.3">
      <c r="B463" s="31" t="s">
        <v>1057</v>
      </c>
      <c r="C463" s="479" t="s">
        <v>1058</v>
      </c>
      <c r="D463" s="43" t="s">
        <v>235</v>
      </c>
      <c r="E463" s="678" t="s">
        <v>510</v>
      </c>
      <c r="F463" s="482">
        <v>0.5</v>
      </c>
      <c r="G463" s="594" t="s">
        <v>1040</v>
      </c>
      <c r="H463" s="300">
        <v>45771</v>
      </c>
      <c r="I463" s="306" t="s">
        <v>1026</v>
      </c>
      <c r="J463" s="528"/>
    </row>
    <row r="464" spans="2:10" ht="31.2" x14ac:dyDescent="0.3">
      <c r="B464" s="31" t="s">
        <v>1057</v>
      </c>
      <c r="C464" s="479" t="s">
        <v>1058</v>
      </c>
      <c r="D464" s="43" t="s">
        <v>235</v>
      </c>
      <c r="E464" s="126" t="s">
        <v>515</v>
      </c>
      <c r="F464" s="482">
        <v>0.5</v>
      </c>
      <c r="G464" s="594" t="s">
        <v>1041</v>
      </c>
      <c r="H464" s="300">
        <v>45771</v>
      </c>
      <c r="I464" s="306" t="s">
        <v>1026</v>
      </c>
      <c r="J464" s="528"/>
    </row>
    <row r="465" spans="2:10" ht="31.2" x14ac:dyDescent="0.3">
      <c r="B465" s="31" t="s">
        <v>1057</v>
      </c>
      <c r="C465" s="479" t="s">
        <v>1058</v>
      </c>
      <c r="D465" s="43" t="s">
        <v>235</v>
      </c>
      <c r="E465" s="678" t="s">
        <v>510</v>
      </c>
      <c r="F465" s="482">
        <v>0.5</v>
      </c>
      <c r="G465" s="594" t="s">
        <v>1042</v>
      </c>
      <c r="H465" s="314">
        <v>45832</v>
      </c>
      <c r="I465" s="306" t="s">
        <v>1026</v>
      </c>
      <c r="J465" s="528"/>
    </row>
    <row r="466" spans="2:10" ht="31.2" x14ac:dyDescent="0.3">
      <c r="B466" s="31" t="s">
        <v>1057</v>
      </c>
      <c r="C466" s="479" t="s">
        <v>1058</v>
      </c>
      <c r="D466" s="43" t="s">
        <v>235</v>
      </c>
      <c r="E466" s="126" t="s">
        <v>515</v>
      </c>
      <c r="F466" s="482">
        <v>0.5</v>
      </c>
      <c r="G466" s="594" t="s">
        <v>1043</v>
      </c>
      <c r="H466" s="314">
        <v>45832</v>
      </c>
      <c r="I466" s="306" t="s">
        <v>1026</v>
      </c>
      <c r="J466" s="528"/>
    </row>
    <row r="467" spans="2:10" ht="31.2" x14ac:dyDescent="0.3">
      <c r="B467" s="31" t="s">
        <v>1057</v>
      </c>
      <c r="C467" s="479" t="s">
        <v>1058</v>
      </c>
      <c r="D467" s="43" t="s">
        <v>235</v>
      </c>
      <c r="E467" s="678" t="s">
        <v>510</v>
      </c>
      <c r="F467" s="482">
        <v>0.5</v>
      </c>
      <c r="G467" s="594" t="s">
        <v>1044</v>
      </c>
      <c r="H467" s="314">
        <v>45899</v>
      </c>
      <c r="I467" s="306" t="s">
        <v>1026</v>
      </c>
      <c r="J467" s="528"/>
    </row>
    <row r="468" spans="2:10" ht="31.2" x14ac:dyDescent="0.3">
      <c r="B468" s="31" t="s">
        <v>1057</v>
      </c>
      <c r="C468" s="479" t="s">
        <v>1058</v>
      </c>
      <c r="D468" s="43" t="s">
        <v>235</v>
      </c>
      <c r="E468" s="126" t="s">
        <v>515</v>
      </c>
      <c r="F468" s="482">
        <v>0.5</v>
      </c>
      <c r="G468" s="594" t="s">
        <v>1045</v>
      </c>
      <c r="H468" s="314">
        <v>45899</v>
      </c>
      <c r="I468" s="306" t="s">
        <v>1026</v>
      </c>
      <c r="J468" s="528"/>
    </row>
    <row r="469" spans="2:10" ht="31.2" x14ac:dyDescent="0.3">
      <c r="B469" s="31" t="s">
        <v>1057</v>
      </c>
      <c r="C469" s="479" t="s">
        <v>1058</v>
      </c>
      <c r="D469" s="43" t="s">
        <v>235</v>
      </c>
      <c r="E469" s="678" t="s">
        <v>510</v>
      </c>
      <c r="F469" s="482">
        <v>0.5</v>
      </c>
      <c r="G469" s="594" t="s">
        <v>1046</v>
      </c>
      <c r="H469" s="314">
        <v>45952</v>
      </c>
      <c r="I469" s="306" t="s">
        <v>1026</v>
      </c>
      <c r="J469" s="528"/>
    </row>
    <row r="470" spans="2:10" ht="31.2" x14ac:dyDescent="0.3">
      <c r="B470" s="31" t="s">
        <v>1057</v>
      </c>
      <c r="C470" s="479" t="s">
        <v>1058</v>
      </c>
      <c r="D470" s="43" t="s">
        <v>235</v>
      </c>
      <c r="E470" s="126" t="s">
        <v>515</v>
      </c>
      <c r="F470" s="482">
        <v>0.5</v>
      </c>
      <c r="G470" s="594" t="s">
        <v>1047</v>
      </c>
      <c r="H470" s="314">
        <v>45952</v>
      </c>
      <c r="I470" s="306" t="s">
        <v>1026</v>
      </c>
      <c r="J470" s="528"/>
    </row>
    <row r="471" spans="2:10" ht="31.2" x14ac:dyDescent="0.3">
      <c r="B471" s="31" t="s">
        <v>1057</v>
      </c>
      <c r="C471" s="479" t="s">
        <v>1058</v>
      </c>
      <c r="D471" s="43" t="s">
        <v>235</v>
      </c>
      <c r="E471" s="678" t="s">
        <v>510</v>
      </c>
      <c r="F471" s="482">
        <v>0.5</v>
      </c>
      <c r="G471" s="248" t="s">
        <v>1048</v>
      </c>
      <c r="H471" s="783">
        <v>46022</v>
      </c>
      <c r="I471" s="306" t="s">
        <v>943</v>
      </c>
      <c r="J471" s="528"/>
    </row>
    <row r="472" spans="2:10" ht="31.2" x14ac:dyDescent="0.3">
      <c r="B472" s="31" t="s">
        <v>1057</v>
      </c>
      <c r="C472" s="479" t="s">
        <v>1058</v>
      </c>
      <c r="D472" s="43" t="s">
        <v>235</v>
      </c>
      <c r="E472" s="126" t="s">
        <v>515</v>
      </c>
      <c r="F472" s="482">
        <v>0.5</v>
      </c>
      <c r="G472" s="248" t="s">
        <v>1049</v>
      </c>
      <c r="H472" s="783">
        <v>46022</v>
      </c>
      <c r="I472" s="306" t="s">
        <v>943</v>
      </c>
      <c r="J472" s="528"/>
    </row>
    <row r="473" spans="2:10" ht="31.2" x14ac:dyDescent="0.3">
      <c r="B473" s="31" t="s">
        <v>1057</v>
      </c>
      <c r="C473" s="479" t="s">
        <v>1058</v>
      </c>
      <c r="D473" s="43" t="s">
        <v>235</v>
      </c>
      <c r="E473" s="126" t="s">
        <v>510</v>
      </c>
      <c r="F473" s="482">
        <v>0.5</v>
      </c>
      <c r="G473" s="248" t="s">
        <v>1050</v>
      </c>
      <c r="H473" s="783">
        <v>46108</v>
      </c>
      <c r="I473" s="306" t="s">
        <v>946</v>
      </c>
      <c r="J473" s="528"/>
    </row>
    <row r="474" spans="2:10" ht="31.2" x14ac:dyDescent="0.3">
      <c r="B474" s="31" t="s">
        <v>1057</v>
      </c>
      <c r="C474" s="479" t="s">
        <v>1058</v>
      </c>
      <c r="D474" s="43" t="s">
        <v>235</v>
      </c>
      <c r="E474" s="126" t="s">
        <v>515</v>
      </c>
      <c r="F474" s="482">
        <v>0.5</v>
      </c>
      <c r="G474" s="248" t="s">
        <v>1051</v>
      </c>
      <c r="H474" s="783">
        <v>46108</v>
      </c>
      <c r="I474" s="306" t="s">
        <v>946</v>
      </c>
      <c r="J474" s="528"/>
    </row>
    <row r="475" spans="2:10" ht="31.2" x14ac:dyDescent="0.3">
      <c r="B475" s="31" t="s">
        <v>1057</v>
      </c>
      <c r="C475" s="479" t="s">
        <v>1058</v>
      </c>
      <c r="D475" s="43" t="s">
        <v>235</v>
      </c>
      <c r="E475" s="126" t="s">
        <v>510</v>
      </c>
      <c r="F475" s="482">
        <v>0.5</v>
      </c>
      <c r="G475" s="248" t="s">
        <v>1052</v>
      </c>
      <c r="H475" s="783">
        <v>46133</v>
      </c>
      <c r="I475" s="306" t="s">
        <v>1053</v>
      </c>
      <c r="J475" s="528"/>
    </row>
    <row r="476" spans="2:10" ht="31.2" x14ac:dyDescent="0.3">
      <c r="B476" s="31" t="s">
        <v>1057</v>
      </c>
      <c r="C476" s="479" t="s">
        <v>1058</v>
      </c>
      <c r="D476" s="43" t="s">
        <v>235</v>
      </c>
      <c r="E476" s="126" t="s">
        <v>515</v>
      </c>
      <c r="F476" s="482">
        <v>0.5</v>
      </c>
      <c r="G476" s="248" t="s">
        <v>1054</v>
      </c>
      <c r="H476" s="783">
        <v>46133</v>
      </c>
      <c r="I476" s="306" t="s">
        <v>1053</v>
      </c>
      <c r="J476" s="528"/>
    </row>
    <row r="477" spans="2:10" ht="31.2" x14ac:dyDescent="0.3">
      <c r="B477" s="31" t="s">
        <v>1057</v>
      </c>
      <c r="C477" s="479" t="s">
        <v>1058</v>
      </c>
      <c r="D477" s="43" t="s">
        <v>235</v>
      </c>
      <c r="E477" s="126" t="s">
        <v>510</v>
      </c>
      <c r="F477" s="482">
        <v>0.5</v>
      </c>
      <c r="G477" s="587" t="s">
        <v>1055</v>
      </c>
      <c r="H477" s="783">
        <v>46196</v>
      </c>
      <c r="I477" s="306" t="s">
        <v>949</v>
      </c>
      <c r="J477" s="528"/>
    </row>
    <row r="478" spans="2:10" ht="31.2" x14ac:dyDescent="0.3">
      <c r="B478" s="31" t="s">
        <v>1057</v>
      </c>
      <c r="C478" s="479" t="s">
        <v>1058</v>
      </c>
      <c r="D478" s="43" t="s">
        <v>235</v>
      </c>
      <c r="E478" s="126" t="s">
        <v>515</v>
      </c>
      <c r="F478" s="482">
        <v>0.5</v>
      </c>
      <c r="G478" s="587" t="s">
        <v>1056</v>
      </c>
      <c r="H478" s="783">
        <v>46196</v>
      </c>
      <c r="I478" s="306" t="s">
        <v>949</v>
      </c>
      <c r="J478" s="528"/>
    </row>
    <row r="479" spans="2:10" ht="15.6" x14ac:dyDescent="0.3">
      <c r="B479" s="145"/>
      <c r="C479" s="150"/>
      <c r="D479" s="146"/>
      <c r="E479" s="147"/>
      <c r="F479" s="483"/>
      <c r="G479" s="302"/>
      <c r="H479" s="314"/>
      <c r="I479" s="306"/>
      <c r="J479" s="528"/>
    </row>
    <row r="480" spans="2:10" s="58" customFormat="1" ht="15.6" x14ac:dyDescent="0.3">
      <c r="B480" s="352"/>
      <c r="C480" s="353" t="s">
        <v>771</v>
      </c>
      <c r="D480" s="354" t="s">
        <v>235</v>
      </c>
      <c r="E480" s="355"/>
      <c r="F480" s="356">
        <f>SUM(F455:F479)</f>
        <v>12</v>
      </c>
      <c r="G480" s="357"/>
      <c r="H480" s="358"/>
      <c r="I480" s="359"/>
      <c r="J480" s="526"/>
    </row>
    <row r="481" spans="2:10" s="58" customFormat="1" ht="15.6" x14ac:dyDescent="0.3">
      <c r="B481" s="352"/>
      <c r="C481" s="353" t="s">
        <v>772</v>
      </c>
      <c r="D481" s="354" t="s">
        <v>235</v>
      </c>
      <c r="E481" s="355"/>
      <c r="F481" s="356">
        <v>12</v>
      </c>
      <c r="G481" s="357"/>
      <c r="H481" s="358"/>
      <c r="I481" s="359"/>
      <c r="J481" s="526"/>
    </row>
    <row r="482" spans="2:10" s="58" customFormat="1" ht="15.6" x14ac:dyDescent="0.3">
      <c r="B482" s="360"/>
      <c r="C482" s="361" t="s">
        <v>773</v>
      </c>
      <c r="D482" s="362" t="s">
        <v>235</v>
      </c>
      <c r="E482" s="363"/>
      <c r="F482" s="364">
        <f>F480-F481</f>
        <v>0</v>
      </c>
      <c r="G482" s="365"/>
      <c r="H482" s="366"/>
      <c r="I482" s="367"/>
      <c r="J482" s="527"/>
    </row>
    <row r="483" spans="2:10" ht="7.5" customHeight="1" x14ac:dyDescent="0.3">
      <c r="B483" s="338"/>
      <c r="C483" s="142"/>
      <c r="D483" s="143"/>
      <c r="E483" s="144"/>
      <c r="F483" s="345"/>
      <c r="G483" s="144"/>
      <c r="H483" s="144"/>
      <c r="I483" s="515"/>
      <c r="J483" s="524"/>
    </row>
    <row r="484" spans="2:10" ht="31.2" x14ac:dyDescent="0.3">
      <c r="B484" s="124" t="s">
        <v>1059</v>
      </c>
      <c r="C484" s="377" t="s">
        <v>1060</v>
      </c>
      <c r="D484" s="127" t="s">
        <v>235</v>
      </c>
      <c r="E484" s="290" t="s">
        <v>510</v>
      </c>
      <c r="F484" s="484">
        <v>0.5</v>
      </c>
      <c r="G484" s="302" t="s">
        <v>1032</v>
      </c>
      <c r="H484" s="485">
        <v>45535</v>
      </c>
      <c r="I484" s="486" t="s">
        <v>795</v>
      </c>
      <c r="J484" s="529"/>
    </row>
    <row r="485" spans="2:10" ht="31.2" x14ac:dyDescent="0.3">
      <c r="B485" s="145" t="s">
        <v>1059</v>
      </c>
      <c r="C485" s="475" t="s">
        <v>1060</v>
      </c>
      <c r="D485" s="146" t="s">
        <v>235</v>
      </c>
      <c r="E485" s="126" t="s">
        <v>515</v>
      </c>
      <c r="F485" s="482">
        <v>0.5</v>
      </c>
      <c r="G485" s="537" t="s">
        <v>1033</v>
      </c>
      <c r="H485" s="300">
        <v>45535</v>
      </c>
      <c r="I485" s="487" t="s">
        <v>795</v>
      </c>
      <c r="J485" s="494"/>
    </row>
    <row r="486" spans="2:10" ht="31.2" x14ac:dyDescent="0.3">
      <c r="B486" s="145" t="s">
        <v>1059</v>
      </c>
      <c r="C486" s="475" t="s">
        <v>1060</v>
      </c>
      <c r="D486" s="677" t="s">
        <v>235</v>
      </c>
      <c r="E486" s="678" t="s">
        <v>510</v>
      </c>
      <c r="F486" s="482">
        <v>0.5</v>
      </c>
      <c r="G486" s="594" t="s">
        <v>1034</v>
      </c>
      <c r="H486" s="300">
        <v>45583</v>
      </c>
      <c r="I486" s="487" t="s">
        <v>1026</v>
      </c>
      <c r="J486" s="528"/>
    </row>
    <row r="487" spans="2:10" ht="31.2" x14ac:dyDescent="0.3">
      <c r="B487" s="145" t="s">
        <v>1059</v>
      </c>
      <c r="C487" s="475" t="s">
        <v>1060</v>
      </c>
      <c r="D487" s="43" t="s">
        <v>235</v>
      </c>
      <c r="E487" s="126" t="s">
        <v>515</v>
      </c>
      <c r="F487" s="482">
        <v>0.5</v>
      </c>
      <c r="G487" s="680" t="s">
        <v>1035</v>
      </c>
      <c r="H487" s="300">
        <v>45583</v>
      </c>
      <c r="I487" s="487" t="s">
        <v>1026</v>
      </c>
      <c r="J487" s="528"/>
    </row>
    <row r="488" spans="2:10" ht="31.2" x14ac:dyDescent="0.3">
      <c r="B488" s="145" t="s">
        <v>1059</v>
      </c>
      <c r="C488" s="475" t="s">
        <v>1060</v>
      </c>
      <c r="D488" s="677" t="s">
        <v>235</v>
      </c>
      <c r="E488" s="678" t="s">
        <v>510</v>
      </c>
      <c r="F488" s="482">
        <v>0.5</v>
      </c>
      <c r="G488" s="594" t="s">
        <v>1036</v>
      </c>
      <c r="H488" s="300">
        <v>45647</v>
      </c>
      <c r="I488" s="487" t="s">
        <v>1026</v>
      </c>
      <c r="J488" s="528"/>
    </row>
    <row r="489" spans="2:10" ht="31.2" x14ac:dyDescent="0.3">
      <c r="B489" s="145" t="s">
        <v>1059</v>
      </c>
      <c r="C489" s="475" t="s">
        <v>1060</v>
      </c>
      <c r="D489" s="43" t="s">
        <v>235</v>
      </c>
      <c r="E489" s="126" t="s">
        <v>515</v>
      </c>
      <c r="F489" s="482">
        <v>0.5</v>
      </c>
      <c r="G489" s="594" t="s">
        <v>1037</v>
      </c>
      <c r="H489" s="300">
        <v>45647</v>
      </c>
      <c r="I489" s="487" t="s">
        <v>1026</v>
      </c>
      <c r="J489" s="528"/>
    </row>
    <row r="490" spans="2:10" ht="31.2" x14ac:dyDescent="0.3">
      <c r="B490" s="145" t="s">
        <v>1059</v>
      </c>
      <c r="C490" s="475" t="s">
        <v>1060</v>
      </c>
      <c r="D490" s="677" t="s">
        <v>235</v>
      </c>
      <c r="E490" s="678" t="s">
        <v>510</v>
      </c>
      <c r="F490" s="482">
        <v>0.5</v>
      </c>
      <c r="G490" s="594" t="s">
        <v>1038</v>
      </c>
      <c r="H490" s="300">
        <v>45712</v>
      </c>
      <c r="I490" s="487" t="s">
        <v>1026</v>
      </c>
      <c r="J490" s="528"/>
    </row>
    <row r="491" spans="2:10" ht="31.2" x14ac:dyDescent="0.3">
      <c r="B491" s="145" t="s">
        <v>1059</v>
      </c>
      <c r="C491" s="475" t="s">
        <v>1060</v>
      </c>
      <c r="D491" s="43" t="s">
        <v>235</v>
      </c>
      <c r="E491" s="126" t="s">
        <v>515</v>
      </c>
      <c r="F491" s="482">
        <v>0.5</v>
      </c>
      <c r="G491" s="594" t="s">
        <v>1039</v>
      </c>
      <c r="H491" s="300">
        <v>45712</v>
      </c>
      <c r="I491" s="487" t="s">
        <v>1026</v>
      </c>
      <c r="J491" s="528"/>
    </row>
    <row r="492" spans="2:10" ht="31.2" x14ac:dyDescent="0.3">
      <c r="B492" s="145" t="s">
        <v>1059</v>
      </c>
      <c r="C492" s="475" t="s">
        <v>1060</v>
      </c>
      <c r="D492" s="43" t="s">
        <v>235</v>
      </c>
      <c r="E492" s="147" t="s">
        <v>510</v>
      </c>
      <c r="F492" s="482">
        <v>0.5</v>
      </c>
      <c r="G492" s="594" t="s">
        <v>1040</v>
      </c>
      <c r="H492" s="300">
        <v>45771</v>
      </c>
      <c r="I492" s="487" t="s">
        <v>1026</v>
      </c>
      <c r="J492" s="528"/>
    </row>
    <row r="493" spans="2:10" ht="31.2" x14ac:dyDescent="0.3">
      <c r="B493" s="145" t="s">
        <v>1059</v>
      </c>
      <c r="C493" s="475" t="s">
        <v>1060</v>
      </c>
      <c r="D493" s="43" t="s">
        <v>235</v>
      </c>
      <c r="E493" s="147" t="s">
        <v>515</v>
      </c>
      <c r="F493" s="482">
        <v>0.5</v>
      </c>
      <c r="G493" s="594" t="s">
        <v>1041</v>
      </c>
      <c r="H493" s="300">
        <v>45771</v>
      </c>
      <c r="I493" s="487" t="s">
        <v>1026</v>
      </c>
      <c r="J493" s="528"/>
    </row>
    <row r="494" spans="2:10" ht="31.2" x14ac:dyDescent="0.3">
      <c r="B494" s="145" t="s">
        <v>1059</v>
      </c>
      <c r="C494" s="475" t="s">
        <v>1060</v>
      </c>
      <c r="D494" s="43" t="s">
        <v>235</v>
      </c>
      <c r="E494" s="147" t="s">
        <v>510</v>
      </c>
      <c r="F494" s="482">
        <v>0.5</v>
      </c>
      <c r="G494" s="594" t="s">
        <v>1042</v>
      </c>
      <c r="H494" s="314">
        <v>45832</v>
      </c>
      <c r="I494" s="487" t="s">
        <v>1026</v>
      </c>
      <c r="J494" s="528"/>
    </row>
    <row r="495" spans="2:10" ht="31.2" x14ac:dyDescent="0.3">
      <c r="B495" s="145" t="s">
        <v>1059</v>
      </c>
      <c r="C495" s="475" t="s">
        <v>1060</v>
      </c>
      <c r="D495" s="43" t="s">
        <v>235</v>
      </c>
      <c r="E495" s="147" t="s">
        <v>515</v>
      </c>
      <c r="F495" s="482">
        <v>0.5</v>
      </c>
      <c r="G495" s="594" t="s">
        <v>1043</v>
      </c>
      <c r="H495" s="314">
        <v>45832</v>
      </c>
      <c r="I495" s="487" t="s">
        <v>1026</v>
      </c>
      <c r="J495" s="528"/>
    </row>
    <row r="496" spans="2:10" ht="31.2" x14ac:dyDescent="0.3">
      <c r="B496" s="145" t="s">
        <v>1059</v>
      </c>
      <c r="C496" s="475" t="s">
        <v>1060</v>
      </c>
      <c r="D496" s="43" t="s">
        <v>235</v>
      </c>
      <c r="E496" s="678" t="s">
        <v>510</v>
      </c>
      <c r="F496" s="482">
        <v>0.5</v>
      </c>
      <c r="G496" s="594" t="s">
        <v>1044</v>
      </c>
      <c r="H496" s="314">
        <v>45899</v>
      </c>
      <c r="I496" s="487" t="s">
        <v>1026</v>
      </c>
      <c r="J496" s="528"/>
    </row>
    <row r="497" spans="2:10" ht="31.2" x14ac:dyDescent="0.3">
      <c r="B497" s="145" t="s">
        <v>1059</v>
      </c>
      <c r="C497" s="475" t="s">
        <v>1060</v>
      </c>
      <c r="D497" s="43" t="s">
        <v>235</v>
      </c>
      <c r="E497" s="126" t="s">
        <v>515</v>
      </c>
      <c r="F497" s="482">
        <v>0.5</v>
      </c>
      <c r="G497" s="594" t="s">
        <v>1045</v>
      </c>
      <c r="H497" s="314">
        <v>45899</v>
      </c>
      <c r="I497" s="487" t="s">
        <v>1026</v>
      </c>
      <c r="J497" s="528"/>
    </row>
    <row r="498" spans="2:10" ht="31.2" x14ac:dyDescent="0.3">
      <c r="B498" s="145" t="s">
        <v>1059</v>
      </c>
      <c r="C498" s="475" t="s">
        <v>1060</v>
      </c>
      <c r="D498" s="43" t="s">
        <v>235</v>
      </c>
      <c r="E498" s="678" t="s">
        <v>510</v>
      </c>
      <c r="F498" s="482">
        <v>0.5</v>
      </c>
      <c r="G498" s="594" t="s">
        <v>1046</v>
      </c>
      <c r="H498" s="314">
        <v>45952</v>
      </c>
      <c r="I498" s="487" t="s">
        <v>1026</v>
      </c>
      <c r="J498" s="528"/>
    </row>
    <row r="499" spans="2:10" ht="31.2" x14ac:dyDescent="0.3">
      <c r="B499" s="145" t="s">
        <v>1059</v>
      </c>
      <c r="C499" s="475" t="s">
        <v>1060</v>
      </c>
      <c r="D499" s="43" t="s">
        <v>235</v>
      </c>
      <c r="E499" s="126" t="s">
        <v>515</v>
      </c>
      <c r="F499" s="482">
        <v>0.5</v>
      </c>
      <c r="G499" s="594" t="s">
        <v>1047</v>
      </c>
      <c r="H499" s="314">
        <v>45952</v>
      </c>
      <c r="I499" s="487" t="s">
        <v>1026</v>
      </c>
      <c r="J499" s="528"/>
    </row>
    <row r="500" spans="2:10" ht="31.2" x14ac:dyDescent="0.3">
      <c r="B500" s="145" t="s">
        <v>1059</v>
      </c>
      <c r="C500" s="475" t="s">
        <v>1060</v>
      </c>
      <c r="D500" s="43" t="s">
        <v>235</v>
      </c>
      <c r="E500" s="678" t="s">
        <v>510</v>
      </c>
      <c r="F500" s="482">
        <v>0.5</v>
      </c>
      <c r="G500" s="248" t="s">
        <v>1048</v>
      </c>
      <c r="H500" s="783">
        <v>46022</v>
      </c>
      <c r="I500" s="306" t="s">
        <v>943</v>
      </c>
      <c r="J500" s="528"/>
    </row>
    <row r="501" spans="2:10" ht="31.2" x14ac:dyDescent="0.3">
      <c r="B501" s="145" t="s">
        <v>1059</v>
      </c>
      <c r="C501" s="475" t="s">
        <v>1060</v>
      </c>
      <c r="D501" s="43" t="s">
        <v>235</v>
      </c>
      <c r="E501" s="126" t="s">
        <v>515</v>
      </c>
      <c r="F501" s="482">
        <v>0.5</v>
      </c>
      <c r="G501" s="248" t="s">
        <v>1049</v>
      </c>
      <c r="H501" s="783">
        <v>46022</v>
      </c>
      <c r="I501" s="306" t="s">
        <v>943</v>
      </c>
      <c r="J501" s="528"/>
    </row>
    <row r="502" spans="2:10" ht="31.2" x14ac:dyDescent="0.3">
      <c r="B502" s="145" t="s">
        <v>1059</v>
      </c>
      <c r="C502" s="475" t="s">
        <v>1060</v>
      </c>
      <c r="D502" s="43" t="s">
        <v>235</v>
      </c>
      <c r="E502" s="126" t="s">
        <v>510</v>
      </c>
      <c r="F502" s="482">
        <v>0.5</v>
      </c>
      <c r="G502" s="248" t="s">
        <v>1050</v>
      </c>
      <c r="H502" s="783">
        <v>46108</v>
      </c>
      <c r="I502" s="306" t="s">
        <v>946</v>
      </c>
      <c r="J502" s="528"/>
    </row>
    <row r="503" spans="2:10" ht="31.2" x14ac:dyDescent="0.3">
      <c r="B503" s="145" t="s">
        <v>1059</v>
      </c>
      <c r="C503" s="475" t="s">
        <v>1060</v>
      </c>
      <c r="D503" s="43" t="s">
        <v>235</v>
      </c>
      <c r="E503" s="126" t="s">
        <v>515</v>
      </c>
      <c r="F503" s="482">
        <v>0.5</v>
      </c>
      <c r="G503" s="248" t="s">
        <v>1051</v>
      </c>
      <c r="H503" s="783">
        <v>46108</v>
      </c>
      <c r="I503" s="306" t="s">
        <v>946</v>
      </c>
      <c r="J503" s="528"/>
    </row>
    <row r="504" spans="2:10" ht="31.2" x14ac:dyDescent="0.3">
      <c r="B504" s="145" t="s">
        <v>1059</v>
      </c>
      <c r="C504" s="475" t="s">
        <v>1060</v>
      </c>
      <c r="D504" s="43" t="s">
        <v>235</v>
      </c>
      <c r="E504" s="126" t="s">
        <v>510</v>
      </c>
      <c r="F504" s="482">
        <v>0.5</v>
      </c>
      <c r="G504" s="248" t="s">
        <v>1052</v>
      </c>
      <c r="H504" s="783">
        <v>46133</v>
      </c>
      <c r="I504" s="306" t="s">
        <v>1053</v>
      </c>
      <c r="J504" s="528"/>
    </row>
    <row r="505" spans="2:10" ht="31.2" x14ac:dyDescent="0.3">
      <c r="B505" s="145" t="s">
        <v>1059</v>
      </c>
      <c r="C505" s="475" t="s">
        <v>1060</v>
      </c>
      <c r="D505" s="43" t="s">
        <v>235</v>
      </c>
      <c r="E505" s="126" t="s">
        <v>515</v>
      </c>
      <c r="F505" s="482">
        <v>0.5</v>
      </c>
      <c r="G505" s="248" t="s">
        <v>1054</v>
      </c>
      <c r="H505" s="783">
        <v>46133</v>
      </c>
      <c r="I505" s="306" t="s">
        <v>1053</v>
      </c>
      <c r="J505" s="528"/>
    </row>
    <row r="506" spans="2:10" ht="31.2" x14ac:dyDescent="0.3">
      <c r="B506" s="145" t="s">
        <v>1059</v>
      </c>
      <c r="C506" s="475" t="s">
        <v>1060</v>
      </c>
      <c r="D506" s="43" t="s">
        <v>235</v>
      </c>
      <c r="E506" s="126" t="s">
        <v>510</v>
      </c>
      <c r="F506" s="482">
        <v>0.5</v>
      </c>
      <c r="G506" s="587" t="s">
        <v>1055</v>
      </c>
      <c r="H506" s="783">
        <v>46196</v>
      </c>
      <c r="I506" s="306" t="s">
        <v>949</v>
      </c>
      <c r="J506" s="528"/>
    </row>
    <row r="507" spans="2:10" ht="31.2" x14ac:dyDescent="0.3">
      <c r="B507" s="145" t="s">
        <v>1059</v>
      </c>
      <c r="C507" s="475" t="s">
        <v>1060</v>
      </c>
      <c r="D507" s="43" t="s">
        <v>235</v>
      </c>
      <c r="E507" s="126" t="s">
        <v>515</v>
      </c>
      <c r="F507" s="482">
        <v>0.5</v>
      </c>
      <c r="G507" s="587" t="s">
        <v>1056</v>
      </c>
      <c r="H507" s="783">
        <v>46196</v>
      </c>
      <c r="I507" s="306" t="s">
        <v>949</v>
      </c>
      <c r="J507" s="528"/>
    </row>
    <row r="508" spans="2:10" ht="15.6" x14ac:dyDescent="0.3">
      <c r="B508" s="145"/>
      <c r="C508" s="150"/>
      <c r="D508" s="146"/>
      <c r="E508" s="147"/>
      <c r="F508" s="483"/>
      <c r="G508" s="302"/>
      <c r="H508" s="314"/>
      <c r="I508" s="306"/>
      <c r="J508" s="528"/>
    </row>
    <row r="509" spans="2:10" s="58" customFormat="1" ht="15.6" x14ac:dyDescent="0.3">
      <c r="B509" s="352"/>
      <c r="C509" s="353" t="s">
        <v>771</v>
      </c>
      <c r="D509" s="354" t="s">
        <v>235</v>
      </c>
      <c r="E509" s="355"/>
      <c r="F509" s="356">
        <f>SUM(F484:F508)</f>
        <v>12</v>
      </c>
      <c r="G509" s="357"/>
      <c r="H509" s="358"/>
      <c r="I509" s="359"/>
      <c r="J509" s="526"/>
    </row>
    <row r="510" spans="2:10" s="58" customFormat="1" ht="15.6" x14ac:dyDescent="0.3">
      <c r="B510" s="352"/>
      <c r="C510" s="353" t="s">
        <v>772</v>
      </c>
      <c r="D510" s="354" t="s">
        <v>235</v>
      </c>
      <c r="E510" s="355"/>
      <c r="F510" s="356">
        <v>12</v>
      </c>
      <c r="G510" s="357"/>
      <c r="H510" s="358"/>
      <c r="I510" s="359"/>
      <c r="J510" s="526"/>
    </row>
    <row r="511" spans="2:10" s="58" customFormat="1" ht="15.6" x14ac:dyDescent="0.3">
      <c r="B511" s="360"/>
      <c r="C511" s="361" t="s">
        <v>773</v>
      </c>
      <c r="D511" s="362" t="s">
        <v>235</v>
      </c>
      <c r="E511" s="363"/>
      <c r="F511" s="364">
        <f>F509-F510</f>
        <v>0</v>
      </c>
      <c r="G511" s="365"/>
      <c r="H511" s="366"/>
      <c r="I511" s="367"/>
      <c r="J511" s="527"/>
    </row>
    <row r="512" spans="2:10" ht="7.5" customHeight="1" x14ac:dyDescent="0.3">
      <c r="B512" s="338"/>
      <c r="C512" s="142"/>
      <c r="D512" s="143"/>
      <c r="E512" s="144"/>
      <c r="F512" s="345"/>
      <c r="G512" s="144"/>
      <c r="H512" s="144"/>
      <c r="I512" s="515"/>
      <c r="J512" s="524"/>
    </row>
    <row r="513" spans="2:10" ht="31.2" x14ac:dyDescent="0.3">
      <c r="B513" s="124" t="s">
        <v>1061</v>
      </c>
      <c r="C513" s="377" t="s">
        <v>1062</v>
      </c>
      <c r="D513" s="478" t="s">
        <v>232</v>
      </c>
      <c r="E513" s="678" t="s">
        <v>510</v>
      </c>
      <c r="F513" s="482">
        <v>0.5</v>
      </c>
      <c r="G513" s="302" t="s">
        <v>1063</v>
      </c>
      <c r="H513" s="314">
        <v>45647</v>
      </c>
      <c r="I513" s="487" t="s">
        <v>1026</v>
      </c>
      <c r="J513" s="525"/>
    </row>
    <row r="514" spans="2:10" ht="31.2" x14ac:dyDescent="0.3">
      <c r="B514" s="145" t="s">
        <v>1061</v>
      </c>
      <c r="C514" s="475" t="s">
        <v>1062</v>
      </c>
      <c r="D514" s="43" t="s">
        <v>232</v>
      </c>
      <c r="E514" s="126" t="s">
        <v>515</v>
      </c>
      <c r="F514" s="482">
        <v>0.5</v>
      </c>
      <c r="G514" s="302" t="s">
        <v>1064</v>
      </c>
      <c r="H514" s="314">
        <v>45647</v>
      </c>
      <c r="I514" s="306" t="s">
        <v>1026</v>
      </c>
      <c r="J514" s="528"/>
    </row>
    <row r="515" spans="2:10" ht="31.2" x14ac:dyDescent="0.3">
      <c r="B515" s="145" t="s">
        <v>1061</v>
      </c>
      <c r="C515" s="475" t="s">
        <v>1062</v>
      </c>
      <c r="D515" s="43" t="s">
        <v>232</v>
      </c>
      <c r="E515" s="147" t="s">
        <v>510</v>
      </c>
      <c r="F515" s="483">
        <v>0.5</v>
      </c>
      <c r="G515" s="594" t="s">
        <v>1065</v>
      </c>
      <c r="H515" s="314">
        <v>45832</v>
      </c>
      <c r="I515" s="306" t="s">
        <v>1026</v>
      </c>
      <c r="J515" s="528"/>
    </row>
    <row r="516" spans="2:10" ht="31.2" x14ac:dyDescent="0.3">
      <c r="B516" s="145" t="s">
        <v>1061</v>
      </c>
      <c r="C516" s="475" t="s">
        <v>1062</v>
      </c>
      <c r="D516" s="43" t="s">
        <v>232</v>
      </c>
      <c r="E516" s="147" t="s">
        <v>515</v>
      </c>
      <c r="F516" s="483">
        <v>0.5</v>
      </c>
      <c r="G516" s="594" t="s">
        <v>1066</v>
      </c>
      <c r="H516" s="314">
        <v>45832</v>
      </c>
      <c r="I516" s="306" t="s">
        <v>1026</v>
      </c>
      <c r="J516" s="528"/>
    </row>
    <row r="517" spans="2:10" ht="31.2" x14ac:dyDescent="0.3">
      <c r="B517" s="145" t="s">
        <v>1061</v>
      </c>
      <c r="C517" s="475" t="s">
        <v>1062</v>
      </c>
      <c r="D517" s="43" t="s">
        <v>232</v>
      </c>
      <c r="E517" s="147" t="s">
        <v>510</v>
      </c>
      <c r="F517" s="482">
        <v>0.5</v>
      </c>
      <c r="G517" s="248" t="s">
        <v>1067</v>
      </c>
      <c r="H517" s="783">
        <v>46022</v>
      </c>
      <c r="I517" s="306" t="s">
        <v>943</v>
      </c>
      <c r="J517" s="528"/>
    </row>
    <row r="518" spans="2:10" ht="31.2" x14ac:dyDescent="0.3">
      <c r="B518" s="145" t="s">
        <v>1061</v>
      </c>
      <c r="C518" s="475" t="s">
        <v>1062</v>
      </c>
      <c r="D518" s="43" t="s">
        <v>232</v>
      </c>
      <c r="E518" s="147" t="s">
        <v>515</v>
      </c>
      <c r="F518" s="482">
        <v>0.5</v>
      </c>
      <c r="G518" s="248" t="s">
        <v>1068</v>
      </c>
      <c r="H518" s="783">
        <v>46022</v>
      </c>
      <c r="I518" s="306" t="s">
        <v>943</v>
      </c>
      <c r="J518" s="528"/>
    </row>
    <row r="519" spans="2:10" ht="31.2" x14ac:dyDescent="0.3">
      <c r="B519" s="145" t="s">
        <v>1061</v>
      </c>
      <c r="C519" s="475" t="s">
        <v>1062</v>
      </c>
      <c r="D519" s="43" t="s">
        <v>232</v>
      </c>
      <c r="E519" s="147" t="s">
        <v>510</v>
      </c>
      <c r="F519" s="482">
        <v>0.5</v>
      </c>
      <c r="G519" s="587" t="s">
        <v>1069</v>
      </c>
      <c r="H519" s="783">
        <v>46196</v>
      </c>
      <c r="I519" s="306" t="s">
        <v>949</v>
      </c>
      <c r="J519" s="528"/>
    </row>
    <row r="520" spans="2:10" ht="31.2" x14ac:dyDescent="0.3">
      <c r="B520" s="145" t="s">
        <v>1061</v>
      </c>
      <c r="C520" s="475" t="s">
        <v>1062</v>
      </c>
      <c r="D520" s="43" t="s">
        <v>232</v>
      </c>
      <c r="E520" s="147" t="s">
        <v>515</v>
      </c>
      <c r="F520" s="482">
        <v>0.5</v>
      </c>
      <c r="G520" s="587" t="s">
        <v>1070</v>
      </c>
      <c r="H520" s="783">
        <v>46196</v>
      </c>
      <c r="I520" s="306" t="s">
        <v>949</v>
      </c>
      <c r="J520" s="528"/>
    </row>
    <row r="521" spans="2:10" ht="15.6" x14ac:dyDescent="0.3">
      <c r="B521" s="145"/>
      <c r="C521" s="150"/>
      <c r="D521" s="43"/>
      <c r="E521" s="147"/>
      <c r="F521" s="483"/>
      <c r="G521" s="302"/>
      <c r="H521" s="314"/>
      <c r="I521" s="306"/>
      <c r="J521" s="528"/>
    </row>
    <row r="522" spans="2:10" s="58" customFormat="1" ht="15.6" x14ac:dyDescent="0.3">
      <c r="B522" s="352"/>
      <c r="C522" s="353" t="s">
        <v>771</v>
      </c>
      <c r="D522" s="354" t="s">
        <v>232</v>
      </c>
      <c r="E522" s="355"/>
      <c r="F522" s="356">
        <f>SUM(F513:F521)</f>
        <v>4</v>
      </c>
      <c r="G522" s="357"/>
      <c r="H522" s="358"/>
      <c r="I522" s="359"/>
      <c r="J522" s="526"/>
    </row>
    <row r="523" spans="2:10" s="58" customFormat="1" ht="15.6" x14ac:dyDescent="0.3">
      <c r="B523" s="352"/>
      <c r="C523" s="353" t="s">
        <v>772</v>
      </c>
      <c r="D523" s="354" t="s">
        <v>232</v>
      </c>
      <c r="E523" s="355"/>
      <c r="F523" s="356">
        <v>4</v>
      </c>
      <c r="G523" s="357"/>
      <c r="H523" s="358"/>
      <c r="I523" s="359"/>
      <c r="J523" s="526"/>
    </row>
    <row r="524" spans="2:10" s="58" customFormat="1" ht="15.6" x14ac:dyDescent="0.3">
      <c r="B524" s="360"/>
      <c r="C524" s="361" t="s">
        <v>773</v>
      </c>
      <c r="D524" s="362" t="s">
        <v>232</v>
      </c>
      <c r="E524" s="363"/>
      <c r="F524" s="364">
        <f>F522-F523</f>
        <v>0</v>
      </c>
      <c r="G524" s="365"/>
      <c r="H524" s="366"/>
      <c r="I524" s="367"/>
      <c r="J524" s="527"/>
    </row>
    <row r="525" spans="2:10" ht="7.5" customHeight="1" x14ac:dyDescent="0.3">
      <c r="B525" s="338"/>
      <c r="C525" s="142"/>
      <c r="D525" s="143"/>
      <c r="E525" s="144"/>
      <c r="F525" s="345"/>
      <c r="G525" s="144"/>
      <c r="H525" s="144"/>
      <c r="I525" s="515"/>
      <c r="J525" s="524"/>
    </row>
    <row r="526" spans="2:10" ht="31.2" x14ac:dyDescent="0.3">
      <c r="B526" s="124" t="s">
        <v>1071</v>
      </c>
      <c r="C526" s="377" t="s">
        <v>1072</v>
      </c>
      <c r="D526" s="478" t="s">
        <v>232</v>
      </c>
      <c r="E526" s="125"/>
      <c r="F526" s="482">
        <v>1</v>
      </c>
      <c r="G526" s="488" t="s">
        <v>1073</v>
      </c>
      <c r="H526" s="297">
        <v>45654</v>
      </c>
      <c r="I526" s="306" t="s">
        <v>1026</v>
      </c>
      <c r="J526" s="525"/>
    </row>
    <row r="527" spans="2:10" ht="31.2" x14ac:dyDescent="0.3">
      <c r="B527" s="145" t="s">
        <v>1071</v>
      </c>
      <c r="C527" s="475" t="s">
        <v>1072</v>
      </c>
      <c r="D527" s="43" t="s">
        <v>232</v>
      </c>
      <c r="E527" s="147"/>
      <c r="F527" s="483">
        <v>1</v>
      </c>
      <c r="G527" s="594" t="s">
        <v>1074</v>
      </c>
      <c r="H527" s="314">
        <v>45838</v>
      </c>
      <c r="I527" s="306" t="s">
        <v>1026</v>
      </c>
      <c r="J527" s="528"/>
    </row>
    <row r="528" spans="2:10" ht="31.2" x14ac:dyDescent="0.3">
      <c r="B528" s="145" t="s">
        <v>1071</v>
      </c>
      <c r="C528" s="475" t="s">
        <v>1072</v>
      </c>
      <c r="D528" s="43" t="s">
        <v>232</v>
      </c>
      <c r="E528" s="147"/>
      <c r="F528" s="482">
        <v>1</v>
      </c>
      <c r="G528" s="248" t="s">
        <v>1075</v>
      </c>
      <c r="H528" s="783">
        <v>46022</v>
      </c>
      <c r="I528" s="306" t="s">
        <v>943</v>
      </c>
      <c r="J528" s="528"/>
    </row>
    <row r="529" spans="2:10" ht="31.2" x14ac:dyDescent="0.3">
      <c r="B529" s="145" t="s">
        <v>1071</v>
      </c>
      <c r="C529" s="475" t="s">
        <v>1072</v>
      </c>
      <c r="D529" s="43" t="s">
        <v>232</v>
      </c>
      <c r="E529" s="147"/>
      <c r="F529" s="482">
        <v>1</v>
      </c>
      <c r="G529" s="587" t="s">
        <v>1076</v>
      </c>
      <c r="H529" s="783">
        <v>46197</v>
      </c>
      <c r="I529" s="306" t="s">
        <v>949</v>
      </c>
      <c r="J529" s="528"/>
    </row>
    <row r="530" spans="2:10" ht="15.6" x14ac:dyDescent="0.3">
      <c r="B530" s="145"/>
      <c r="C530" s="150"/>
      <c r="D530" s="43"/>
      <c r="E530" s="147"/>
      <c r="F530" s="483"/>
      <c r="G530" s="302"/>
      <c r="H530" s="314"/>
      <c r="I530" s="306"/>
      <c r="J530" s="528"/>
    </row>
    <row r="531" spans="2:10" s="58" customFormat="1" ht="15.6" x14ac:dyDescent="0.3">
      <c r="B531" s="352"/>
      <c r="C531" s="353" t="s">
        <v>771</v>
      </c>
      <c r="D531" s="354" t="s">
        <v>232</v>
      </c>
      <c r="E531" s="355"/>
      <c r="F531" s="356">
        <f>SUM(F526:F530)</f>
        <v>4</v>
      </c>
      <c r="G531" s="357"/>
      <c r="H531" s="358"/>
      <c r="I531" s="359"/>
      <c r="J531" s="526"/>
    </row>
    <row r="532" spans="2:10" s="58" customFormat="1" ht="15.6" x14ac:dyDescent="0.3">
      <c r="B532" s="352"/>
      <c r="C532" s="353" t="s">
        <v>772</v>
      </c>
      <c r="D532" s="354" t="s">
        <v>232</v>
      </c>
      <c r="E532" s="355"/>
      <c r="F532" s="356">
        <v>4</v>
      </c>
      <c r="G532" s="357"/>
      <c r="H532" s="358"/>
      <c r="I532" s="359"/>
      <c r="J532" s="526"/>
    </row>
    <row r="533" spans="2:10" s="58" customFormat="1" ht="15.6" x14ac:dyDescent="0.3">
      <c r="B533" s="360"/>
      <c r="C533" s="361" t="s">
        <v>773</v>
      </c>
      <c r="D533" s="362" t="s">
        <v>232</v>
      </c>
      <c r="E533" s="363"/>
      <c r="F533" s="364">
        <f>F531-F532</f>
        <v>0</v>
      </c>
      <c r="G533" s="365"/>
      <c r="H533" s="366"/>
      <c r="I533" s="367"/>
      <c r="J533" s="527"/>
    </row>
    <row r="534" spans="2:10" ht="7.5" customHeight="1" x14ac:dyDescent="0.3">
      <c r="B534" s="338"/>
      <c r="C534" s="142"/>
      <c r="D534" s="143"/>
      <c r="E534" s="144"/>
      <c r="F534" s="345"/>
      <c r="G534" s="144"/>
      <c r="H534" s="144"/>
      <c r="I534" s="515"/>
      <c r="J534" s="524"/>
    </row>
    <row r="535" spans="2:10" ht="31.2" x14ac:dyDescent="0.3">
      <c r="B535" s="124" t="s">
        <v>1077</v>
      </c>
      <c r="C535" s="377" t="s">
        <v>1078</v>
      </c>
      <c r="D535" s="478" t="s">
        <v>232</v>
      </c>
      <c r="E535" s="125"/>
      <c r="F535" s="482">
        <v>1</v>
      </c>
      <c r="G535" s="488" t="s">
        <v>1025</v>
      </c>
      <c r="H535" s="297">
        <v>45654</v>
      </c>
      <c r="I535" s="306" t="s">
        <v>1026</v>
      </c>
      <c r="J535" s="525"/>
    </row>
    <row r="536" spans="2:10" ht="31.2" x14ac:dyDescent="0.3">
      <c r="B536" s="145" t="s">
        <v>1077</v>
      </c>
      <c r="C536" s="475" t="s">
        <v>1078</v>
      </c>
      <c r="D536" s="43" t="s">
        <v>232</v>
      </c>
      <c r="E536" s="147"/>
      <c r="F536" s="483">
        <v>1</v>
      </c>
      <c r="G536" s="594" t="s">
        <v>1027</v>
      </c>
      <c r="H536" s="314">
        <v>45899</v>
      </c>
      <c r="I536" s="306" t="s">
        <v>1026</v>
      </c>
      <c r="J536" s="528"/>
    </row>
    <row r="537" spans="2:10" ht="31.2" x14ac:dyDescent="0.3">
      <c r="B537" s="145" t="s">
        <v>1077</v>
      </c>
      <c r="C537" s="475" t="s">
        <v>1078</v>
      </c>
      <c r="D537" s="43" t="s">
        <v>232</v>
      </c>
      <c r="E537" s="147"/>
      <c r="F537" s="483">
        <v>1</v>
      </c>
      <c r="G537" s="248" t="s">
        <v>1079</v>
      </c>
      <c r="H537" s="783">
        <v>46022</v>
      </c>
      <c r="I537" s="306" t="s">
        <v>943</v>
      </c>
      <c r="J537" s="528"/>
    </row>
    <row r="538" spans="2:10" ht="31.2" x14ac:dyDescent="0.3">
      <c r="B538" s="145" t="s">
        <v>1077</v>
      </c>
      <c r="C538" s="475" t="s">
        <v>1078</v>
      </c>
      <c r="D538" s="43" t="s">
        <v>232</v>
      </c>
      <c r="E538" s="147"/>
      <c r="F538" s="482">
        <v>1</v>
      </c>
      <c r="G538" s="587" t="s">
        <v>1080</v>
      </c>
      <c r="H538" s="783">
        <v>46197</v>
      </c>
      <c r="I538" s="306" t="s">
        <v>949</v>
      </c>
      <c r="J538" s="528"/>
    </row>
    <row r="539" spans="2:10" ht="15.6" x14ac:dyDescent="0.3">
      <c r="B539" s="145"/>
      <c r="C539" s="150"/>
      <c r="D539" s="43"/>
      <c r="E539" s="147"/>
      <c r="F539" s="483"/>
      <c r="G539" s="302"/>
      <c r="H539" s="314"/>
      <c r="I539" s="306"/>
      <c r="J539" s="528"/>
    </row>
    <row r="540" spans="2:10" s="58" customFormat="1" ht="15.6" x14ac:dyDescent="0.3">
      <c r="B540" s="352"/>
      <c r="C540" s="353" t="s">
        <v>771</v>
      </c>
      <c r="D540" s="354" t="s">
        <v>232</v>
      </c>
      <c r="E540" s="355"/>
      <c r="F540" s="356">
        <f>SUM(F535:F539)</f>
        <v>4</v>
      </c>
      <c r="G540" s="357"/>
      <c r="H540" s="358"/>
      <c r="I540" s="359"/>
      <c r="J540" s="526"/>
    </row>
    <row r="541" spans="2:10" s="58" customFormat="1" ht="15.6" x14ac:dyDescent="0.3">
      <c r="B541" s="352"/>
      <c r="C541" s="353" t="s">
        <v>772</v>
      </c>
      <c r="D541" s="354" t="s">
        <v>232</v>
      </c>
      <c r="E541" s="355"/>
      <c r="F541" s="356">
        <v>4</v>
      </c>
      <c r="G541" s="357"/>
      <c r="H541" s="358"/>
      <c r="I541" s="359"/>
      <c r="J541" s="526"/>
    </row>
    <row r="542" spans="2:10" s="58" customFormat="1" ht="15.6" x14ac:dyDescent="0.3">
      <c r="B542" s="360"/>
      <c r="C542" s="361" t="s">
        <v>773</v>
      </c>
      <c r="D542" s="362" t="s">
        <v>232</v>
      </c>
      <c r="E542" s="363"/>
      <c r="F542" s="364">
        <f>F540-F541</f>
        <v>0</v>
      </c>
      <c r="G542" s="365"/>
      <c r="H542" s="366"/>
      <c r="I542" s="367"/>
      <c r="J542" s="527"/>
    </row>
    <row r="543" spans="2:10" ht="7.5" customHeight="1" x14ac:dyDescent="0.3">
      <c r="B543" s="338"/>
      <c r="C543" s="142"/>
      <c r="D543" s="143"/>
      <c r="E543" s="144"/>
      <c r="F543" s="345"/>
      <c r="G543" s="144"/>
      <c r="H543" s="144"/>
      <c r="I543" s="515"/>
      <c r="J543" s="524"/>
    </row>
    <row r="544" spans="2:10" ht="31.2" x14ac:dyDescent="0.3">
      <c r="B544" s="124" t="s">
        <v>1081</v>
      </c>
      <c r="C544" s="377" t="s">
        <v>1082</v>
      </c>
      <c r="D544" s="478" t="s">
        <v>232</v>
      </c>
      <c r="E544" s="125"/>
      <c r="F544" s="482">
        <v>1</v>
      </c>
      <c r="G544" s="488" t="s">
        <v>1025</v>
      </c>
      <c r="H544" s="297">
        <v>45654</v>
      </c>
      <c r="I544" s="306" t="s">
        <v>1026</v>
      </c>
      <c r="J544" s="525"/>
    </row>
    <row r="545" spans="2:10" ht="31.2" x14ac:dyDescent="0.3">
      <c r="B545" s="145" t="s">
        <v>1081</v>
      </c>
      <c r="C545" s="475" t="s">
        <v>1082</v>
      </c>
      <c r="D545" s="43" t="s">
        <v>232</v>
      </c>
      <c r="E545" s="147"/>
      <c r="F545" s="483">
        <v>1</v>
      </c>
      <c r="G545" s="594" t="s">
        <v>1027</v>
      </c>
      <c r="H545" s="314">
        <v>45899</v>
      </c>
      <c r="I545" s="306" t="s">
        <v>1026</v>
      </c>
      <c r="J545" s="528"/>
    </row>
    <row r="546" spans="2:10" ht="31.2" x14ac:dyDescent="0.3">
      <c r="B546" s="145" t="s">
        <v>1081</v>
      </c>
      <c r="C546" s="475" t="s">
        <v>1082</v>
      </c>
      <c r="D546" s="43" t="s">
        <v>232</v>
      </c>
      <c r="E546" s="147"/>
      <c r="F546" s="483">
        <v>1</v>
      </c>
      <c r="G546" s="248" t="s">
        <v>1083</v>
      </c>
      <c r="H546" s="783">
        <v>46022</v>
      </c>
      <c r="I546" s="306" t="s">
        <v>943</v>
      </c>
      <c r="J546" s="528"/>
    </row>
    <row r="547" spans="2:10" ht="31.2" x14ac:dyDescent="0.3">
      <c r="B547" s="145" t="s">
        <v>1081</v>
      </c>
      <c r="C547" s="475" t="s">
        <v>1082</v>
      </c>
      <c r="D547" s="43" t="s">
        <v>232</v>
      </c>
      <c r="E547" s="147"/>
      <c r="F547" s="482">
        <v>1</v>
      </c>
      <c r="G547" s="587" t="s">
        <v>1084</v>
      </c>
      <c r="H547" s="783">
        <v>46197</v>
      </c>
      <c r="I547" s="306" t="s">
        <v>949</v>
      </c>
      <c r="J547" s="528"/>
    </row>
    <row r="548" spans="2:10" ht="15.6" x14ac:dyDescent="0.3">
      <c r="B548" s="145"/>
      <c r="C548" s="150"/>
      <c r="D548" s="43"/>
      <c r="E548" s="147"/>
      <c r="F548" s="483"/>
      <c r="G548" s="302"/>
      <c r="H548" s="314"/>
      <c r="I548" s="306"/>
      <c r="J548" s="528"/>
    </row>
    <row r="549" spans="2:10" s="58" customFormat="1" ht="15.6" x14ac:dyDescent="0.3">
      <c r="B549" s="352"/>
      <c r="C549" s="353" t="s">
        <v>771</v>
      </c>
      <c r="D549" s="354" t="s">
        <v>232</v>
      </c>
      <c r="E549" s="355"/>
      <c r="F549" s="356">
        <f>SUM(F544:F548)</f>
        <v>4</v>
      </c>
      <c r="G549" s="357"/>
      <c r="H549" s="358"/>
      <c r="I549" s="359"/>
      <c r="J549" s="526"/>
    </row>
    <row r="550" spans="2:10" s="58" customFormat="1" ht="15.6" x14ac:dyDescent="0.3">
      <c r="B550" s="352"/>
      <c r="C550" s="353" t="s">
        <v>772</v>
      </c>
      <c r="D550" s="354" t="s">
        <v>232</v>
      </c>
      <c r="E550" s="355"/>
      <c r="F550" s="356">
        <v>4</v>
      </c>
      <c r="G550" s="357"/>
      <c r="H550" s="358"/>
      <c r="I550" s="359"/>
      <c r="J550" s="526"/>
    </row>
    <row r="551" spans="2:10" s="58" customFormat="1" ht="15.6" x14ac:dyDescent="0.3">
      <c r="B551" s="360"/>
      <c r="C551" s="361" t="s">
        <v>773</v>
      </c>
      <c r="D551" s="362" t="s">
        <v>232</v>
      </c>
      <c r="E551" s="363"/>
      <c r="F551" s="364">
        <f>F549-F550</f>
        <v>0</v>
      </c>
      <c r="G551" s="365"/>
      <c r="H551" s="366"/>
      <c r="I551" s="367"/>
      <c r="J551" s="527"/>
    </row>
    <row r="552" spans="2:10" ht="7.5" customHeight="1" x14ac:dyDescent="0.3">
      <c r="B552" s="338"/>
      <c r="C552" s="142"/>
      <c r="D552" s="143"/>
      <c r="E552" s="144"/>
      <c r="F552" s="345"/>
      <c r="G552" s="144"/>
      <c r="H552" s="144"/>
      <c r="I552" s="515"/>
      <c r="J552" s="524"/>
    </row>
    <row r="553" spans="2:10" ht="15.6" x14ac:dyDescent="0.3">
      <c r="B553" s="145" t="s">
        <v>1085</v>
      </c>
      <c r="C553" s="475" t="s">
        <v>1086</v>
      </c>
      <c r="D553" s="146" t="s">
        <v>190</v>
      </c>
      <c r="E553" s="147"/>
      <c r="F553" s="483">
        <v>20</v>
      </c>
      <c r="G553" s="594" t="s">
        <v>1087</v>
      </c>
      <c r="H553" s="314">
        <v>45626</v>
      </c>
      <c r="I553" s="306" t="s">
        <v>1026</v>
      </c>
      <c r="J553" s="528"/>
    </row>
    <row r="554" spans="2:10" ht="15.6" x14ac:dyDescent="0.3">
      <c r="B554" s="145" t="s">
        <v>1085</v>
      </c>
      <c r="C554" s="475" t="s">
        <v>1086</v>
      </c>
      <c r="D554" s="146" t="s">
        <v>190</v>
      </c>
      <c r="E554" s="147"/>
      <c r="F554" s="483">
        <v>10</v>
      </c>
      <c r="G554" s="594" t="s">
        <v>1088</v>
      </c>
      <c r="H554" s="314">
        <v>46142</v>
      </c>
      <c r="I554" s="306" t="s">
        <v>1053</v>
      </c>
      <c r="J554" s="528"/>
    </row>
    <row r="555" spans="2:10" ht="15.6" x14ac:dyDescent="0.3">
      <c r="B555" s="145"/>
      <c r="C555" s="150"/>
      <c r="D555" s="146"/>
      <c r="E555" s="147"/>
      <c r="F555" s="483"/>
      <c r="G555" s="302"/>
      <c r="H555" s="314"/>
      <c r="I555" s="306"/>
      <c r="J555" s="528"/>
    </row>
    <row r="556" spans="2:10" s="58" customFormat="1" ht="15.6" x14ac:dyDescent="0.3">
      <c r="B556" s="352"/>
      <c r="C556" s="353" t="s">
        <v>771</v>
      </c>
      <c r="D556" s="354" t="s">
        <v>190</v>
      </c>
      <c r="E556" s="355"/>
      <c r="F556" s="356">
        <f>SUM(F553:F555)</f>
        <v>30</v>
      </c>
      <c r="G556" s="357"/>
      <c r="H556" s="358"/>
      <c r="I556" s="359"/>
      <c r="J556" s="526"/>
    </row>
    <row r="557" spans="2:10" s="58" customFormat="1" ht="15.6" x14ac:dyDescent="0.3">
      <c r="B557" s="352"/>
      <c r="C557" s="353" t="s">
        <v>772</v>
      </c>
      <c r="D557" s="354" t="s">
        <v>190</v>
      </c>
      <c r="E557" s="355"/>
      <c r="F557" s="356">
        <v>30</v>
      </c>
      <c r="G557" s="357"/>
      <c r="H557" s="358"/>
      <c r="I557" s="359"/>
      <c r="J557" s="526"/>
    </row>
    <row r="558" spans="2:10" s="58" customFormat="1" ht="15.6" x14ac:dyDescent="0.3">
      <c r="B558" s="360"/>
      <c r="C558" s="361" t="s">
        <v>773</v>
      </c>
      <c r="D558" s="362" t="s">
        <v>190</v>
      </c>
      <c r="E558" s="363"/>
      <c r="F558" s="364">
        <f>F556-F557</f>
        <v>0</v>
      </c>
      <c r="G558" s="365"/>
      <c r="H558" s="366"/>
      <c r="I558" s="367"/>
      <c r="J558" s="527"/>
    </row>
    <row r="559" spans="2:10" ht="7.5" customHeight="1" x14ac:dyDescent="0.3">
      <c r="B559" s="338"/>
      <c r="C559" s="142"/>
      <c r="D559" s="143"/>
      <c r="E559" s="144"/>
      <c r="F559" s="345"/>
      <c r="G559" s="144"/>
      <c r="H559" s="144"/>
      <c r="I559" s="515"/>
      <c r="J559" s="524"/>
    </row>
    <row r="560" spans="2:10" ht="31.2" x14ac:dyDescent="0.3">
      <c r="B560" s="124" t="s">
        <v>1089</v>
      </c>
      <c r="C560" s="377" t="s">
        <v>1090</v>
      </c>
      <c r="D560" s="127" t="s">
        <v>222</v>
      </c>
      <c r="E560" s="125"/>
      <c r="F560" s="480">
        <v>2</v>
      </c>
      <c r="G560" s="488" t="s">
        <v>1091</v>
      </c>
      <c r="H560" s="297">
        <v>45656</v>
      </c>
      <c r="I560" s="305" t="s">
        <v>1026</v>
      </c>
      <c r="J560" s="525"/>
    </row>
    <row r="561" spans="2:10" ht="31.2" x14ac:dyDescent="0.3">
      <c r="B561" s="145" t="s">
        <v>1089</v>
      </c>
      <c r="C561" s="475" t="s">
        <v>1090</v>
      </c>
      <c r="D561" s="146" t="s">
        <v>222</v>
      </c>
      <c r="E561" s="147"/>
      <c r="F561" s="483">
        <v>1</v>
      </c>
      <c r="G561" s="594" t="s">
        <v>1092</v>
      </c>
      <c r="H561" s="314">
        <v>45747</v>
      </c>
      <c r="I561" s="306" t="s">
        <v>1026</v>
      </c>
      <c r="J561" s="528"/>
    </row>
    <row r="562" spans="2:10" ht="31.2" x14ac:dyDescent="0.3">
      <c r="B562" s="145" t="s">
        <v>1089</v>
      </c>
      <c r="C562" s="475" t="s">
        <v>1090</v>
      </c>
      <c r="D562" s="146" t="s">
        <v>222</v>
      </c>
      <c r="E562" s="147"/>
      <c r="F562" s="483">
        <v>1</v>
      </c>
      <c r="G562" s="594" t="s">
        <v>1093</v>
      </c>
      <c r="H562" s="314">
        <v>45838</v>
      </c>
      <c r="I562" s="306" t="s">
        <v>1026</v>
      </c>
      <c r="J562" s="528"/>
    </row>
    <row r="563" spans="2:10" ht="31.2" x14ac:dyDescent="0.3">
      <c r="B563" s="145" t="s">
        <v>1089</v>
      </c>
      <c r="C563" s="475" t="s">
        <v>1090</v>
      </c>
      <c r="D563" s="146" t="s">
        <v>222</v>
      </c>
      <c r="E563" s="147"/>
      <c r="F563" s="483">
        <v>1</v>
      </c>
      <c r="G563" s="594" t="s">
        <v>1094</v>
      </c>
      <c r="H563" s="314">
        <v>45930</v>
      </c>
      <c r="I563" s="306" t="s">
        <v>1026</v>
      </c>
      <c r="J563" s="528"/>
    </row>
    <row r="564" spans="2:10" ht="31.2" x14ac:dyDescent="0.3">
      <c r="B564" s="145" t="s">
        <v>1089</v>
      </c>
      <c r="C564" s="475" t="s">
        <v>1090</v>
      </c>
      <c r="D564" s="146" t="s">
        <v>222</v>
      </c>
      <c r="E564" s="147"/>
      <c r="F564" s="483">
        <v>1</v>
      </c>
      <c r="G564" s="594" t="s">
        <v>1095</v>
      </c>
      <c r="H564" s="783">
        <v>46022</v>
      </c>
      <c r="I564" s="306" t="s">
        <v>943</v>
      </c>
      <c r="J564" s="528"/>
    </row>
    <row r="565" spans="2:10" ht="31.2" x14ac:dyDescent="0.3">
      <c r="B565" s="145" t="s">
        <v>1089</v>
      </c>
      <c r="C565" s="475" t="s">
        <v>1090</v>
      </c>
      <c r="D565" s="146" t="s">
        <v>222</v>
      </c>
      <c r="E565" s="147"/>
      <c r="F565" s="483">
        <v>1</v>
      </c>
      <c r="G565" s="594" t="s">
        <v>1096</v>
      </c>
      <c r="H565" s="314">
        <v>46110</v>
      </c>
      <c r="I565" s="306" t="s">
        <v>946</v>
      </c>
      <c r="J565" s="528"/>
    </row>
    <row r="566" spans="2:10" ht="31.2" x14ac:dyDescent="0.3">
      <c r="B566" s="145" t="s">
        <v>1089</v>
      </c>
      <c r="C566" s="475" t="s">
        <v>1090</v>
      </c>
      <c r="D566" s="146" t="s">
        <v>222</v>
      </c>
      <c r="E566" s="147"/>
      <c r="F566" s="483">
        <v>1</v>
      </c>
      <c r="G566" s="594" t="s">
        <v>1097</v>
      </c>
      <c r="H566" s="783">
        <v>46196</v>
      </c>
      <c r="I566" s="306" t="s">
        <v>949</v>
      </c>
      <c r="J566" s="528"/>
    </row>
    <row r="567" spans="2:10" ht="15.6" x14ac:dyDescent="0.3">
      <c r="B567" s="145"/>
      <c r="C567" s="150"/>
      <c r="D567" s="146"/>
      <c r="E567" s="147"/>
      <c r="F567" s="483"/>
      <c r="G567" s="302"/>
      <c r="H567" s="314"/>
      <c r="I567" s="306"/>
      <c r="J567" s="528"/>
    </row>
    <row r="568" spans="2:10" s="58" customFormat="1" ht="15.6" x14ac:dyDescent="0.3">
      <c r="B568" s="352"/>
      <c r="C568" s="353" t="s">
        <v>771</v>
      </c>
      <c r="D568" s="354" t="s">
        <v>225</v>
      </c>
      <c r="E568" s="355"/>
      <c r="F568" s="356">
        <f>SUM(F560:F567)</f>
        <v>8</v>
      </c>
      <c r="G568" s="357"/>
      <c r="H568" s="358"/>
      <c r="I568" s="359"/>
      <c r="J568" s="526"/>
    </row>
    <row r="569" spans="2:10" s="58" customFormat="1" ht="15.6" x14ac:dyDescent="0.3">
      <c r="B569" s="352"/>
      <c r="C569" s="353" t="s">
        <v>772</v>
      </c>
      <c r="D569" s="354" t="s">
        <v>225</v>
      </c>
      <c r="E569" s="355"/>
      <c r="F569" s="356">
        <v>8</v>
      </c>
      <c r="G569" s="357"/>
      <c r="H569" s="358"/>
      <c r="I569" s="359"/>
      <c r="J569" s="526"/>
    </row>
    <row r="570" spans="2:10" s="58" customFormat="1" ht="15.6" x14ac:dyDescent="0.3">
      <c r="B570" s="360"/>
      <c r="C570" s="361" t="s">
        <v>773</v>
      </c>
      <c r="D570" s="362" t="s">
        <v>225</v>
      </c>
      <c r="E570" s="363"/>
      <c r="F570" s="364">
        <f>F568-F569</f>
        <v>0</v>
      </c>
      <c r="G570" s="365"/>
      <c r="H570" s="366"/>
      <c r="I570" s="367"/>
      <c r="J570" s="527"/>
    </row>
    <row r="571" spans="2:10" ht="7.5" customHeight="1" x14ac:dyDescent="0.3">
      <c r="B571" s="338"/>
      <c r="C571" s="142"/>
      <c r="D571" s="143"/>
      <c r="E571" s="144"/>
      <c r="F571" s="345"/>
      <c r="G571" s="144"/>
      <c r="H571" s="144"/>
      <c r="I571" s="515"/>
      <c r="J571" s="524"/>
    </row>
    <row r="572" spans="2:10" ht="31.2" x14ac:dyDescent="0.3">
      <c r="B572" s="124" t="s">
        <v>1098</v>
      </c>
      <c r="C572" s="377" t="s">
        <v>1099</v>
      </c>
      <c r="D572" s="127" t="s">
        <v>222</v>
      </c>
      <c r="E572" s="125"/>
      <c r="F572" s="480">
        <v>1</v>
      </c>
      <c r="G572" s="488" t="s">
        <v>1100</v>
      </c>
      <c r="H572" s="297">
        <v>45470</v>
      </c>
      <c r="I572" s="305" t="s">
        <v>795</v>
      </c>
      <c r="J572" s="525"/>
    </row>
    <row r="573" spans="2:10" ht="31.2" x14ac:dyDescent="0.3">
      <c r="B573" s="145" t="s">
        <v>1098</v>
      </c>
      <c r="C573" s="475" t="s">
        <v>1099</v>
      </c>
      <c r="D573" s="146" t="s">
        <v>222</v>
      </c>
      <c r="E573" s="147"/>
      <c r="F573" s="483">
        <v>1</v>
      </c>
      <c r="G573" s="594" t="s">
        <v>1101</v>
      </c>
      <c r="H573" s="314">
        <v>45961</v>
      </c>
      <c r="I573" s="306" t="s">
        <v>1026</v>
      </c>
      <c r="J573" s="528"/>
    </row>
    <row r="574" spans="2:10" ht="31.2" x14ac:dyDescent="0.3">
      <c r="B574" s="145" t="s">
        <v>1098</v>
      </c>
      <c r="C574" s="475" t="s">
        <v>1099</v>
      </c>
      <c r="D574" s="146" t="s">
        <v>222</v>
      </c>
      <c r="E574" s="147"/>
      <c r="F574" s="483">
        <v>1</v>
      </c>
      <c r="G574" s="594" t="s">
        <v>1102</v>
      </c>
      <c r="H574" s="314">
        <v>45961</v>
      </c>
      <c r="I574" s="306" t="s">
        <v>1026</v>
      </c>
      <c r="J574" s="528"/>
    </row>
    <row r="575" spans="2:10" ht="31.2" x14ac:dyDescent="0.3">
      <c r="B575" s="145" t="s">
        <v>1098</v>
      </c>
      <c r="C575" s="475" t="s">
        <v>1099</v>
      </c>
      <c r="D575" s="146" t="s">
        <v>222</v>
      </c>
      <c r="E575" s="147"/>
      <c r="F575" s="483">
        <v>1</v>
      </c>
      <c r="G575" s="594" t="s">
        <v>1103</v>
      </c>
      <c r="H575" s="314">
        <v>45961</v>
      </c>
      <c r="I575" s="306" t="s">
        <v>1026</v>
      </c>
      <c r="J575" s="528"/>
    </row>
    <row r="576" spans="2:10" ht="31.2" x14ac:dyDescent="0.3">
      <c r="B576" s="145" t="s">
        <v>1098</v>
      </c>
      <c r="C576" s="475" t="s">
        <v>1099</v>
      </c>
      <c r="D576" s="146" t="s">
        <v>222</v>
      </c>
      <c r="E576" s="147"/>
      <c r="F576" s="483">
        <v>1</v>
      </c>
      <c r="G576" s="594" t="s">
        <v>1104</v>
      </c>
      <c r="H576" s="314">
        <v>45961</v>
      </c>
      <c r="I576" s="306" t="s">
        <v>1026</v>
      </c>
      <c r="J576" s="528"/>
    </row>
    <row r="577" spans="2:10" ht="31.2" x14ac:dyDescent="0.3">
      <c r="B577" s="145" t="s">
        <v>1098</v>
      </c>
      <c r="C577" s="475" t="s">
        <v>1099</v>
      </c>
      <c r="D577" s="146" t="s">
        <v>222</v>
      </c>
      <c r="E577" s="147"/>
      <c r="F577" s="483">
        <v>1</v>
      </c>
      <c r="G577" s="594" t="s">
        <v>1105</v>
      </c>
      <c r="H577" s="783">
        <v>46022</v>
      </c>
      <c r="I577" s="306" t="s">
        <v>943</v>
      </c>
      <c r="J577" s="528"/>
    </row>
    <row r="578" spans="2:10" ht="31.2" x14ac:dyDescent="0.3">
      <c r="B578" s="145" t="s">
        <v>1098</v>
      </c>
      <c r="C578" s="475" t="s">
        <v>1099</v>
      </c>
      <c r="D578" s="146" t="s">
        <v>222</v>
      </c>
      <c r="E578" s="147"/>
      <c r="F578" s="483">
        <v>1</v>
      </c>
      <c r="G578" s="594" t="s">
        <v>1106</v>
      </c>
      <c r="H578" s="783">
        <v>46112</v>
      </c>
      <c r="I578" s="306" t="s">
        <v>946</v>
      </c>
      <c r="J578" s="528"/>
    </row>
    <row r="579" spans="2:10" ht="31.2" x14ac:dyDescent="0.3">
      <c r="B579" s="145" t="s">
        <v>1098</v>
      </c>
      <c r="C579" s="475" t="s">
        <v>1099</v>
      </c>
      <c r="D579" s="146" t="s">
        <v>222</v>
      </c>
      <c r="E579" s="147"/>
      <c r="F579" s="483">
        <v>1</v>
      </c>
      <c r="G579" s="594" t="s">
        <v>1107</v>
      </c>
      <c r="H579" s="783">
        <v>46197</v>
      </c>
      <c r="I579" s="306" t="s">
        <v>949</v>
      </c>
      <c r="J579" s="528"/>
    </row>
    <row r="580" spans="2:10" ht="15.6" x14ac:dyDescent="0.3">
      <c r="B580" s="145"/>
      <c r="C580" s="150"/>
      <c r="D580" s="146"/>
      <c r="E580" s="147"/>
      <c r="F580" s="483"/>
      <c r="G580" s="302"/>
      <c r="H580" s="314"/>
      <c r="I580" s="306"/>
      <c r="J580" s="528"/>
    </row>
    <row r="581" spans="2:10" s="58" customFormat="1" ht="15.6" x14ac:dyDescent="0.3">
      <c r="B581" s="352"/>
      <c r="C581" s="353" t="s">
        <v>771</v>
      </c>
      <c r="D581" s="354" t="s">
        <v>222</v>
      </c>
      <c r="E581" s="355"/>
      <c r="F581" s="356">
        <f>SUM(F572:F580)</f>
        <v>8</v>
      </c>
      <c r="G581" s="357"/>
      <c r="H581" s="358"/>
      <c r="I581" s="359"/>
      <c r="J581" s="526"/>
    </row>
    <row r="582" spans="2:10" s="58" customFormat="1" ht="15.6" x14ac:dyDescent="0.3">
      <c r="B582" s="352"/>
      <c r="C582" s="353" t="s">
        <v>772</v>
      </c>
      <c r="D582" s="354" t="s">
        <v>222</v>
      </c>
      <c r="E582" s="355"/>
      <c r="F582" s="356">
        <v>8</v>
      </c>
      <c r="G582" s="357"/>
      <c r="H582" s="358"/>
      <c r="I582" s="359"/>
      <c r="J582" s="526"/>
    </row>
    <row r="583" spans="2:10" s="58" customFormat="1" ht="15.6" x14ac:dyDescent="0.3">
      <c r="B583" s="360"/>
      <c r="C583" s="361" t="s">
        <v>773</v>
      </c>
      <c r="D583" s="362" t="s">
        <v>222</v>
      </c>
      <c r="E583" s="363"/>
      <c r="F583" s="364">
        <f>F581-F582</f>
        <v>0</v>
      </c>
      <c r="G583" s="365"/>
      <c r="H583" s="366"/>
      <c r="I583" s="367"/>
      <c r="J583" s="527"/>
    </row>
    <row r="584" spans="2:10" ht="7.5" customHeight="1" x14ac:dyDescent="0.3">
      <c r="B584" s="338"/>
      <c r="C584" s="142"/>
      <c r="D584" s="143"/>
      <c r="E584" s="144"/>
      <c r="F584" s="345"/>
      <c r="G584" s="144"/>
      <c r="H584" s="144"/>
      <c r="I584" s="515"/>
      <c r="J584" s="524"/>
    </row>
    <row r="585" spans="2:10" ht="31.2" x14ac:dyDescent="0.3">
      <c r="B585" s="124" t="s">
        <v>1108</v>
      </c>
      <c r="C585" s="377" t="s">
        <v>1109</v>
      </c>
      <c r="D585" s="127" t="s">
        <v>222</v>
      </c>
      <c r="E585" s="125"/>
      <c r="F585" s="480">
        <v>1</v>
      </c>
      <c r="G585" s="296" t="s">
        <v>1110</v>
      </c>
      <c r="H585" s="297">
        <v>45469</v>
      </c>
      <c r="I585" s="305" t="s">
        <v>795</v>
      </c>
      <c r="J585" s="525"/>
    </row>
    <row r="586" spans="2:10" ht="31.2" x14ac:dyDescent="0.3">
      <c r="B586" s="145" t="s">
        <v>1108</v>
      </c>
      <c r="C586" s="475" t="s">
        <v>1109</v>
      </c>
      <c r="D586" s="146" t="s">
        <v>222</v>
      </c>
      <c r="E586" s="147"/>
      <c r="F586" s="483">
        <v>1</v>
      </c>
      <c r="G586" s="594" t="s">
        <v>1101</v>
      </c>
      <c r="H586" s="314">
        <v>45961</v>
      </c>
      <c r="I586" s="306" t="s">
        <v>1026</v>
      </c>
      <c r="J586" s="528"/>
    </row>
    <row r="587" spans="2:10" ht="31.2" x14ac:dyDescent="0.3">
      <c r="B587" s="145" t="s">
        <v>1108</v>
      </c>
      <c r="C587" s="475" t="s">
        <v>1109</v>
      </c>
      <c r="D587" s="146" t="s">
        <v>222</v>
      </c>
      <c r="E587" s="147"/>
      <c r="F587" s="483">
        <v>1</v>
      </c>
      <c r="G587" s="594" t="s">
        <v>1102</v>
      </c>
      <c r="H587" s="314">
        <v>45961</v>
      </c>
      <c r="I587" s="306" t="s">
        <v>1026</v>
      </c>
      <c r="J587" s="528"/>
    </row>
    <row r="588" spans="2:10" ht="31.2" x14ac:dyDescent="0.3">
      <c r="B588" s="145" t="s">
        <v>1108</v>
      </c>
      <c r="C588" s="475" t="s">
        <v>1109</v>
      </c>
      <c r="D588" s="146" t="s">
        <v>222</v>
      </c>
      <c r="E588" s="147"/>
      <c r="F588" s="483">
        <v>1</v>
      </c>
      <c r="G588" s="594" t="s">
        <v>1103</v>
      </c>
      <c r="H588" s="314">
        <v>45961</v>
      </c>
      <c r="I588" s="306" t="s">
        <v>1026</v>
      </c>
      <c r="J588" s="528"/>
    </row>
    <row r="589" spans="2:10" ht="31.2" x14ac:dyDescent="0.3">
      <c r="B589" s="145" t="s">
        <v>1108</v>
      </c>
      <c r="C589" s="475" t="s">
        <v>1109</v>
      </c>
      <c r="D589" s="146" t="s">
        <v>222</v>
      </c>
      <c r="E589" s="147"/>
      <c r="F589" s="483">
        <v>1</v>
      </c>
      <c r="G589" s="594" t="s">
        <v>1104</v>
      </c>
      <c r="H589" s="314">
        <v>45961</v>
      </c>
      <c r="I589" s="306" t="s">
        <v>1026</v>
      </c>
      <c r="J589" s="528"/>
    </row>
    <row r="590" spans="2:10" ht="31.2" x14ac:dyDescent="0.3">
      <c r="B590" s="145" t="s">
        <v>1108</v>
      </c>
      <c r="C590" s="475" t="s">
        <v>1109</v>
      </c>
      <c r="D590" s="146" t="s">
        <v>222</v>
      </c>
      <c r="E590" s="147"/>
      <c r="F590" s="483">
        <v>1</v>
      </c>
      <c r="G590" s="594" t="s">
        <v>1111</v>
      </c>
      <c r="H590" s="783">
        <v>46022</v>
      </c>
      <c r="I590" s="306" t="s">
        <v>943</v>
      </c>
      <c r="J590" s="528"/>
    </row>
    <row r="591" spans="2:10" ht="31.2" x14ac:dyDescent="0.3">
      <c r="B591" s="145" t="s">
        <v>1108</v>
      </c>
      <c r="C591" s="475" t="s">
        <v>1109</v>
      </c>
      <c r="D591" s="146" t="s">
        <v>222</v>
      </c>
      <c r="E591" s="147"/>
      <c r="F591" s="483">
        <v>1</v>
      </c>
      <c r="G591" s="594" t="s">
        <v>1112</v>
      </c>
      <c r="H591" s="783">
        <v>46112</v>
      </c>
      <c r="I591" s="306" t="s">
        <v>946</v>
      </c>
      <c r="J591" s="528"/>
    </row>
    <row r="592" spans="2:10" ht="31.2" x14ac:dyDescent="0.3">
      <c r="B592" s="145" t="s">
        <v>1108</v>
      </c>
      <c r="C592" s="475" t="s">
        <v>1109</v>
      </c>
      <c r="D592" s="146" t="s">
        <v>222</v>
      </c>
      <c r="E592" s="147"/>
      <c r="F592" s="483">
        <v>1</v>
      </c>
      <c r="G592" s="594" t="s">
        <v>1113</v>
      </c>
      <c r="H592" s="783">
        <v>46197</v>
      </c>
      <c r="I592" s="306" t="s">
        <v>949</v>
      </c>
      <c r="J592" s="528"/>
    </row>
    <row r="593" spans="2:10" ht="15.6" x14ac:dyDescent="0.3">
      <c r="B593" s="145"/>
      <c r="C593" s="150"/>
      <c r="D593" s="146"/>
      <c r="E593" s="147"/>
      <c r="F593" s="483"/>
      <c r="G593" s="302"/>
      <c r="H593" s="314"/>
      <c r="I593" s="306"/>
      <c r="J593" s="528"/>
    </row>
    <row r="594" spans="2:10" s="58" customFormat="1" ht="15.6" x14ac:dyDescent="0.3">
      <c r="B594" s="352"/>
      <c r="C594" s="353" t="s">
        <v>771</v>
      </c>
      <c r="D594" s="354" t="s">
        <v>222</v>
      </c>
      <c r="E594" s="355"/>
      <c r="F594" s="356">
        <f>SUM(F585:F593)</f>
        <v>8</v>
      </c>
      <c r="G594" s="357"/>
      <c r="H594" s="358"/>
      <c r="I594" s="359"/>
      <c r="J594" s="526"/>
    </row>
    <row r="595" spans="2:10" s="58" customFormat="1" ht="15.6" x14ac:dyDescent="0.3">
      <c r="B595" s="352"/>
      <c r="C595" s="353" t="s">
        <v>772</v>
      </c>
      <c r="D595" s="354" t="s">
        <v>222</v>
      </c>
      <c r="E595" s="355"/>
      <c r="F595" s="356">
        <v>8</v>
      </c>
      <c r="G595" s="357"/>
      <c r="H595" s="358"/>
      <c r="I595" s="359"/>
      <c r="J595" s="526"/>
    </row>
    <row r="596" spans="2:10" s="58" customFormat="1" ht="15.6" x14ac:dyDescent="0.3">
      <c r="B596" s="360"/>
      <c r="C596" s="361" t="s">
        <v>773</v>
      </c>
      <c r="D596" s="362" t="s">
        <v>222</v>
      </c>
      <c r="E596" s="363"/>
      <c r="F596" s="364">
        <f>F594-F595</f>
        <v>0</v>
      </c>
      <c r="G596" s="365"/>
      <c r="H596" s="366"/>
      <c r="I596" s="367"/>
      <c r="J596" s="527"/>
    </row>
    <row r="597" spans="2:10" ht="7.5" customHeight="1" x14ac:dyDescent="0.3">
      <c r="B597" s="338"/>
      <c r="C597" s="142"/>
      <c r="D597" s="143"/>
      <c r="E597" s="144"/>
      <c r="F597" s="345"/>
      <c r="G597" s="144"/>
      <c r="H597" s="144"/>
      <c r="I597" s="515"/>
      <c r="J597" s="524"/>
    </row>
    <row r="598" spans="2:10" ht="15.6" x14ac:dyDescent="0.3">
      <c r="B598" s="124" t="s">
        <v>1114</v>
      </c>
      <c r="C598" s="377" t="s">
        <v>1115</v>
      </c>
      <c r="D598" s="127" t="s">
        <v>222</v>
      </c>
      <c r="E598" s="125"/>
      <c r="F598" s="480">
        <v>1</v>
      </c>
      <c r="G598" s="488" t="s">
        <v>1116</v>
      </c>
      <c r="H598" s="297" t="s">
        <v>1117</v>
      </c>
      <c r="I598" s="305" t="s">
        <v>795</v>
      </c>
      <c r="J598" s="525"/>
    </row>
    <row r="599" spans="2:10" ht="31.2" x14ac:dyDescent="0.3">
      <c r="B599" s="145" t="s">
        <v>1114</v>
      </c>
      <c r="C599" s="475" t="s">
        <v>1115</v>
      </c>
      <c r="D599" s="146" t="s">
        <v>222</v>
      </c>
      <c r="E599" s="147"/>
      <c r="F599" s="483">
        <v>1</v>
      </c>
      <c r="G599" s="594" t="s">
        <v>1101</v>
      </c>
      <c r="H599" s="314">
        <v>45961</v>
      </c>
      <c r="I599" s="306" t="s">
        <v>1026</v>
      </c>
      <c r="J599" s="528"/>
    </row>
    <row r="600" spans="2:10" ht="31.2" x14ac:dyDescent="0.3">
      <c r="B600" s="145" t="s">
        <v>1114</v>
      </c>
      <c r="C600" s="475" t="s">
        <v>1115</v>
      </c>
      <c r="D600" s="146" t="s">
        <v>222</v>
      </c>
      <c r="E600" s="147"/>
      <c r="F600" s="483">
        <v>1</v>
      </c>
      <c r="G600" s="594" t="s">
        <v>1102</v>
      </c>
      <c r="H600" s="314">
        <v>45961</v>
      </c>
      <c r="I600" s="306" t="s">
        <v>1026</v>
      </c>
      <c r="J600" s="528"/>
    </row>
    <row r="601" spans="2:10" ht="31.2" x14ac:dyDescent="0.3">
      <c r="B601" s="145" t="s">
        <v>1114</v>
      </c>
      <c r="C601" s="475" t="s">
        <v>1115</v>
      </c>
      <c r="D601" s="146" t="s">
        <v>222</v>
      </c>
      <c r="E601" s="147"/>
      <c r="F601" s="483">
        <v>1</v>
      </c>
      <c r="G601" s="594" t="s">
        <v>1103</v>
      </c>
      <c r="H601" s="314">
        <v>45961</v>
      </c>
      <c r="I601" s="306" t="s">
        <v>1026</v>
      </c>
      <c r="J601" s="528"/>
    </row>
    <row r="602" spans="2:10" ht="31.2" x14ac:dyDescent="0.3">
      <c r="B602" s="145" t="s">
        <v>1114</v>
      </c>
      <c r="C602" s="475" t="s">
        <v>1115</v>
      </c>
      <c r="D602" s="146" t="s">
        <v>222</v>
      </c>
      <c r="E602" s="147"/>
      <c r="F602" s="483">
        <v>1</v>
      </c>
      <c r="G602" s="594" t="s">
        <v>1104</v>
      </c>
      <c r="H602" s="314">
        <v>45961</v>
      </c>
      <c r="I602" s="306" t="s">
        <v>1026</v>
      </c>
      <c r="J602" s="528"/>
    </row>
    <row r="603" spans="2:10" ht="31.2" x14ac:dyDescent="0.3">
      <c r="B603" s="145" t="s">
        <v>1114</v>
      </c>
      <c r="C603" s="475" t="s">
        <v>1115</v>
      </c>
      <c r="D603" s="146" t="s">
        <v>222</v>
      </c>
      <c r="E603" s="147"/>
      <c r="F603" s="483">
        <v>1</v>
      </c>
      <c r="G603" s="594" t="s">
        <v>1105</v>
      </c>
      <c r="H603" s="783">
        <v>46022</v>
      </c>
      <c r="I603" s="306" t="s">
        <v>943</v>
      </c>
      <c r="J603" s="528"/>
    </row>
    <row r="604" spans="2:10" ht="31.2" x14ac:dyDescent="0.3">
      <c r="B604" s="145" t="s">
        <v>1114</v>
      </c>
      <c r="C604" s="475" t="s">
        <v>1115</v>
      </c>
      <c r="D604" s="146" t="s">
        <v>222</v>
      </c>
      <c r="E604" s="147"/>
      <c r="F604" s="483">
        <v>1</v>
      </c>
      <c r="G604" s="594" t="s">
        <v>1106</v>
      </c>
      <c r="H604" s="783">
        <v>46112</v>
      </c>
      <c r="I604" s="306" t="s">
        <v>946</v>
      </c>
      <c r="J604" s="528"/>
    </row>
    <row r="605" spans="2:10" ht="31.2" x14ac:dyDescent="0.3">
      <c r="B605" s="145" t="s">
        <v>1114</v>
      </c>
      <c r="C605" s="475" t="s">
        <v>1115</v>
      </c>
      <c r="D605" s="146" t="s">
        <v>222</v>
      </c>
      <c r="E605" s="147"/>
      <c r="F605" s="483">
        <v>1</v>
      </c>
      <c r="G605" s="594" t="s">
        <v>1107</v>
      </c>
      <c r="H605" s="783">
        <v>46197</v>
      </c>
      <c r="I605" s="306" t="s">
        <v>949</v>
      </c>
      <c r="J605" s="528"/>
    </row>
    <row r="606" spans="2:10" ht="15.6" x14ac:dyDescent="0.3">
      <c r="B606" s="145"/>
      <c r="C606" s="150"/>
      <c r="D606" s="146"/>
      <c r="E606" s="147"/>
      <c r="F606" s="483"/>
      <c r="G606" s="302"/>
      <c r="H606" s="314"/>
      <c r="I606" s="306"/>
      <c r="J606" s="528"/>
    </row>
    <row r="607" spans="2:10" s="58" customFormat="1" ht="15.6" x14ac:dyDescent="0.3">
      <c r="B607" s="352"/>
      <c r="C607" s="353" t="s">
        <v>771</v>
      </c>
      <c r="D607" s="354" t="s">
        <v>222</v>
      </c>
      <c r="E607" s="355"/>
      <c r="F607" s="356">
        <f>SUM(F598:F606)</f>
        <v>8</v>
      </c>
      <c r="G607" s="357"/>
      <c r="H607" s="358"/>
      <c r="I607" s="359"/>
      <c r="J607" s="526"/>
    </row>
    <row r="608" spans="2:10" s="58" customFormat="1" ht="15.6" x14ac:dyDescent="0.3">
      <c r="B608" s="352"/>
      <c r="C608" s="353" t="s">
        <v>772</v>
      </c>
      <c r="D608" s="354" t="s">
        <v>222</v>
      </c>
      <c r="E608" s="355"/>
      <c r="F608" s="356">
        <v>8</v>
      </c>
      <c r="G608" s="357"/>
      <c r="H608" s="358"/>
      <c r="I608" s="359"/>
      <c r="J608" s="526"/>
    </row>
    <row r="609" spans="2:10" s="58" customFormat="1" ht="15.6" x14ac:dyDescent="0.3">
      <c r="B609" s="360"/>
      <c r="C609" s="361" t="s">
        <v>773</v>
      </c>
      <c r="D609" s="362" t="s">
        <v>222</v>
      </c>
      <c r="E609" s="363"/>
      <c r="F609" s="364">
        <f>F607-F608</f>
        <v>0</v>
      </c>
      <c r="G609" s="365"/>
      <c r="H609" s="366"/>
      <c r="I609" s="367"/>
      <c r="J609" s="527"/>
    </row>
    <row r="610" spans="2:10" ht="7.5" customHeight="1" x14ac:dyDescent="0.3">
      <c r="B610" s="338"/>
      <c r="C610" s="142"/>
      <c r="D610" s="143"/>
      <c r="E610" s="144"/>
      <c r="F610" s="345"/>
      <c r="G610" s="144"/>
      <c r="H610" s="144"/>
      <c r="I610" s="515"/>
      <c r="J610" s="524"/>
    </row>
    <row r="611" spans="2:10" ht="31.2" x14ac:dyDescent="0.3">
      <c r="B611" s="124" t="s">
        <v>1118</v>
      </c>
      <c r="C611" s="377" t="s">
        <v>1119</v>
      </c>
      <c r="D611" s="127" t="s">
        <v>222</v>
      </c>
      <c r="E611" s="125"/>
      <c r="F611" s="480">
        <v>1</v>
      </c>
      <c r="G611" s="296" t="s">
        <v>1110</v>
      </c>
      <c r="H611" s="297">
        <v>45469</v>
      </c>
      <c r="I611" s="305" t="s">
        <v>795</v>
      </c>
      <c r="J611" s="525"/>
    </row>
    <row r="612" spans="2:10" ht="31.2" x14ac:dyDescent="0.3">
      <c r="B612" s="145" t="s">
        <v>1118</v>
      </c>
      <c r="C612" s="475" t="s">
        <v>1119</v>
      </c>
      <c r="D612" s="146" t="s">
        <v>222</v>
      </c>
      <c r="E612" s="147"/>
      <c r="F612" s="483">
        <v>1</v>
      </c>
      <c r="G612" s="594" t="s">
        <v>1101</v>
      </c>
      <c r="H612" s="314">
        <v>45961</v>
      </c>
      <c r="I612" s="306" t="s">
        <v>1026</v>
      </c>
      <c r="J612" s="528"/>
    </row>
    <row r="613" spans="2:10" ht="31.2" x14ac:dyDescent="0.3">
      <c r="B613" s="145" t="s">
        <v>1118</v>
      </c>
      <c r="C613" s="475" t="s">
        <v>1119</v>
      </c>
      <c r="D613" s="146" t="s">
        <v>222</v>
      </c>
      <c r="E613" s="147"/>
      <c r="F613" s="483">
        <v>1</v>
      </c>
      <c r="G613" s="594" t="s">
        <v>1102</v>
      </c>
      <c r="H613" s="314">
        <v>45961</v>
      </c>
      <c r="I613" s="306" t="s">
        <v>1026</v>
      </c>
      <c r="J613" s="528"/>
    </row>
    <row r="614" spans="2:10" ht="31.2" x14ac:dyDescent="0.3">
      <c r="B614" s="145" t="s">
        <v>1118</v>
      </c>
      <c r="C614" s="475" t="s">
        <v>1119</v>
      </c>
      <c r="D614" s="146" t="s">
        <v>222</v>
      </c>
      <c r="E614" s="147"/>
      <c r="F614" s="483">
        <v>1</v>
      </c>
      <c r="G614" s="594" t="s">
        <v>1103</v>
      </c>
      <c r="H614" s="314">
        <v>45961</v>
      </c>
      <c r="I614" s="306" t="s">
        <v>1026</v>
      </c>
      <c r="J614" s="528"/>
    </row>
    <row r="615" spans="2:10" ht="31.2" x14ac:dyDescent="0.3">
      <c r="B615" s="145" t="s">
        <v>1118</v>
      </c>
      <c r="C615" s="475" t="s">
        <v>1119</v>
      </c>
      <c r="D615" s="146" t="s">
        <v>222</v>
      </c>
      <c r="E615" s="147"/>
      <c r="F615" s="483">
        <v>1</v>
      </c>
      <c r="G615" s="594" t="s">
        <v>1104</v>
      </c>
      <c r="H615" s="314">
        <v>45961</v>
      </c>
      <c r="I615" s="306" t="s">
        <v>1026</v>
      </c>
      <c r="J615" s="528"/>
    </row>
    <row r="616" spans="2:10" ht="31.2" x14ac:dyDescent="0.3">
      <c r="B616" s="145" t="s">
        <v>1118</v>
      </c>
      <c r="C616" s="475" t="s">
        <v>1119</v>
      </c>
      <c r="D616" s="146" t="s">
        <v>222</v>
      </c>
      <c r="E616" s="147"/>
      <c r="F616" s="483">
        <v>1</v>
      </c>
      <c r="G616" s="594" t="s">
        <v>1111</v>
      </c>
      <c r="H616" s="783">
        <v>46022</v>
      </c>
      <c r="I616" s="306" t="s">
        <v>943</v>
      </c>
      <c r="J616" s="528"/>
    </row>
    <row r="617" spans="2:10" ht="31.2" x14ac:dyDescent="0.3">
      <c r="B617" s="145" t="s">
        <v>1118</v>
      </c>
      <c r="C617" s="475" t="s">
        <v>1119</v>
      </c>
      <c r="D617" s="146" t="s">
        <v>222</v>
      </c>
      <c r="E617" s="147"/>
      <c r="F617" s="483">
        <v>1</v>
      </c>
      <c r="G617" s="594" t="s">
        <v>1112</v>
      </c>
      <c r="H617" s="783">
        <v>46112</v>
      </c>
      <c r="I617" s="306" t="s">
        <v>946</v>
      </c>
      <c r="J617" s="528"/>
    </row>
    <row r="618" spans="2:10" ht="31.2" x14ac:dyDescent="0.3">
      <c r="B618" s="145" t="s">
        <v>1118</v>
      </c>
      <c r="C618" s="475" t="s">
        <v>1119</v>
      </c>
      <c r="D618" s="146" t="s">
        <v>222</v>
      </c>
      <c r="E618" s="147"/>
      <c r="F618" s="483">
        <v>1</v>
      </c>
      <c r="G618" s="594" t="s">
        <v>1113</v>
      </c>
      <c r="H618" s="783">
        <v>46197</v>
      </c>
      <c r="I618" s="306" t="s">
        <v>949</v>
      </c>
      <c r="J618" s="528"/>
    </row>
    <row r="619" spans="2:10" ht="15.6" x14ac:dyDescent="0.3">
      <c r="B619" s="145"/>
      <c r="C619" s="150"/>
      <c r="D619" s="146"/>
      <c r="E619" s="147"/>
      <c r="F619" s="483"/>
      <c r="G619" s="594"/>
      <c r="H619" s="314"/>
      <c r="I619" s="306"/>
      <c r="J619" s="528"/>
    </row>
    <row r="620" spans="2:10" s="58" customFormat="1" ht="15.6" x14ac:dyDescent="0.3">
      <c r="B620" s="352"/>
      <c r="C620" s="353" t="s">
        <v>771</v>
      </c>
      <c r="D620" s="354" t="s">
        <v>222</v>
      </c>
      <c r="E620" s="355"/>
      <c r="F620" s="356">
        <f>SUM(F611:F619)</f>
        <v>8</v>
      </c>
      <c r="G620" s="357"/>
      <c r="H620" s="358"/>
      <c r="I620" s="359"/>
      <c r="J620" s="526"/>
    </row>
    <row r="621" spans="2:10" s="58" customFormat="1" ht="15.6" x14ac:dyDescent="0.3">
      <c r="B621" s="352"/>
      <c r="C621" s="353" t="s">
        <v>772</v>
      </c>
      <c r="D621" s="354" t="s">
        <v>222</v>
      </c>
      <c r="E621" s="355"/>
      <c r="F621" s="356">
        <v>8</v>
      </c>
      <c r="G621" s="357"/>
      <c r="H621" s="358"/>
      <c r="I621" s="359"/>
      <c r="J621" s="526"/>
    </row>
    <row r="622" spans="2:10" s="58" customFormat="1" ht="15.6" x14ac:dyDescent="0.3">
      <c r="B622" s="360"/>
      <c r="C622" s="361" t="s">
        <v>773</v>
      </c>
      <c r="D622" s="362" t="s">
        <v>222</v>
      </c>
      <c r="E622" s="363"/>
      <c r="F622" s="364">
        <f>F620-F621</f>
        <v>0</v>
      </c>
      <c r="G622" s="365"/>
      <c r="H622" s="366"/>
      <c r="I622" s="367"/>
      <c r="J622" s="527"/>
    </row>
    <row r="623" spans="2:10" ht="7.5" customHeight="1" x14ac:dyDescent="0.3">
      <c r="B623" s="338"/>
      <c r="C623" s="142"/>
      <c r="D623" s="143"/>
      <c r="E623" s="144"/>
      <c r="F623" s="345"/>
      <c r="G623" s="144"/>
      <c r="H623" s="144"/>
      <c r="I623" s="515"/>
      <c r="J623" s="524"/>
    </row>
    <row r="624" spans="2:10" ht="31.2" x14ac:dyDescent="0.3">
      <c r="B624" s="124" t="s">
        <v>1120</v>
      </c>
      <c r="C624" s="377" t="s">
        <v>1121</v>
      </c>
      <c r="D624" s="127" t="s">
        <v>222</v>
      </c>
      <c r="E624" s="125"/>
      <c r="F624" s="480">
        <v>1</v>
      </c>
      <c r="G624" s="296" t="s">
        <v>1110</v>
      </c>
      <c r="H624" s="297">
        <v>45469</v>
      </c>
      <c r="I624" s="305" t="s">
        <v>795</v>
      </c>
      <c r="J624" s="525"/>
    </row>
    <row r="625" spans="2:10" ht="31.2" x14ac:dyDescent="0.3">
      <c r="B625" s="145" t="s">
        <v>1120</v>
      </c>
      <c r="C625" s="475" t="s">
        <v>1121</v>
      </c>
      <c r="D625" s="146" t="s">
        <v>222</v>
      </c>
      <c r="E625" s="147"/>
      <c r="F625" s="483">
        <v>1</v>
      </c>
      <c r="G625" s="594" t="s">
        <v>1101</v>
      </c>
      <c r="H625" s="314">
        <v>45961</v>
      </c>
      <c r="I625" s="306" t="s">
        <v>1026</v>
      </c>
      <c r="J625" s="528"/>
    </row>
    <row r="626" spans="2:10" ht="31.2" x14ac:dyDescent="0.3">
      <c r="B626" s="145" t="s">
        <v>1120</v>
      </c>
      <c r="C626" s="475" t="s">
        <v>1121</v>
      </c>
      <c r="D626" s="146" t="s">
        <v>222</v>
      </c>
      <c r="E626" s="147"/>
      <c r="F626" s="483">
        <v>1</v>
      </c>
      <c r="G626" s="594" t="s">
        <v>1102</v>
      </c>
      <c r="H626" s="314">
        <v>45961</v>
      </c>
      <c r="I626" s="306" t="s">
        <v>1026</v>
      </c>
      <c r="J626" s="528"/>
    </row>
    <row r="627" spans="2:10" ht="31.2" x14ac:dyDescent="0.3">
      <c r="B627" s="145" t="s">
        <v>1120</v>
      </c>
      <c r="C627" s="475" t="s">
        <v>1121</v>
      </c>
      <c r="D627" s="146" t="s">
        <v>222</v>
      </c>
      <c r="E627" s="147"/>
      <c r="F627" s="483">
        <v>1</v>
      </c>
      <c r="G627" s="594" t="s">
        <v>1103</v>
      </c>
      <c r="H627" s="314">
        <v>45961</v>
      </c>
      <c r="I627" s="306" t="s">
        <v>1026</v>
      </c>
      <c r="J627" s="528"/>
    </row>
    <row r="628" spans="2:10" ht="31.2" x14ac:dyDescent="0.3">
      <c r="B628" s="145" t="s">
        <v>1120</v>
      </c>
      <c r="C628" s="475" t="s">
        <v>1121</v>
      </c>
      <c r="D628" s="146" t="s">
        <v>222</v>
      </c>
      <c r="E628" s="147"/>
      <c r="F628" s="483">
        <v>1</v>
      </c>
      <c r="G628" s="594" t="s">
        <v>1104</v>
      </c>
      <c r="H628" s="314">
        <v>45961</v>
      </c>
      <c r="I628" s="306" t="s">
        <v>1026</v>
      </c>
      <c r="J628" s="528"/>
    </row>
    <row r="629" spans="2:10" ht="31.2" x14ac:dyDescent="0.3">
      <c r="B629" s="145" t="s">
        <v>1120</v>
      </c>
      <c r="C629" s="475" t="s">
        <v>1121</v>
      </c>
      <c r="D629" s="146" t="s">
        <v>222</v>
      </c>
      <c r="E629" s="147"/>
      <c r="F629" s="483">
        <v>1</v>
      </c>
      <c r="G629" s="594" t="s">
        <v>1111</v>
      </c>
      <c r="H629" s="783">
        <v>46022</v>
      </c>
      <c r="I629" s="306" t="s">
        <v>943</v>
      </c>
      <c r="J629" s="528"/>
    </row>
    <row r="630" spans="2:10" ht="31.2" x14ac:dyDescent="0.3">
      <c r="B630" s="145" t="s">
        <v>1120</v>
      </c>
      <c r="C630" s="475" t="s">
        <v>1121</v>
      </c>
      <c r="D630" s="146" t="s">
        <v>222</v>
      </c>
      <c r="E630" s="147"/>
      <c r="F630" s="483">
        <v>1</v>
      </c>
      <c r="G630" s="594" t="s">
        <v>1112</v>
      </c>
      <c r="H630" s="783">
        <v>46112</v>
      </c>
      <c r="I630" s="306" t="s">
        <v>946</v>
      </c>
      <c r="J630" s="528"/>
    </row>
    <row r="631" spans="2:10" ht="31.2" x14ac:dyDescent="0.3">
      <c r="B631" s="145" t="s">
        <v>1120</v>
      </c>
      <c r="C631" s="475" t="s">
        <v>1121</v>
      </c>
      <c r="D631" s="146" t="s">
        <v>222</v>
      </c>
      <c r="E631" s="147"/>
      <c r="F631" s="483">
        <v>1</v>
      </c>
      <c r="G631" s="594" t="s">
        <v>1113</v>
      </c>
      <c r="H631" s="783">
        <v>46197</v>
      </c>
      <c r="I631" s="306" t="s">
        <v>949</v>
      </c>
      <c r="J631" s="528"/>
    </row>
    <row r="632" spans="2:10" ht="15.6" x14ac:dyDescent="0.3">
      <c r="B632" s="145"/>
      <c r="C632" s="150"/>
      <c r="D632" s="146"/>
      <c r="E632" s="147"/>
      <c r="F632" s="483"/>
      <c r="G632" s="594"/>
      <c r="H632" s="783"/>
      <c r="I632" s="306"/>
      <c r="J632" s="528"/>
    </row>
    <row r="633" spans="2:10" s="58" customFormat="1" ht="15.6" x14ac:dyDescent="0.3">
      <c r="B633" s="352"/>
      <c r="C633" s="353" t="s">
        <v>771</v>
      </c>
      <c r="D633" s="354" t="s">
        <v>222</v>
      </c>
      <c r="E633" s="355"/>
      <c r="F633" s="356">
        <f>SUM(F624:F632)</f>
        <v>8</v>
      </c>
      <c r="G633" s="357"/>
      <c r="H633" s="358"/>
      <c r="I633" s="359"/>
      <c r="J633" s="526"/>
    </row>
    <row r="634" spans="2:10" s="58" customFormat="1" ht="15.6" x14ac:dyDescent="0.3">
      <c r="B634" s="352"/>
      <c r="C634" s="353" t="s">
        <v>772</v>
      </c>
      <c r="D634" s="354" t="s">
        <v>222</v>
      </c>
      <c r="E634" s="355"/>
      <c r="F634" s="356">
        <v>8</v>
      </c>
      <c r="G634" s="357"/>
      <c r="H634" s="358"/>
      <c r="I634" s="359"/>
      <c r="J634" s="526"/>
    </row>
    <row r="635" spans="2:10" s="58" customFormat="1" ht="15.6" x14ac:dyDescent="0.3">
      <c r="B635" s="360"/>
      <c r="C635" s="361" t="s">
        <v>773</v>
      </c>
      <c r="D635" s="362" t="s">
        <v>222</v>
      </c>
      <c r="E635" s="363"/>
      <c r="F635" s="364">
        <f>F633-F634</f>
        <v>0</v>
      </c>
      <c r="G635" s="365"/>
      <c r="H635" s="366"/>
      <c r="I635" s="367"/>
      <c r="J635" s="527"/>
    </row>
    <row r="636" spans="2:10" ht="7.5" customHeight="1" x14ac:dyDescent="0.3">
      <c r="B636" s="338"/>
      <c r="C636" s="142"/>
      <c r="D636" s="143"/>
      <c r="E636" s="144"/>
      <c r="F636" s="345"/>
      <c r="G636" s="144"/>
      <c r="H636" s="144"/>
      <c r="I636" s="515"/>
      <c r="J636" s="524"/>
    </row>
    <row r="637" spans="2:10" ht="15.6" x14ac:dyDescent="0.3">
      <c r="B637" s="124" t="s">
        <v>1122</v>
      </c>
      <c r="C637" s="377" t="s">
        <v>1123</v>
      </c>
      <c r="D637" s="127" t="s">
        <v>222</v>
      </c>
      <c r="E637" s="125"/>
      <c r="F637" s="480">
        <v>1</v>
      </c>
      <c r="G637" s="296" t="s">
        <v>1116</v>
      </c>
      <c r="H637" s="297" t="s">
        <v>1117</v>
      </c>
      <c r="I637" s="305" t="s">
        <v>795</v>
      </c>
      <c r="J637" s="525"/>
    </row>
    <row r="638" spans="2:10" ht="31.2" x14ac:dyDescent="0.3">
      <c r="B638" s="145" t="s">
        <v>1122</v>
      </c>
      <c r="C638" s="475" t="s">
        <v>1123</v>
      </c>
      <c r="D638" s="146" t="s">
        <v>222</v>
      </c>
      <c r="E638" s="147"/>
      <c r="F638" s="483">
        <v>1</v>
      </c>
      <c r="G638" s="594" t="s">
        <v>1101</v>
      </c>
      <c r="H638" s="314">
        <v>45961</v>
      </c>
      <c r="I638" s="306" t="s">
        <v>1026</v>
      </c>
      <c r="J638" s="528"/>
    </row>
    <row r="639" spans="2:10" ht="31.2" x14ac:dyDescent="0.3">
      <c r="B639" s="145" t="s">
        <v>1122</v>
      </c>
      <c r="C639" s="475" t="s">
        <v>1123</v>
      </c>
      <c r="D639" s="146" t="s">
        <v>222</v>
      </c>
      <c r="E639" s="147"/>
      <c r="F639" s="483">
        <v>1</v>
      </c>
      <c r="G639" s="594" t="s">
        <v>1102</v>
      </c>
      <c r="H639" s="314">
        <v>45961</v>
      </c>
      <c r="I639" s="306" t="s">
        <v>1026</v>
      </c>
      <c r="J639" s="528"/>
    </row>
    <row r="640" spans="2:10" ht="31.2" x14ac:dyDescent="0.3">
      <c r="B640" s="145" t="s">
        <v>1122</v>
      </c>
      <c r="C640" s="475" t="s">
        <v>1123</v>
      </c>
      <c r="D640" s="146" t="s">
        <v>222</v>
      </c>
      <c r="E640" s="147"/>
      <c r="F640" s="483">
        <v>1</v>
      </c>
      <c r="G640" s="594" t="s">
        <v>1103</v>
      </c>
      <c r="H640" s="314">
        <v>45961</v>
      </c>
      <c r="I640" s="306" t="s">
        <v>1026</v>
      </c>
      <c r="J640" s="528"/>
    </row>
    <row r="641" spans="2:10" ht="31.2" x14ac:dyDescent="0.3">
      <c r="B641" s="145" t="s">
        <v>1122</v>
      </c>
      <c r="C641" s="475" t="s">
        <v>1123</v>
      </c>
      <c r="D641" s="146" t="s">
        <v>222</v>
      </c>
      <c r="E641" s="147"/>
      <c r="F641" s="483">
        <v>1</v>
      </c>
      <c r="G641" s="594" t="s">
        <v>1104</v>
      </c>
      <c r="H641" s="314">
        <v>45961</v>
      </c>
      <c r="I641" s="306" t="s">
        <v>1026</v>
      </c>
      <c r="J641" s="528"/>
    </row>
    <row r="642" spans="2:10" ht="31.2" x14ac:dyDescent="0.3">
      <c r="B642" s="145" t="s">
        <v>1122</v>
      </c>
      <c r="C642" s="475" t="s">
        <v>1123</v>
      </c>
      <c r="D642" s="146" t="s">
        <v>222</v>
      </c>
      <c r="E642" s="147"/>
      <c r="F642" s="483">
        <v>1</v>
      </c>
      <c r="G642" s="594" t="s">
        <v>1105</v>
      </c>
      <c r="H642" s="783">
        <v>46022</v>
      </c>
      <c r="I642" s="306" t="s">
        <v>943</v>
      </c>
      <c r="J642" s="528"/>
    </row>
    <row r="643" spans="2:10" ht="31.2" x14ac:dyDescent="0.3">
      <c r="B643" s="145" t="s">
        <v>1122</v>
      </c>
      <c r="C643" s="475" t="s">
        <v>1123</v>
      </c>
      <c r="D643" s="146" t="s">
        <v>222</v>
      </c>
      <c r="E643" s="147"/>
      <c r="F643" s="483">
        <v>1</v>
      </c>
      <c r="G643" s="594" t="s">
        <v>1106</v>
      </c>
      <c r="H643" s="783">
        <v>46112</v>
      </c>
      <c r="I643" s="306" t="s">
        <v>946</v>
      </c>
      <c r="J643" s="528"/>
    </row>
    <row r="644" spans="2:10" ht="31.2" x14ac:dyDescent="0.3">
      <c r="B644" s="145" t="s">
        <v>1122</v>
      </c>
      <c r="C644" s="475" t="s">
        <v>1123</v>
      </c>
      <c r="D644" s="146" t="s">
        <v>222</v>
      </c>
      <c r="E644" s="147"/>
      <c r="F644" s="483">
        <v>1</v>
      </c>
      <c r="G644" s="594" t="s">
        <v>1107</v>
      </c>
      <c r="H644" s="783">
        <v>46197</v>
      </c>
      <c r="I644" s="306" t="s">
        <v>949</v>
      </c>
      <c r="J644" s="528"/>
    </row>
    <row r="645" spans="2:10" ht="15.6" x14ac:dyDescent="0.3">
      <c r="B645" s="145"/>
      <c r="C645" s="150"/>
      <c r="D645" s="146"/>
      <c r="E645" s="147"/>
      <c r="F645" s="483"/>
      <c r="G645" s="302"/>
      <c r="H645" s="314"/>
      <c r="I645" s="306"/>
      <c r="J645" s="528"/>
    </row>
    <row r="646" spans="2:10" s="58" customFormat="1" ht="15.6" x14ac:dyDescent="0.3">
      <c r="B646" s="352"/>
      <c r="C646" s="353" t="s">
        <v>771</v>
      </c>
      <c r="D646" s="354" t="s">
        <v>222</v>
      </c>
      <c r="E646" s="355"/>
      <c r="F646" s="356">
        <f>SUM(F637:F645)</f>
        <v>8</v>
      </c>
      <c r="G646" s="357"/>
      <c r="H646" s="358"/>
      <c r="I646" s="359"/>
      <c r="J646" s="526"/>
    </row>
    <row r="647" spans="2:10" s="58" customFormat="1" ht="15.6" x14ac:dyDescent="0.3">
      <c r="B647" s="352"/>
      <c r="C647" s="353" t="s">
        <v>772</v>
      </c>
      <c r="D647" s="354" t="s">
        <v>222</v>
      </c>
      <c r="E647" s="355"/>
      <c r="F647" s="356">
        <v>8</v>
      </c>
      <c r="G647" s="357"/>
      <c r="H647" s="358"/>
      <c r="I647" s="359"/>
      <c r="J647" s="526"/>
    </row>
    <row r="648" spans="2:10" s="58" customFormat="1" ht="15.6" x14ac:dyDescent="0.3">
      <c r="B648" s="360"/>
      <c r="C648" s="361" t="s">
        <v>773</v>
      </c>
      <c r="D648" s="362" t="s">
        <v>222</v>
      </c>
      <c r="E648" s="363"/>
      <c r="F648" s="364">
        <f>F646-F647</f>
        <v>0</v>
      </c>
      <c r="G648" s="365"/>
      <c r="H648" s="366"/>
      <c r="I648" s="367"/>
      <c r="J648" s="527"/>
    </row>
    <row r="649" spans="2:10" ht="7.35" customHeight="1" x14ac:dyDescent="0.3">
      <c r="B649" s="338"/>
      <c r="C649" s="142"/>
      <c r="D649" s="143"/>
      <c r="E649" s="144"/>
      <c r="F649" s="345"/>
      <c r="G649" s="144"/>
      <c r="H649" s="144"/>
      <c r="I649" s="515"/>
      <c r="J649" s="524"/>
    </row>
    <row r="650" spans="2:10" ht="31.2" x14ac:dyDescent="0.3">
      <c r="B650" s="124" t="s">
        <v>1124</v>
      </c>
      <c r="C650" s="377" t="s">
        <v>1125</v>
      </c>
      <c r="D650" s="127" t="s">
        <v>190</v>
      </c>
      <c r="E650" s="125" t="s">
        <v>510</v>
      </c>
      <c r="F650" s="480">
        <v>1</v>
      </c>
      <c r="G650" s="296" t="s">
        <v>1126</v>
      </c>
      <c r="H650" s="297">
        <v>45656</v>
      </c>
      <c r="I650" s="305" t="s">
        <v>1026</v>
      </c>
      <c r="J650" s="525"/>
    </row>
    <row r="651" spans="2:10" ht="31.2" x14ac:dyDescent="0.3">
      <c r="B651" s="145" t="s">
        <v>1124</v>
      </c>
      <c r="C651" s="475" t="s">
        <v>1125</v>
      </c>
      <c r="D651" s="146" t="s">
        <v>190</v>
      </c>
      <c r="E651" s="147" t="s">
        <v>515</v>
      </c>
      <c r="F651" s="483">
        <v>1</v>
      </c>
      <c r="G651" s="302" t="s">
        <v>1127</v>
      </c>
      <c r="H651" s="314">
        <v>45656</v>
      </c>
      <c r="I651" s="306" t="s">
        <v>1026</v>
      </c>
      <c r="J651" s="528"/>
    </row>
    <row r="652" spans="2:10" ht="31.2" x14ac:dyDescent="0.3">
      <c r="B652" s="145" t="s">
        <v>1124</v>
      </c>
      <c r="C652" s="475" t="s">
        <v>1125</v>
      </c>
      <c r="D652" s="146" t="s">
        <v>190</v>
      </c>
      <c r="E652" s="147" t="s">
        <v>510</v>
      </c>
      <c r="F652" s="483">
        <v>1</v>
      </c>
      <c r="G652" s="302" t="s">
        <v>1128</v>
      </c>
      <c r="H652" s="314">
        <v>45747</v>
      </c>
      <c r="I652" s="306" t="s">
        <v>1026</v>
      </c>
      <c r="J652" s="528"/>
    </row>
    <row r="653" spans="2:10" ht="15.6" x14ac:dyDescent="0.3">
      <c r="B653" s="145"/>
      <c r="C653" s="150"/>
      <c r="D653" s="146"/>
      <c r="E653" s="147"/>
      <c r="F653" s="483"/>
      <c r="G653" s="302"/>
      <c r="H653" s="314"/>
      <c r="I653" s="306"/>
      <c r="J653" s="528"/>
    </row>
    <row r="654" spans="2:10" s="58" customFormat="1" ht="15.6" x14ac:dyDescent="0.3">
      <c r="B654" s="352"/>
      <c r="C654" s="353" t="s">
        <v>771</v>
      </c>
      <c r="D654" s="354" t="s">
        <v>190</v>
      </c>
      <c r="E654" s="355"/>
      <c r="F654" s="356">
        <f>SUM(F650:F653)</f>
        <v>3</v>
      </c>
      <c r="G654" s="357"/>
      <c r="H654" s="358"/>
      <c r="I654" s="359"/>
      <c r="J654" s="526"/>
    </row>
    <row r="655" spans="2:10" s="58" customFormat="1" ht="15.6" x14ac:dyDescent="0.3">
      <c r="B655" s="352"/>
      <c r="C655" s="353" t="s">
        <v>772</v>
      </c>
      <c r="D655" s="354" t="s">
        <v>190</v>
      </c>
      <c r="E655" s="355"/>
      <c r="F655" s="356">
        <v>3</v>
      </c>
      <c r="G655" s="357"/>
      <c r="H655" s="358"/>
      <c r="I655" s="359"/>
      <c r="J655" s="526"/>
    </row>
    <row r="656" spans="2:10" s="58" customFormat="1" ht="15.6" x14ac:dyDescent="0.3">
      <c r="B656" s="360"/>
      <c r="C656" s="361" t="s">
        <v>773</v>
      </c>
      <c r="D656" s="362" t="s">
        <v>190</v>
      </c>
      <c r="E656" s="363"/>
      <c r="F656" s="364">
        <f>F654-F655</f>
        <v>0</v>
      </c>
      <c r="G656" s="365"/>
      <c r="H656" s="366"/>
      <c r="I656" s="367"/>
      <c r="J656" s="527"/>
    </row>
    <row r="657" spans="2:10" ht="7.5" customHeight="1" x14ac:dyDescent="0.3">
      <c r="B657" s="338"/>
      <c r="C657" s="142"/>
      <c r="D657" s="143"/>
      <c r="E657" s="144"/>
      <c r="F657" s="345"/>
      <c r="G657" s="144"/>
      <c r="H657" s="144"/>
      <c r="I657" s="515"/>
      <c r="J657" s="524"/>
    </row>
    <row r="658" spans="2:10" ht="31.65" customHeight="1" x14ac:dyDescent="0.3">
      <c r="B658" s="124" t="s">
        <v>1129</v>
      </c>
      <c r="C658" s="377" t="s">
        <v>1130</v>
      </c>
      <c r="D658" s="127" t="s">
        <v>222</v>
      </c>
      <c r="E658" s="125" t="s">
        <v>510</v>
      </c>
      <c r="F658" s="480">
        <v>0.5</v>
      </c>
      <c r="G658" s="296" t="s">
        <v>1131</v>
      </c>
      <c r="H658" s="297">
        <v>45656</v>
      </c>
      <c r="I658" s="305" t="s">
        <v>1026</v>
      </c>
      <c r="J658" s="525"/>
    </row>
    <row r="659" spans="2:10" ht="31.65" customHeight="1" x14ac:dyDescent="0.3">
      <c r="B659" s="145" t="s">
        <v>1129</v>
      </c>
      <c r="C659" s="475" t="s">
        <v>1130</v>
      </c>
      <c r="D659" s="146" t="s">
        <v>222</v>
      </c>
      <c r="E659" s="147" t="s">
        <v>515</v>
      </c>
      <c r="F659" s="483">
        <v>0.5</v>
      </c>
      <c r="G659" s="302" t="s">
        <v>1132</v>
      </c>
      <c r="H659" s="314">
        <v>45656</v>
      </c>
      <c r="I659" s="306" t="s">
        <v>1026</v>
      </c>
      <c r="J659" s="528"/>
    </row>
    <row r="660" spans="2:10" ht="31.65" customHeight="1" x14ac:dyDescent="0.3">
      <c r="B660" s="145" t="s">
        <v>1129</v>
      </c>
      <c r="C660" s="475" t="s">
        <v>1130</v>
      </c>
      <c r="D660" s="146" t="s">
        <v>222</v>
      </c>
      <c r="E660" s="147" t="s">
        <v>510</v>
      </c>
      <c r="F660" s="483">
        <v>0.5</v>
      </c>
      <c r="G660" s="302" t="s">
        <v>1133</v>
      </c>
      <c r="H660" s="314">
        <v>45747</v>
      </c>
      <c r="I660" s="306" t="s">
        <v>1026</v>
      </c>
      <c r="J660" s="528"/>
    </row>
    <row r="661" spans="2:10" ht="31.65" customHeight="1" x14ac:dyDescent="0.3">
      <c r="B661" s="145" t="s">
        <v>1129</v>
      </c>
      <c r="C661" s="475" t="s">
        <v>1130</v>
      </c>
      <c r="D661" s="146" t="s">
        <v>222</v>
      </c>
      <c r="E661" s="147" t="s">
        <v>515</v>
      </c>
      <c r="F661" s="483">
        <v>0.5</v>
      </c>
      <c r="G661" s="302" t="s">
        <v>1134</v>
      </c>
      <c r="H661" s="314">
        <v>45747</v>
      </c>
      <c r="I661" s="306" t="s">
        <v>1026</v>
      </c>
      <c r="J661" s="528"/>
    </row>
    <row r="662" spans="2:10" ht="31.65" customHeight="1" x14ac:dyDescent="0.3">
      <c r="B662" s="145" t="s">
        <v>1129</v>
      </c>
      <c r="C662" s="475" t="s">
        <v>1130</v>
      </c>
      <c r="D662" s="146" t="s">
        <v>222</v>
      </c>
      <c r="E662" s="147" t="s">
        <v>510</v>
      </c>
      <c r="F662" s="483">
        <v>0.5</v>
      </c>
      <c r="G662" s="594" t="s">
        <v>1135</v>
      </c>
      <c r="H662" s="314">
        <v>45838</v>
      </c>
      <c r="I662" s="306" t="s">
        <v>1026</v>
      </c>
      <c r="J662" s="528"/>
    </row>
    <row r="663" spans="2:10" ht="31.65" customHeight="1" x14ac:dyDescent="0.3">
      <c r="B663" s="145" t="s">
        <v>1129</v>
      </c>
      <c r="C663" s="475" t="s">
        <v>1130</v>
      </c>
      <c r="D663" s="146" t="s">
        <v>222</v>
      </c>
      <c r="E663" s="147" t="s">
        <v>515</v>
      </c>
      <c r="F663" s="483">
        <v>0.5</v>
      </c>
      <c r="G663" s="594" t="s">
        <v>1136</v>
      </c>
      <c r="H663" s="314">
        <v>45838</v>
      </c>
      <c r="I663" s="306" t="s">
        <v>1026</v>
      </c>
      <c r="J663" s="528"/>
    </row>
    <row r="664" spans="2:10" ht="31.65" customHeight="1" x14ac:dyDescent="0.3">
      <c r="B664" s="145" t="s">
        <v>1129</v>
      </c>
      <c r="C664" s="475" t="s">
        <v>1130</v>
      </c>
      <c r="D664" s="146" t="s">
        <v>222</v>
      </c>
      <c r="E664" s="147" t="s">
        <v>510</v>
      </c>
      <c r="F664" s="483">
        <v>0.5</v>
      </c>
      <c r="G664" s="594" t="s">
        <v>1137</v>
      </c>
      <c r="H664" s="314">
        <v>45930</v>
      </c>
      <c r="I664" s="306" t="s">
        <v>1026</v>
      </c>
      <c r="J664" s="528"/>
    </row>
    <row r="665" spans="2:10" ht="31.65" customHeight="1" x14ac:dyDescent="0.3">
      <c r="B665" s="145" t="s">
        <v>1129</v>
      </c>
      <c r="C665" s="475" t="s">
        <v>1130</v>
      </c>
      <c r="D665" s="146" t="s">
        <v>222</v>
      </c>
      <c r="E665" s="147" t="s">
        <v>515</v>
      </c>
      <c r="F665" s="483">
        <v>0.5</v>
      </c>
      <c r="G665" s="594" t="s">
        <v>1138</v>
      </c>
      <c r="H665" s="314">
        <v>45930</v>
      </c>
      <c r="I665" s="306" t="s">
        <v>1026</v>
      </c>
      <c r="J665" s="528"/>
    </row>
    <row r="666" spans="2:10" ht="31.65" customHeight="1" x14ac:dyDescent="0.3">
      <c r="B666" s="145" t="s">
        <v>1129</v>
      </c>
      <c r="C666" s="475" t="s">
        <v>1130</v>
      </c>
      <c r="D666" s="146" t="s">
        <v>222</v>
      </c>
      <c r="E666" s="147" t="s">
        <v>510</v>
      </c>
      <c r="F666" s="483">
        <v>0.5</v>
      </c>
      <c r="G666" s="594" t="s">
        <v>1139</v>
      </c>
      <c r="H666" s="783">
        <v>46022</v>
      </c>
      <c r="I666" s="306" t="s">
        <v>943</v>
      </c>
      <c r="J666" s="528"/>
    </row>
    <row r="667" spans="2:10" ht="31.65" customHeight="1" x14ac:dyDescent="0.3">
      <c r="B667" s="145" t="s">
        <v>1129</v>
      </c>
      <c r="C667" s="475" t="s">
        <v>1130</v>
      </c>
      <c r="D667" s="146" t="s">
        <v>222</v>
      </c>
      <c r="E667" s="147" t="s">
        <v>515</v>
      </c>
      <c r="F667" s="483">
        <v>0.5</v>
      </c>
      <c r="G667" s="594" t="s">
        <v>1140</v>
      </c>
      <c r="H667" s="783">
        <v>46022</v>
      </c>
      <c r="I667" s="306" t="s">
        <v>943</v>
      </c>
      <c r="J667" s="528"/>
    </row>
    <row r="668" spans="2:10" ht="31.65" customHeight="1" x14ac:dyDescent="0.3">
      <c r="B668" s="145" t="s">
        <v>1129</v>
      </c>
      <c r="C668" s="475" t="s">
        <v>1130</v>
      </c>
      <c r="D668" s="146" t="s">
        <v>222</v>
      </c>
      <c r="E668" s="147" t="s">
        <v>510</v>
      </c>
      <c r="F668" s="483">
        <v>0.5</v>
      </c>
      <c r="G668" s="302" t="s">
        <v>1141</v>
      </c>
      <c r="H668" s="314">
        <v>46111</v>
      </c>
      <c r="I668" s="306" t="s">
        <v>946</v>
      </c>
      <c r="J668" s="528"/>
    </row>
    <row r="669" spans="2:10" ht="31.65" customHeight="1" x14ac:dyDescent="0.3">
      <c r="B669" s="145" t="s">
        <v>1129</v>
      </c>
      <c r="C669" s="475" t="s">
        <v>1130</v>
      </c>
      <c r="D669" s="146" t="s">
        <v>222</v>
      </c>
      <c r="E669" s="147" t="s">
        <v>515</v>
      </c>
      <c r="F669" s="483">
        <v>0.5</v>
      </c>
      <c r="G669" s="302" t="s">
        <v>1142</v>
      </c>
      <c r="H669" s="314">
        <v>46111</v>
      </c>
      <c r="I669" s="306" t="s">
        <v>946</v>
      </c>
      <c r="J669" s="528"/>
    </row>
    <row r="670" spans="2:10" ht="31.65" customHeight="1" x14ac:dyDescent="0.3">
      <c r="B670" s="145" t="s">
        <v>1129</v>
      </c>
      <c r="C670" s="475" t="s">
        <v>1130</v>
      </c>
      <c r="D670" s="146" t="s">
        <v>222</v>
      </c>
      <c r="E670" s="147" t="s">
        <v>510</v>
      </c>
      <c r="F670" s="483">
        <v>0.5</v>
      </c>
      <c r="G670" s="594" t="s">
        <v>1143</v>
      </c>
      <c r="H670" s="783">
        <v>46196</v>
      </c>
      <c r="I670" s="306" t="s">
        <v>949</v>
      </c>
      <c r="J670" s="528"/>
    </row>
    <row r="671" spans="2:10" ht="31.65" customHeight="1" x14ac:dyDescent="0.3">
      <c r="B671" s="145" t="s">
        <v>1129</v>
      </c>
      <c r="C671" s="475" t="s">
        <v>1130</v>
      </c>
      <c r="D671" s="146" t="s">
        <v>222</v>
      </c>
      <c r="E671" s="147" t="s">
        <v>515</v>
      </c>
      <c r="F671" s="483">
        <v>0.5</v>
      </c>
      <c r="G671" s="594" t="s">
        <v>1144</v>
      </c>
      <c r="H671" s="783">
        <v>46196</v>
      </c>
      <c r="I671" s="306" t="s">
        <v>949</v>
      </c>
      <c r="J671" s="528"/>
    </row>
    <row r="672" spans="2:10" ht="15.6" x14ac:dyDescent="0.3">
      <c r="B672" s="145"/>
      <c r="C672" s="150"/>
      <c r="D672" s="146"/>
      <c r="E672" s="147"/>
      <c r="F672" s="483"/>
      <c r="G672" s="302"/>
      <c r="H672" s="314"/>
      <c r="I672" s="306"/>
      <c r="J672" s="528"/>
    </row>
    <row r="673" spans="2:10" s="58" customFormat="1" ht="15.6" x14ac:dyDescent="0.3">
      <c r="B673" s="352"/>
      <c r="C673" s="353" t="s">
        <v>771</v>
      </c>
      <c r="D673" s="354" t="s">
        <v>222</v>
      </c>
      <c r="E673" s="355"/>
      <c r="F673" s="356">
        <f>SUM(F658:F672)</f>
        <v>7</v>
      </c>
      <c r="G673" s="357"/>
      <c r="H673" s="358"/>
      <c r="I673" s="359"/>
      <c r="J673" s="526"/>
    </row>
    <row r="674" spans="2:10" s="58" customFormat="1" ht="15.6" x14ac:dyDescent="0.3">
      <c r="B674" s="352"/>
      <c r="C674" s="353" t="s">
        <v>772</v>
      </c>
      <c r="D674" s="354" t="s">
        <v>222</v>
      </c>
      <c r="E674" s="355"/>
      <c r="F674" s="356">
        <v>7</v>
      </c>
      <c r="G674" s="357"/>
      <c r="H674" s="358"/>
      <c r="I674" s="359"/>
      <c r="J674" s="526"/>
    </row>
    <row r="675" spans="2:10" s="58" customFormat="1" ht="15.6" x14ac:dyDescent="0.3">
      <c r="B675" s="360"/>
      <c r="C675" s="361" t="s">
        <v>773</v>
      </c>
      <c r="D675" s="362" t="s">
        <v>222</v>
      </c>
      <c r="E675" s="363"/>
      <c r="F675" s="364">
        <f>F673-F674</f>
        <v>0</v>
      </c>
      <c r="G675" s="365"/>
      <c r="H675" s="366"/>
      <c r="I675" s="367"/>
      <c r="J675" s="527"/>
    </row>
    <row r="676" spans="2:10" ht="7.5" customHeight="1" x14ac:dyDescent="0.3">
      <c r="B676" s="338"/>
      <c r="C676" s="142"/>
      <c r="D676" s="143"/>
      <c r="E676" s="144"/>
      <c r="F676" s="345"/>
      <c r="G676" s="144"/>
      <c r="H676" s="144"/>
      <c r="I676" s="515"/>
      <c r="J676" s="524"/>
    </row>
    <row r="677" spans="2:10" ht="46.8" x14ac:dyDescent="0.3">
      <c r="B677" s="124" t="s">
        <v>1145</v>
      </c>
      <c r="C677" s="1171" t="s">
        <v>1146</v>
      </c>
      <c r="D677" s="127" t="s">
        <v>190</v>
      </c>
      <c r="E677" s="125" t="s">
        <v>510</v>
      </c>
      <c r="F677" s="490">
        <v>2</v>
      </c>
      <c r="G677" s="665" t="s">
        <v>1147</v>
      </c>
      <c r="H677" s="314">
        <v>46112</v>
      </c>
      <c r="I677" s="306" t="s">
        <v>946</v>
      </c>
      <c r="J677" s="525"/>
    </row>
    <row r="678" spans="2:10" ht="46.8" x14ac:dyDescent="0.3">
      <c r="B678" s="145" t="s">
        <v>1145</v>
      </c>
      <c r="C678" s="475" t="s">
        <v>1146</v>
      </c>
      <c r="D678" s="146" t="s">
        <v>190</v>
      </c>
      <c r="E678" s="147" t="s">
        <v>515</v>
      </c>
      <c r="F678" s="491">
        <v>2</v>
      </c>
      <c r="G678" s="302" t="s">
        <v>1148</v>
      </c>
      <c r="H678" s="314">
        <v>46112</v>
      </c>
      <c r="I678" s="306" t="s">
        <v>946</v>
      </c>
      <c r="J678" s="528"/>
    </row>
    <row r="679" spans="2:10" ht="15.6" x14ac:dyDescent="0.3">
      <c r="B679" s="145"/>
      <c r="C679" s="150"/>
      <c r="D679" s="146"/>
      <c r="E679" s="147"/>
      <c r="F679" s="491"/>
      <c r="G679" s="302"/>
      <c r="H679" s="314"/>
      <c r="I679" s="306"/>
      <c r="J679" s="528"/>
    </row>
    <row r="680" spans="2:10" s="58" customFormat="1" ht="15.6" x14ac:dyDescent="0.3">
      <c r="B680" s="352"/>
      <c r="C680" s="353" t="s">
        <v>771</v>
      </c>
      <c r="D680" s="354" t="s">
        <v>190</v>
      </c>
      <c r="E680" s="355"/>
      <c r="F680" s="1040">
        <f>SUM(F677:F679)</f>
        <v>4</v>
      </c>
      <c r="G680" s="357"/>
      <c r="H680" s="358"/>
      <c r="I680" s="359"/>
      <c r="J680" s="526"/>
    </row>
    <row r="681" spans="2:10" s="58" customFormat="1" ht="15.6" x14ac:dyDescent="0.3">
      <c r="B681" s="352"/>
      <c r="C681" s="353" t="s">
        <v>772</v>
      </c>
      <c r="D681" s="354" t="s">
        <v>190</v>
      </c>
      <c r="E681" s="355"/>
      <c r="F681" s="1040">
        <v>4</v>
      </c>
      <c r="G681" s="357"/>
      <c r="H681" s="358"/>
      <c r="I681" s="359"/>
      <c r="J681" s="526"/>
    </row>
    <row r="682" spans="2:10" s="58" customFormat="1" ht="15.6" x14ac:dyDescent="0.3">
      <c r="B682" s="360"/>
      <c r="C682" s="361" t="s">
        <v>773</v>
      </c>
      <c r="D682" s="362" t="s">
        <v>190</v>
      </c>
      <c r="E682" s="363"/>
      <c r="F682" s="1041">
        <f>F680-F681</f>
        <v>0</v>
      </c>
      <c r="G682" s="365"/>
      <c r="H682" s="366"/>
      <c r="I682" s="367"/>
      <c r="J682" s="527"/>
    </row>
    <row r="683" spans="2:10" ht="7.5" customHeight="1" x14ac:dyDescent="0.3">
      <c r="B683" s="338"/>
      <c r="C683" s="142"/>
      <c r="D683" s="143"/>
      <c r="E683" s="144"/>
      <c r="F683" s="1038"/>
      <c r="G683" s="144"/>
      <c r="H683" s="144"/>
      <c r="I683" s="515"/>
      <c r="J683" s="524"/>
    </row>
    <row r="684" spans="2:10" ht="31.65" customHeight="1" x14ac:dyDescent="0.3">
      <c r="B684" s="145" t="s">
        <v>1149</v>
      </c>
      <c r="C684" s="475" t="s">
        <v>1150</v>
      </c>
      <c r="D684" s="146" t="s">
        <v>222</v>
      </c>
      <c r="E684" s="147" t="s">
        <v>510</v>
      </c>
      <c r="F684" s="491">
        <v>0.5</v>
      </c>
      <c r="G684" s="302" t="s">
        <v>1151</v>
      </c>
      <c r="H684" s="314">
        <v>46112</v>
      </c>
      <c r="I684" s="306" t="s">
        <v>946</v>
      </c>
      <c r="J684" s="528"/>
    </row>
    <row r="685" spans="2:10" ht="31.65" customHeight="1" x14ac:dyDescent="0.3">
      <c r="B685" s="145" t="s">
        <v>1149</v>
      </c>
      <c r="C685" s="475" t="s">
        <v>1150</v>
      </c>
      <c r="D685" s="146" t="s">
        <v>222</v>
      </c>
      <c r="E685" s="147" t="s">
        <v>515</v>
      </c>
      <c r="F685" s="491">
        <v>0.5</v>
      </c>
      <c r="G685" s="302" t="s">
        <v>1152</v>
      </c>
      <c r="H685" s="314">
        <v>46112</v>
      </c>
      <c r="I685" s="306" t="s">
        <v>946</v>
      </c>
      <c r="J685" s="528"/>
    </row>
    <row r="686" spans="2:10" ht="31.65" customHeight="1" x14ac:dyDescent="0.3">
      <c r="B686" s="145" t="s">
        <v>1149</v>
      </c>
      <c r="C686" s="475" t="s">
        <v>1150</v>
      </c>
      <c r="D686" s="146" t="s">
        <v>222</v>
      </c>
      <c r="E686" s="147" t="s">
        <v>510</v>
      </c>
      <c r="F686" s="483">
        <v>0.5</v>
      </c>
      <c r="G686" s="594" t="s">
        <v>1153</v>
      </c>
      <c r="H686" s="783">
        <v>46197</v>
      </c>
      <c r="I686" s="306" t="s">
        <v>949</v>
      </c>
      <c r="J686" s="528"/>
    </row>
    <row r="687" spans="2:10" ht="31.65" customHeight="1" x14ac:dyDescent="0.3">
      <c r="B687" s="145" t="s">
        <v>1149</v>
      </c>
      <c r="C687" s="475" t="s">
        <v>1150</v>
      </c>
      <c r="D687" s="146" t="s">
        <v>222</v>
      </c>
      <c r="E687" s="147" t="s">
        <v>515</v>
      </c>
      <c r="F687" s="483">
        <v>0.5</v>
      </c>
      <c r="G687" s="594" t="s">
        <v>1154</v>
      </c>
      <c r="H687" s="783">
        <v>46197</v>
      </c>
      <c r="I687" s="306" t="s">
        <v>949</v>
      </c>
      <c r="J687" s="528"/>
    </row>
    <row r="688" spans="2:10" ht="15.6" x14ac:dyDescent="0.3">
      <c r="B688" s="145"/>
      <c r="C688" s="150"/>
      <c r="D688" s="146"/>
      <c r="E688" s="147"/>
      <c r="F688" s="491"/>
      <c r="G688" s="302"/>
      <c r="H688" s="314"/>
      <c r="I688" s="306"/>
      <c r="J688" s="528"/>
    </row>
    <row r="689" spans="2:10" s="58" customFormat="1" ht="15.6" x14ac:dyDescent="0.3">
      <c r="B689" s="352"/>
      <c r="C689" s="353" t="s">
        <v>771</v>
      </c>
      <c r="D689" s="354" t="s">
        <v>222</v>
      </c>
      <c r="E689" s="355"/>
      <c r="F689" s="1040">
        <f>SUM(F684:F688)</f>
        <v>2</v>
      </c>
      <c r="G689" s="357"/>
      <c r="H689" s="358"/>
      <c r="I689" s="359"/>
      <c r="J689" s="526"/>
    </row>
    <row r="690" spans="2:10" s="58" customFormat="1" ht="15.6" x14ac:dyDescent="0.3">
      <c r="B690" s="352"/>
      <c r="C690" s="353" t="s">
        <v>772</v>
      </c>
      <c r="D690" s="354" t="s">
        <v>222</v>
      </c>
      <c r="E690" s="355"/>
      <c r="F690" s="1040">
        <v>2</v>
      </c>
      <c r="G690" s="357"/>
      <c r="H690" s="358"/>
      <c r="I690" s="359"/>
      <c r="J690" s="526"/>
    </row>
    <row r="691" spans="2:10" s="58" customFormat="1" ht="15.6" x14ac:dyDescent="0.3">
      <c r="B691" s="360"/>
      <c r="C691" s="361" t="s">
        <v>773</v>
      </c>
      <c r="D691" s="362" t="s">
        <v>222</v>
      </c>
      <c r="E691" s="363"/>
      <c r="F691" s="1041">
        <f>F689-F690</f>
        <v>0</v>
      </c>
      <c r="G691" s="365"/>
      <c r="H691" s="366"/>
      <c r="I691" s="367"/>
      <c r="J691" s="527"/>
    </row>
    <row r="692" spans="2:10" ht="7.5" customHeight="1" x14ac:dyDescent="0.3">
      <c r="B692" s="338"/>
      <c r="C692" s="142"/>
      <c r="D692" s="143"/>
      <c r="E692" s="144"/>
      <c r="F692" s="345"/>
      <c r="G692" s="144"/>
      <c r="H692" s="144"/>
      <c r="I692" s="515"/>
      <c r="J692" s="524"/>
    </row>
    <row r="693" spans="2:10" ht="31.2" x14ac:dyDescent="0.3">
      <c r="B693" s="124" t="s">
        <v>1155</v>
      </c>
      <c r="C693" s="377" t="s">
        <v>1156</v>
      </c>
      <c r="D693" s="127" t="s">
        <v>190</v>
      </c>
      <c r="E693" s="125" t="s">
        <v>510</v>
      </c>
      <c r="F693" s="480">
        <v>2</v>
      </c>
      <c r="G693" s="296" t="s">
        <v>1157</v>
      </c>
      <c r="H693" s="297">
        <v>45747</v>
      </c>
      <c r="I693" s="305" t="s">
        <v>1026</v>
      </c>
      <c r="J693" s="525"/>
    </row>
    <row r="694" spans="2:10" ht="31.2" x14ac:dyDescent="0.3">
      <c r="B694" s="145" t="s">
        <v>1155</v>
      </c>
      <c r="C694" s="475" t="s">
        <v>1156</v>
      </c>
      <c r="D694" s="146" t="s">
        <v>190</v>
      </c>
      <c r="E694" s="147" t="s">
        <v>515</v>
      </c>
      <c r="F694" s="483">
        <v>2</v>
      </c>
      <c r="G694" s="302" t="s">
        <v>1158</v>
      </c>
      <c r="H694" s="314">
        <v>45747</v>
      </c>
      <c r="I694" s="306" t="s">
        <v>1026</v>
      </c>
      <c r="J694" s="528"/>
    </row>
    <row r="695" spans="2:10" ht="15.6" x14ac:dyDescent="0.3">
      <c r="B695" s="145"/>
      <c r="C695" s="150"/>
      <c r="D695" s="146"/>
      <c r="E695" s="147"/>
      <c r="F695" s="483"/>
      <c r="G695" s="302"/>
      <c r="H695" s="314"/>
      <c r="I695" s="306"/>
      <c r="J695" s="528"/>
    </row>
    <row r="696" spans="2:10" s="58" customFormat="1" ht="15.6" x14ac:dyDescent="0.3">
      <c r="B696" s="352"/>
      <c r="C696" s="353" t="s">
        <v>771</v>
      </c>
      <c r="D696" s="354" t="s">
        <v>190</v>
      </c>
      <c r="E696" s="355"/>
      <c r="F696" s="356">
        <f>SUM(F693:F695)</f>
        <v>4</v>
      </c>
      <c r="G696" s="357"/>
      <c r="H696" s="358"/>
      <c r="I696" s="359"/>
      <c r="J696" s="526"/>
    </row>
    <row r="697" spans="2:10" s="58" customFormat="1" ht="15.6" x14ac:dyDescent="0.3">
      <c r="B697" s="352"/>
      <c r="C697" s="353" t="s">
        <v>772</v>
      </c>
      <c r="D697" s="354" t="s">
        <v>190</v>
      </c>
      <c r="E697" s="355"/>
      <c r="F697" s="356">
        <v>4</v>
      </c>
      <c r="G697" s="357"/>
      <c r="H697" s="358"/>
      <c r="I697" s="359"/>
      <c r="J697" s="526"/>
    </row>
    <row r="698" spans="2:10" s="58" customFormat="1" ht="15.6" x14ac:dyDescent="0.3">
      <c r="B698" s="360"/>
      <c r="C698" s="361" t="s">
        <v>773</v>
      </c>
      <c r="D698" s="362" t="s">
        <v>190</v>
      </c>
      <c r="E698" s="363"/>
      <c r="F698" s="364">
        <f>F696-F697</f>
        <v>0</v>
      </c>
      <c r="G698" s="365"/>
      <c r="H698" s="366"/>
      <c r="I698" s="367"/>
      <c r="J698" s="527"/>
    </row>
    <row r="699" spans="2:10" ht="7.5" customHeight="1" x14ac:dyDescent="0.3">
      <c r="B699" s="338"/>
      <c r="C699" s="142"/>
      <c r="D699" s="143"/>
      <c r="E699" s="144"/>
      <c r="F699" s="345"/>
      <c r="G699" s="144"/>
      <c r="H699" s="144"/>
      <c r="I699" s="515"/>
      <c r="J699" s="524"/>
    </row>
    <row r="700" spans="2:10" ht="31.65" customHeight="1" x14ac:dyDescent="0.3">
      <c r="B700" s="145" t="s">
        <v>1159</v>
      </c>
      <c r="C700" s="475" t="s">
        <v>1160</v>
      </c>
      <c r="D700" s="146" t="s">
        <v>222</v>
      </c>
      <c r="E700" s="147" t="s">
        <v>510</v>
      </c>
      <c r="F700" s="483">
        <v>0.5</v>
      </c>
      <c r="G700" s="302" t="s">
        <v>1161</v>
      </c>
      <c r="H700" s="314">
        <v>45747</v>
      </c>
      <c r="I700" s="306" t="s">
        <v>1026</v>
      </c>
      <c r="J700" s="528"/>
    </row>
    <row r="701" spans="2:10" ht="31.65" customHeight="1" x14ac:dyDescent="0.3">
      <c r="B701" s="145" t="s">
        <v>1159</v>
      </c>
      <c r="C701" s="475" t="s">
        <v>1160</v>
      </c>
      <c r="D701" s="146" t="s">
        <v>222</v>
      </c>
      <c r="E701" s="147" t="s">
        <v>515</v>
      </c>
      <c r="F701" s="483">
        <v>0.5</v>
      </c>
      <c r="G701" s="302" t="s">
        <v>1162</v>
      </c>
      <c r="H701" s="314">
        <v>45747</v>
      </c>
      <c r="I701" s="306" t="s">
        <v>1026</v>
      </c>
      <c r="J701" s="528"/>
    </row>
    <row r="702" spans="2:10" ht="31.65" customHeight="1" x14ac:dyDescent="0.3">
      <c r="B702" s="145" t="s">
        <v>1159</v>
      </c>
      <c r="C702" s="475" t="s">
        <v>1160</v>
      </c>
      <c r="D702" s="146" t="s">
        <v>222</v>
      </c>
      <c r="E702" s="147" t="s">
        <v>510</v>
      </c>
      <c r="F702" s="483">
        <v>0.5</v>
      </c>
      <c r="G702" s="594" t="s">
        <v>1163</v>
      </c>
      <c r="H702" s="314">
        <v>45838</v>
      </c>
      <c r="I702" s="306" t="s">
        <v>1026</v>
      </c>
      <c r="J702" s="528"/>
    </row>
    <row r="703" spans="2:10" ht="31.65" customHeight="1" x14ac:dyDescent="0.3">
      <c r="B703" s="145" t="s">
        <v>1159</v>
      </c>
      <c r="C703" s="475" t="s">
        <v>1160</v>
      </c>
      <c r="D703" s="146" t="s">
        <v>222</v>
      </c>
      <c r="E703" s="147" t="s">
        <v>515</v>
      </c>
      <c r="F703" s="483">
        <v>0.5</v>
      </c>
      <c r="G703" s="594" t="s">
        <v>1164</v>
      </c>
      <c r="H703" s="314">
        <v>45838</v>
      </c>
      <c r="I703" s="306" t="s">
        <v>1026</v>
      </c>
      <c r="J703" s="528"/>
    </row>
    <row r="704" spans="2:10" ht="31.65" customHeight="1" x14ac:dyDescent="0.3">
      <c r="B704" s="145" t="s">
        <v>1159</v>
      </c>
      <c r="C704" s="475" t="s">
        <v>1160</v>
      </c>
      <c r="D704" s="146" t="s">
        <v>222</v>
      </c>
      <c r="E704" s="147" t="s">
        <v>510</v>
      </c>
      <c r="F704" s="483">
        <v>0.5</v>
      </c>
      <c r="G704" s="594" t="s">
        <v>1165</v>
      </c>
      <c r="H704" s="314">
        <v>45930</v>
      </c>
      <c r="I704" s="306" t="s">
        <v>1026</v>
      </c>
      <c r="J704" s="528"/>
    </row>
    <row r="705" spans="2:10" ht="31.65" customHeight="1" x14ac:dyDescent="0.3">
      <c r="B705" s="145" t="s">
        <v>1159</v>
      </c>
      <c r="C705" s="475" t="s">
        <v>1160</v>
      </c>
      <c r="D705" s="146" t="s">
        <v>222</v>
      </c>
      <c r="E705" s="147" t="s">
        <v>515</v>
      </c>
      <c r="F705" s="483">
        <v>0.5</v>
      </c>
      <c r="G705" s="594" t="s">
        <v>1166</v>
      </c>
      <c r="H705" s="314">
        <v>45930</v>
      </c>
      <c r="I705" s="306" t="s">
        <v>1026</v>
      </c>
      <c r="J705" s="528"/>
    </row>
    <row r="706" spans="2:10" ht="31.65" customHeight="1" x14ac:dyDescent="0.3">
      <c r="B706" s="145" t="s">
        <v>1159</v>
      </c>
      <c r="C706" s="475" t="s">
        <v>1160</v>
      </c>
      <c r="D706" s="146" t="s">
        <v>222</v>
      </c>
      <c r="E706" s="147" t="s">
        <v>510</v>
      </c>
      <c r="F706" s="483">
        <v>0.5</v>
      </c>
      <c r="G706" s="594" t="s">
        <v>1167</v>
      </c>
      <c r="H706" s="783">
        <v>46022</v>
      </c>
      <c r="I706" s="306" t="s">
        <v>943</v>
      </c>
      <c r="J706" s="528"/>
    </row>
    <row r="707" spans="2:10" ht="31.65" customHeight="1" x14ac:dyDescent="0.3">
      <c r="B707" s="145" t="s">
        <v>1159</v>
      </c>
      <c r="C707" s="475" t="s">
        <v>1160</v>
      </c>
      <c r="D707" s="146" t="s">
        <v>222</v>
      </c>
      <c r="E707" s="147" t="s">
        <v>515</v>
      </c>
      <c r="F707" s="483">
        <v>0.5</v>
      </c>
      <c r="G707" s="594" t="s">
        <v>1168</v>
      </c>
      <c r="H707" s="783">
        <v>46022</v>
      </c>
      <c r="I707" s="306" t="s">
        <v>943</v>
      </c>
      <c r="J707" s="528"/>
    </row>
    <row r="708" spans="2:10" ht="31.65" customHeight="1" x14ac:dyDescent="0.3">
      <c r="B708" s="145" t="s">
        <v>1159</v>
      </c>
      <c r="C708" s="475" t="s">
        <v>1160</v>
      </c>
      <c r="D708" s="146" t="s">
        <v>222</v>
      </c>
      <c r="E708" s="147" t="s">
        <v>510</v>
      </c>
      <c r="F708" s="483">
        <v>0.5</v>
      </c>
      <c r="G708" s="302" t="s">
        <v>1169</v>
      </c>
      <c r="H708" s="314">
        <v>46111</v>
      </c>
      <c r="I708" s="306" t="s">
        <v>946</v>
      </c>
      <c r="J708" s="528"/>
    </row>
    <row r="709" spans="2:10" ht="31.65" customHeight="1" x14ac:dyDescent="0.3">
      <c r="B709" s="145" t="s">
        <v>1159</v>
      </c>
      <c r="C709" s="475" t="s">
        <v>1160</v>
      </c>
      <c r="D709" s="146" t="s">
        <v>222</v>
      </c>
      <c r="E709" s="147" t="s">
        <v>515</v>
      </c>
      <c r="F709" s="483">
        <v>0.5</v>
      </c>
      <c r="G709" s="302" t="s">
        <v>1170</v>
      </c>
      <c r="H709" s="314">
        <v>46111</v>
      </c>
      <c r="I709" s="306" t="s">
        <v>946</v>
      </c>
      <c r="J709" s="528"/>
    </row>
    <row r="710" spans="2:10" ht="31.65" customHeight="1" x14ac:dyDescent="0.3">
      <c r="B710" s="145" t="s">
        <v>1159</v>
      </c>
      <c r="C710" s="475" t="s">
        <v>1160</v>
      </c>
      <c r="D710" s="146" t="s">
        <v>222</v>
      </c>
      <c r="E710" s="147" t="s">
        <v>510</v>
      </c>
      <c r="F710" s="483">
        <v>0.5</v>
      </c>
      <c r="G710" s="594" t="s">
        <v>1171</v>
      </c>
      <c r="H710" s="783">
        <v>46196</v>
      </c>
      <c r="I710" s="306" t="s">
        <v>949</v>
      </c>
      <c r="J710" s="528"/>
    </row>
    <row r="711" spans="2:10" ht="31.65" customHeight="1" x14ac:dyDescent="0.3">
      <c r="B711" s="145" t="s">
        <v>1159</v>
      </c>
      <c r="C711" s="475" t="s">
        <v>1160</v>
      </c>
      <c r="D711" s="146" t="s">
        <v>222</v>
      </c>
      <c r="E711" s="147" t="s">
        <v>515</v>
      </c>
      <c r="F711" s="483">
        <v>0.5</v>
      </c>
      <c r="G711" s="594" t="s">
        <v>1172</v>
      </c>
      <c r="H711" s="783">
        <v>46196</v>
      </c>
      <c r="I711" s="306" t="s">
        <v>949</v>
      </c>
      <c r="J711" s="528"/>
    </row>
    <row r="712" spans="2:10" ht="15.6" x14ac:dyDescent="0.3">
      <c r="B712" s="145"/>
      <c r="C712" s="150"/>
      <c r="D712" s="146"/>
      <c r="E712" s="147"/>
      <c r="F712" s="483"/>
      <c r="G712" s="302"/>
      <c r="H712" s="314"/>
      <c r="I712" s="306"/>
      <c r="J712" s="528"/>
    </row>
    <row r="713" spans="2:10" s="58" customFormat="1" ht="15.6" x14ac:dyDescent="0.3">
      <c r="B713" s="352"/>
      <c r="C713" s="353" t="s">
        <v>771</v>
      </c>
      <c r="D713" s="354" t="s">
        <v>222</v>
      </c>
      <c r="E713" s="355"/>
      <c r="F713" s="356">
        <f>SUM(F700:F712)</f>
        <v>6</v>
      </c>
      <c r="G713" s="357"/>
      <c r="H713" s="358"/>
      <c r="I713" s="359"/>
      <c r="J713" s="526"/>
    </row>
    <row r="714" spans="2:10" s="58" customFormat="1" ht="15.6" x14ac:dyDescent="0.3">
      <c r="B714" s="352"/>
      <c r="C714" s="353" t="s">
        <v>772</v>
      </c>
      <c r="D714" s="354" t="s">
        <v>222</v>
      </c>
      <c r="E714" s="355"/>
      <c r="F714" s="356">
        <v>6</v>
      </c>
      <c r="G714" s="357"/>
      <c r="H714" s="358"/>
      <c r="I714" s="359"/>
      <c r="J714" s="526"/>
    </row>
    <row r="715" spans="2:10" s="58" customFormat="1" ht="15.6" x14ac:dyDescent="0.3">
      <c r="B715" s="360"/>
      <c r="C715" s="361" t="s">
        <v>773</v>
      </c>
      <c r="D715" s="362" t="s">
        <v>222</v>
      </c>
      <c r="E715" s="363"/>
      <c r="F715" s="364">
        <f>F713-F714</f>
        <v>0</v>
      </c>
      <c r="G715" s="365"/>
      <c r="H715" s="366"/>
      <c r="I715" s="367"/>
      <c r="J715" s="527"/>
    </row>
    <row r="716" spans="2:10" ht="7.5" customHeight="1" x14ac:dyDescent="0.3">
      <c r="B716" s="338"/>
      <c r="C716" s="142"/>
      <c r="D716" s="143"/>
      <c r="E716" s="144"/>
      <c r="F716" s="345"/>
      <c r="G716" s="144"/>
      <c r="H716" s="144"/>
      <c r="I716" s="515"/>
      <c r="J716" s="524"/>
    </row>
    <row r="717" spans="2:10" ht="30.6" customHeight="1" x14ac:dyDescent="0.3">
      <c r="B717" s="124" t="s">
        <v>1173</v>
      </c>
      <c r="C717" s="377" t="s">
        <v>1174</v>
      </c>
      <c r="D717" s="127" t="s">
        <v>190</v>
      </c>
      <c r="E717" s="125" t="s">
        <v>510</v>
      </c>
      <c r="F717" s="480">
        <v>48</v>
      </c>
      <c r="G717" s="296" t="s">
        <v>1175</v>
      </c>
      <c r="H717" s="297">
        <v>45531</v>
      </c>
      <c r="I717" s="305" t="s">
        <v>795</v>
      </c>
      <c r="J717" s="525"/>
    </row>
    <row r="718" spans="2:10" ht="30.6" customHeight="1" x14ac:dyDescent="0.3">
      <c r="B718" s="145" t="s">
        <v>1173</v>
      </c>
      <c r="C718" s="475" t="s">
        <v>1174</v>
      </c>
      <c r="D718" s="146" t="s">
        <v>190</v>
      </c>
      <c r="E718" s="147" t="s">
        <v>515</v>
      </c>
      <c r="F718" s="483">
        <v>48</v>
      </c>
      <c r="G718" s="302" t="s">
        <v>1176</v>
      </c>
      <c r="H718" s="314">
        <v>45594</v>
      </c>
      <c r="I718" s="306" t="s">
        <v>1026</v>
      </c>
      <c r="J718" s="528"/>
    </row>
    <row r="719" spans="2:10" ht="30.6" customHeight="1" x14ac:dyDescent="0.3">
      <c r="B719" s="145" t="s">
        <v>1173</v>
      </c>
      <c r="C719" s="475" t="s">
        <v>1174</v>
      </c>
      <c r="D719" s="146" t="s">
        <v>190</v>
      </c>
      <c r="E719" s="147" t="s">
        <v>515</v>
      </c>
      <c r="F719" s="483">
        <v>32</v>
      </c>
      <c r="G719" s="302" t="s">
        <v>1177</v>
      </c>
      <c r="H719" s="314">
        <v>45656</v>
      </c>
      <c r="I719" s="306" t="s">
        <v>1026</v>
      </c>
      <c r="J719" s="528"/>
    </row>
    <row r="720" spans="2:10" ht="30.6" customHeight="1" x14ac:dyDescent="0.3">
      <c r="B720" s="145" t="s">
        <v>1173</v>
      </c>
      <c r="C720" s="475" t="s">
        <v>1174</v>
      </c>
      <c r="D720" s="146" t="s">
        <v>190</v>
      </c>
      <c r="E720" s="147" t="s">
        <v>510</v>
      </c>
      <c r="F720" s="483">
        <v>32</v>
      </c>
      <c r="G720" s="302" t="s">
        <v>1178</v>
      </c>
      <c r="H720" s="314">
        <v>45747</v>
      </c>
      <c r="I720" s="306" t="s">
        <v>1026</v>
      </c>
      <c r="J720" s="528"/>
    </row>
    <row r="721" spans="2:10" ht="30.6" customHeight="1" x14ac:dyDescent="0.3">
      <c r="B721" s="145" t="s">
        <v>1173</v>
      </c>
      <c r="C721" s="475" t="s">
        <v>1174</v>
      </c>
      <c r="D721" s="146" t="s">
        <v>190</v>
      </c>
      <c r="E721" s="147" t="s">
        <v>510</v>
      </c>
      <c r="F721" s="483">
        <v>48</v>
      </c>
      <c r="G721" s="302" t="s">
        <v>1179</v>
      </c>
      <c r="H721" s="314">
        <v>45838</v>
      </c>
      <c r="I721" s="306" t="s">
        <v>1026</v>
      </c>
      <c r="J721" s="528"/>
    </row>
    <row r="722" spans="2:10" ht="30.6" customHeight="1" x14ac:dyDescent="0.3">
      <c r="B722" s="145" t="s">
        <v>1173</v>
      </c>
      <c r="C722" s="475" t="s">
        <v>1174</v>
      </c>
      <c r="D722" s="146" t="s">
        <v>190</v>
      </c>
      <c r="E722" s="147" t="s">
        <v>510</v>
      </c>
      <c r="F722" s="483">
        <v>22</v>
      </c>
      <c r="G722" s="594" t="s">
        <v>1180</v>
      </c>
      <c r="H722" s="783">
        <v>46198</v>
      </c>
      <c r="I722" s="306" t="s">
        <v>949</v>
      </c>
      <c r="J722" s="528"/>
    </row>
    <row r="723" spans="2:10" ht="30.6" customHeight="1" x14ac:dyDescent="0.3">
      <c r="B723" s="145" t="s">
        <v>1173</v>
      </c>
      <c r="C723" s="475" t="s">
        <v>1174</v>
      </c>
      <c r="D723" s="146" t="s">
        <v>190</v>
      </c>
      <c r="E723" s="147" t="s">
        <v>510</v>
      </c>
      <c r="F723" s="483">
        <v>20</v>
      </c>
      <c r="G723" s="594" t="s">
        <v>1181</v>
      </c>
      <c r="H723" s="783">
        <v>46198</v>
      </c>
      <c r="I723" s="306" t="s">
        <v>949</v>
      </c>
      <c r="J723" s="528"/>
    </row>
    <row r="724" spans="2:10" ht="15.6" x14ac:dyDescent="0.3">
      <c r="B724" s="145"/>
      <c r="C724" s="150"/>
      <c r="D724" s="146"/>
      <c r="E724" s="147"/>
      <c r="F724" s="483"/>
      <c r="G724" s="302"/>
      <c r="H724" s="314"/>
      <c r="I724" s="306"/>
      <c r="J724" s="528"/>
    </row>
    <row r="725" spans="2:10" s="58" customFormat="1" ht="15.6" x14ac:dyDescent="0.3">
      <c r="B725" s="352"/>
      <c r="C725" s="353" t="s">
        <v>771</v>
      </c>
      <c r="D725" s="354" t="s">
        <v>190</v>
      </c>
      <c r="E725" s="355"/>
      <c r="F725" s="356">
        <f>SUM(F717:F724)</f>
        <v>250</v>
      </c>
      <c r="G725" s="357"/>
      <c r="H725" s="358"/>
      <c r="I725" s="359"/>
      <c r="J725" s="526"/>
    </row>
    <row r="726" spans="2:10" s="58" customFormat="1" ht="15.6" x14ac:dyDescent="0.3">
      <c r="B726" s="352"/>
      <c r="C726" s="353" t="s">
        <v>772</v>
      </c>
      <c r="D726" s="354" t="s">
        <v>190</v>
      </c>
      <c r="E726" s="355"/>
      <c r="F726" s="356">
        <v>250</v>
      </c>
      <c r="G726" s="357"/>
      <c r="H726" s="358"/>
      <c r="I726" s="359"/>
      <c r="J726" s="526"/>
    </row>
    <row r="727" spans="2:10" s="58" customFormat="1" ht="15.6" x14ac:dyDescent="0.3">
      <c r="B727" s="360"/>
      <c r="C727" s="361" t="s">
        <v>773</v>
      </c>
      <c r="D727" s="362" t="s">
        <v>190</v>
      </c>
      <c r="E727" s="363"/>
      <c r="F727" s="364">
        <f>F725-F726</f>
        <v>0</v>
      </c>
      <c r="G727" s="365"/>
      <c r="H727" s="366"/>
      <c r="I727" s="367"/>
      <c r="J727" s="527"/>
    </row>
    <row r="728" spans="2:10" ht="7.5" customHeight="1" x14ac:dyDescent="0.3">
      <c r="B728" s="338"/>
      <c r="C728" s="142"/>
      <c r="D728" s="143"/>
      <c r="E728" s="144"/>
      <c r="F728" s="345"/>
      <c r="G728" s="144"/>
      <c r="H728" s="144"/>
      <c r="I728" s="515"/>
      <c r="J728" s="524"/>
    </row>
    <row r="729" spans="2:10" ht="31.2" x14ac:dyDescent="0.3">
      <c r="B729" s="124" t="s">
        <v>1182</v>
      </c>
      <c r="C729" s="377" t="s">
        <v>1183</v>
      </c>
      <c r="D729" s="127" t="s">
        <v>222</v>
      </c>
      <c r="E729" s="125"/>
      <c r="F729" s="480">
        <v>1</v>
      </c>
      <c r="G729" s="296" t="s">
        <v>1116</v>
      </c>
      <c r="H729" s="297" t="s">
        <v>1117</v>
      </c>
      <c r="I729" s="305" t="s">
        <v>795</v>
      </c>
      <c r="J729" s="525"/>
    </row>
    <row r="730" spans="2:10" ht="31.2" x14ac:dyDescent="0.3">
      <c r="B730" s="145" t="s">
        <v>1182</v>
      </c>
      <c r="C730" s="475" t="s">
        <v>1183</v>
      </c>
      <c r="D730" s="146" t="s">
        <v>222</v>
      </c>
      <c r="E730" s="147" t="s">
        <v>510</v>
      </c>
      <c r="F730" s="483">
        <v>0.5</v>
      </c>
      <c r="G730" s="302" t="s">
        <v>1184</v>
      </c>
      <c r="H730" s="314">
        <v>45656</v>
      </c>
      <c r="I730" s="306" t="s">
        <v>1026</v>
      </c>
      <c r="J730" s="528"/>
    </row>
    <row r="731" spans="2:10" ht="31.2" x14ac:dyDescent="0.3">
      <c r="B731" s="145" t="s">
        <v>1182</v>
      </c>
      <c r="C731" s="475" t="s">
        <v>1183</v>
      </c>
      <c r="D731" s="146" t="s">
        <v>222</v>
      </c>
      <c r="E731" s="147" t="s">
        <v>515</v>
      </c>
      <c r="F731" s="483">
        <v>0.5</v>
      </c>
      <c r="G731" s="302" t="s">
        <v>1185</v>
      </c>
      <c r="H731" s="314">
        <v>45656</v>
      </c>
      <c r="I731" s="306" t="s">
        <v>1026</v>
      </c>
      <c r="J731" s="528"/>
    </row>
    <row r="732" spans="2:10" ht="31.2" x14ac:dyDescent="0.3">
      <c r="B732" s="145" t="s">
        <v>1182</v>
      </c>
      <c r="C732" s="475" t="s">
        <v>1183</v>
      </c>
      <c r="D732" s="146" t="s">
        <v>222</v>
      </c>
      <c r="E732" s="147" t="s">
        <v>510</v>
      </c>
      <c r="F732" s="483">
        <v>0.5</v>
      </c>
      <c r="G732" s="302" t="s">
        <v>1186</v>
      </c>
      <c r="H732" s="314">
        <v>45747</v>
      </c>
      <c r="I732" s="306" t="s">
        <v>1026</v>
      </c>
      <c r="J732" s="528"/>
    </row>
    <row r="733" spans="2:10" ht="31.2" x14ac:dyDescent="0.3">
      <c r="B733" s="145" t="s">
        <v>1182</v>
      </c>
      <c r="C733" s="475" t="s">
        <v>1183</v>
      </c>
      <c r="D733" s="146" t="s">
        <v>222</v>
      </c>
      <c r="E733" s="147" t="s">
        <v>515</v>
      </c>
      <c r="F733" s="483">
        <v>0.5</v>
      </c>
      <c r="G733" s="302" t="s">
        <v>1187</v>
      </c>
      <c r="H733" s="314">
        <v>45747</v>
      </c>
      <c r="I733" s="306" t="s">
        <v>1026</v>
      </c>
      <c r="J733" s="528"/>
    </row>
    <row r="734" spans="2:10" ht="31.2" x14ac:dyDescent="0.3">
      <c r="B734" s="145" t="s">
        <v>1182</v>
      </c>
      <c r="C734" s="475" t="s">
        <v>1183</v>
      </c>
      <c r="D734" s="146" t="s">
        <v>222</v>
      </c>
      <c r="E734" s="147" t="s">
        <v>510</v>
      </c>
      <c r="F734" s="483">
        <v>0.5</v>
      </c>
      <c r="G734" s="594" t="s">
        <v>1188</v>
      </c>
      <c r="H734" s="314">
        <v>45838</v>
      </c>
      <c r="I734" s="306" t="s">
        <v>1026</v>
      </c>
      <c r="J734" s="528"/>
    </row>
    <row r="735" spans="2:10" ht="31.2" x14ac:dyDescent="0.3">
      <c r="B735" s="145" t="s">
        <v>1182</v>
      </c>
      <c r="C735" s="475" t="s">
        <v>1183</v>
      </c>
      <c r="D735" s="146" t="s">
        <v>222</v>
      </c>
      <c r="E735" s="147" t="s">
        <v>515</v>
      </c>
      <c r="F735" s="483">
        <v>0.5</v>
      </c>
      <c r="G735" s="594" t="s">
        <v>1189</v>
      </c>
      <c r="H735" s="314">
        <v>45838</v>
      </c>
      <c r="I735" s="306" t="s">
        <v>1026</v>
      </c>
      <c r="J735" s="528"/>
    </row>
    <row r="736" spans="2:10" ht="31.2" x14ac:dyDescent="0.3">
      <c r="B736" s="145" t="s">
        <v>1182</v>
      </c>
      <c r="C736" s="475" t="s">
        <v>1183</v>
      </c>
      <c r="D736" s="146" t="s">
        <v>222</v>
      </c>
      <c r="E736" s="147" t="s">
        <v>510</v>
      </c>
      <c r="F736" s="483">
        <v>0.5</v>
      </c>
      <c r="G736" s="594" t="s">
        <v>1190</v>
      </c>
      <c r="H736" s="314">
        <v>45930</v>
      </c>
      <c r="I736" s="306" t="s">
        <v>1026</v>
      </c>
      <c r="J736" s="528"/>
    </row>
    <row r="737" spans="2:10" ht="31.2" x14ac:dyDescent="0.3">
      <c r="B737" s="145" t="s">
        <v>1182</v>
      </c>
      <c r="C737" s="475" t="s">
        <v>1183</v>
      </c>
      <c r="D737" s="146" t="s">
        <v>222</v>
      </c>
      <c r="E737" s="147" t="s">
        <v>515</v>
      </c>
      <c r="F737" s="483">
        <v>0.5</v>
      </c>
      <c r="G737" s="594" t="s">
        <v>1191</v>
      </c>
      <c r="H737" s="314">
        <v>45930</v>
      </c>
      <c r="I737" s="306" t="s">
        <v>1026</v>
      </c>
      <c r="J737" s="528"/>
    </row>
    <row r="738" spans="2:10" ht="31.2" x14ac:dyDescent="0.3">
      <c r="B738" s="145" t="s">
        <v>1182</v>
      </c>
      <c r="C738" s="475" t="s">
        <v>1183</v>
      </c>
      <c r="D738" s="146" t="s">
        <v>222</v>
      </c>
      <c r="E738" s="147" t="s">
        <v>510</v>
      </c>
      <c r="F738" s="483">
        <v>0.5</v>
      </c>
      <c r="G738" s="594" t="s">
        <v>1192</v>
      </c>
      <c r="H738" s="783">
        <v>46022</v>
      </c>
      <c r="I738" s="306" t="s">
        <v>943</v>
      </c>
      <c r="J738" s="528"/>
    </row>
    <row r="739" spans="2:10" ht="31.2" x14ac:dyDescent="0.3">
      <c r="B739" s="145" t="s">
        <v>1182</v>
      </c>
      <c r="C739" s="475" t="s">
        <v>1183</v>
      </c>
      <c r="D739" s="146" t="s">
        <v>222</v>
      </c>
      <c r="E739" s="147" t="s">
        <v>515</v>
      </c>
      <c r="F739" s="483">
        <v>0.5</v>
      </c>
      <c r="G739" s="594" t="s">
        <v>1193</v>
      </c>
      <c r="H739" s="783">
        <v>46022</v>
      </c>
      <c r="I739" s="306" t="s">
        <v>943</v>
      </c>
      <c r="J739" s="528"/>
    </row>
    <row r="740" spans="2:10" ht="31.2" x14ac:dyDescent="0.3">
      <c r="B740" s="145" t="s">
        <v>1182</v>
      </c>
      <c r="C740" s="475" t="s">
        <v>1183</v>
      </c>
      <c r="D740" s="146" t="s">
        <v>222</v>
      </c>
      <c r="E740" s="147" t="s">
        <v>510</v>
      </c>
      <c r="F740" s="483">
        <v>0.5</v>
      </c>
      <c r="G740" s="302" t="s">
        <v>1194</v>
      </c>
      <c r="H740" s="314">
        <v>46112</v>
      </c>
      <c r="I740" s="306" t="s">
        <v>946</v>
      </c>
      <c r="J740" s="528"/>
    </row>
    <row r="741" spans="2:10" ht="31.2" x14ac:dyDescent="0.3">
      <c r="B741" s="145" t="s">
        <v>1182</v>
      </c>
      <c r="C741" s="475" t="s">
        <v>1183</v>
      </c>
      <c r="D741" s="146" t="s">
        <v>222</v>
      </c>
      <c r="E741" s="147" t="s">
        <v>515</v>
      </c>
      <c r="F741" s="483">
        <v>0.5</v>
      </c>
      <c r="G741" s="302" t="s">
        <v>1195</v>
      </c>
      <c r="H741" s="314">
        <v>46112</v>
      </c>
      <c r="I741" s="306" t="s">
        <v>946</v>
      </c>
      <c r="J741" s="528"/>
    </row>
    <row r="742" spans="2:10" ht="31.2" x14ac:dyDescent="0.3">
      <c r="B742" s="145" t="s">
        <v>1182</v>
      </c>
      <c r="C742" s="475" t="s">
        <v>1183</v>
      </c>
      <c r="D742" s="146" t="s">
        <v>222</v>
      </c>
      <c r="E742" s="147" t="s">
        <v>510</v>
      </c>
      <c r="F742" s="483">
        <v>0.5</v>
      </c>
      <c r="G742" s="594" t="s">
        <v>1196</v>
      </c>
      <c r="H742" s="783">
        <v>46196</v>
      </c>
      <c r="I742" s="306" t="s">
        <v>949</v>
      </c>
      <c r="J742" s="528"/>
    </row>
    <row r="743" spans="2:10" ht="31.2" x14ac:dyDescent="0.3">
      <c r="B743" s="145" t="s">
        <v>1182</v>
      </c>
      <c r="C743" s="475" t="s">
        <v>1183</v>
      </c>
      <c r="D743" s="146" t="s">
        <v>222</v>
      </c>
      <c r="E743" s="147" t="s">
        <v>515</v>
      </c>
      <c r="F743" s="483">
        <v>0.5</v>
      </c>
      <c r="G743" s="594" t="s">
        <v>1197</v>
      </c>
      <c r="H743" s="783">
        <v>46196</v>
      </c>
      <c r="I743" s="306" t="s">
        <v>949</v>
      </c>
      <c r="J743" s="528"/>
    </row>
    <row r="744" spans="2:10" ht="15.6" x14ac:dyDescent="0.3">
      <c r="B744" s="145"/>
      <c r="C744" s="150"/>
      <c r="D744" s="146"/>
      <c r="E744" s="147"/>
      <c r="F744" s="483"/>
      <c r="G744" s="302"/>
      <c r="H744" s="314"/>
      <c r="I744" s="306"/>
      <c r="J744" s="528"/>
    </row>
    <row r="745" spans="2:10" s="58" customFormat="1" ht="15.6" x14ac:dyDescent="0.3">
      <c r="B745" s="352"/>
      <c r="C745" s="353" t="s">
        <v>771</v>
      </c>
      <c r="D745" s="354" t="s">
        <v>222</v>
      </c>
      <c r="E745" s="355"/>
      <c r="F745" s="356">
        <f>SUM(F729:F744)</f>
        <v>8</v>
      </c>
      <c r="G745" s="357"/>
      <c r="H745" s="358"/>
      <c r="I745" s="359"/>
      <c r="J745" s="526"/>
    </row>
    <row r="746" spans="2:10" s="58" customFormat="1" ht="15.6" x14ac:dyDescent="0.3">
      <c r="B746" s="352"/>
      <c r="C746" s="353" t="s">
        <v>772</v>
      </c>
      <c r="D746" s="354" t="s">
        <v>222</v>
      </c>
      <c r="E746" s="355"/>
      <c r="F746" s="356">
        <v>8</v>
      </c>
      <c r="G746" s="357"/>
      <c r="H746" s="358"/>
      <c r="I746" s="359"/>
      <c r="J746" s="526"/>
    </row>
    <row r="747" spans="2:10" s="58" customFormat="1" ht="15.6" x14ac:dyDescent="0.3">
      <c r="B747" s="360"/>
      <c r="C747" s="361" t="s">
        <v>773</v>
      </c>
      <c r="D747" s="362" t="s">
        <v>222</v>
      </c>
      <c r="E747" s="363"/>
      <c r="F747" s="364">
        <f>F745-F746</f>
        <v>0</v>
      </c>
      <c r="G747" s="365"/>
      <c r="H747" s="366"/>
      <c r="I747" s="367"/>
      <c r="J747" s="527"/>
    </row>
    <row r="748" spans="2:10" ht="7.5" customHeight="1" x14ac:dyDescent="0.3">
      <c r="B748" s="338"/>
      <c r="C748" s="142"/>
      <c r="D748" s="143"/>
      <c r="E748" s="144"/>
      <c r="F748" s="345"/>
      <c r="G748" s="144"/>
      <c r="H748" s="144"/>
      <c r="I748" s="515"/>
      <c r="J748" s="524"/>
    </row>
  </sheetData>
  <autoFilter ref="B6:I748" xr:uid="{06D72BE3-B24C-49B3-BE96-3345D9C5FC7A}"/>
  <phoneticPr fontId="23" type="noConversion"/>
  <conditionalFormatting sqref="D7:D748">
    <cfRule type="cellIs" dxfId="162" priority="1" operator="lessThan">
      <formula>0</formula>
    </cfRule>
  </conditionalFormatting>
  <printOptions horizontalCentered="1"/>
  <pageMargins left="0.39370078740157483" right="0.39370078740157483" top="0.55118110236220474" bottom="0.94488188976377963" header="0.31496062992125984" footer="0.31496062992125984"/>
  <pageSetup paperSize="9" scale="51" fitToHeight="0" orientation="portrait" r:id="rId1"/>
  <rowBreaks count="7" manualBreakCount="7">
    <brk id="189" min="1" max="9" man="1"/>
    <brk id="278" min="1" max="9" man="1"/>
    <brk id="387" min="1" max="9" man="1"/>
    <brk id="488" min="1" max="9" man="1"/>
    <brk id="537" min="1" max="9" man="1"/>
    <brk id="597" min="1" max="9" man="1"/>
    <brk id="649" min="1" max="9" man="1"/>
  </rowBreaks>
  <ignoredErrors>
    <ignoredError sqref="I124 I45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A2C1-66AC-447E-9999-F6E2311FCAFD}">
  <sheetPr codeName="Sheet7">
    <pageSetUpPr fitToPage="1"/>
  </sheetPr>
  <dimension ref="B1:Q738"/>
  <sheetViews>
    <sheetView view="pageBreakPreview" zoomScale="70" zoomScaleNormal="80" zoomScaleSheetLayoutView="70" workbookViewId="0">
      <pane ySplit="6" topLeftCell="A511" activePane="bottomLeft" state="frozen"/>
      <selection activeCell="H327" sqref="H327"/>
      <selection pane="bottomLeft" activeCell="J515" sqref="J515"/>
    </sheetView>
  </sheetViews>
  <sheetFormatPr defaultColWidth="9.109375" defaultRowHeight="14.4" x14ac:dyDescent="0.3"/>
  <cols>
    <col min="1" max="1" width="2" style="132" customWidth="1"/>
    <col min="2" max="2" width="12.5546875" style="132" customWidth="1"/>
    <col min="3" max="3" width="60.5546875" style="132" customWidth="1"/>
    <col min="4" max="4" width="10.5546875" style="132" customWidth="1"/>
    <col min="5" max="5" width="12.5546875" style="132" customWidth="1"/>
    <col min="6" max="6" width="12.5546875" style="339" customWidth="1"/>
    <col min="7" max="7" width="32.5546875" style="132" customWidth="1"/>
    <col min="8" max="8" width="12.5546875" style="132" customWidth="1"/>
    <col min="9" max="9" width="10.5546875" style="132" customWidth="1"/>
    <col min="10" max="10" width="33.109375" style="132" customWidth="1"/>
    <col min="11" max="12" width="9.109375" style="132"/>
    <col min="13" max="13" width="9.109375" style="339"/>
    <col min="14" max="14" width="4" style="132" customWidth="1"/>
    <col min="15" max="15" width="10.109375" style="132" bestFit="1" customWidth="1"/>
    <col min="16" max="16" width="9.109375" style="132"/>
    <col min="17" max="17" width="9.88671875" style="339" bestFit="1" customWidth="1"/>
    <col min="18" max="16384" width="9.109375" style="132"/>
  </cols>
  <sheetData>
    <row r="1" spans="2:17" ht="8.25" customHeight="1" x14ac:dyDescent="0.3"/>
    <row r="2" spans="2:17" ht="42" customHeight="1" x14ac:dyDescent="0.3">
      <c r="B2" s="315"/>
      <c r="C2" s="507" t="s">
        <v>141</v>
      </c>
      <c r="D2" s="508"/>
      <c r="E2" s="508"/>
      <c r="F2" s="509"/>
      <c r="G2" s="508"/>
      <c r="H2" s="508"/>
      <c r="I2" s="510"/>
      <c r="J2" s="316"/>
    </row>
    <row r="3" spans="2:17" ht="18" customHeight="1" x14ac:dyDescent="0.3">
      <c r="B3" s="317"/>
      <c r="C3" s="312"/>
      <c r="D3" s="312"/>
      <c r="E3" s="312"/>
      <c r="F3" s="341"/>
      <c r="H3" s="511" t="str">
        <f>'Schedule 1'!H3</f>
        <v>Period of bill : 1st Jul'26 to 31st Jul'26</v>
      </c>
      <c r="I3" s="512"/>
      <c r="J3" s="510"/>
    </row>
    <row r="4" spans="2:17" ht="15.6" x14ac:dyDescent="0.3">
      <c r="B4" s="293" t="s">
        <v>1198</v>
      </c>
      <c r="C4" s="294"/>
      <c r="D4" s="294"/>
      <c r="E4" s="294"/>
      <c r="F4" s="342"/>
      <c r="G4" s="295"/>
      <c r="H4" s="534"/>
      <c r="I4" s="510"/>
      <c r="J4" s="133" t="str">
        <f>'Schedule 1'!J4</f>
        <v>IPC - 34</v>
      </c>
    </row>
    <row r="5" spans="2:17" ht="15.6" x14ac:dyDescent="0.3">
      <c r="B5" s="517" t="s">
        <v>762</v>
      </c>
      <c r="C5" s="292"/>
      <c r="D5" s="292"/>
      <c r="E5" s="292"/>
      <c r="F5" s="518"/>
      <c r="G5" s="292"/>
      <c r="H5" s="292"/>
      <c r="I5" s="519"/>
      <c r="J5" s="520"/>
    </row>
    <row r="6" spans="2:17" ht="31.5" customHeight="1" x14ac:dyDescent="0.3">
      <c r="B6" s="134" t="s">
        <v>498</v>
      </c>
      <c r="C6" s="134" t="s">
        <v>176</v>
      </c>
      <c r="D6" s="136" t="s">
        <v>500</v>
      </c>
      <c r="E6" s="137" t="s">
        <v>501</v>
      </c>
      <c r="F6" s="344" t="s">
        <v>502</v>
      </c>
      <c r="G6" s="137" t="s">
        <v>763</v>
      </c>
      <c r="H6" s="134" t="s">
        <v>504</v>
      </c>
      <c r="I6" s="136" t="s">
        <v>764</v>
      </c>
      <c r="J6" s="136" t="s">
        <v>507</v>
      </c>
    </row>
    <row r="7" spans="2:17" ht="7.5" customHeight="1" x14ac:dyDescent="0.3">
      <c r="B7" s="124"/>
      <c r="C7" s="142"/>
      <c r="D7" s="143"/>
      <c r="E7" s="144"/>
      <c r="F7" s="345"/>
      <c r="G7" s="144"/>
      <c r="H7" s="144"/>
      <c r="I7" s="513"/>
      <c r="J7" s="514"/>
    </row>
    <row r="8" spans="2:17" ht="15.6" x14ac:dyDescent="0.3">
      <c r="B8" s="49">
        <v>201</v>
      </c>
      <c r="C8" s="140" t="s">
        <v>1199</v>
      </c>
      <c r="D8" s="138"/>
      <c r="E8" s="139"/>
      <c r="F8" s="346"/>
      <c r="G8" s="139"/>
      <c r="H8" s="139"/>
      <c r="I8" s="505"/>
      <c r="J8" s="506"/>
    </row>
    <row r="9" spans="2:17" ht="15.6" x14ac:dyDescent="0.3">
      <c r="B9" s="124" t="s">
        <v>1200</v>
      </c>
      <c r="C9" s="129" t="s">
        <v>266</v>
      </c>
      <c r="D9" s="127" t="s">
        <v>267</v>
      </c>
      <c r="E9" s="125"/>
      <c r="F9" s="347">
        <v>12.21</v>
      </c>
      <c r="G9" s="125" t="s">
        <v>1201</v>
      </c>
      <c r="H9" s="298">
        <v>45450</v>
      </c>
      <c r="I9" s="131" t="s">
        <v>767</v>
      </c>
      <c r="J9" s="131"/>
    </row>
    <row r="10" spans="2:17" ht="15.6" x14ac:dyDescent="0.3">
      <c r="B10" s="145"/>
      <c r="C10" s="150"/>
      <c r="D10" s="146"/>
      <c r="E10" s="147"/>
      <c r="F10" s="349"/>
      <c r="G10" s="147"/>
      <c r="H10" s="298"/>
      <c r="I10" s="319"/>
      <c r="J10" s="319"/>
    </row>
    <row r="11" spans="2:17" s="58" customFormat="1" ht="15.6" x14ac:dyDescent="0.3">
      <c r="B11" s="352"/>
      <c r="C11" s="353" t="s">
        <v>771</v>
      </c>
      <c r="D11" s="354" t="s">
        <v>267</v>
      </c>
      <c r="E11" s="355"/>
      <c r="F11" s="356">
        <f>ROUND(SUM(F9:F10),3)</f>
        <v>12.21</v>
      </c>
      <c r="G11" s="357"/>
      <c r="H11" s="358"/>
      <c r="I11" s="359"/>
      <c r="J11" s="359"/>
      <c r="M11" s="499"/>
      <c r="Q11" s="499"/>
    </row>
    <row r="12" spans="2:17" s="58" customFormat="1" ht="15.6" x14ac:dyDescent="0.3">
      <c r="B12" s="352"/>
      <c r="C12" s="353" t="s">
        <v>772</v>
      </c>
      <c r="D12" s="354" t="s">
        <v>267</v>
      </c>
      <c r="E12" s="355"/>
      <c r="F12" s="356">
        <f>12.21</f>
        <v>12.21</v>
      </c>
      <c r="G12" s="357"/>
      <c r="H12" s="358"/>
      <c r="I12" s="359"/>
      <c r="J12" s="359"/>
      <c r="M12" s="499"/>
      <c r="Q12" s="499"/>
    </row>
    <row r="13" spans="2:17" s="58" customFormat="1" ht="15.6" x14ac:dyDescent="0.3">
      <c r="B13" s="360"/>
      <c r="C13" s="361" t="s">
        <v>773</v>
      </c>
      <c r="D13" s="362" t="s">
        <v>267</v>
      </c>
      <c r="E13" s="363"/>
      <c r="F13" s="364">
        <f>F11-F12</f>
        <v>0</v>
      </c>
      <c r="G13" s="365"/>
      <c r="H13" s="366"/>
      <c r="I13" s="367"/>
      <c r="J13" s="367"/>
      <c r="M13" s="499"/>
      <c r="Q13" s="499"/>
    </row>
    <row r="14" spans="2:17" ht="7.5" customHeight="1" x14ac:dyDescent="0.3">
      <c r="B14" s="338"/>
      <c r="C14" s="142"/>
      <c r="D14" s="143"/>
      <c r="E14" s="144"/>
      <c r="F14" s="345"/>
      <c r="G14" s="144"/>
      <c r="H14" s="144"/>
      <c r="I14" s="515"/>
      <c r="J14" s="514"/>
    </row>
    <row r="15" spans="2:17" ht="15.6" x14ac:dyDescent="0.3">
      <c r="B15" s="145" t="s">
        <v>1202</v>
      </c>
      <c r="C15" s="150" t="s">
        <v>268</v>
      </c>
      <c r="D15" s="146" t="s">
        <v>267</v>
      </c>
      <c r="E15" s="147"/>
      <c r="F15" s="349">
        <v>12.21</v>
      </c>
      <c r="G15" s="147" t="s">
        <v>1203</v>
      </c>
      <c r="H15" s="299">
        <v>45458</v>
      </c>
      <c r="I15" s="319" t="s">
        <v>767</v>
      </c>
      <c r="J15" s="319"/>
    </row>
    <row r="16" spans="2:17" ht="15.6" x14ac:dyDescent="0.3">
      <c r="B16" s="31"/>
      <c r="C16" s="130"/>
      <c r="D16" s="43"/>
      <c r="E16" s="126"/>
      <c r="F16" s="348"/>
      <c r="G16" s="126"/>
      <c r="H16" s="298"/>
      <c r="I16" s="319"/>
      <c r="J16" s="319"/>
    </row>
    <row r="17" spans="2:17" s="58" customFormat="1" ht="15.6" x14ac:dyDescent="0.3">
      <c r="B17" s="352"/>
      <c r="C17" s="353" t="s">
        <v>771</v>
      </c>
      <c r="D17" s="354" t="s">
        <v>267</v>
      </c>
      <c r="E17" s="355"/>
      <c r="F17" s="356">
        <f>ROUND(SUM(F15:F16),3)</f>
        <v>12.21</v>
      </c>
      <c r="G17" s="357"/>
      <c r="H17" s="358"/>
      <c r="I17" s="359"/>
      <c r="J17" s="359"/>
      <c r="M17" s="499"/>
      <c r="Q17" s="499"/>
    </row>
    <row r="18" spans="2:17" s="58" customFormat="1" ht="15.6" x14ac:dyDescent="0.3">
      <c r="B18" s="352"/>
      <c r="C18" s="353" t="s">
        <v>772</v>
      </c>
      <c r="D18" s="354" t="s">
        <v>267</v>
      </c>
      <c r="E18" s="355"/>
      <c r="F18" s="356">
        <f>12.21</f>
        <v>12.21</v>
      </c>
      <c r="G18" s="357"/>
      <c r="H18" s="358"/>
      <c r="I18" s="359"/>
      <c r="J18" s="359"/>
      <c r="M18" s="499"/>
      <c r="Q18" s="499"/>
    </row>
    <row r="19" spans="2:17" s="58" customFormat="1" ht="15.6" x14ac:dyDescent="0.3">
      <c r="B19" s="360"/>
      <c r="C19" s="361" t="s">
        <v>773</v>
      </c>
      <c r="D19" s="362" t="s">
        <v>267</v>
      </c>
      <c r="E19" s="363"/>
      <c r="F19" s="364">
        <f>F17-F18</f>
        <v>0</v>
      </c>
      <c r="G19" s="365"/>
      <c r="H19" s="366"/>
      <c r="I19" s="367"/>
      <c r="J19" s="367"/>
      <c r="M19" s="499"/>
      <c r="Q19" s="499"/>
    </row>
    <row r="20" spans="2:17" ht="7.5" customHeight="1" x14ac:dyDescent="0.3">
      <c r="B20" s="338"/>
      <c r="C20" s="142"/>
      <c r="D20" s="143"/>
      <c r="E20" s="144"/>
      <c r="F20" s="345"/>
      <c r="G20" s="144"/>
      <c r="H20" s="144"/>
      <c r="I20" s="515"/>
      <c r="J20" s="514"/>
    </row>
    <row r="21" spans="2:17" ht="15.6" x14ac:dyDescent="0.3">
      <c r="B21" s="145" t="s">
        <v>1204</v>
      </c>
      <c r="C21" s="150" t="s">
        <v>269</v>
      </c>
      <c r="D21" s="146" t="s">
        <v>267</v>
      </c>
      <c r="E21" s="147"/>
      <c r="F21" s="349">
        <f>5.6</f>
        <v>5.6</v>
      </c>
      <c r="G21" s="302" t="s">
        <v>1205</v>
      </c>
      <c r="H21" s="314">
        <v>45461</v>
      </c>
      <c r="I21" s="306" t="s">
        <v>767</v>
      </c>
      <c r="J21" s="306"/>
    </row>
    <row r="22" spans="2:17" ht="15.6" x14ac:dyDescent="0.3">
      <c r="B22" s="31" t="s">
        <v>1204</v>
      </c>
      <c r="C22" s="130" t="s">
        <v>269</v>
      </c>
      <c r="D22" s="43" t="s">
        <v>267</v>
      </c>
      <c r="E22" s="126"/>
      <c r="F22" s="348">
        <f>12.21-F21</f>
        <v>6.6100000000000012</v>
      </c>
      <c r="G22" s="248" t="s">
        <v>1206</v>
      </c>
      <c r="H22" s="300">
        <v>45462</v>
      </c>
      <c r="I22" s="306" t="s">
        <v>767</v>
      </c>
      <c r="J22" s="306"/>
    </row>
    <row r="23" spans="2:17" ht="15.6" x14ac:dyDescent="0.3">
      <c r="B23" s="31"/>
      <c r="C23" s="130"/>
      <c r="D23" s="43"/>
      <c r="E23" s="126"/>
      <c r="F23" s="348"/>
      <c r="G23" s="248"/>
      <c r="H23" s="300"/>
      <c r="I23" s="306"/>
      <c r="J23" s="306"/>
    </row>
    <row r="24" spans="2:17" s="58" customFormat="1" ht="15.6" x14ac:dyDescent="0.3">
      <c r="B24" s="352"/>
      <c r="C24" s="353" t="s">
        <v>771</v>
      </c>
      <c r="D24" s="354" t="s">
        <v>267</v>
      </c>
      <c r="E24" s="355"/>
      <c r="F24" s="356">
        <f>ROUND(SUM(F21:F23),3)</f>
        <v>12.21</v>
      </c>
      <c r="G24" s="357"/>
      <c r="H24" s="358"/>
      <c r="I24" s="359"/>
      <c r="J24" s="359"/>
      <c r="M24" s="499"/>
      <c r="Q24" s="499"/>
    </row>
    <row r="25" spans="2:17" s="58" customFormat="1" ht="15.6" x14ac:dyDescent="0.3">
      <c r="B25" s="352"/>
      <c r="C25" s="353" t="s">
        <v>772</v>
      </c>
      <c r="D25" s="354" t="s">
        <v>267</v>
      </c>
      <c r="E25" s="355"/>
      <c r="F25" s="356">
        <f>12.21</f>
        <v>12.21</v>
      </c>
      <c r="G25" s="357"/>
      <c r="H25" s="358"/>
      <c r="I25" s="359"/>
      <c r="J25" s="359"/>
      <c r="M25" s="499"/>
      <c r="Q25" s="499"/>
    </row>
    <row r="26" spans="2:17" s="58" customFormat="1" ht="15.6" x14ac:dyDescent="0.3">
      <c r="B26" s="360"/>
      <c r="C26" s="361" t="s">
        <v>773</v>
      </c>
      <c r="D26" s="362" t="s">
        <v>267</v>
      </c>
      <c r="E26" s="363"/>
      <c r="F26" s="364">
        <f>F24-F25</f>
        <v>0</v>
      </c>
      <c r="G26" s="365"/>
      <c r="H26" s="366"/>
      <c r="I26" s="367"/>
      <c r="J26" s="367"/>
      <c r="M26" s="499"/>
      <c r="Q26" s="499"/>
    </row>
    <row r="27" spans="2:17" ht="7.5" customHeight="1" x14ac:dyDescent="0.3">
      <c r="B27" s="338"/>
      <c r="C27" s="142"/>
      <c r="D27" s="143"/>
      <c r="E27" s="144"/>
      <c r="F27" s="345"/>
      <c r="G27" s="144"/>
      <c r="H27" s="144"/>
      <c r="I27" s="515"/>
      <c r="J27" s="514"/>
    </row>
    <row r="28" spans="2:17" ht="31.2" x14ac:dyDescent="0.3">
      <c r="B28" s="145" t="s">
        <v>1207</v>
      </c>
      <c r="C28" s="150" t="s">
        <v>270</v>
      </c>
      <c r="D28" s="146" t="s">
        <v>190</v>
      </c>
      <c r="E28" s="147"/>
      <c r="F28" s="349">
        <v>2</v>
      </c>
      <c r="G28" s="302" t="s">
        <v>1208</v>
      </c>
      <c r="H28" s="314" t="s">
        <v>1209</v>
      </c>
      <c r="I28" s="319" t="s">
        <v>778</v>
      </c>
      <c r="J28" s="319"/>
    </row>
    <row r="29" spans="2:17" ht="46.8" x14ac:dyDescent="0.3">
      <c r="B29" s="31" t="s">
        <v>1207</v>
      </c>
      <c r="C29" s="130" t="s">
        <v>270</v>
      </c>
      <c r="D29" s="43" t="s">
        <v>190</v>
      </c>
      <c r="E29" s="126"/>
      <c r="F29" s="482">
        <v>3</v>
      </c>
      <c r="G29" s="248" t="s">
        <v>1210</v>
      </c>
      <c r="H29" s="300" t="s">
        <v>1211</v>
      </c>
      <c r="I29" s="319" t="s">
        <v>795</v>
      </c>
      <c r="J29" s="319"/>
    </row>
    <row r="30" spans="2:17" ht="15.6" x14ac:dyDescent="0.3">
      <c r="B30" s="31"/>
      <c r="C30" s="130"/>
      <c r="D30" s="43"/>
      <c r="E30" s="126"/>
      <c r="F30" s="348"/>
      <c r="G30" s="126"/>
      <c r="H30" s="298"/>
      <c r="I30" s="319"/>
      <c r="J30" s="319"/>
    </row>
    <row r="31" spans="2:17" s="58" customFormat="1" ht="15.6" x14ac:dyDescent="0.3">
      <c r="B31" s="352"/>
      <c r="C31" s="353" t="s">
        <v>771</v>
      </c>
      <c r="D31" s="354" t="s">
        <v>190</v>
      </c>
      <c r="E31" s="355"/>
      <c r="F31" s="356">
        <f>ROUND(SUM(F28:F30),3)</f>
        <v>5</v>
      </c>
      <c r="G31" s="357"/>
      <c r="H31" s="358"/>
      <c r="I31" s="359"/>
      <c r="J31" s="359"/>
      <c r="M31" s="499"/>
      <c r="Q31" s="499"/>
    </row>
    <row r="32" spans="2:17" s="58" customFormat="1" ht="15.6" x14ac:dyDescent="0.3">
      <c r="B32" s="352"/>
      <c r="C32" s="353" t="s">
        <v>772</v>
      </c>
      <c r="D32" s="354" t="s">
        <v>190</v>
      </c>
      <c r="E32" s="355"/>
      <c r="F32" s="356">
        <v>5</v>
      </c>
      <c r="G32" s="357"/>
      <c r="H32" s="358"/>
      <c r="I32" s="359"/>
      <c r="J32" s="359"/>
      <c r="M32" s="499"/>
      <c r="Q32" s="499"/>
    </row>
    <row r="33" spans="2:17" s="58" customFormat="1" ht="15.6" x14ac:dyDescent="0.3">
      <c r="B33" s="360"/>
      <c r="C33" s="361" t="s">
        <v>773</v>
      </c>
      <c r="D33" s="354" t="s">
        <v>190</v>
      </c>
      <c r="E33" s="363"/>
      <c r="F33" s="364">
        <f>F31-F32</f>
        <v>0</v>
      </c>
      <c r="G33" s="365"/>
      <c r="H33" s="366"/>
      <c r="I33" s="367"/>
      <c r="J33" s="367"/>
      <c r="M33" s="499"/>
      <c r="Q33" s="499"/>
    </row>
    <row r="34" spans="2:17" ht="7.5" customHeight="1" x14ac:dyDescent="0.3">
      <c r="B34" s="338"/>
      <c r="C34" s="142"/>
      <c r="D34" s="143"/>
      <c r="E34" s="144"/>
      <c r="F34" s="345"/>
      <c r="G34" s="144"/>
      <c r="H34" s="144"/>
      <c r="I34" s="515"/>
      <c r="J34" s="514"/>
    </row>
    <row r="35" spans="2:17" ht="15.6" x14ac:dyDescent="0.3">
      <c r="B35" s="49">
        <v>202</v>
      </c>
      <c r="C35" s="140" t="s">
        <v>271</v>
      </c>
      <c r="D35" s="138"/>
      <c r="E35" s="139"/>
      <c r="F35" s="346"/>
      <c r="G35" s="139"/>
      <c r="H35" s="139"/>
      <c r="I35" s="505"/>
      <c r="J35" s="506"/>
    </row>
    <row r="36" spans="2:17" ht="15.6" x14ac:dyDescent="0.3">
      <c r="B36" s="124" t="s">
        <v>1212</v>
      </c>
      <c r="C36" s="129" t="s">
        <v>1213</v>
      </c>
      <c r="D36" s="127" t="s">
        <v>267</v>
      </c>
      <c r="E36" s="125"/>
      <c r="F36" s="347">
        <v>12.21</v>
      </c>
      <c r="G36" s="125" t="s">
        <v>1214</v>
      </c>
      <c r="H36" s="320">
        <v>45455</v>
      </c>
      <c r="I36" s="131" t="s">
        <v>767</v>
      </c>
      <c r="J36" s="131"/>
    </row>
    <row r="37" spans="2:17" ht="15.6" x14ac:dyDescent="0.3">
      <c r="B37" s="145"/>
      <c r="C37" s="150"/>
      <c r="D37" s="146"/>
      <c r="E37" s="147"/>
      <c r="F37" s="349"/>
      <c r="G37" s="147"/>
      <c r="H37" s="299"/>
      <c r="I37" s="319"/>
      <c r="J37" s="319"/>
    </row>
    <row r="38" spans="2:17" s="58" customFormat="1" ht="15.6" x14ac:dyDescent="0.3">
      <c r="B38" s="352"/>
      <c r="C38" s="353" t="s">
        <v>771</v>
      </c>
      <c r="D38" s="354" t="s">
        <v>267</v>
      </c>
      <c r="E38" s="355"/>
      <c r="F38" s="356">
        <f>ROUND(SUM(F36:F37),3)</f>
        <v>12.21</v>
      </c>
      <c r="G38" s="357"/>
      <c r="H38" s="358"/>
      <c r="I38" s="359"/>
      <c r="J38" s="359"/>
      <c r="M38" s="499"/>
      <c r="Q38" s="499"/>
    </row>
    <row r="39" spans="2:17" s="58" customFormat="1" ht="15.6" x14ac:dyDescent="0.3">
      <c r="B39" s="352"/>
      <c r="C39" s="353" t="s">
        <v>772</v>
      </c>
      <c r="D39" s="354" t="s">
        <v>267</v>
      </c>
      <c r="E39" s="355"/>
      <c r="F39" s="356">
        <v>12.21</v>
      </c>
      <c r="G39" s="357"/>
      <c r="H39" s="358"/>
      <c r="I39" s="359"/>
      <c r="J39" s="359"/>
      <c r="M39" s="499"/>
      <c r="Q39" s="499"/>
    </row>
    <row r="40" spans="2:17" s="58" customFormat="1" ht="15.6" x14ac:dyDescent="0.3">
      <c r="B40" s="360"/>
      <c r="C40" s="361" t="s">
        <v>773</v>
      </c>
      <c r="D40" s="362" t="s">
        <v>267</v>
      </c>
      <c r="E40" s="363"/>
      <c r="F40" s="364">
        <f>F38-F39</f>
        <v>0</v>
      </c>
      <c r="G40" s="365"/>
      <c r="H40" s="366"/>
      <c r="I40" s="367"/>
      <c r="J40" s="367"/>
      <c r="M40" s="499"/>
      <c r="Q40" s="499"/>
    </row>
    <row r="41" spans="2:17" ht="7.5" customHeight="1" x14ac:dyDescent="0.3">
      <c r="B41" s="124"/>
      <c r="C41" s="142"/>
      <c r="D41" s="143"/>
      <c r="E41" s="144"/>
      <c r="F41" s="345"/>
      <c r="G41" s="144"/>
      <c r="H41" s="144"/>
      <c r="I41" s="513"/>
      <c r="J41" s="514"/>
    </row>
    <row r="42" spans="2:17" ht="31.2" x14ac:dyDescent="0.3">
      <c r="B42" s="124" t="s">
        <v>1215</v>
      </c>
      <c r="C42" s="129" t="s">
        <v>1216</v>
      </c>
      <c r="D42" s="127" t="s">
        <v>267</v>
      </c>
      <c r="E42" s="125"/>
      <c r="F42" s="480">
        <v>12.21</v>
      </c>
      <c r="G42" s="296" t="s">
        <v>1217</v>
      </c>
      <c r="H42" s="320">
        <v>45516</v>
      </c>
      <c r="I42" s="131" t="s">
        <v>795</v>
      </c>
      <c r="J42" s="131"/>
    </row>
    <row r="43" spans="2:17" ht="15.6" x14ac:dyDescent="0.3">
      <c r="B43" s="145"/>
      <c r="C43" s="150"/>
      <c r="D43" s="146"/>
      <c r="E43" s="147"/>
      <c r="F43" s="349"/>
      <c r="G43" s="147"/>
      <c r="H43" s="299"/>
      <c r="I43" s="319"/>
      <c r="J43" s="319"/>
    </row>
    <row r="44" spans="2:17" s="58" customFormat="1" ht="15.6" x14ac:dyDescent="0.3">
      <c r="B44" s="352"/>
      <c r="C44" s="353" t="s">
        <v>771</v>
      </c>
      <c r="D44" s="354" t="s">
        <v>267</v>
      </c>
      <c r="E44" s="355"/>
      <c r="F44" s="356">
        <f>ROUND(SUM(F42:F43),3)</f>
        <v>12.21</v>
      </c>
      <c r="G44" s="357"/>
      <c r="H44" s="358"/>
      <c r="I44" s="359"/>
      <c r="J44" s="359"/>
      <c r="M44" s="499"/>
      <c r="Q44" s="499"/>
    </row>
    <row r="45" spans="2:17" s="58" customFormat="1" ht="15.6" x14ac:dyDescent="0.3">
      <c r="B45" s="352"/>
      <c r="C45" s="353" t="s">
        <v>772</v>
      </c>
      <c r="D45" s="354" t="s">
        <v>267</v>
      </c>
      <c r="E45" s="355"/>
      <c r="F45" s="356">
        <v>12.21</v>
      </c>
      <c r="G45" s="357"/>
      <c r="H45" s="358"/>
      <c r="I45" s="359"/>
      <c r="J45" s="359"/>
      <c r="M45" s="499"/>
      <c r="Q45" s="499"/>
    </row>
    <row r="46" spans="2:17" s="58" customFormat="1" ht="15.6" x14ac:dyDescent="0.3">
      <c r="B46" s="360"/>
      <c r="C46" s="361" t="s">
        <v>773</v>
      </c>
      <c r="D46" s="362" t="s">
        <v>267</v>
      </c>
      <c r="E46" s="363"/>
      <c r="F46" s="364">
        <f>F44-F45</f>
        <v>0</v>
      </c>
      <c r="G46" s="365"/>
      <c r="H46" s="366"/>
      <c r="I46" s="367"/>
      <c r="J46" s="367"/>
      <c r="M46" s="499"/>
      <c r="Q46" s="499"/>
    </row>
    <row r="47" spans="2:17" ht="7.5" customHeight="1" x14ac:dyDescent="0.3">
      <c r="B47" s="338"/>
      <c r="C47" s="142"/>
      <c r="D47" s="143"/>
      <c r="E47" s="144"/>
      <c r="F47" s="345"/>
      <c r="G47" s="144"/>
      <c r="H47" s="144"/>
      <c r="I47" s="515"/>
      <c r="J47" s="514"/>
    </row>
    <row r="48" spans="2:17" ht="15.6" x14ac:dyDescent="0.3">
      <c r="B48" s="145" t="s">
        <v>1218</v>
      </c>
      <c r="C48" s="150" t="s">
        <v>1219</v>
      </c>
      <c r="D48" s="146" t="s">
        <v>190</v>
      </c>
      <c r="E48" s="147"/>
      <c r="F48" s="349">
        <v>2</v>
      </c>
      <c r="G48" s="147" t="s">
        <v>1220</v>
      </c>
      <c r="H48" s="299">
        <v>45450</v>
      </c>
      <c r="I48" s="319" t="s">
        <v>767</v>
      </c>
      <c r="J48" s="319"/>
    </row>
    <row r="49" spans="2:10" ht="15.6" x14ac:dyDescent="0.3">
      <c r="B49" s="31" t="s">
        <v>1218</v>
      </c>
      <c r="C49" s="130" t="s">
        <v>1219</v>
      </c>
      <c r="D49" s="43" t="s">
        <v>190</v>
      </c>
      <c r="E49" s="147"/>
      <c r="F49" s="349">
        <v>3</v>
      </c>
      <c r="G49" s="248" t="s">
        <v>1221</v>
      </c>
      <c r="H49" s="298">
        <v>45451</v>
      </c>
      <c r="I49" s="306" t="s">
        <v>767</v>
      </c>
      <c r="J49" s="306"/>
    </row>
    <row r="50" spans="2:10" ht="15.6" x14ac:dyDescent="0.3">
      <c r="B50" s="31" t="s">
        <v>1218</v>
      </c>
      <c r="C50" s="130" t="s">
        <v>1219</v>
      </c>
      <c r="D50" s="43" t="s">
        <v>190</v>
      </c>
      <c r="E50" s="147"/>
      <c r="F50" s="349">
        <v>4</v>
      </c>
      <c r="G50" s="248" t="s">
        <v>1222</v>
      </c>
      <c r="H50" s="298">
        <v>45453</v>
      </c>
      <c r="I50" s="306" t="s">
        <v>767</v>
      </c>
      <c r="J50" s="306"/>
    </row>
    <row r="51" spans="2:10" ht="15.6" x14ac:dyDescent="0.3">
      <c r="B51" s="31" t="s">
        <v>1218</v>
      </c>
      <c r="C51" s="130" t="s">
        <v>1219</v>
      </c>
      <c r="D51" s="43" t="s">
        <v>190</v>
      </c>
      <c r="E51" s="147"/>
      <c r="F51" s="349">
        <v>1</v>
      </c>
      <c r="G51" s="248" t="s">
        <v>1223</v>
      </c>
      <c r="H51" s="298">
        <v>45454</v>
      </c>
      <c r="I51" s="306" t="s">
        <v>767</v>
      </c>
      <c r="J51" s="306"/>
    </row>
    <row r="52" spans="2:10" ht="15.6" x14ac:dyDescent="0.3">
      <c r="B52" s="31" t="s">
        <v>1218</v>
      </c>
      <c r="C52" s="130" t="s">
        <v>1219</v>
      </c>
      <c r="D52" s="43" t="s">
        <v>190</v>
      </c>
      <c r="E52" s="147"/>
      <c r="F52" s="349">
        <v>5</v>
      </c>
      <c r="G52" s="248" t="s">
        <v>1224</v>
      </c>
      <c r="H52" s="298">
        <v>45455</v>
      </c>
      <c r="I52" s="306" t="s">
        <v>767</v>
      </c>
      <c r="J52" s="306"/>
    </row>
    <row r="53" spans="2:10" ht="15.6" x14ac:dyDescent="0.3">
      <c r="B53" s="31" t="s">
        <v>1218</v>
      </c>
      <c r="C53" s="130" t="s">
        <v>1219</v>
      </c>
      <c r="D53" s="43" t="s">
        <v>190</v>
      </c>
      <c r="E53" s="147"/>
      <c r="F53" s="349">
        <v>5</v>
      </c>
      <c r="G53" s="248" t="s">
        <v>1225</v>
      </c>
      <c r="H53" s="298">
        <v>45456</v>
      </c>
      <c r="I53" s="306" t="s">
        <v>767</v>
      </c>
      <c r="J53" s="306"/>
    </row>
    <row r="54" spans="2:10" ht="15.6" x14ac:dyDescent="0.3">
      <c r="B54" s="31" t="s">
        <v>1218</v>
      </c>
      <c r="C54" s="130" t="s">
        <v>1219</v>
      </c>
      <c r="D54" s="43" t="s">
        <v>190</v>
      </c>
      <c r="E54" s="147"/>
      <c r="F54" s="349">
        <v>5</v>
      </c>
      <c r="G54" s="248" t="s">
        <v>1226</v>
      </c>
      <c r="H54" s="298">
        <v>45457</v>
      </c>
      <c r="I54" s="306" t="s">
        <v>767</v>
      </c>
      <c r="J54" s="306"/>
    </row>
    <row r="55" spans="2:10" ht="15.6" x14ac:dyDescent="0.3">
      <c r="B55" s="31" t="s">
        <v>1218</v>
      </c>
      <c r="C55" s="130" t="s">
        <v>1219</v>
      </c>
      <c r="D55" s="43" t="s">
        <v>190</v>
      </c>
      <c r="E55" s="147"/>
      <c r="F55" s="349">
        <v>5</v>
      </c>
      <c r="G55" s="248" t="s">
        <v>1227</v>
      </c>
      <c r="H55" s="298">
        <v>45458</v>
      </c>
      <c r="I55" s="306" t="s">
        <v>767</v>
      </c>
      <c r="J55" s="306"/>
    </row>
    <row r="56" spans="2:10" ht="15.6" x14ac:dyDescent="0.3">
      <c r="B56" s="31" t="s">
        <v>1218</v>
      </c>
      <c r="C56" s="130" t="s">
        <v>1219</v>
      </c>
      <c r="D56" s="43" t="s">
        <v>190</v>
      </c>
      <c r="E56" s="147"/>
      <c r="F56" s="349">
        <v>2</v>
      </c>
      <c r="G56" s="248" t="s">
        <v>1228</v>
      </c>
      <c r="H56" s="298">
        <v>45460</v>
      </c>
      <c r="I56" s="306" t="s">
        <v>767</v>
      </c>
      <c r="J56" s="306"/>
    </row>
    <row r="57" spans="2:10" ht="15.6" x14ac:dyDescent="0.3">
      <c r="B57" s="31" t="s">
        <v>1218</v>
      </c>
      <c r="C57" s="130" t="s">
        <v>1219</v>
      </c>
      <c r="D57" s="43" t="s">
        <v>190</v>
      </c>
      <c r="E57" s="147"/>
      <c r="F57" s="349">
        <v>2</v>
      </c>
      <c r="G57" s="248" t="s">
        <v>1229</v>
      </c>
      <c r="H57" s="298">
        <v>45461</v>
      </c>
      <c r="I57" s="306" t="s">
        <v>767</v>
      </c>
      <c r="J57" s="306"/>
    </row>
    <row r="58" spans="2:10" ht="15.6" x14ac:dyDescent="0.3">
      <c r="B58" s="31" t="s">
        <v>1218</v>
      </c>
      <c r="C58" s="130" t="s">
        <v>1219</v>
      </c>
      <c r="D58" s="43" t="s">
        <v>190</v>
      </c>
      <c r="E58" s="147"/>
      <c r="F58" s="349">
        <v>2</v>
      </c>
      <c r="G58" s="248" t="s">
        <v>1230</v>
      </c>
      <c r="H58" s="298">
        <v>45462</v>
      </c>
      <c r="I58" s="306" t="s">
        <v>767</v>
      </c>
      <c r="J58" s="306"/>
    </row>
    <row r="59" spans="2:10" ht="15.6" x14ac:dyDescent="0.3">
      <c r="B59" s="31" t="s">
        <v>1218</v>
      </c>
      <c r="C59" s="130" t="s">
        <v>1219</v>
      </c>
      <c r="D59" s="43" t="s">
        <v>190</v>
      </c>
      <c r="E59" s="147"/>
      <c r="F59" s="349">
        <v>2</v>
      </c>
      <c r="G59" s="248" t="s">
        <v>1231</v>
      </c>
      <c r="H59" s="298">
        <v>45463</v>
      </c>
      <c r="I59" s="306" t="s">
        <v>767</v>
      </c>
      <c r="J59" s="306"/>
    </row>
    <row r="60" spans="2:10" ht="15.6" x14ac:dyDescent="0.3">
      <c r="B60" s="31" t="s">
        <v>1218</v>
      </c>
      <c r="C60" s="130" t="s">
        <v>1219</v>
      </c>
      <c r="D60" s="43" t="s">
        <v>190</v>
      </c>
      <c r="E60" s="147"/>
      <c r="F60" s="349">
        <v>2</v>
      </c>
      <c r="G60" s="248" t="s">
        <v>1232</v>
      </c>
      <c r="H60" s="298">
        <v>45464</v>
      </c>
      <c r="I60" s="306" t="s">
        <v>767</v>
      </c>
      <c r="J60" s="306"/>
    </row>
    <row r="61" spans="2:10" ht="15.6" x14ac:dyDescent="0.3">
      <c r="B61" s="31" t="s">
        <v>1218</v>
      </c>
      <c r="C61" s="130" t="s">
        <v>1219</v>
      </c>
      <c r="D61" s="43" t="s">
        <v>190</v>
      </c>
      <c r="E61" s="147"/>
      <c r="F61" s="349">
        <v>4</v>
      </c>
      <c r="G61" s="248" t="s">
        <v>1233</v>
      </c>
      <c r="H61" s="298">
        <v>45465</v>
      </c>
      <c r="I61" s="306" t="s">
        <v>767</v>
      </c>
      <c r="J61" s="306"/>
    </row>
    <row r="62" spans="2:10" ht="15.6" x14ac:dyDescent="0.3">
      <c r="B62" s="31" t="s">
        <v>1218</v>
      </c>
      <c r="C62" s="130" t="s">
        <v>1219</v>
      </c>
      <c r="D62" s="43" t="s">
        <v>190</v>
      </c>
      <c r="E62" s="147"/>
      <c r="F62" s="349">
        <v>2</v>
      </c>
      <c r="G62" s="248" t="s">
        <v>1234</v>
      </c>
      <c r="H62" s="298">
        <v>45467</v>
      </c>
      <c r="I62" s="306" t="s">
        <v>767</v>
      </c>
      <c r="J62" s="306"/>
    </row>
    <row r="63" spans="2:10" ht="15.6" x14ac:dyDescent="0.3">
      <c r="B63" s="31" t="s">
        <v>1218</v>
      </c>
      <c r="C63" s="130" t="s">
        <v>1219</v>
      </c>
      <c r="D63" s="43" t="s">
        <v>190</v>
      </c>
      <c r="E63" s="147"/>
      <c r="F63" s="349">
        <v>1</v>
      </c>
      <c r="G63" s="248" t="s">
        <v>1235</v>
      </c>
      <c r="H63" s="298">
        <v>45468</v>
      </c>
      <c r="I63" s="306" t="s">
        <v>767</v>
      </c>
      <c r="J63" s="306"/>
    </row>
    <row r="64" spans="2:10" ht="15.6" x14ac:dyDescent="0.3">
      <c r="B64" s="31" t="s">
        <v>1218</v>
      </c>
      <c r="C64" s="130" t="s">
        <v>1219</v>
      </c>
      <c r="D64" s="43" t="s">
        <v>190</v>
      </c>
      <c r="E64" s="147"/>
      <c r="F64" s="349">
        <v>5</v>
      </c>
      <c r="G64" s="248" t="s">
        <v>1236</v>
      </c>
      <c r="H64" s="298">
        <v>45469</v>
      </c>
      <c r="I64" s="306" t="s">
        <v>767</v>
      </c>
      <c r="J64" s="306"/>
    </row>
    <row r="65" spans="2:17" ht="15.6" x14ac:dyDescent="0.3">
      <c r="B65" s="31" t="s">
        <v>1218</v>
      </c>
      <c r="C65" s="130" t="s">
        <v>1219</v>
      </c>
      <c r="D65" s="43" t="s">
        <v>190</v>
      </c>
      <c r="E65" s="147"/>
      <c r="F65" s="349">
        <v>2</v>
      </c>
      <c r="G65" s="248" t="s">
        <v>1237</v>
      </c>
      <c r="H65" s="298">
        <v>45470</v>
      </c>
      <c r="I65" s="306" t="s">
        <v>767</v>
      </c>
      <c r="J65" s="306"/>
    </row>
    <row r="66" spans="2:17" ht="15.6" x14ac:dyDescent="0.3">
      <c r="B66" s="31" t="s">
        <v>1218</v>
      </c>
      <c r="C66" s="130" t="s">
        <v>1219</v>
      </c>
      <c r="D66" s="43" t="s">
        <v>190</v>
      </c>
      <c r="E66" s="147"/>
      <c r="F66" s="349">
        <v>6</v>
      </c>
      <c r="G66" s="248" t="s">
        <v>1238</v>
      </c>
      <c r="H66" s="298">
        <v>45471</v>
      </c>
      <c r="I66" s="306" t="s">
        <v>767</v>
      </c>
      <c r="J66" s="306"/>
    </row>
    <row r="67" spans="2:17" ht="15.6" x14ac:dyDescent="0.3">
      <c r="B67" s="31" t="s">
        <v>1218</v>
      </c>
      <c r="C67" s="130" t="s">
        <v>1219</v>
      </c>
      <c r="D67" s="43" t="s">
        <v>190</v>
      </c>
      <c r="E67" s="147"/>
      <c r="F67" s="349">
        <v>6</v>
      </c>
      <c r="G67" s="248" t="s">
        <v>1239</v>
      </c>
      <c r="H67" s="298">
        <v>45472</v>
      </c>
      <c r="I67" s="306" t="s">
        <v>767</v>
      </c>
      <c r="J67" s="306"/>
    </row>
    <row r="68" spans="2:17" ht="15.6" x14ac:dyDescent="0.3">
      <c r="B68" s="31" t="s">
        <v>1218</v>
      </c>
      <c r="C68" s="130" t="s">
        <v>1219</v>
      </c>
      <c r="D68" s="43" t="s">
        <v>190</v>
      </c>
      <c r="E68" s="147"/>
      <c r="F68" s="349">
        <v>5</v>
      </c>
      <c r="G68" s="248" t="s">
        <v>1240</v>
      </c>
      <c r="H68" s="298">
        <v>45472</v>
      </c>
      <c r="I68" s="306" t="s">
        <v>767</v>
      </c>
      <c r="J68" s="306"/>
    </row>
    <row r="69" spans="2:17" ht="15.6" x14ac:dyDescent="0.3">
      <c r="B69" s="31" t="s">
        <v>1218</v>
      </c>
      <c r="C69" s="130" t="s">
        <v>1219</v>
      </c>
      <c r="D69" s="43" t="s">
        <v>190</v>
      </c>
      <c r="E69" s="147"/>
      <c r="F69" s="349">
        <v>25</v>
      </c>
      <c r="G69" s="248" t="s">
        <v>1241</v>
      </c>
      <c r="H69" s="298">
        <v>45504</v>
      </c>
      <c r="I69" s="306" t="s">
        <v>778</v>
      </c>
      <c r="J69" s="306"/>
    </row>
    <row r="70" spans="2:17" ht="15.6" x14ac:dyDescent="0.3">
      <c r="B70" s="31"/>
      <c r="C70" s="130"/>
      <c r="D70" s="43"/>
      <c r="E70" s="147"/>
      <c r="F70" s="349"/>
      <c r="G70" s="248"/>
      <c r="H70" s="298"/>
      <c r="I70" s="306"/>
      <c r="J70" s="306"/>
    </row>
    <row r="71" spans="2:17" s="58" customFormat="1" ht="15.6" x14ac:dyDescent="0.3">
      <c r="B71" s="352"/>
      <c r="C71" s="353" t="s">
        <v>771</v>
      </c>
      <c r="D71" s="354" t="s">
        <v>190</v>
      </c>
      <c r="E71" s="355"/>
      <c r="F71" s="356">
        <f>ROUND(SUM(F48:F70),3)</f>
        <v>96</v>
      </c>
      <c r="G71" s="357"/>
      <c r="H71" s="358"/>
      <c r="I71" s="359"/>
      <c r="J71" s="359"/>
      <c r="M71" s="499"/>
      <c r="Q71" s="499"/>
    </row>
    <row r="72" spans="2:17" s="58" customFormat="1" ht="15.6" x14ac:dyDescent="0.3">
      <c r="B72" s="352"/>
      <c r="C72" s="353" t="s">
        <v>772</v>
      </c>
      <c r="D72" s="354" t="s">
        <v>190</v>
      </c>
      <c r="E72" s="355"/>
      <c r="F72" s="356">
        <v>96</v>
      </c>
      <c r="G72" s="357"/>
      <c r="H72" s="358"/>
      <c r="I72" s="359"/>
      <c r="J72" s="359"/>
      <c r="M72" s="499"/>
      <c r="Q72" s="499"/>
    </row>
    <row r="73" spans="2:17" s="58" customFormat="1" ht="15.6" x14ac:dyDescent="0.3">
      <c r="B73" s="360"/>
      <c r="C73" s="361" t="s">
        <v>773</v>
      </c>
      <c r="D73" s="362" t="s">
        <v>190</v>
      </c>
      <c r="E73" s="363"/>
      <c r="F73" s="364">
        <f>F71-F72</f>
        <v>0</v>
      </c>
      <c r="G73" s="365"/>
      <c r="H73" s="366"/>
      <c r="I73" s="367"/>
      <c r="J73" s="367"/>
      <c r="M73" s="499"/>
      <c r="Q73" s="499"/>
    </row>
    <row r="74" spans="2:17" ht="7.5" customHeight="1" x14ac:dyDescent="0.3">
      <c r="B74" s="124"/>
      <c r="C74" s="142"/>
      <c r="D74" s="143"/>
      <c r="E74" s="144"/>
      <c r="F74" s="345"/>
      <c r="G74" s="144"/>
      <c r="H74" s="144"/>
      <c r="I74" s="513"/>
      <c r="J74" s="514"/>
    </row>
    <row r="75" spans="2:17" ht="15.6" x14ac:dyDescent="0.3">
      <c r="B75" s="124" t="s">
        <v>1242</v>
      </c>
      <c r="C75" s="129" t="s">
        <v>1243</v>
      </c>
      <c r="D75" s="127" t="s">
        <v>190</v>
      </c>
      <c r="E75" s="125"/>
      <c r="F75" s="480">
        <v>9</v>
      </c>
      <c r="G75" s="125" t="s">
        <v>1244</v>
      </c>
      <c r="H75" s="320">
        <v>45593</v>
      </c>
      <c r="I75" s="131" t="s">
        <v>898</v>
      </c>
      <c r="J75" s="131" t="s">
        <v>1245</v>
      </c>
    </row>
    <row r="76" spans="2:17" ht="15.6" x14ac:dyDescent="0.3">
      <c r="B76" s="145" t="s">
        <v>1242</v>
      </c>
      <c r="C76" s="150" t="s">
        <v>1243</v>
      </c>
      <c r="D76" s="146" t="s">
        <v>190</v>
      </c>
      <c r="E76" s="147"/>
      <c r="F76" s="483">
        <v>7</v>
      </c>
      <c r="G76" s="147" t="s">
        <v>1246</v>
      </c>
      <c r="H76" s="299">
        <v>45608</v>
      </c>
      <c r="I76" s="319" t="s">
        <v>898</v>
      </c>
      <c r="J76" s="319" t="s">
        <v>1247</v>
      </c>
    </row>
    <row r="77" spans="2:17" ht="15.6" x14ac:dyDescent="0.3">
      <c r="B77" s="145" t="s">
        <v>1242</v>
      </c>
      <c r="C77" s="150" t="s">
        <v>1243</v>
      </c>
      <c r="D77" s="146" t="s">
        <v>190</v>
      </c>
      <c r="E77" s="147"/>
      <c r="F77" s="483">
        <v>10</v>
      </c>
      <c r="G77" s="147" t="s">
        <v>1248</v>
      </c>
      <c r="H77" s="299">
        <v>45611</v>
      </c>
      <c r="I77" s="319" t="s">
        <v>898</v>
      </c>
      <c r="J77" s="306" t="s">
        <v>1249</v>
      </c>
    </row>
    <row r="78" spans="2:17" ht="15.6" x14ac:dyDescent="0.3">
      <c r="B78" s="145" t="s">
        <v>1242</v>
      </c>
      <c r="C78" s="150" t="s">
        <v>1243</v>
      </c>
      <c r="D78" s="146" t="s">
        <v>190</v>
      </c>
      <c r="E78" s="147"/>
      <c r="F78" s="483">
        <v>1</v>
      </c>
      <c r="G78" s="147" t="s">
        <v>1246</v>
      </c>
      <c r="H78" s="299">
        <v>45608</v>
      </c>
      <c r="I78" s="319" t="s">
        <v>1250</v>
      </c>
      <c r="J78" s="319" t="s">
        <v>1247</v>
      </c>
    </row>
    <row r="79" spans="2:17" ht="15.6" x14ac:dyDescent="0.3">
      <c r="B79" s="145" t="s">
        <v>1242</v>
      </c>
      <c r="C79" s="150" t="s">
        <v>1243</v>
      </c>
      <c r="D79" s="146" t="s">
        <v>190</v>
      </c>
      <c r="E79" s="147"/>
      <c r="F79" s="483">
        <v>4</v>
      </c>
      <c r="G79" s="147" t="s">
        <v>1251</v>
      </c>
      <c r="H79" s="299">
        <v>45629</v>
      </c>
      <c r="I79" s="319" t="s">
        <v>1250</v>
      </c>
      <c r="J79" s="306" t="s">
        <v>1252</v>
      </c>
    </row>
    <row r="80" spans="2:17" ht="15.6" x14ac:dyDescent="0.3">
      <c r="B80" s="145" t="s">
        <v>1242</v>
      </c>
      <c r="C80" s="150" t="s">
        <v>1243</v>
      </c>
      <c r="D80" s="146" t="s">
        <v>190</v>
      </c>
      <c r="E80" s="147"/>
      <c r="F80" s="483">
        <v>4</v>
      </c>
      <c r="G80" s="147" t="s">
        <v>1253</v>
      </c>
      <c r="H80" s="299">
        <v>45636</v>
      </c>
      <c r="I80" s="319" t="s">
        <v>1250</v>
      </c>
      <c r="J80" s="306" t="s">
        <v>1254</v>
      </c>
    </row>
    <row r="81" spans="2:17" ht="15.6" x14ac:dyDescent="0.3">
      <c r="B81" s="145" t="s">
        <v>1242</v>
      </c>
      <c r="C81" s="150" t="s">
        <v>1243</v>
      </c>
      <c r="D81" s="146" t="s">
        <v>190</v>
      </c>
      <c r="E81" s="147"/>
      <c r="F81" s="483">
        <v>26</v>
      </c>
      <c r="G81" s="147" t="s">
        <v>1255</v>
      </c>
      <c r="H81" s="299">
        <v>45660</v>
      </c>
      <c r="I81" s="319" t="s">
        <v>1250</v>
      </c>
      <c r="J81" s="306" t="s">
        <v>307</v>
      </c>
    </row>
    <row r="82" spans="2:17" ht="15.6" x14ac:dyDescent="0.3">
      <c r="B82" s="145" t="s">
        <v>1242</v>
      </c>
      <c r="C82" s="150" t="s">
        <v>1243</v>
      </c>
      <c r="D82" s="146" t="s">
        <v>190</v>
      </c>
      <c r="E82" s="147"/>
      <c r="F82" s="483">
        <v>2</v>
      </c>
      <c r="G82" s="147" t="s">
        <v>1256</v>
      </c>
      <c r="H82" s="299">
        <v>45815</v>
      </c>
      <c r="I82" s="319" t="s">
        <v>937</v>
      </c>
      <c r="J82" s="306" t="s">
        <v>1257</v>
      </c>
    </row>
    <row r="83" spans="2:17" ht="15.6" x14ac:dyDescent="0.3">
      <c r="B83" s="145" t="s">
        <v>1242</v>
      </c>
      <c r="C83" s="150" t="s">
        <v>1243</v>
      </c>
      <c r="D83" s="146" t="s">
        <v>190</v>
      </c>
      <c r="E83" s="147"/>
      <c r="F83" s="483">
        <v>4</v>
      </c>
      <c r="G83" s="147" t="s">
        <v>1248</v>
      </c>
      <c r="H83" s="299">
        <v>45611</v>
      </c>
      <c r="I83" s="319" t="s">
        <v>937</v>
      </c>
      <c r="J83" s="306" t="s">
        <v>1258</v>
      </c>
    </row>
    <row r="84" spans="2:17" ht="31.2" x14ac:dyDescent="0.3">
      <c r="B84" s="145" t="s">
        <v>1242</v>
      </c>
      <c r="C84" s="150" t="s">
        <v>1243</v>
      </c>
      <c r="D84" s="146" t="s">
        <v>190</v>
      </c>
      <c r="E84" s="147"/>
      <c r="F84" s="483">
        <v>17</v>
      </c>
      <c r="G84" s="302" t="s">
        <v>1259</v>
      </c>
      <c r="H84" s="314">
        <v>45815</v>
      </c>
      <c r="I84" s="319" t="s">
        <v>937</v>
      </c>
      <c r="J84" s="306" t="s">
        <v>303</v>
      </c>
    </row>
    <row r="85" spans="2:17" ht="15.6" x14ac:dyDescent="0.3">
      <c r="B85" s="145" t="s">
        <v>1242</v>
      </c>
      <c r="C85" s="150" t="s">
        <v>1243</v>
      </c>
      <c r="D85" s="146" t="s">
        <v>190</v>
      </c>
      <c r="E85" s="147"/>
      <c r="F85" s="483">
        <v>4</v>
      </c>
      <c r="G85" s="302" t="s">
        <v>1260</v>
      </c>
      <c r="H85" s="314" t="s">
        <v>1261</v>
      </c>
      <c r="I85" s="319" t="s">
        <v>1262</v>
      </c>
      <c r="J85" s="306" t="s">
        <v>1263</v>
      </c>
    </row>
    <row r="86" spans="2:17" ht="15.6" x14ac:dyDescent="0.3">
      <c r="B86" s="145" t="s">
        <v>1242</v>
      </c>
      <c r="C86" s="150" t="s">
        <v>1243</v>
      </c>
      <c r="D86" s="146" t="s">
        <v>190</v>
      </c>
      <c r="E86" s="147"/>
      <c r="F86" s="483">
        <v>2</v>
      </c>
      <c r="G86" s="302" t="s">
        <v>1264</v>
      </c>
      <c r="H86" s="314" t="s">
        <v>1265</v>
      </c>
      <c r="I86" s="319" t="s">
        <v>1262</v>
      </c>
      <c r="J86" s="306" t="s">
        <v>1263</v>
      </c>
    </row>
    <row r="87" spans="2:17" ht="31.2" x14ac:dyDescent="0.3">
      <c r="B87" s="145" t="s">
        <v>1242</v>
      </c>
      <c r="C87" s="150" t="s">
        <v>1243</v>
      </c>
      <c r="D87" s="146" t="s">
        <v>190</v>
      </c>
      <c r="E87" s="147"/>
      <c r="F87" s="483">
        <v>6</v>
      </c>
      <c r="G87" s="594" t="s">
        <v>1266</v>
      </c>
      <c r="H87" s="783" t="s">
        <v>1267</v>
      </c>
      <c r="I87" s="319" t="s">
        <v>1262</v>
      </c>
      <c r="J87" s="306" t="s">
        <v>303</v>
      </c>
    </row>
    <row r="88" spans="2:17" ht="15.6" x14ac:dyDescent="0.3">
      <c r="B88" s="145"/>
      <c r="C88" s="150"/>
      <c r="D88" s="146"/>
      <c r="E88" s="147"/>
      <c r="F88" s="483"/>
      <c r="G88" s="147"/>
      <c r="H88" s="299"/>
      <c r="I88" s="319"/>
      <c r="J88" s="319"/>
    </row>
    <row r="89" spans="2:17" s="58" customFormat="1" ht="15.6" x14ac:dyDescent="0.3">
      <c r="B89" s="352"/>
      <c r="C89" s="353" t="s">
        <v>771</v>
      </c>
      <c r="D89" s="354" t="s">
        <v>190</v>
      </c>
      <c r="E89" s="355"/>
      <c r="F89" s="356">
        <f>ROUND(SUM(F75:F88),3)</f>
        <v>96</v>
      </c>
      <c r="G89" s="357"/>
      <c r="H89" s="358"/>
      <c r="I89" s="359"/>
      <c r="J89" s="359"/>
      <c r="M89" s="499"/>
      <c r="Q89" s="499"/>
    </row>
    <row r="90" spans="2:17" s="58" customFormat="1" ht="15.6" x14ac:dyDescent="0.3">
      <c r="B90" s="352"/>
      <c r="C90" s="353" t="s">
        <v>772</v>
      </c>
      <c r="D90" s="354" t="s">
        <v>190</v>
      </c>
      <c r="E90" s="355"/>
      <c r="F90" s="356">
        <v>96</v>
      </c>
      <c r="G90" s="357"/>
      <c r="H90" s="358"/>
      <c r="I90" s="359"/>
      <c r="J90" s="359"/>
      <c r="M90" s="499"/>
      <c r="Q90" s="499"/>
    </row>
    <row r="91" spans="2:17" s="58" customFormat="1" ht="15.6" x14ac:dyDescent="0.3">
      <c r="B91" s="360"/>
      <c r="C91" s="361" t="s">
        <v>773</v>
      </c>
      <c r="D91" s="354" t="s">
        <v>190</v>
      </c>
      <c r="E91" s="363"/>
      <c r="F91" s="364">
        <f>F89-F90</f>
        <v>0</v>
      </c>
      <c r="G91" s="365"/>
      <c r="H91" s="366"/>
      <c r="I91" s="367"/>
      <c r="J91" s="367"/>
      <c r="M91" s="499"/>
      <c r="Q91" s="499"/>
    </row>
    <row r="92" spans="2:17" ht="7.5" customHeight="1" x14ac:dyDescent="0.3">
      <c r="B92" s="338"/>
      <c r="C92" s="142"/>
      <c r="D92" s="143"/>
      <c r="E92" s="144"/>
      <c r="F92" s="345"/>
      <c r="G92" s="144"/>
      <c r="H92" s="144"/>
      <c r="I92" s="515"/>
      <c r="J92" s="514"/>
    </row>
    <row r="93" spans="2:17" ht="15.6" x14ac:dyDescent="0.3">
      <c r="B93" s="124" t="s">
        <v>1268</v>
      </c>
      <c r="C93" s="129" t="s">
        <v>1269</v>
      </c>
      <c r="D93" s="127" t="s">
        <v>188</v>
      </c>
      <c r="E93" s="125"/>
      <c r="F93" s="480">
        <v>1</v>
      </c>
      <c r="G93" s="125" t="s">
        <v>1270</v>
      </c>
      <c r="H93" s="320">
        <v>45546</v>
      </c>
      <c r="I93" s="131" t="s">
        <v>797</v>
      </c>
      <c r="J93" s="131"/>
    </row>
    <row r="94" spans="2:17" ht="15.6" x14ac:dyDescent="0.3">
      <c r="B94" s="145"/>
      <c r="C94" s="150"/>
      <c r="D94" s="146"/>
      <c r="E94" s="147"/>
      <c r="F94" s="349"/>
      <c r="G94" s="147"/>
      <c r="H94" s="299"/>
      <c r="I94" s="319"/>
      <c r="J94" s="319"/>
    </row>
    <row r="95" spans="2:17" s="58" customFormat="1" ht="15.6" x14ac:dyDescent="0.3">
      <c r="B95" s="352"/>
      <c r="C95" s="353" t="s">
        <v>771</v>
      </c>
      <c r="D95" s="354" t="s">
        <v>188</v>
      </c>
      <c r="E95" s="355"/>
      <c r="F95" s="356">
        <f>ROUND(SUM(F93:F94),3)</f>
        <v>1</v>
      </c>
      <c r="G95" s="357"/>
      <c r="H95" s="358"/>
      <c r="I95" s="359"/>
      <c r="J95" s="359"/>
      <c r="M95" s="499"/>
      <c r="Q95" s="499"/>
    </row>
    <row r="96" spans="2:17" s="58" customFormat="1" ht="15.6" x14ac:dyDescent="0.3">
      <c r="B96" s="352"/>
      <c r="C96" s="353" t="s">
        <v>772</v>
      </c>
      <c r="D96" s="354" t="s">
        <v>188</v>
      </c>
      <c r="E96" s="355"/>
      <c r="F96" s="356">
        <v>1</v>
      </c>
      <c r="G96" s="357"/>
      <c r="H96" s="358"/>
      <c r="I96" s="359"/>
      <c r="J96" s="359"/>
      <c r="M96" s="499"/>
      <c r="Q96" s="499"/>
    </row>
    <row r="97" spans="2:17" s="58" customFormat="1" ht="15.6" x14ac:dyDescent="0.3">
      <c r="B97" s="360"/>
      <c r="C97" s="361" t="s">
        <v>773</v>
      </c>
      <c r="D97" s="354" t="s">
        <v>188</v>
      </c>
      <c r="E97" s="363"/>
      <c r="F97" s="364">
        <f>F95-F96</f>
        <v>0</v>
      </c>
      <c r="G97" s="365"/>
      <c r="H97" s="366"/>
      <c r="I97" s="367"/>
      <c r="J97" s="367"/>
      <c r="M97" s="499"/>
      <c r="Q97" s="499"/>
    </row>
    <row r="98" spans="2:17" ht="7.5" customHeight="1" x14ac:dyDescent="0.3">
      <c r="B98" s="338"/>
      <c r="C98" s="142"/>
      <c r="D98" s="143"/>
      <c r="E98" s="144"/>
      <c r="F98" s="345"/>
      <c r="G98" s="144"/>
      <c r="H98" s="144"/>
      <c r="I98" s="515"/>
      <c r="J98" s="514"/>
    </row>
    <row r="99" spans="2:17" ht="15.6" x14ac:dyDescent="0.3">
      <c r="B99" s="148">
        <v>203</v>
      </c>
      <c r="C99" s="149" t="s">
        <v>277</v>
      </c>
      <c r="D99" s="138"/>
      <c r="E99" s="139"/>
      <c r="F99" s="346"/>
      <c r="G99" s="139"/>
      <c r="H99" s="139"/>
      <c r="I99" s="516"/>
      <c r="J99" s="506"/>
    </row>
    <row r="100" spans="2:17" ht="15.6" x14ac:dyDescent="0.3">
      <c r="B100" s="145" t="s">
        <v>1271</v>
      </c>
      <c r="C100" s="150" t="s">
        <v>1272</v>
      </c>
      <c r="D100" s="146" t="s">
        <v>267</v>
      </c>
      <c r="E100" s="147"/>
      <c r="F100" s="483">
        <v>7.3140000000000001</v>
      </c>
      <c r="G100" s="147" t="s">
        <v>1273</v>
      </c>
      <c r="H100" s="299">
        <v>45534</v>
      </c>
      <c r="I100" s="319" t="s">
        <v>795</v>
      </c>
      <c r="J100" s="319"/>
    </row>
    <row r="101" spans="2:17" ht="15.6" x14ac:dyDescent="0.3">
      <c r="B101" s="145"/>
      <c r="C101" s="150"/>
      <c r="D101" s="146"/>
      <c r="E101" s="147"/>
      <c r="F101" s="483"/>
      <c r="G101" s="147"/>
      <c r="H101" s="298"/>
      <c r="I101" s="151"/>
      <c r="J101" s="151"/>
    </row>
    <row r="102" spans="2:17" s="58" customFormat="1" ht="15.6" x14ac:dyDescent="0.3">
      <c r="B102" s="352"/>
      <c r="C102" s="353" t="s">
        <v>771</v>
      </c>
      <c r="D102" s="354" t="s">
        <v>267</v>
      </c>
      <c r="E102" s="355"/>
      <c r="F102" s="356">
        <f>ROUND(SUM(F100:F101),3)</f>
        <v>7.3140000000000001</v>
      </c>
      <c r="G102" s="357"/>
      <c r="H102" s="358"/>
      <c r="I102" s="359"/>
      <c r="J102" s="359"/>
      <c r="M102" s="499"/>
      <c r="Q102" s="499"/>
    </row>
    <row r="103" spans="2:17" s="58" customFormat="1" ht="15.6" x14ac:dyDescent="0.3">
      <c r="B103" s="352"/>
      <c r="C103" s="353" t="s">
        <v>772</v>
      </c>
      <c r="D103" s="354" t="s">
        <v>267</v>
      </c>
      <c r="E103" s="355"/>
      <c r="F103" s="356">
        <v>7.3140000000000001</v>
      </c>
      <c r="G103" s="357"/>
      <c r="H103" s="358"/>
      <c r="I103" s="359"/>
      <c r="J103" s="359"/>
      <c r="M103" s="499"/>
      <c r="Q103" s="499"/>
    </row>
    <row r="104" spans="2:17" s="58" customFormat="1" ht="15.6" x14ac:dyDescent="0.3">
      <c r="B104" s="360"/>
      <c r="C104" s="361" t="s">
        <v>773</v>
      </c>
      <c r="D104" s="354" t="s">
        <v>267</v>
      </c>
      <c r="E104" s="363"/>
      <c r="F104" s="364">
        <f>F102-F103</f>
        <v>0</v>
      </c>
      <c r="G104" s="365"/>
      <c r="H104" s="366"/>
      <c r="I104" s="367"/>
      <c r="J104" s="367"/>
      <c r="M104" s="499"/>
      <c r="Q104" s="499"/>
    </row>
    <row r="105" spans="2:17" ht="7.5" customHeight="1" x14ac:dyDescent="0.3">
      <c r="B105" s="338"/>
      <c r="C105" s="142"/>
      <c r="D105" s="143"/>
      <c r="E105" s="144"/>
      <c r="F105" s="345"/>
      <c r="G105" s="144"/>
      <c r="H105" s="144"/>
      <c r="I105" s="515"/>
      <c r="J105" s="514"/>
    </row>
    <row r="106" spans="2:17" ht="15.6" x14ac:dyDescent="0.3">
      <c r="B106" s="145" t="s">
        <v>1274</v>
      </c>
      <c r="C106" s="150" t="s">
        <v>1275</v>
      </c>
      <c r="D106" s="146" t="s">
        <v>267</v>
      </c>
      <c r="E106" s="147"/>
      <c r="F106" s="483">
        <f>7.314-(2*0.012+1*0.036)-Q113</f>
        <v>5.3210000000000006</v>
      </c>
      <c r="G106" s="147" t="s">
        <v>1276</v>
      </c>
      <c r="H106" s="298">
        <v>45565</v>
      </c>
      <c r="I106" s="151" t="s">
        <v>797</v>
      </c>
      <c r="J106" s="151"/>
      <c r="K106" s="132">
        <v>0</v>
      </c>
      <c r="L106" s="132">
        <v>5392</v>
      </c>
      <c r="M106" s="339">
        <f>(L106-K106)/1000</f>
        <v>5.3920000000000003</v>
      </c>
      <c r="O106" s="132">
        <v>800</v>
      </c>
      <c r="P106" s="132">
        <v>1300</v>
      </c>
      <c r="Q106" s="339">
        <f t="shared" ref="Q106" si="0">(P106-O106)/1000</f>
        <v>0.5</v>
      </c>
    </row>
    <row r="107" spans="2:17" ht="30.6" customHeight="1" x14ac:dyDescent="0.3">
      <c r="B107" s="145" t="s">
        <v>1274</v>
      </c>
      <c r="C107" s="150" t="s">
        <v>1275</v>
      </c>
      <c r="D107" s="146" t="s">
        <v>267</v>
      </c>
      <c r="E107" s="147"/>
      <c r="F107" s="483">
        <v>1.9930000000000001</v>
      </c>
      <c r="G107" s="302" t="s">
        <v>1277</v>
      </c>
      <c r="H107" s="300" t="s">
        <v>1278</v>
      </c>
      <c r="I107" s="151" t="s">
        <v>898</v>
      </c>
      <c r="J107" s="151"/>
      <c r="K107" s="132">
        <v>9424</v>
      </c>
      <c r="L107" s="132">
        <v>10217</v>
      </c>
      <c r="M107" s="339">
        <f>(L107-K107)/1000</f>
        <v>0.79300000000000004</v>
      </c>
      <c r="O107" s="132">
        <v>2600</v>
      </c>
      <c r="P107" s="132">
        <v>3052</v>
      </c>
      <c r="Q107" s="339">
        <f>(P107-O107)/1000</f>
        <v>0.45200000000000001</v>
      </c>
    </row>
    <row r="108" spans="2:17" ht="15.6" x14ac:dyDescent="0.3">
      <c r="B108" s="145"/>
      <c r="C108" s="150"/>
      <c r="D108" s="146"/>
      <c r="E108" s="147"/>
      <c r="F108" s="483"/>
      <c r="G108" s="147"/>
      <c r="H108" s="298"/>
      <c r="I108" s="151"/>
      <c r="J108" s="151"/>
      <c r="K108" s="132">
        <v>10325</v>
      </c>
      <c r="L108" s="132">
        <v>10600</v>
      </c>
      <c r="M108" s="339">
        <f>(L108-K108)/1000</f>
        <v>0.27500000000000002</v>
      </c>
      <c r="N108" s="58"/>
      <c r="O108" s="132">
        <v>4220</v>
      </c>
      <c r="P108" s="132">
        <v>4480</v>
      </c>
      <c r="Q108" s="339">
        <f>(P108-O108)/1000</f>
        <v>0.26</v>
      </c>
    </row>
    <row r="109" spans="2:17" s="58" customFormat="1" ht="15.6" x14ac:dyDescent="0.3">
      <c r="B109" s="352"/>
      <c r="C109" s="353" t="s">
        <v>771</v>
      </c>
      <c r="D109" s="354" t="s">
        <v>267</v>
      </c>
      <c r="E109" s="355"/>
      <c r="F109" s="356">
        <f>ROUND(SUM(F106:F108),3)</f>
        <v>7.3140000000000001</v>
      </c>
      <c r="G109" s="357"/>
      <c r="H109" s="358"/>
      <c r="I109" s="359"/>
      <c r="J109" s="359"/>
      <c r="K109" s="132">
        <v>11356</v>
      </c>
      <c r="L109" s="132">
        <v>12210</v>
      </c>
      <c r="M109" s="339">
        <f>(L109-K109)/1000</f>
        <v>0.85399999999999998</v>
      </c>
      <c r="O109" s="132">
        <v>4515</v>
      </c>
      <c r="P109" s="132">
        <v>4750</v>
      </c>
      <c r="Q109" s="339">
        <f>(P109-O109)/1000</f>
        <v>0.23499999999999999</v>
      </c>
    </row>
    <row r="110" spans="2:17" s="58" customFormat="1" ht="15.6" x14ac:dyDescent="0.3">
      <c r="B110" s="352"/>
      <c r="C110" s="353" t="s">
        <v>772</v>
      </c>
      <c r="D110" s="354" t="s">
        <v>267</v>
      </c>
      <c r="E110" s="355"/>
      <c r="F110" s="356">
        <v>7.3140000000000001</v>
      </c>
      <c r="G110" s="357"/>
      <c r="H110" s="358"/>
      <c r="I110" s="359"/>
      <c r="J110" s="359"/>
      <c r="M110" s="499">
        <f>SUM(M106:M109)</f>
        <v>7.3140000000000009</v>
      </c>
      <c r="O110" s="132">
        <v>4750</v>
      </c>
      <c r="P110" s="132">
        <v>4780</v>
      </c>
      <c r="Q110" s="339">
        <f>(P110-O110)/1000</f>
        <v>0.03</v>
      </c>
    </row>
    <row r="111" spans="2:17" s="58" customFormat="1" ht="15.6" x14ac:dyDescent="0.3">
      <c r="B111" s="360"/>
      <c r="C111" s="361" t="s">
        <v>773</v>
      </c>
      <c r="D111" s="354" t="s">
        <v>267</v>
      </c>
      <c r="E111" s="363"/>
      <c r="F111" s="364">
        <f>F109-F110</f>
        <v>0</v>
      </c>
      <c r="G111" s="365"/>
      <c r="H111" s="366"/>
      <c r="I111" s="367"/>
      <c r="J111" s="367"/>
      <c r="K111" s="132"/>
      <c r="L111" s="132"/>
      <c r="M111" s="339"/>
      <c r="N111" s="132"/>
      <c r="O111" s="132">
        <v>9424</v>
      </c>
      <c r="P111" s="132">
        <v>9880</v>
      </c>
      <c r="Q111" s="339">
        <f>(P111-O111)/1000</f>
        <v>0.45600000000000002</v>
      </c>
    </row>
    <row r="112" spans="2:17" ht="7.5" customHeight="1" x14ac:dyDescent="0.3">
      <c r="B112" s="338"/>
      <c r="C112" s="142"/>
      <c r="D112" s="143"/>
      <c r="E112" s="144"/>
      <c r="F112" s="345"/>
      <c r="G112" s="144"/>
      <c r="H112" s="144"/>
      <c r="I112" s="515"/>
      <c r="J112" s="514"/>
    </row>
    <row r="113" spans="2:17" ht="15.6" x14ac:dyDescent="0.3">
      <c r="B113" s="145" t="s">
        <v>1279</v>
      </c>
      <c r="C113" s="150" t="s">
        <v>1280</v>
      </c>
      <c r="D113" s="146" t="s">
        <v>267</v>
      </c>
      <c r="E113" s="147"/>
      <c r="F113" s="483">
        <v>5.2</v>
      </c>
      <c r="G113" s="147" t="s">
        <v>1281</v>
      </c>
      <c r="H113" s="299">
        <v>45982</v>
      </c>
      <c r="I113" s="319" t="s">
        <v>1282</v>
      </c>
      <c r="J113" s="319"/>
      <c r="Q113" s="339">
        <f>SUM(Q106:Q111)</f>
        <v>1.9330000000000001</v>
      </c>
    </row>
    <row r="114" spans="2:17" ht="15.6" x14ac:dyDescent="0.3">
      <c r="B114" s="145"/>
      <c r="C114" s="150"/>
      <c r="D114" s="146"/>
      <c r="E114" s="147"/>
      <c r="F114" s="483"/>
      <c r="G114" s="147"/>
      <c r="H114" s="298"/>
      <c r="I114" s="151"/>
      <c r="J114" s="151"/>
    </row>
    <row r="115" spans="2:17" s="58" customFormat="1" ht="15.6" x14ac:dyDescent="0.3">
      <c r="B115" s="352"/>
      <c r="C115" s="353" t="s">
        <v>771</v>
      </c>
      <c r="D115" s="354" t="s">
        <v>267</v>
      </c>
      <c r="E115" s="355"/>
      <c r="F115" s="356">
        <f>ROUND(SUM(F113:F114),3)</f>
        <v>5.2</v>
      </c>
      <c r="G115" s="357"/>
      <c r="H115" s="358"/>
      <c r="I115" s="359"/>
      <c r="J115" s="359"/>
      <c r="M115" s="499"/>
      <c r="Q115" s="499"/>
    </row>
    <row r="116" spans="2:17" s="58" customFormat="1" ht="15.6" x14ac:dyDescent="0.3">
      <c r="B116" s="352"/>
      <c r="C116" s="353" t="s">
        <v>772</v>
      </c>
      <c r="D116" s="354" t="s">
        <v>267</v>
      </c>
      <c r="E116" s="355"/>
      <c r="F116" s="356">
        <v>5.2</v>
      </c>
      <c r="G116" s="357"/>
      <c r="H116" s="358"/>
      <c r="I116" s="359"/>
      <c r="J116" s="359"/>
      <c r="M116" s="499"/>
      <c r="Q116" s="499"/>
    </row>
    <row r="117" spans="2:17" s="58" customFormat="1" ht="15.6" x14ac:dyDescent="0.3">
      <c r="B117" s="360"/>
      <c r="C117" s="361" t="s">
        <v>773</v>
      </c>
      <c r="D117" s="989" t="s">
        <v>267</v>
      </c>
      <c r="E117" s="363"/>
      <c r="F117" s="364">
        <f>F115-F116</f>
        <v>0</v>
      </c>
      <c r="G117" s="365"/>
      <c r="H117" s="366"/>
      <c r="I117" s="367"/>
      <c r="J117" s="367"/>
      <c r="M117" s="499"/>
      <c r="Q117" s="499"/>
    </row>
    <row r="118" spans="2:17" ht="7.5" customHeight="1" x14ac:dyDescent="0.3">
      <c r="B118" s="338"/>
      <c r="C118" s="142"/>
      <c r="D118" s="143"/>
      <c r="E118" s="144"/>
      <c r="F118" s="345"/>
      <c r="G118" s="144"/>
      <c r="H118" s="144"/>
      <c r="I118" s="515"/>
      <c r="J118" s="514"/>
    </row>
    <row r="119" spans="2:17" ht="15.6" x14ac:dyDescent="0.3">
      <c r="B119" s="145" t="s">
        <v>1283</v>
      </c>
      <c r="C119" s="150" t="s">
        <v>1284</v>
      </c>
      <c r="D119" s="127" t="s">
        <v>267</v>
      </c>
      <c r="E119" s="147"/>
      <c r="F119" s="483">
        <v>1</v>
      </c>
      <c r="G119" s="147" t="s">
        <v>1285</v>
      </c>
      <c r="H119" s="299">
        <v>46112</v>
      </c>
      <c r="I119" s="319" t="s">
        <v>946</v>
      </c>
      <c r="J119" s="319" t="s">
        <v>1286</v>
      </c>
      <c r="Q119" s="339">
        <f>SUM(Q111:Q116)</f>
        <v>2.3890000000000002</v>
      </c>
    </row>
    <row r="120" spans="2:17" ht="46.8" x14ac:dyDescent="0.3">
      <c r="B120" s="145" t="s">
        <v>1283</v>
      </c>
      <c r="C120" s="150" t="s">
        <v>1284</v>
      </c>
      <c r="D120" s="146" t="s">
        <v>267</v>
      </c>
      <c r="E120" s="147"/>
      <c r="F120" s="483">
        <v>4.2</v>
      </c>
      <c r="G120" s="302" t="s">
        <v>1287</v>
      </c>
      <c r="H120" s="314" t="s">
        <v>1288</v>
      </c>
      <c r="I120" s="319" t="s">
        <v>946</v>
      </c>
      <c r="J120" s="306" t="s">
        <v>1289</v>
      </c>
    </row>
    <row r="121" spans="2:17" ht="15.6" x14ac:dyDescent="0.3">
      <c r="B121" s="145"/>
      <c r="C121" s="150"/>
      <c r="D121" s="146"/>
      <c r="E121" s="147"/>
      <c r="F121" s="483"/>
      <c r="G121" s="147"/>
      <c r="H121" s="298"/>
      <c r="I121" s="151"/>
      <c r="J121" s="151"/>
    </row>
    <row r="122" spans="2:17" s="58" customFormat="1" ht="15.6" x14ac:dyDescent="0.3">
      <c r="B122" s="352"/>
      <c r="C122" s="353" t="s">
        <v>771</v>
      </c>
      <c r="D122" s="354" t="s">
        <v>267</v>
      </c>
      <c r="E122" s="355"/>
      <c r="F122" s="356">
        <f>ROUND(SUM(F119:F121),3)</f>
        <v>5.2</v>
      </c>
      <c r="G122" s="357"/>
      <c r="H122" s="358"/>
      <c r="I122" s="359"/>
      <c r="J122" s="359"/>
      <c r="M122" s="499"/>
      <c r="Q122" s="499"/>
    </row>
    <row r="123" spans="2:17" s="58" customFormat="1" ht="15.6" x14ac:dyDescent="0.3">
      <c r="B123" s="352"/>
      <c r="C123" s="353" t="s">
        <v>772</v>
      </c>
      <c r="D123" s="354" t="s">
        <v>267</v>
      </c>
      <c r="E123" s="355"/>
      <c r="F123" s="356">
        <v>5.2</v>
      </c>
      <c r="G123" s="357"/>
      <c r="H123" s="358"/>
      <c r="I123" s="359"/>
      <c r="J123" s="359"/>
      <c r="M123" s="499"/>
      <c r="Q123" s="499"/>
    </row>
    <row r="124" spans="2:17" s="58" customFormat="1" ht="15.6" x14ac:dyDescent="0.3">
      <c r="B124" s="360"/>
      <c r="C124" s="361" t="s">
        <v>773</v>
      </c>
      <c r="D124" s="354" t="s">
        <v>267</v>
      </c>
      <c r="E124" s="363"/>
      <c r="F124" s="364">
        <f>F122-F123</f>
        <v>0</v>
      </c>
      <c r="G124" s="365"/>
      <c r="H124" s="366"/>
      <c r="I124" s="367"/>
      <c r="J124" s="367"/>
      <c r="M124" s="499"/>
      <c r="Q124" s="499"/>
    </row>
    <row r="125" spans="2:17" ht="7.5" customHeight="1" x14ac:dyDescent="0.3">
      <c r="B125" s="338"/>
      <c r="C125" s="142"/>
      <c r="D125" s="143"/>
      <c r="E125" s="144"/>
      <c r="F125" s="345"/>
      <c r="G125" s="144"/>
      <c r="H125" s="144"/>
      <c r="I125" s="515"/>
      <c r="J125" s="514"/>
    </row>
    <row r="126" spans="2:17" ht="15.6" x14ac:dyDescent="0.3">
      <c r="B126" s="145" t="s">
        <v>1290</v>
      </c>
      <c r="C126" s="150" t="s">
        <v>1291</v>
      </c>
      <c r="D126" s="146" t="s">
        <v>267</v>
      </c>
      <c r="E126" s="147"/>
      <c r="F126" s="483">
        <v>0.68</v>
      </c>
      <c r="G126" s="489" t="s">
        <v>1292</v>
      </c>
      <c r="H126" s="299">
        <v>45603</v>
      </c>
      <c r="I126" s="319" t="s">
        <v>931</v>
      </c>
      <c r="J126" s="319"/>
    </row>
    <row r="127" spans="2:17" ht="15.6" x14ac:dyDescent="0.3">
      <c r="B127" s="145"/>
      <c r="C127" s="150"/>
      <c r="D127" s="146"/>
      <c r="E127" s="147"/>
      <c r="F127" s="483"/>
      <c r="G127" s="147"/>
      <c r="H127" s="298"/>
      <c r="I127" s="151"/>
      <c r="J127" s="151"/>
      <c r="O127" s="1048">
        <v>300</v>
      </c>
      <c r="P127" s="1048">
        <v>800</v>
      </c>
      <c r="Q127" s="1048">
        <f>P127-O127</f>
        <v>500</v>
      </c>
    </row>
    <row r="128" spans="2:17" s="58" customFormat="1" ht="15.6" x14ac:dyDescent="0.3">
      <c r="B128" s="352"/>
      <c r="C128" s="353" t="s">
        <v>771</v>
      </c>
      <c r="D128" s="354" t="s">
        <v>267</v>
      </c>
      <c r="E128" s="355"/>
      <c r="F128" s="356">
        <f>ROUND(SUM(F126:F127),3)</f>
        <v>0.68</v>
      </c>
      <c r="G128" s="357"/>
      <c r="H128" s="358"/>
      <c r="I128" s="359"/>
      <c r="J128" s="359"/>
      <c r="O128" s="1048">
        <v>950</v>
      </c>
      <c r="P128" s="1048">
        <v>1130</v>
      </c>
      <c r="Q128" s="1048">
        <f t="shared" ref="Q128:Q129" si="1">P128-O128</f>
        <v>180</v>
      </c>
    </row>
    <row r="129" spans="2:17" s="58" customFormat="1" ht="15.6" x14ac:dyDescent="0.3">
      <c r="B129" s="352"/>
      <c r="C129" s="353" t="s">
        <v>772</v>
      </c>
      <c r="D129" s="354" t="s">
        <v>267</v>
      </c>
      <c r="E129" s="355"/>
      <c r="F129" s="356">
        <v>0.68</v>
      </c>
      <c r="G129" s="357"/>
      <c r="H129" s="358"/>
      <c r="I129" s="359"/>
      <c r="J129" s="359"/>
      <c r="M129" s="499"/>
      <c r="O129" s="1047">
        <v>800</v>
      </c>
      <c r="P129" s="1047">
        <v>950</v>
      </c>
      <c r="Q129" s="1048">
        <f t="shared" si="1"/>
        <v>150</v>
      </c>
    </row>
    <row r="130" spans="2:17" s="58" customFormat="1" ht="15.6" x14ac:dyDescent="0.3">
      <c r="B130" s="360"/>
      <c r="C130" s="361" t="s">
        <v>773</v>
      </c>
      <c r="D130" s="354" t="s">
        <v>267</v>
      </c>
      <c r="E130" s="363"/>
      <c r="F130" s="364">
        <f>F128-F129</f>
        <v>0</v>
      </c>
      <c r="G130" s="365"/>
      <c r="H130" s="366"/>
      <c r="I130" s="367"/>
      <c r="J130" s="367"/>
      <c r="M130" s="499"/>
      <c r="O130" s="1047"/>
      <c r="P130" s="1047"/>
      <c r="Q130" s="1047">
        <f>SUM(Q127:Q129)</f>
        <v>830</v>
      </c>
    </row>
    <row r="131" spans="2:17" ht="7.5" customHeight="1" x14ac:dyDescent="0.3">
      <c r="B131" s="338"/>
      <c r="C131" s="142"/>
      <c r="D131" s="143"/>
      <c r="E131" s="144"/>
      <c r="F131" s="345"/>
      <c r="G131" s="144"/>
      <c r="H131" s="144"/>
      <c r="I131" s="515"/>
      <c r="J131" s="514"/>
      <c r="Q131" s="132"/>
    </row>
    <row r="132" spans="2:17" ht="15.6" x14ac:dyDescent="0.3">
      <c r="B132" s="145" t="s">
        <v>1293</v>
      </c>
      <c r="C132" s="150" t="s">
        <v>1294</v>
      </c>
      <c r="D132" s="146" t="s">
        <v>267</v>
      </c>
      <c r="E132" s="147"/>
      <c r="F132" s="483">
        <v>0.68</v>
      </c>
      <c r="G132" s="147" t="s">
        <v>1295</v>
      </c>
      <c r="H132" s="299">
        <v>45654</v>
      </c>
      <c r="I132" s="319" t="s">
        <v>931</v>
      </c>
      <c r="J132" s="319"/>
      <c r="Q132" s="132"/>
    </row>
    <row r="133" spans="2:17" ht="15.6" x14ac:dyDescent="0.3">
      <c r="B133" s="145"/>
      <c r="C133" s="150"/>
      <c r="D133" s="146"/>
      <c r="E133" s="147"/>
      <c r="F133" s="483"/>
      <c r="G133" s="147"/>
      <c r="H133" s="298"/>
      <c r="I133" s="151"/>
      <c r="J133" s="151"/>
    </row>
    <row r="134" spans="2:17" s="58" customFormat="1" ht="15.6" x14ac:dyDescent="0.3">
      <c r="B134" s="352"/>
      <c r="C134" s="353" t="s">
        <v>771</v>
      </c>
      <c r="D134" s="354" t="s">
        <v>267</v>
      </c>
      <c r="E134" s="355"/>
      <c r="F134" s="356">
        <f>ROUND(SUM(F132:F133),3)</f>
        <v>0.68</v>
      </c>
      <c r="G134" s="357"/>
      <c r="H134" s="358"/>
      <c r="I134" s="359"/>
      <c r="J134" s="359"/>
      <c r="M134" s="499"/>
      <c r="Q134" s="499"/>
    </row>
    <row r="135" spans="2:17" s="58" customFormat="1" ht="15.6" x14ac:dyDescent="0.3">
      <c r="B135" s="352"/>
      <c r="C135" s="353" t="s">
        <v>772</v>
      </c>
      <c r="D135" s="354" t="s">
        <v>267</v>
      </c>
      <c r="E135" s="355"/>
      <c r="F135" s="356">
        <v>0.68</v>
      </c>
      <c r="G135" s="357"/>
      <c r="H135" s="358"/>
      <c r="I135" s="359"/>
      <c r="J135" s="359"/>
      <c r="M135" s="499"/>
      <c r="Q135" s="499"/>
    </row>
    <row r="136" spans="2:17" s="58" customFormat="1" ht="15.6" x14ac:dyDescent="0.3">
      <c r="B136" s="360"/>
      <c r="C136" s="361" t="s">
        <v>773</v>
      </c>
      <c r="D136" s="354" t="s">
        <v>267</v>
      </c>
      <c r="E136" s="363"/>
      <c r="F136" s="364">
        <f>F134-F135</f>
        <v>0</v>
      </c>
      <c r="G136" s="365"/>
      <c r="H136" s="366"/>
      <c r="I136" s="367"/>
      <c r="J136" s="367"/>
      <c r="M136" s="499"/>
      <c r="Q136" s="499"/>
    </row>
    <row r="137" spans="2:17" ht="7.5" customHeight="1" x14ac:dyDescent="0.3">
      <c r="B137" s="338"/>
      <c r="C137" s="142"/>
      <c r="D137" s="143"/>
      <c r="E137" s="144"/>
      <c r="F137" s="345"/>
      <c r="G137" s="144"/>
      <c r="H137" s="144"/>
      <c r="I137" s="515"/>
      <c r="J137" s="514"/>
    </row>
    <row r="138" spans="2:17" ht="15.6" x14ac:dyDescent="0.3">
      <c r="B138" s="145" t="s">
        <v>1296</v>
      </c>
      <c r="C138" s="150" t="s">
        <v>1297</v>
      </c>
      <c r="D138" s="146" t="s">
        <v>190</v>
      </c>
      <c r="E138" s="147"/>
      <c r="F138" s="483">
        <v>2</v>
      </c>
      <c r="G138" s="489" t="s">
        <v>1298</v>
      </c>
      <c r="H138" s="298">
        <v>45535</v>
      </c>
      <c r="I138" s="151" t="s">
        <v>795</v>
      </c>
      <c r="J138" s="151"/>
    </row>
    <row r="139" spans="2:17" ht="15.6" x14ac:dyDescent="0.3">
      <c r="B139" s="145"/>
      <c r="C139" s="150"/>
      <c r="D139" s="146"/>
      <c r="E139" s="147"/>
      <c r="F139" s="349"/>
      <c r="G139" s="147"/>
      <c r="H139" s="298"/>
      <c r="I139" s="151"/>
      <c r="J139" s="151"/>
    </row>
    <row r="140" spans="2:17" s="58" customFormat="1" ht="15.6" x14ac:dyDescent="0.3">
      <c r="B140" s="352"/>
      <c r="C140" s="353" t="s">
        <v>771</v>
      </c>
      <c r="D140" s="354" t="s">
        <v>190</v>
      </c>
      <c r="E140" s="355"/>
      <c r="F140" s="356">
        <f>ROUND(SUM(F138:F139),3)</f>
        <v>2</v>
      </c>
      <c r="G140" s="357"/>
      <c r="H140" s="358"/>
      <c r="I140" s="359"/>
      <c r="J140" s="359"/>
      <c r="M140" s="499"/>
      <c r="Q140" s="499"/>
    </row>
    <row r="141" spans="2:17" s="58" customFormat="1" ht="15.6" x14ac:dyDescent="0.3">
      <c r="B141" s="352"/>
      <c r="C141" s="353" t="s">
        <v>772</v>
      </c>
      <c r="D141" s="354" t="s">
        <v>190</v>
      </c>
      <c r="E141" s="355"/>
      <c r="F141" s="356">
        <v>2</v>
      </c>
      <c r="G141" s="357"/>
      <c r="H141" s="358"/>
      <c r="I141" s="359"/>
      <c r="J141" s="359"/>
      <c r="M141" s="499"/>
      <c r="Q141" s="499"/>
    </row>
    <row r="142" spans="2:17" s="58" customFormat="1" ht="15.6" x14ac:dyDescent="0.3">
      <c r="B142" s="360"/>
      <c r="C142" s="361" t="s">
        <v>773</v>
      </c>
      <c r="D142" s="354" t="s">
        <v>190</v>
      </c>
      <c r="E142" s="363"/>
      <c r="F142" s="364">
        <f>F140-F141</f>
        <v>0</v>
      </c>
      <c r="G142" s="365"/>
      <c r="H142" s="366"/>
      <c r="I142" s="367"/>
      <c r="J142" s="367"/>
      <c r="M142" s="499"/>
      <c r="Q142" s="499"/>
    </row>
    <row r="143" spans="2:17" ht="7.5" customHeight="1" x14ac:dyDescent="0.3">
      <c r="B143" s="338"/>
      <c r="C143" s="142"/>
      <c r="D143" s="143"/>
      <c r="E143" s="144"/>
      <c r="F143" s="345"/>
      <c r="G143" s="144"/>
      <c r="H143" s="144"/>
      <c r="I143" s="515"/>
      <c r="J143" s="514"/>
    </row>
    <row r="144" spans="2:17" ht="15.6" x14ac:dyDescent="0.3">
      <c r="B144" s="145" t="s">
        <v>1299</v>
      </c>
      <c r="C144" s="150" t="s">
        <v>1300</v>
      </c>
      <c r="D144" s="146" t="s">
        <v>190</v>
      </c>
      <c r="E144" s="147"/>
      <c r="F144" s="483">
        <v>2</v>
      </c>
      <c r="G144" s="489" t="s">
        <v>1301</v>
      </c>
      <c r="H144" s="298">
        <v>45763</v>
      </c>
      <c r="I144" s="151" t="s">
        <v>1302</v>
      </c>
      <c r="J144" s="151"/>
    </row>
    <row r="145" spans="2:17" ht="15.6" x14ac:dyDescent="0.3">
      <c r="B145" s="145"/>
      <c r="C145" s="150"/>
      <c r="D145" s="146"/>
      <c r="E145" s="147"/>
      <c r="F145" s="483"/>
      <c r="G145" s="147"/>
      <c r="H145" s="298"/>
      <c r="I145" s="151"/>
      <c r="J145" s="151"/>
    </row>
    <row r="146" spans="2:17" s="58" customFormat="1" ht="15.6" x14ac:dyDescent="0.3">
      <c r="B146" s="352"/>
      <c r="C146" s="353" t="s">
        <v>771</v>
      </c>
      <c r="D146" s="354" t="s">
        <v>190</v>
      </c>
      <c r="E146" s="355"/>
      <c r="F146" s="356">
        <f>ROUND(SUM(F144:F145),3)</f>
        <v>2</v>
      </c>
      <c r="G146" s="357"/>
      <c r="H146" s="358"/>
      <c r="I146" s="359"/>
      <c r="J146" s="359"/>
      <c r="M146" s="499"/>
      <c r="Q146" s="499"/>
    </row>
    <row r="147" spans="2:17" s="58" customFormat="1" ht="15.6" x14ac:dyDescent="0.3">
      <c r="B147" s="352"/>
      <c r="C147" s="353" t="s">
        <v>772</v>
      </c>
      <c r="D147" s="354" t="s">
        <v>190</v>
      </c>
      <c r="E147" s="355"/>
      <c r="F147" s="356">
        <v>2</v>
      </c>
      <c r="G147" s="357"/>
      <c r="H147" s="358"/>
      <c r="I147" s="359"/>
      <c r="J147" s="359"/>
      <c r="M147" s="499"/>
      <c r="Q147" s="499"/>
    </row>
    <row r="148" spans="2:17" s="58" customFormat="1" ht="15.6" x14ac:dyDescent="0.3">
      <c r="B148" s="360"/>
      <c r="C148" s="361" t="s">
        <v>773</v>
      </c>
      <c r="D148" s="354" t="s">
        <v>190</v>
      </c>
      <c r="E148" s="363"/>
      <c r="F148" s="364">
        <f>F146-F147</f>
        <v>0</v>
      </c>
      <c r="G148" s="365"/>
      <c r="H148" s="366"/>
      <c r="I148" s="367"/>
      <c r="J148" s="367"/>
      <c r="M148" s="499"/>
      <c r="Q148" s="499"/>
    </row>
    <row r="149" spans="2:17" ht="7.5" customHeight="1" x14ac:dyDescent="0.3">
      <c r="B149" s="338"/>
      <c r="C149" s="142"/>
      <c r="D149" s="143"/>
      <c r="E149" s="144"/>
      <c r="F149" s="345"/>
      <c r="G149" s="144"/>
      <c r="H149" s="144"/>
      <c r="I149" s="515"/>
      <c r="J149" s="514"/>
    </row>
    <row r="150" spans="2:17" ht="15.6" x14ac:dyDescent="0.3">
      <c r="B150" s="145" t="s">
        <v>1303</v>
      </c>
      <c r="C150" s="150" t="s">
        <v>1304</v>
      </c>
      <c r="D150" s="146" t="s">
        <v>190</v>
      </c>
      <c r="E150" s="147"/>
      <c r="F150" s="483">
        <v>2</v>
      </c>
      <c r="G150" s="147" t="s">
        <v>1298</v>
      </c>
      <c r="H150" s="298">
        <v>45535</v>
      </c>
      <c r="I150" s="151" t="s">
        <v>795</v>
      </c>
      <c r="J150" s="151"/>
    </row>
    <row r="151" spans="2:17" ht="15.6" x14ac:dyDescent="0.3">
      <c r="B151" s="145"/>
      <c r="C151" s="150"/>
      <c r="D151" s="146"/>
      <c r="E151" s="147"/>
      <c r="F151" s="349"/>
      <c r="G151" s="147"/>
      <c r="H151" s="298"/>
      <c r="I151" s="151"/>
      <c r="J151" s="151"/>
    </row>
    <row r="152" spans="2:17" s="58" customFormat="1" ht="15.6" x14ac:dyDescent="0.3">
      <c r="B152" s="352"/>
      <c r="C152" s="353" t="s">
        <v>771</v>
      </c>
      <c r="D152" s="354" t="s">
        <v>190</v>
      </c>
      <c r="E152" s="355"/>
      <c r="F152" s="356">
        <f>ROUND(SUM(F150:F151),3)</f>
        <v>2</v>
      </c>
      <c r="G152" s="357"/>
      <c r="H152" s="358"/>
      <c r="I152" s="359"/>
      <c r="J152" s="359"/>
      <c r="L152" s="132"/>
      <c r="M152" s="339"/>
      <c r="N152" s="132"/>
      <c r="O152" s="132"/>
      <c r="P152" s="132"/>
      <c r="Q152" s="339"/>
    </row>
    <row r="153" spans="2:17" s="58" customFormat="1" ht="15.6" x14ac:dyDescent="0.3">
      <c r="B153" s="352"/>
      <c r="C153" s="353" t="s">
        <v>772</v>
      </c>
      <c r="D153" s="354" t="s">
        <v>190</v>
      </c>
      <c r="E153" s="355"/>
      <c r="F153" s="356">
        <v>2</v>
      </c>
      <c r="G153" s="357"/>
      <c r="H153" s="358"/>
      <c r="I153" s="359"/>
      <c r="J153" s="359"/>
      <c r="L153" s="132"/>
      <c r="M153" s="339"/>
      <c r="N153" s="132"/>
      <c r="O153" s="132"/>
      <c r="P153" s="132"/>
      <c r="Q153" s="339"/>
    </row>
    <row r="154" spans="2:17" s="58" customFormat="1" ht="15.6" x14ac:dyDescent="0.3">
      <c r="B154" s="360"/>
      <c r="C154" s="361" t="s">
        <v>773</v>
      </c>
      <c r="D154" s="989" t="s">
        <v>190</v>
      </c>
      <c r="E154" s="363"/>
      <c r="F154" s="364">
        <f>F152-F153</f>
        <v>0</v>
      </c>
      <c r="G154" s="365"/>
      <c r="H154" s="366"/>
      <c r="I154" s="367"/>
      <c r="J154" s="367"/>
      <c r="M154" s="499"/>
      <c r="Q154" s="499"/>
    </row>
    <row r="155" spans="2:17" ht="15.6" x14ac:dyDescent="0.3">
      <c r="B155" s="145" t="s">
        <v>1305</v>
      </c>
      <c r="C155" s="150" t="s">
        <v>1306</v>
      </c>
      <c r="D155" s="127" t="s">
        <v>190</v>
      </c>
      <c r="E155" s="147"/>
      <c r="F155" s="483">
        <v>2</v>
      </c>
      <c r="G155" s="489" t="s">
        <v>1301</v>
      </c>
      <c r="H155" s="298">
        <v>45763</v>
      </c>
      <c r="I155" s="151" t="s">
        <v>1302</v>
      </c>
      <c r="J155" s="151"/>
    </row>
    <row r="156" spans="2:17" ht="15.6" x14ac:dyDescent="0.3">
      <c r="B156" s="145"/>
      <c r="C156" s="150"/>
      <c r="D156" s="146"/>
      <c r="E156" s="147"/>
      <c r="F156" s="483"/>
      <c r="G156" s="147"/>
      <c r="H156" s="298"/>
      <c r="I156" s="151"/>
      <c r="J156" s="151"/>
    </row>
    <row r="157" spans="2:17" s="58" customFormat="1" ht="15.6" x14ac:dyDescent="0.3">
      <c r="B157" s="352"/>
      <c r="C157" s="353" t="s">
        <v>771</v>
      </c>
      <c r="D157" s="354" t="s">
        <v>190</v>
      </c>
      <c r="E157" s="355"/>
      <c r="F157" s="356">
        <f>ROUND(SUM(F155:F156),3)</f>
        <v>2</v>
      </c>
      <c r="G157" s="357"/>
      <c r="H157" s="358"/>
      <c r="I157" s="359"/>
      <c r="J157" s="359"/>
      <c r="M157" s="499"/>
      <c r="Q157" s="499"/>
    </row>
    <row r="158" spans="2:17" s="58" customFormat="1" ht="15.6" x14ac:dyDescent="0.3">
      <c r="B158" s="352"/>
      <c r="C158" s="353" t="s">
        <v>772</v>
      </c>
      <c r="D158" s="354" t="s">
        <v>190</v>
      </c>
      <c r="E158" s="355"/>
      <c r="F158" s="356">
        <v>2</v>
      </c>
      <c r="G158" s="357"/>
      <c r="H158" s="358"/>
      <c r="I158" s="359"/>
      <c r="J158" s="359"/>
      <c r="M158" s="499"/>
      <c r="Q158" s="499"/>
    </row>
    <row r="159" spans="2:17" s="58" customFormat="1" ht="15.6" x14ac:dyDescent="0.3">
      <c r="B159" s="360"/>
      <c r="C159" s="361" t="s">
        <v>773</v>
      </c>
      <c r="D159" s="354" t="s">
        <v>190</v>
      </c>
      <c r="E159" s="363"/>
      <c r="F159" s="364">
        <f>F157-F158</f>
        <v>0</v>
      </c>
      <c r="G159" s="365"/>
      <c r="H159" s="366"/>
      <c r="I159" s="367"/>
      <c r="J159" s="367"/>
      <c r="M159" s="499"/>
      <c r="Q159" s="499"/>
    </row>
    <row r="160" spans="2:17" ht="7.5" customHeight="1" x14ac:dyDescent="0.3">
      <c r="B160" s="338"/>
      <c r="C160" s="142"/>
      <c r="D160" s="143"/>
      <c r="E160" s="144"/>
      <c r="F160" s="345"/>
      <c r="G160" s="144"/>
      <c r="H160" s="144"/>
      <c r="I160" s="515"/>
      <c r="J160" s="514"/>
    </row>
    <row r="161" spans="2:17" ht="15.6" x14ac:dyDescent="0.3">
      <c r="B161" s="145" t="s">
        <v>1307</v>
      </c>
      <c r="C161" s="150" t="s">
        <v>1308</v>
      </c>
      <c r="D161" s="146" t="s">
        <v>190</v>
      </c>
      <c r="E161" s="147"/>
      <c r="F161" s="349">
        <v>1</v>
      </c>
      <c r="G161" s="147" t="s">
        <v>1298</v>
      </c>
      <c r="H161" s="298">
        <v>45535</v>
      </c>
      <c r="I161" s="151" t="s">
        <v>795</v>
      </c>
      <c r="J161" s="151"/>
      <c r="L161" s="58"/>
      <c r="M161" s="499"/>
      <c r="N161" s="58"/>
      <c r="O161" s="58"/>
      <c r="P161" s="58"/>
      <c r="Q161" s="499"/>
    </row>
    <row r="162" spans="2:17" ht="15.6" x14ac:dyDescent="0.3">
      <c r="B162" s="145" t="s">
        <v>1307</v>
      </c>
      <c r="C162" s="150" t="s">
        <v>1308</v>
      </c>
      <c r="D162" s="146" t="s">
        <v>190</v>
      </c>
      <c r="E162" s="147"/>
      <c r="F162" s="483">
        <v>1</v>
      </c>
      <c r="G162" s="489" t="s">
        <v>1309</v>
      </c>
      <c r="H162" s="298">
        <v>45789</v>
      </c>
      <c r="I162" s="151" t="s">
        <v>97</v>
      </c>
      <c r="J162" s="151"/>
      <c r="L162" s="58"/>
      <c r="M162" s="499"/>
      <c r="N162" s="58"/>
      <c r="O162" s="58"/>
      <c r="P162" s="58"/>
      <c r="Q162" s="499"/>
    </row>
    <row r="163" spans="2:17" ht="15.6" x14ac:dyDescent="0.3">
      <c r="B163" s="145" t="s">
        <v>1307</v>
      </c>
      <c r="C163" s="150" t="s">
        <v>1308</v>
      </c>
      <c r="D163" s="146" t="s">
        <v>190</v>
      </c>
      <c r="E163" s="147"/>
      <c r="F163" s="483">
        <v>1</v>
      </c>
      <c r="G163" s="489" t="s">
        <v>1310</v>
      </c>
      <c r="H163" s="298">
        <v>45944</v>
      </c>
      <c r="I163" s="151" t="s">
        <v>1026</v>
      </c>
      <c r="J163" s="151"/>
      <c r="L163" s="58"/>
      <c r="M163" s="499"/>
      <c r="N163" s="58"/>
      <c r="O163" s="58"/>
      <c r="P163" s="58"/>
      <c r="Q163" s="499"/>
    </row>
    <row r="164" spans="2:17" ht="15.6" x14ac:dyDescent="0.3">
      <c r="B164" s="145"/>
      <c r="C164" s="150"/>
      <c r="D164" s="146"/>
      <c r="E164" s="147"/>
      <c r="F164" s="349"/>
      <c r="G164" s="147"/>
      <c r="H164" s="298"/>
      <c r="I164" s="151"/>
      <c r="J164" s="151"/>
    </row>
    <row r="165" spans="2:17" s="58" customFormat="1" ht="15.6" x14ac:dyDescent="0.3">
      <c r="B165" s="352"/>
      <c r="C165" s="353" t="s">
        <v>771</v>
      </c>
      <c r="D165" s="354" t="s">
        <v>190</v>
      </c>
      <c r="E165" s="355"/>
      <c r="F165" s="356">
        <f>ROUND(SUM(F161:F164),3)</f>
        <v>3</v>
      </c>
      <c r="G165" s="357"/>
      <c r="H165" s="358"/>
      <c r="I165" s="359"/>
      <c r="J165" s="359"/>
      <c r="L165" s="132"/>
      <c r="M165" s="339"/>
      <c r="N165" s="132"/>
      <c r="O165" s="132"/>
      <c r="P165" s="132"/>
      <c r="Q165" s="339"/>
    </row>
    <row r="166" spans="2:17" s="58" customFormat="1" ht="15.6" x14ac:dyDescent="0.3">
      <c r="B166" s="352"/>
      <c r="C166" s="353" t="s">
        <v>772</v>
      </c>
      <c r="D166" s="354" t="s">
        <v>190</v>
      </c>
      <c r="E166" s="355"/>
      <c r="F166" s="356">
        <v>3</v>
      </c>
      <c r="G166" s="357"/>
      <c r="H166" s="358"/>
      <c r="I166" s="359"/>
      <c r="J166" s="359"/>
      <c r="L166" s="132"/>
      <c r="M166" s="339"/>
      <c r="N166" s="132"/>
      <c r="O166" s="132"/>
      <c r="P166" s="132"/>
      <c r="Q166" s="339"/>
    </row>
    <row r="167" spans="2:17" s="58" customFormat="1" ht="15.6" x14ac:dyDescent="0.3">
      <c r="B167" s="360"/>
      <c r="C167" s="361" t="s">
        <v>773</v>
      </c>
      <c r="D167" s="362" t="s">
        <v>190</v>
      </c>
      <c r="E167" s="363"/>
      <c r="F167" s="364">
        <f>F165-F166</f>
        <v>0</v>
      </c>
      <c r="G167" s="365"/>
      <c r="H167" s="366"/>
      <c r="I167" s="367"/>
      <c r="J167" s="367"/>
      <c r="M167" s="499"/>
      <c r="Q167" s="499"/>
    </row>
    <row r="168" spans="2:17" ht="7.35" customHeight="1" x14ac:dyDescent="0.3">
      <c r="B168" s="338"/>
      <c r="C168" s="142"/>
      <c r="D168" s="143"/>
      <c r="E168" s="144"/>
      <c r="F168" s="345"/>
      <c r="G168" s="144"/>
      <c r="H168" s="144"/>
      <c r="I168" s="515"/>
      <c r="J168" s="514"/>
      <c r="L168" s="58"/>
      <c r="M168" s="499"/>
      <c r="N168" s="58"/>
      <c r="O168" s="58"/>
      <c r="P168" s="58"/>
      <c r="Q168" s="499"/>
    </row>
    <row r="169" spans="2:17" ht="43.2" x14ac:dyDescent="0.3">
      <c r="B169" s="145" t="s">
        <v>1311</v>
      </c>
      <c r="C169" s="150" t="s">
        <v>1312</v>
      </c>
      <c r="D169" s="146" t="s">
        <v>190</v>
      </c>
      <c r="E169" s="147"/>
      <c r="F169" s="483">
        <v>3</v>
      </c>
      <c r="G169" s="1141" t="s">
        <v>1313</v>
      </c>
      <c r="H169" s="1142" t="s">
        <v>1314</v>
      </c>
      <c r="I169" s="151" t="s">
        <v>1315</v>
      </c>
      <c r="J169" s="487"/>
      <c r="L169" s="58"/>
      <c r="M169" s="499"/>
      <c r="N169" s="58"/>
      <c r="O169" s="58"/>
      <c r="P169" s="58"/>
      <c r="Q169" s="499"/>
    </row>
    <row r="170" spans="2:17" ht="15.6" x14ac:dyDescent="0.3">
      <c r="B170" s="145"/>
      <c r="C170" s="150"/>
      <c r="D170" s="146"/>
      <c r="E170" s="147"/>
      <c r="F170" s="349"/>
      <c r="G170" s="147"/>
      <c r="H170" s="298"/>
      <c r="I170" s="151"/>
      <c r="J170" s="151"/>
    </row>
    <row r="171" spans="2:17" s="58" customFormat="1" ht="15.6" x14ac:dyDescent="0.3">
      <c r="B171" s="352"/>
      <c r="C171" s="353" t="s">
        <v>771</v>
      </c>
      <c r="D171" s="354" t="s">
        <v>190</v>
      </c>
      <c r="E171" s="355"/>
      <c r="F171" s="356">
        <f>ROUND(SUM(F169:F170),3)</f>
        <v>3</v>
      </c>
      <c r="G171" s="357"/>
      <c r="H171" s="358"/>
      <c r="I171" s="359"/>
      <c r="J171" s="359"/>
      <c r="L171" s="132"/>
      <c r="M171" s="339"/>
      <c r="N171" s="132"/>
      <c r="O171" s="132"/>
      <c r="P171" s="132"/>
      <c r="Q171" s="339"/>
    </row>
    <row r="172" spans="2:17" s="58" customFormat="1" ht="15.6" x14ac:dyDescent="0.3">
      <c r="B172" s="352"/>
      <c r="C172" s="353" t="s">
        <v>772</v>
      </c>
      <c r="D172" s="354" t="s">
        <v>190</v>
      </c>
      <c r="E172" s="355"/>
      <c r="F172" s="356">
        <v>3</v>
      </c>
      <c r="G172" s="357"/>
      <c r="H172" s="358"/>
      <c r="I172" s="359"/>
      <c r="J172" s="359"/>
      <c r="L172" s="132"/>
      <c r="M172" s="339"/>
      <c r="N172" s="132"/>
      <c r="O172" s="132"/>
      <c r="P172" s="132"/>
      <c r="Q172" s="339"/>
    </row>
    <row r="173" spans="2:17" s="58" customFormat="1" ht="15.6" x14ac:dyDescent="0.3">
      <c r="B173" s="360"/>
      <c r="C173" s="361" t="s">
        <v>773</v>
      </c>
      <c r="D173" s="362" t="s">
        <v>190</v>
      </c>
      <c r="E173" s="363"/>
      <c r="F173" s="364">
        <f>F171-F172</f>
        <v>0</v>
      </c>
      <c r="G173" s="365"/>
      <c r="H173" s="366"/>
      <c r="I173" s="367"/>
      <c r="J173" s="367"/>
      <c r="M173" s="499"/>
      <c r="Q173" s="499"/>
    </row>
    <row r="174" spans="2:17" ht="7.35" customHeight="1" x14ac:dyDescent="0.3">
      <c r="B174" s="338"/>
      <c r="C174" s="142"/>
      <c r="D174" s="143"/>
      <c r="E174" s="144"/>
      <c r="F174" s="345"/>
      <c r="G174" s="144"/>
      <c r="H174" s="144"/>
      <c r="I174" s="515"/>
      <c r="J174" s="514"/>
      <c r="L174" s="58"/>
      <c r="M174" s="499"/>
      <c r="N174" s="58"/>
      <c r="O174" s="58"/>
      <c r="P174" s="58"/>
      <c r="Q174" s="499"/>
    </row>
    <row r="175" spans="2:17" ht="15.6" x14ac:dyDescent="0.3">
      <c r="B175" s="145" t="s">
        <v>1316</v>
      </c>
      <c r="C175" s="150" t="s">
        <v>1317</v>
      </c>
      <c r="D175" s="146" t="s">
        <v>190</v>
      </c>
      <c r="E175" s="147"/>
      <c r="F175" s="349">
        <v>2</v>
      </c>
      <c r="G175" s="147" t="s">
        <v>1318</v>
      </c>
      <c r="H175" s="298">
        <v>45535</v>
      </c>
      <c r="I175" s="151" t="s">
        <v>795</v>
      </c>
      <c r="J175" s="151"/>
      <c r="L175" s="58"/>
      <c r="M175" s="499"/>
      <c r="N175" s="58"/>
      <c r="O175" s="58"/>
      <c r="P175" s="58"/>
      <c r="Q175" s="499"/>
    </row>
    <row r="176" spans="2:17" ht="15.6" x14ac:dyDescent="0.3">
      <c r="B176" s="145" t="s">
        <v>1316</v>
      </c>
      <c r="C176" s="150" t="s">
        <v>1317</v>
      </c>
      <c r="D176" s="146" t="s">
        <v>190</v>
      </c>
      <c r="E176" s="147"/>
      <c r="F176" s="349">
        <v>2</v>
      </c>
      <c r="G176" s="147" t="s">
        <v>1298</v>
      </c>
      <c r="H176" s="298">
        <v>45535</v>
      </c>
      <c r="I176" s="151" t="s">
        <v>795</v>
      </c>
      <c r="J176" s="151"/>
    </row>
    <row r="177" spans="2:17" ht="31.2" x14ac:dyDescent="0.3">
      <c r="B177" s="145" t="s">
        <v>1316</v>
      </c>
      <c r="C177" s="150" t="s">
        <v>1317</v>
      </c>
      <c r="D177" s="146" t="s">
        <v>190</v>
      </c>
      <c r="E177" s="147"/>
      <c r="F177" s="483">
        <v>4</v>
      </c>
      <c r="G177" s="302" t="s">
        <v>1319</v>
      </c>
      <c r="H177" s="300" t="s">
        <v>1320</v>
      </c>
      <c r="I177" s="151" t="s">
        <v>898</v>
      </c>
      <c r="J177" s="151"/>
    </row>
    <row r="178" spans="2:17" ht="15.6" x14ac:dyDescent="0.3">
      <c r="B178" s="145" t="s">
        <v>1316</v>
      </c>
      <c r="C178" s="150" t="s">
        <v>1317</v>
      </c>
      <c r="D178" s="146" t="s">
        <v>190</v>
      </c>
      <c r="E178" s="147"/>
      <c r="F178" s="483">
        <v>1</v>
      </c>
      <c r="G178" s="489" t="s">
        <v>1321</v>
      </c>
      <c r="H178" s="298">
        <v>45731</v>
      </c>
      <c r="I178" s="151" t="s">
        <v>97</v>
      </c>
      <c r="J178" s="151"/>
    </row>
    <row r="179" spans="2:17" ht="15.6" x14ac:dyDescent="0.3">
      <c r="B179" s="145" t="s">
        <v>1316</v>
      </c>
      <c r="C179" s="150" t="s">
        <v>1317</v>
      </c>
      <c r="D179" s="146" t="s">
        <v>190</v>
      </c>
      <c r="E179" s="147"/>
      <c r="F179" s="483">
        <v>9</v>
      </c>
      <c r="G179" s="489" t="s">
        <v>1322</v>
      </c>
      <c r="H179" s="298">
        <v>45944</v>
      </c>
      <c r="I179" s="151" t="s">
        <v>1026</v>
      </c>
      <c r="J179" s="151"/>
    </row>
    <row r="180" spans="2:17" ht="15.6" x14ac:dyDescent="0.3">
      <c r="B180" s="145"/>
      <c r="C180" s="150"/>
      <c r="D180" s="146"/>
      <c r="E180" s="147"/>
      <c r="F180" s="349"/>
      <c r="G180" s="147"/>
      <c r="H180" s="298"/>
      <c r="I180" s="151"/>
      <c r="J180" s="151"/>
    </row>
    <row r="181" spans="2:17" s="58" customFormat="1" ht="15.6" x14ac:dyDescent="0.3">
      <c r="B181" s="352"/>
      <c r="C181" s="353" t="s">
        <v>771</v>
      </c>
      <c r="D181" s="354" t="s">
        <v>190</v>
      </c>
      <c r="E181" s="355"/>
      <c r="F181" s="356">
        <f>ROUND(SUM(F175:F180),3)</f>
        <v>18</v>
      </c>
      <c r="G181" s="357"/>
      <c r="H181" s="358"/>
      <c r="I181" s="359"/>
      <c r="J181" s="359"/>
      <c r="M181" s="499"/>
      <c r="Q181" s="499"/>
    </row>
    <row r="182" spans="2:17" s="58" customFormat="1" ht="15.6" x14ac:dyDescent="0.3">
      <c r="B182" s="352"/>
      <c r="C182" s="353" t="s">
        <v>772</v>
      </c>
      <c r="D182" s="354" t="s">
        <v>190</v>
      </c>
      <c r="E182" s="355"/>
      <c r="F182" s="356">
        <v>18</v>
      </c>
      <c r="G182" s="357"/>
      <c r="H182" s="358"/>
      <c r="I182" s="359"/>
      <c r="J182" s="359"/>
      <c r="M182" s="499"/>
      <c r="Q182" s="499"/>
    </row>
    <row r="183" spans="2:17" s="58" customFormat="1" ht="15.6" x14ac:dyDescent="0.3">
      <c r="B183" s="360"/>
      <c r="C183" s="361" t="s">
        <v>773</v>
      </c>
      <c r="D183" s="362" t="s">
        <v>190</v>
      </c>
      <c r="E183" s="363"/>
      <c r="F183" s="364">
        <f>F181-F182</f>
        <v>0</v>
      </c>
      <c r="G183" s="365"/>
      <c r="H183" s="366"/>
      <c r="I183" s="367"/>
      <c r="J183" s="367"/>
      <c r="M183" s="499"/>
      <c r="Q183" s="499"/>
    </row>
    <row r="184" spans="2:17" ht="7.5" customHeight="1" x14ac:dyDescent="0.3">
      <c r="B184" s="338"/>
      <c r="C184" s="142"/>
      <c r="D184" s="143"/>
      <c r="E184" s="144"/>
      <c r="F184" s="345"/>
      <c r="G184" s="144"/>
      <c r="H184" s="144"/>
      <c r="I184" s="515"/>
      <c r="J184" s="514"/>
    </row>
    <row r="185" spans="2:17" ht="15.6" x14ac:dyDescent="0.3">
      <c r="B185" s="145" t="s">
        <v>1323</v>
      </c>
      <c r="C185" s="150" t="s">
        <v>1324</v>
      </c>
      <c r="D185" s="146" t="s">
        <v>190</v>
      </c>
      <c r="E185" s="147"/>
      <c r="F185" s="483">
        <v>4</v>
      </c>
      <c r="G185" s="594" t="s">
        <v>1325</v>
      </c>
      <c r="H185" s="646">
        <v>45658</v>
      </c>
      <c r="I185" s="151" t="s">
        <v>1326</v>
      </c>
      <c r="J185" s="151"/>
      <c r="L185" s="58"/>
      <c r="M185" s="499"/>
      <c r="N185" s="58"/>
      <c r="O185" s="58"/>
      <c r="P185" s="58"/>
      <c r="Q185" s="499"/>
    </row>
    <row r="186" spans="2:17" ht="46.8" x14ac:dyDescent="0.3">
      <c r="B186" s="145" t="s">
        <v>1323</v>
      </c>
      <c r="C186" s="150" t="s">
        <v>1324</v>
      </c>
      <c r="D186" s="146" t="s">
        <v>190</v>
      </c>
      <c r="E186" s="147"/>
      <c r="F186" s="483">
        <v>5</v>
      </c>
      <c r="G186" s="594" t="s">
        <v>1327</v>
      </c>
      <c r="H186" s="647" t="s">
        <v>1328</v>
      </c>
      <c r="I186" s="151" t="s">
        <v>97</v>
      </c>
      <c r="J186" s="151"/>
      <c r="L186" s="58"/>
      <c r="M186" s="499"/>
      <c r="N186" s="58"/>
      <c r="O186" s="58"/>
      <c r="P186" s="58"/>
      <c r="Q186" s="499"/>
    </row>
    <row r="187" spans="2:17" ht="31.2" x14ac:dyDescent="0.3">
      <c r="B187" s="145" t="s">
        <v>1323</v>
      </c>
      <c r="C187" s="150" t="s">
        <v>1324</v>
      </c>
      <c r="D187" s="146" t="s">
        <v>190</v>
      </c>
      <c r="E187" s="147"/>
      <c r="F187" s="483">
        <v>9</v>
      </c>
      <c r="G187" s="594" t="s">
        <v>1329</v>
      </c>
      <c r="H187" s="647" t="s">
        <v>1330</v>
      </c>
      <c r="I187" s="151" t="s">
        <v>1315</v>
      </c>
      <c r="J187" s="487"/>
      <c r="L187" s="58"/>
      <c r="M187" s="499"/>
      <c r="N187" s="58"/>
      <c r="O187" s="58"/>
      <c r="P187" s="58"/>
      <c r="Q187" s="499"/>
    </row>
    <row r="188" spans="2:17" ht="15.6" x14ac:dyDescent="0.3">
      <c r="B188" s="145"/>
      <c r="C188" s="150"/>
      <c r="D188" s="146"/>
      <c r="E188" s="147"/>
      <c r="F188" s="349"/>
      <c r="G188" s="147"/>
      <c r="H188" s="298"/>
      <c r="I188" s="151"/>
      <c r="J188" s="151"/>
      <c r="N188" s="58"/>
      <c r="O188" s="58"/>
    </row>
    <row r="189" spans="2:17" s="58" customFormat="1" ht="15.6" x14ac:dyDescent="0.3">
      <c r="B189" s="352"/>
      <c r="C189" s="353" t="s">
        <v>771</v>
      </c>
      <c r="D189" s="354" t="s">
        <v>190</v>
      </c>
      <c r="E189" s="355"/>
      <c r="F189" s="356">
        <f>ROUND(SUM(F185:F188),3)</f>
        <v>18</v>
      </c>
      <c r="G189" s="357"/>
      <c r="H189" s="358"/>
      <c r="I189" s="359"/>
      <c r="J189" s="359"/>
      <c r="M189" s="499"/>
      <c r="Q189" s="499"/>
    </row>
    <row r="190" spans="2:17" s="58" customFormat="1" ht="15.6" x14ac:dyDescent="0.3">
      <c r="B190" s="352"/>
      <c r="C190" s="353" t="s">
        <v>772</v>
      </c>
      <c r="D190" s="354" t="s">
        <v>190</v>
      </c>
      <c r="E190" s="355"/>
      <c r="F190" s="356">
        <v>18</v>
      </c>
      <c r="G190" s="357"/>
      <c r="H190" s="358"/>
      <c r="I190" s="359"/>
      <c r="J190" s="359"/>
      <c r="M190" s="499"/>
      <c r="Q190" s="499"/>
    </row>
    <row r="191" spans="2:17" s="58" customFormat="1" ht="15.6" x14ac:dyDescent="0.3">
      <c r="B191" s="360"/>
      <c r="C191" s="361" t="s">
        <v>773</v>
      </c>
      <c r="D191" s="362" t="s">
        <v>190</v>
      </c>
      <c r="E191" s="363"/>
      <c r="F191" s="364">
        <f>F189-F190</f>
        <v>0</v>
      </c>
      <c r="G191" s="365"/>
      <c r="H191" s="366"/>
      <c r="I191" s="367"/>
      <c r="J191" s="367"/>
      <c r="M191" s="499"/>
      <c r="Q191" s="499"/>
    </row>
    <row r="192" spans="2:17" ht="7.5" customHeight="1" x14ac:dyDescent="0.3">
      <c r="B192" s="338"/>
      <c r="C192" s="142"/>
      <c r="D192" s="143"/>
      <c r="E192" s="144"/>
      <c r="F192" s="345"/>
      <c r="G192" s="144"/>
      <c r="H192" s="144"/>
      <c r="I192" s="515"/>
      <c r="J192" s="514"/>
    </row>
    <row r="193" spans="2:17" ht="15.6" x14ac:dyDescent="0.3">
      <c r="B193" s="145" t="s">
        <v>1331</v>
      </c>
      <c r="C193" s="150" t="s">
        <v>1332</v>
      </c>
      <c r="D193" s="146" t="s">
        <v>190</v>
      </c>
      <c r="E193" s="147"/>
      <c r="F193" s="349">
        <v>1</v>
      </c>
      <c r="G193" s="147" t="s">
        <v>1333</v>
      </c>
      <c r="H193" s="298">
        <v>45504</v>
      </c>
      <c r="I193" s="151" t="s">
        <v>778</v>
      </c>
      <c r="J193" s="151"/>
    </row>
    <row r="194" spans="2:17" ht="15.6" x14ac:dyDescent="0.3">
      <c r="B194" s="145"/>
      <c r="C194" s="150"/>
      <c r="D194" s="146"/>
      <c r="E194" s="147"/>
      <c r="F194" s="349"/>
      <c r="G194" s="147"/>
      <c r="H194" s="298"/>
      <c r="I194" s="151"/>
      <c r="J194" s="151"/>
    </row>
    <row r="195" spans="2:17" s="58" customFormat="1" ht="15.6" x14ac:dyDescent="0.3">
      <c r="B195" s="352"/>
      <c r="C195" s="353" t="s">
        <v>771</v>
      </c>
      <c r="D195" s="354" t="s">
        <v>190</v>
      </c>
      <c r="E195" s="355"/>
      <c r="F195" s="356">
        <f>ROUND(SUM(F193:F194),3)</f>
        <v>1</v>
      </c>
      <c r="G195" s="357"/>
      <c r="H195" s="358"/>
      <c r="I195" s="359"/>
      <c r="J195" s="359"/>
      <c r="M195" s="499"/>
      <c r="Q195" s="499"/>
    </row>
    <row r="196" spans="2:17" s="58" customFormat="1" ht="15.6" x14ac:dyDescent="0.3">
      <c r="B196" s="352"/>
      <c r="C196" s="353" t="s">
        <v>772</v>
      </c>
      <c r="D196" s="354" t="s">
        <v>190</v>
      </c>
      <c r="E196" s="355"/>
      <c r="F196" s="356">
        <v>1</v>
      </c>
      <c r="G196" s="357"/>
      <c r="H196" s="358"/>
      <c r="I196" s="359"/>
      <c r="J196" s="359"/>
      <c r="M196" s="499"/>
      <c r="Q196" s="499"/>
    </row>
    <row r="197" spans="2:17" s="58" customFormat="1" ht="15.6" x14ac:dyDescent="0.3">
      <c r="B197" s="360"/>
      <c r="C197" s="361" t="s">
        <v>773</v>
      </c>
      <c r="D197" s="362" t="s">
        <v>190</v>
      </c>
      <c r="E197" s="363"/>
      <c r="F197" s="364">
        <f>F195-F196</f>
        <v>0</v>
      </c>
      <c r="G197" s="365"/>
      <c r="H197" s="366"/>
      <c r="I197" s="367"/>
      <c r="J197" s="367"/>
      <c r="M197" s="499"/>
      <c r="Q197" s="499"/>
    </row>
    <row r="198" spans="2:17" ht="7.5" customHeight="1" x14ac:dyDescent="0.3">
      <c r="B198" s="338"/>
      <c r="C198" s="142"/>
      <c r="D198" s="143"/>
      <c r="E198" s="144"/>
      <c r="F198" s="345"/>
      <c r="G198" s="144"/>
      <c r="H198" s="144"/>
      <c r="I198" s="515"/>
      <c r="J198" s="514"/>
    </row>
    <row r="199" spans="2:17" ht="31.2" x14ac:dyDescent="0.3">
      <c r="B199" s="145" t="s">
        <v>1334</v>
      </c>
      <c r="C199" s="150" t="s">
        <v>1335</v>
      </c>
      <c r="D199" s="146" t="s">
        <v>190</v>
      </c>
      <c r="E199" s="147"/>
      <c r="F199" s="483">
        <v>1</v>
      </c>
      <c r="G199" s="302" t="s">
        <v>1336</v>
      </c>
      <c r="H199" s="300">
        <v>45531</v>
      </c>
      <c r="I199" s="151" t="s">
        <v>795</v>
      </c>
      <c r="J199" s="151"/>
    </row>
    <row r="200" spans="2:17" ht="15.6" x14ac:dyDescent="0.3">
      <c r="B200" s="145"/>
      <c r="C200" s="150"/>
      <c r="D200" s="146"/>
      <c r="E200" s="147"/>
      <c r="F200" s="349"/>
      <c r="G200" s="147"/>
      <c r="H200" s="298"/>
      <c r="I200" s="151"/>
      <c r="J200" s="151"/>
    </row>
    <row r="201" spans="2:17" s="58" customFormat="1" ht="15.6" x14ac:dyDescent="0.3">
      <c r="B201" s="352"/>
      <c r="C201" s="353" t="s">
        <v>771</v>
      </c>
      <c r="D201" s="354" t="s">
        <v>190</v>
      </c>
      <c r="E201" s="355"/>
      <c r="F201" s="356">
        <f>ROUND(SUM(F199:F200),3)</f>
        <v>1</v>
      </c>
      <c r="G201" s="357"/>
      <c r="H201" s="358"/>
      <c r="I201" s="359"/>
      <c r="J201" s="359"/>
      <c r="M201" s="499"/>
      <c r="Q201" s="499"/>
    </row>
    <row r="202" spans="2:17" s="58" customFormat="1" ht="15.6" x14ac:dyDescent="0.3">
      <c r="B202" s="352"/>
      <c r="C202" s="353" t="s">
        <v>772</v>
      </c>
      <c r="D202" s="354" t="s">
        <v>190</v>
      </c>
      <c r="E202" s="355"/>
      <c r="F202" s="356">
        <v>1</v>
      </c>
      <c r="G202" s="357"/>
      <c r="H202" s="358"/>
      <c r="I202" s="359"/>
      <c r="J202" s="359"/>
      <c r="M202" s="499"/>
      <c r="Q202" s="499"/>
    </row>
    <row r="203" spans="2:17" s="58" customFormat="1" ht="15.6" x14ac:dyDescent="0.3">
      <c r="B203" s="360"/>
      <c r="C203" s="361" t="s">
        <v>773</v>
      </c>
      <c r="D203" s="362" t="s">
        <v>190</v>
      </c>
      <c r="E203" s="363"/>
      <c r="F203" s="364">
        <f>F201-F202</f>
        <v>0</v>
      </c>
      <c r="G203" s="365"/>
      <c r="H203" s="366"/>
      <c r="I203" s="367"/>
      <c r="J203" s="367"/>
      <c r="M203" s="499"/>
      <c r="Q203" s="499"/>
    </row>
    <row r="204" spans="2:17" ht="7.5" customHeight="1" x14ac:dyDescent="0.3">
      <c r="B204" s="338"/>
      <c r="C204" s="142"/>
      <c r="D204" s="143"/>
      <c r="E204" s="144"/>
      <c r="F204" s="345"/>
      <c r="G204" s="144"/>
      <c r="H204" s="144"/>
      <c r="I204" s="515"/>
      <c r="J204" s="514"/>
    </row>
    <row r="205" spans="2:17" ht="15.6" x14ac:dyDescent="0.3">
      <c r="B205" s="145" t="s">
        <v>1337</v>
      </c>
      <c r="C205" s="150" t="s">
        <v>1338</v>
      </c>
      <c r="D205" s="146" t="s">
        <v>188</v>
      </c>
      <c r="E205" s="147"/>
      <c r="F205" s="349">
        <v>1</v>
      </c>
      <c r="G205" s="147" t="s">
        <v>1339</v>
      </c>
      <c r="H205" s="298">
        <v>45450</v>
      </c>
      <c r="I205" s="151" t="s">
        <v>767</v>
      </c>
      <c r="J205" s="151"/>
    </row>
    <row r="206" spans="2:17" ht="15.6" x14ac:dyDescent="0.3">
      <c r="B206" s="145"/>
      <c r="C206" s="150"/>
      <c r="D206" s="146"/>
      <c r="E206" s="147"/>
      <c r="F206" s="349"/>
      <c r="G206" s="147"/>
      <c r="H206" s="298"/>
      <c r="I206" s="151"/>
      <c r="J206" s="151"/>
    </row>
    <row r="207" spans="2:17" s="58" customFormat="1" ht="15.6" x14ac:dyDescent="0.3">
      <c r="B207" s="352"/>
      <c r="C207" s="353" t="s">
        <v>771</v>
      </c>
      <c r="D207" s="354" t="s">
        <v>188</v>
      </c>
      <c r="E207" s="355"/>
      <c r="F207" s="356">
        <f>ROUND(SUM(F205:F206),3)</f>
        <v>1</v>
      </c>
      <c r="G207" s="357"/>
      <c r="H207" s="358"/>
      <c r="I207" s="359"/>
      <c r="J207" s="359"/>
      <c r="M207" s="499"/>
      <c r="Q207" s="499"/>
    </row>
    <row r="208" spans="2:17" s="58" customFormat="1" ht="15.6" x14ac:dyDescent="0.3">
      <c r="B208" s="352"/>
      <c r="C208" s="353" t="s">
        <v>772</v>
      </c>
      <c r="D208" s="354" t="s">
        <v>188</v>
      </c>
      <c r="E208" s="355"/>
      <c r="F208" s="356">
        <v>1</v>
      </c>
      <c r="G208" s="357"/>
      <c r="H208" s="358"/>
      <c r="I208" s="359"/>
      <c r="J208" s="359"/>
      <c r="M208" s="499"/>
      <c r="Q208" s="499"/>
    </row>
    <row r="209" spans="2:17" s="58" customFormat="1" ht="15.6" x14ac:dyDescent="0.3">
      <c r="B209" s="360"/>
      <c r="C209" s="361" t="s">
        <v>773</v>
      </c>
      <c r="D209" s="362" t="s">
        <v>188</v>
      </c>
      <c r="E209" s="363"/>
      <c r="F209" s="364">
        <f>F207-F208</f>
        <v>0</v>
      </c>
      <c r="G209" s="365"/>
      <c r="H209" s="366"/>
      <c r="I209" s="367"/>
      <c r="J209" s="367"/>
      <c r="M209" s="499"/>
      <c r="Q209" s="499"/>
    </row>
    <row r="210" spans="2:17" ht="7.5" customHeight="1" x14ac:dyDescent="0.3">
      <c r="B210" s="338"/>
      <c r="C210" s="142"/>
      <c r="D210" s="143"/>
      <c r="E210" s="144"/>
      <c r="F210" s="345"/>
      <c r="G210" s="144"/>
      <c r="H210" s="144"/>
      <c r="I210" s="515"/>
      <c r="J210" s="514"/>
    </row>
    <row r="211" spans="2:17" ht="31.2" x14ac:dyDescent="0.3">
      <c r="B211" s="145" t="s">
        <v>1340</v>
      </c>
      <c r="C211" s="150" t="s">
        <v>1341</v>
      </c>
      <c r="D211" s="146" t="s">
        <v>188</v>
      </c>
      <c r="E211" s="147"/>
      <c r="F211" s="483">
        <v>1</v>
      </c>
      <c r="G211" s="302" t="s">
        <v>1342</v>
      </c>
      <c r="H211" s="298">
        <v>45535</v>
      </c>
      <c r="I211" s="151" t="s">
        <v>795</v>
      </c>
      <c r="J211" s="151"/>
    </row>
    <row r="212" spans="2:17" ht="15.6" x14ac:dyDescent="0.3">
      <c r="B212" s="145"/>
      <c r="C212" s="150"/>
      <c r="D212" s="146"/>
      <c r="E212" s="147"/>
      <c r="F212" s="349"/>
      <c r="G212" s="147"/>
      <c r="H212" s="298"/>
      <c r="I212" s="151"/>
      <c r="J212" s="151"/>
    </row>
    <row r="213" spans="2:17" s="58" customFormat="1" ht="15.6" x14ac:dyDescent="0.3">
      <c r="B213" s="352"/>
      <c r="C213" s="353" t="s">
        <v>771</v>
      </c>
      <c r="D213" s="354" t="s">
        <v>188</v>
      </c>
      <c r="E213" s="355"/>
      <c r="F213" s="356">
        <f>ROUND(SUM(F211:F212),3)</f>
        <v>1</v>
      </c>
      <c r="G213" s="357"/>
      <c r="H213" s="358"/>
      <c r="I213" s="359"/>
      <c r="J213" s="359"/>
      <c r="M213" s="499"/>
      <c r="Q213" s="499"/>
    </row>
    <row r="214" spans="2:17" s="58" customFormat="1" ht="15.6" x14ac:dyDescent="0.3">
      <c r="B214" s="352"/>
      <c r="C214" s="353" t="s">
        <v>772</v>
      </c>
      <c r="D214" s="354" t="s">
        <v>188</v>
      </c>
      <c r="E214" s="355"/>
      <c r="F214" s="356">
        <v>1</v>
      </c>
      <c r="G214" s="357"/>
      <c r="H214" s="358"/>
      <c r="I214" s="359"/>
      <c r="J214" s="359"/>
      <c r="M214" s="499"/>
      <c r="Q214" s="499"/>
    </row>
    <row r="215" spans="2:17" s="58" customFormat="1" ht="15.6" x14ac:dyDescent="0.3">
      <c r="B215" s="360"/>
      <c r="C215" s="361" t="s">
        <v>773</v>
      </c>
      <c r="D215" s="362" t="s">
        <v>188</v>
      </c>
      <c r="E215" s="363"/>
      <c r="F215" s="364">
        <f>F213-F214</f>
        <v>0</v>
      </c>
      <c r="G215" s="365"/>
      <c r="H215" s="366"/>
      <c r="I215" s="367"/>
      <c r="J215" s="367"/>
      <c r="M215" s="499"/>
      <c r="Q215" s="499"/>
    </row>
    <row r="216" spans="2:17" ht="7.5" customHeight="1" x14ac:dyDescent="0.3">
      <c r="B216" s="338"/>
      <c r="C216" s="142"/>
      <c r="D216" s="143"/>
      <c r="E216" s="144"/>
      <c r="F216" s="345"/>
      <c r="G216" s="144"/>
      <c r="H216" s="144"/>
      <c r="I216" s="515"/>
      <c r="J216" s="514"/>
    </row>
    <row r="217" spans="2:17" ht="15.6" x14ac:dyDescent="0.3">
      <c r="B217" s="145" t="s">
        <v>1343</v>
      </c>
      <c r="C217" s="150" t="s">
        <v>1344</v>
      </c>
      <c r="D217" s="146" t="s">
        <v>188</v>
      </c>
      <c r="E217" s="147"/>
      <c r="F217" s="349">
        <v>1</v>
      </c>
      <c r="G217" s="147" t="s">
        <v>1345</v>
      </c>
      <c r="H217" s="298">
        <v>45467</v>
      </c>
      <c r="I217" s="151" t="s">
        <v>767</v>
      </c>
      <c r="J217" s="151"/>
    </row>
    <row r="218" spans="2:17" ht="15.6" x14ac:dyDescent="0.3">
      <c r="B218" s="145"/>
      <c r="C218" s="150"/>
      <c r="D218" s="146"/>
      <c r="E218" s="147"/>
      <c r="F218" s="349"/>
      <c r="G218" s="147"/>
      <c r="H218" s="298"/>
      <c r="I218" s="151"/>
      <c r="J218" s="151"/>
    </row>
    <row r="219" spans="2:17" s="58" customFormat="1" ht="15.6" x14ac:dyDescent="0.3">
      <c r="B219" s="352"/>
      <c r="C219" s="353" t="s">
        <v>771</v>
      </c>
      <c r="D219" s="354" t="s">
        <v>188</v>
      </c>
      <c r="E219" s="355"/>
      <c r="F219" s="356">
        <f>ROUND(SUM(F217:F218),3)</f>
        <v>1</v>
      </c>
      <c r="G219" s="357"/>
      <c r="H219" s="358"/>
      <c r="I219" s="359"/>
      <c r="J219" s="359"/>
      <c r="M219" s="499"/>
      <c r="Q219" s="499"/>
    </row>
    <row r="220" spans="2:17" s="58" customFormat="1" ht="15.6" x14ac:dyDescent="0.3">
      <c r="B220" s="352"/>
      <c r="C220" s="353" t="s">
        <v>772</v>
      </c>
      <c r="D220" s="354" t="s">
        <v>188</v>
      </c>
      <c r="E220" s="355"/>
      <c r="F220" s="356">
        <v>1</v>
      </c>
      <c r="G220" s="357"/>
      <c r="H220" s="358"/>
      <c r="I220" s="359"/>
      <c r="J220" s="359"/>
      <c r="M220" s="499"/>
      <c r="Q220" s="499"/>
    </row>
    <row r="221" spans="2:17" s="58" customFormat="1" ht="15.6" x14ac:dyDescent="0.3">
      <c r="B221" s="360"/>
      <c r="C221" s="361" t="s">
        <v>773</v>
      </c>
      <c r="D221" s="362" t="s">
        <v>188</v>
      </c>
      <c r="E221" s="363"/>
      <c r="F221" s="364">
        <f>F219-F220</f>
        <v>0</v>
      </c>
      <c r="G221" s="365"/>
      <c r="H221" s="366"/>
      <c r="I221" s="367"/>
      <c r="J221" s="367"/>
      <c r="M221" s="499"/>
      <c r="Q221" s="499"/>
    </row>
    <row r="222" spans="2:17" ht="7.5" customHeight="1" x14ac:dyDescent="0.3">
      <c r="B222" s="338"/>
      <c r="C222" s="142"/>
      <c r="D222" s="143"/>
      <c r="E222" s="144"/>
      <c r="F222" s="345"/>
      <c r="G222" s="144"/>
      <c r="H222" s="144"/>
      <c r="I222" s="515"/>
      <c r="J222" s="514"/>
    </row>
    <row r="223" spans="2:17" ht="15.6" x14ac:dyDescent="0.3">
      <c r="B223" s="145" t="s">
        <v>1346</v>
      </c>
      <c r="C223" s="150" t="s">
        <v>1347</v>
      </c>
      <c r="D223" s="146" t="s">
        <v>188</v>
      </c>
      <c r="E223" s="147"/>
      <c r="F223" s="483">
        <v>1</v>
      </c>
      <c r="G223" s="147" t="s">
        <v>1348</v>
      </c>
      <c r="H223" s="298">
        <v>45736</v>
      </c>
      <c r="I223" s="151" t="s">
        <v>934</v>
      </c>
      <c r="J223" s="151" t="s">
        <v>1349</v>
      </c>
    </row>
    <row r="224" spans="2:17" ht="15.6" x14ac:dyDescent="0.3">
      <c r="B224" s="145" t="s">
        <v>1346</v>
      </c>
      <c r="C224" s="150" t="s">
        <v>1347</v>
      </c>
      <c r="D224" s="146" t="s">
        <v>188</v>
      </c>
      <c r="E224" s="147"/>
      <c r="F224" s="483">
        <v>1</v>
      </c>
      <c r="G224" s="147" t="s">
        <v>1350</v>
      </c>
      <c r="H224" s="298">
        <v>45831</v>
      </c>
      <c r="I224" s="151" t="s">
        <v>937</v>
      </c>
      <c r="J224" s="151" t="s">
        <v>1351</v>
      </c>
    </row>
    <row r="225" spans="2:17" ht="15.6" x14ac:dyDescent="0.3">
      <c r="B225" s="145"/>
      <c r="C225" s="150"/>
      <c r="D225" s="146"/>
      <c r="E225" s="147"/>
      <c r="F225" s="483"/>
      <c r="G225" s="147"/>
      <c r="H225" s="298"/>
      <c r="I225" s="151"/>
      <c r="J225" s="151"/>
    </row>
    <row r="226" spans="2:17" s="58" customFormat="1" ht="15.6" x14ac:dyDescent="0.3">
      <c r="B226" s="352"/>
      <c r="C226" s="353" t="s">
        <v>771</v>
      </c>
      <c r="D226" s="354" t="s">
        <v>188</v>
      </c>
      <c r="E226" s="355"/>
      <c r="F226" s="356">
        <f>ROUND(SUM(F223:F225),3)</f>
        <v>2</v>
      </c>
      <c r="G226" s="357"/>
      <c r="H226" s="358"/>
      <c r="I226" s="359"/>
      <c r="J226" s="359"/>
      <c r="M226" s="499"/>
      <c r="Q226" s="499"/>
    </row>
    <row r="227" spans="2:17" s="58" customFormat="1" ht="15.6" x14ac:dyDescent="0.3">
      <c r="B227" s="352"/>
      <c r="C227" s="353" t="s">
        <v>772</v>
      </c>
      <c r="D227" s="354" t="s">
        <v>188</v>
      </c>
      <c r="E227" s="355"/>
      <c r="F227" s="356">
        <v>2</v>
      </c>
      <c r="G227" s="357"/>
      <c r="H227" s="358"/>
      <c r="I227" s="359"/>
      <c r="J227" s="359"/>
      <c r="M227" s="499"/>
      <c r="Q227" s="499"/>
    </row>
    <row r="228" spans="2:17" s="58" customFormat="1" ht="15.6" x14ac:dyDescent="0.3">
      <c r="B228" s="360"/>
      <c r="C228" s="361" t="s">
        <v>773</v>
      </c>
      <c r="D228" s="362" t="s">
        <v>188</v>
      </c>
      <c r="E228" s="363"/>
      <c r="F228" s="364">
        <f>F226-F227</f>
        <v>0</v>
      </c>
      <c r="G228" s="365"/>
      <c r="H228" s="366"/>
      <c r="I228" s="367"/>
      <c r="J228" s="367"/>
      <c r="M228" s="499"/>
      <c r="Q228" s="499"/>
    </row>
    <row r="229" spans="2:17" ht="7.5" customHeight="1" x14ac:dyDescent="0.3">
      <c r="B229" s="338"/>
      <c r="C229" s="142"/>
      <c r="D229" s="143"/>
      <c r="E229" s="144"/>
      <c r="F229" s="345"/>
      <c r="G229" s="144"/>
      <c r="H229" s="144"/>
      <c r="I229" s="515"/>
      <c r="J229" s="514"/>
    </row>
    <row r="230" spans="2:17" ht="31.2" x14ac:dyDescent="0.3">
      <c r="B230" s="145" t="s">
        <v>1352</v>
      </c>
      <c r="C230" s="150" t="s">
        <v>1353</v>
      </c>
      <c r="D230" s="146" t="s">
        <v>188</v>
      </c>
      <c r="E230" s="147"/>
      <c r="F230" s="349">
        <v>1</v>
      </c>
      <c r="G230" s="302" t="s">
        <v>1354</v>
      </c>
      <c r="H230" s="298">
        <v>45468</v>
      </c>
      <c r="I230" s="151" t="s">
        <v>767</v>
      </c>
      <c r="J230" s="151"/>
    </row>
    <row r="231" spans="2:17" ht="15.6" x14ac:dyDescent="0.3">
      <c r="B231" s="145"/>
      <c r="C231" s="150"/>
      <c r="D231" s="146"/>
      <c r="E231" s="147"/>
      <c r="F231" s="349"/>
      <c r="G231" s="147"/>
      <c r="H231" s="298"/>
      <c r="I231" s="151"/>
      <c r="J231" s="151"/>
    </row>
    <row r="232" spans="2:17" s="58" customFormat="1" ht="15.6" x14ac:dyDescent="0.3">
      <c r="B232" s="352"/>
      <c r="C232" s="353" t="s">
        <v>771</v>
      </c>
      <c r="D232" s="354" t="s">
        <v>188</v>
      </c>
      <c r="E232" s="355"/>
      <c r="F232" s="356">
        <f>ROUND(SUM(F230:F231),3)</f>
        <v>1</v>
      </c>
      <c r="G232" s="357"/>
      <c r="H232" s="358"/>
      <c r="I232" s="359"/>
      <c r="J232" s="359"/>
      <c r="M232" s="499"/>
      <c r="Q232" s="499"/>
    </row>
    <row r="233" spans="2:17" s="58" customFormat="1" ht="15.6" x14ac:dyDescent="0.3">
      <c r="B233" s="352"/>
      <c r="C233" s="353" t="s">
        <v>772</v>
      </c>
      <c r="D233" s="354" t="s">
        <v>188</v>
      </c>
      <c r="E233" s="355"/>
      <c r="F233" s="356">
        <v>1</v>
      </c>
      <c r="G233" s="357"/>
      <c r="H233" s="358"/>
      <c r="I233" s="359"/>
      <c r="J233" s="359"/>
      <c r="M233" s="499"/>
      <c r="Q233" s="499"/>
    </row>
    <row r="234" spans="2:17" s="58" customFormat="1" ht="15.6" x14ac:dyDescent="0.3">
      <c r="B234" s="360"/>
      <c r="C234" s="361" t="s">
        <v>773</v>
      </c>
      <c r="D234" s="362" t="s">
        <v>188</v>
      </c>
      <c r="E234" s="363"/>
      <c r="F234" s="364">
        <f>F232-F233</f>
        <v>0</v>
      </c>
      <c r="G234" s="365"/>
      <c r="H234" s="366"/>
      <c r="I234" s="367"/>
      <c r="J234" s="367"/>
      <c r="M234" s="499"/>
      <c r="Q234" s="499"/>
    </row>
    <row r="235" spans="2:17" ht="7.5" customHeight="1" x14ac:dyDescent="0.3">
      <c r="B235" s="338"/>
      <c r="C235" s="142"/>
      <c r="D235" s="143"/>
      <c r="E235" s="144"/>
      <c r="F235" s="345"/>
      <c r="G235" s="144"/>
      <c r="H235" s="144"/>
      <c r="I235" s="515"/>
      <c r="J235" s="514"/>
    </row>
    <row r="236" spans="2:17" ht="15.6" x14ac:dyDescent="0.3">
      <c r="B236" s="145" t="s">
        <v>1355</v>
      </c>
      <c r="C236" s="150" t="s">
        <v>1356</v>
      </c>
      <c r="D236" s="146" t="s">
        <v>188</v>
      </c>
      <c r="E236" s="147"/>
      <c r="F236" s="349">
        <v>1</v>
      </c>
      <c r="G236" s="147" t="s">
        <v>1357</v>
      </c>
      <c r="H236" s="298">
        <v>45467</v>
      </c>
      <c r="I236" s="151" t="s">
        <v>767</v>
      </c>
      <c r="J236" s="151"/>
    </row>
    <row r="237" spans="2:17" ht="15.6" x14ac:dyDescent="0.3">
      <c r="B237" s="145"/>
      <c r="C237" s="150"/>
      <c r="D237" s="146"/>
      <c r="E237" s="147"/>
      <c r="F237" s="349"/>
      <c r="G237" s="147"/>
      <c r="H237" s="298"/>
      <c r="I237" s="151"/>
      <c r="J237" s="151"/>
    </row>
    <row r="238" spans="2:17" s="58" customFormat="1" ht="15.6" x14ac:dyDescent="0.3">
      <c r="B238" s="352"/>
      <c r="C238" s="353" t="s">
        <v>771</v>
      </c>
      <c r="D238" s="354" t="s">
        <v>188</v>
      </c>
      <c r="E238" s="355"/>
      <c r="F238" s="356">
        <f>ROUND(SUM(F236:F237),3)</f>
        <v>1</v>
      </c>
      <c r="G238" s="357"/>
      <c r="H238" s="358"/>
      <c r="I238" s="359"/>
      <c r="J238" s="359"/>
      <c r="L238" s="132"/>
      <c r="M238" s="339"/>
      <c r="N238" s="132"/>
      <c r="O238" s="132"/>
      <c r="P238" s="132"/>
      <c r="Q238" s="339"/>
    </row>
    <row r="239" spans="2:17" s="58" customFormat="1" ht="15.6" x14ac:dyDescent="0.3">
      <c r="B239" s="352"/>
      <c r="C239" s="353" t="s">
        <v>772</v>
      </c>
      <c r="D239" s="354" t="s">
        <v>188</v>
      </c>
      <c r="E239" s="355"/>
      <c r="F239" s="356">
        <v>1</v>
      </c>
      <c r="G239" s="357"/>
      <c r="H239" s="358"/>
      <c r="I239" s="359"/>
      <c r="J239" s="359"/>
      <c r="M239" s="499"/>
      <c r="Q239" s="499"/>
    </row>
    <row r="240" spans="2:17" s="58" customFormat="1" ht="15.6" x14ac:dyDescent="0.3">
      <c r="B240" s="360"/>
      <c r="C240" s="361" t="s">
        <v>773</v>
      </c>
      <c r="D240" s="362" t="s">
        <v>188</v>
      </c>
      <c r="E240" s="363"/>
      <c r="F240" s="364">
        <f>F238-F239</f>
        <v>0</v>
      </c>
      <c r="G240" s="365"/>
      <c r="H240" s="366"/>
      <c r="I240" s="367"/>
      <c r="J240" s="367"/>
      <c r="M240" s="499"/>
      <c r="Q240" s="499"/>
    </row>
    <row r="241" spans="2:17" ht="7.5" customHeight="1" x14ac:dyDescent="0.3">
      <c r="B241" s="338"/>
      <c r="C241" s="142"/>
      <c r="D241" s="143"/>
      <c r="E241" s="144"/>
      <c r="F241" s="345"/>
      <c r="G241" s="144"/>
      <c r="H241" s="144"/>
      <c r="I241" s="515"/>
      <c r="J241" s="514"/>
      <c r="L241" s="58"/>
      <c r="M241" s="499"/>
      <c r="N241" s="58"/>
      <c r="O241" s="58"/>
      <c r="P241" s="58"/>
      <c r="Q241" s="499"/>
    </row>
    <row r="242" spans="2:17" ht="31.2" x14ac:dyDescent="0.3">
      <c r="B242" s="145" t="s">
        <v>1358</v>
      </c>
      <c r="C242" s="150" t="s">
        <v>1359</v>
      </c>
      <c r="D242" s="146" t="s">
        <v>188</v>
      </c>
      <c r="E242" s="126"/>
      <c r="F242" s="349">
        <v>1</v>
      </c>
      <c r="G242" s="302" t="s">
        <v>1354</v>
      </c>
      <c r="H242" s="300">
        <v>45468</v>
      </c>
      <c r="I242" s="151" t="s">
        <v>767</v>
      </c>
      <c r="J242" s="151"/>
    </row>
    <row r="243" spans="2:17" ht="15.6" x14ac:dyDescent="0.3">
      <c r="B243" s="145"/>
      <c r="C243" s="150"/>
      <c r="D243" s="146"/>
      <c r="E243" s="147"/>
      <c r="F243" s="349"/>
      <c r="G243" s="147"/>
      <c r="H243" s="298"/>
      <c r="I243" s="151"/>
      <c r="J243" s="151"/>
    </row>
    <row r="244" spans="2:17" s="58" customFormat="1" ht="15.6" x14ac:dyDescent="0.3">
      <c r="B244" s="352"/>
      <c r="C244" s="353" t="s">
        <v>771</v>
      </c>
      <c r="D244" s="354" t="s">
        <v>188</v>
      </c>
      <c r="E244" s="355"/>
      <c r="F244" s="356">
        <f>ROUND(SUM(F242:F243),3)</f>
        <v>1</v>
      </c>
      <c r="G244" s="357"/>
      <c r="H244" s="358"/>
      <c r="I244" s="359"/>
      <c r="J244" s="359"/>
      <c r="L244" s="132"/>
      <c r="M244" s="339"/>
      <c r="N244" s="132"/>
      <c r="O244" s="132"/>
      <c r="P244" s="132"/>
      <c r="Q244" s="339"/>
    </row>
    <row r="245" spans="2:17" s="58" customFormat="1" ht="15.6" x14ac:dyDescent="0.3">
      <c r="B245" s="352"/>
      <c r="C245" s="353" t="s">
        <v>772</v>
      </c>
      <c r="D245" s="354" t="s">
        <v>188</v>
      </c>
      <c r="E245" s="355"/>
      <c r="F245" s="356">
        <v>1</v>
      </c>
      <c r="G245" s="357"/>
      <c r="H245" s="358"/>
      <c r="I245" s="359"/>
      <c r="J245" s="359"/>
      <c r="M245" s="499"/>
      <c r="Q245" s="499"/>
    </row>
    <row r="246" spans="2:17" s="58" customFormat="1" ht="15.6" x14ac:dyDescent="0.3">
      <c r="B246" s="360"/>
      <c r="C246" s="361" t="s">
        <v>773</v>
      </c>
      <c r="D246" s="362" t="s">
        <v>188</v>
      </c>
      <c r="E246" s="363"/>
      <c r="F246" s="364">
        <f>F244-F245</f>
        <v>0</v>
      </c>
      <c r="G246" s="365"/>
      <c r="H246" s="366"/>
      <c r="I246" s="367"/>
      <c r="J246" s="367"/>
      <c r="M246" s="499"/>
      <c r="Q246" s="499"/>
    </row>
    <row r="247" spans="2:17" ht="7.5" customHeight="1" x14ac:dyDescent="0.3">
      <c r="B247" s="338"/>
      <c r="C247" s="142"/>
      <c r="D247" s="143"/>
      <c r="E247" s="144"/>
      <c r="F247" s="345"/>
      <c r="G247" s="144"/>
      <c r="H247" s="144"/>
      <c r="I247" s="515"/>
      <c r="J247" s="514"/>
      <c r="L247" s="58"/>
      <c r="M247" s="499"/>
      <c r="N247" s="58"/>
      <c r="O247" s="58"/>
      <c r="P247" s="58"/>
      <c r="Q247" s="499"/>
    </row>
    <row r="248" spans="2:17" ht="15.6" x14ac:dyDescent="0.3">
      <c r="B248" s="145" t="s">
        <v>1360</v>
      </c>
      <c r="C248" s="150" t="s">
        <v>1361</v>
      </c>
      <c r="D248" s="146" t="s">
        <v>188</v>
      </c>
      <c r="E248" s="126"/>
      <c r="F248" s="349">
        <v>0.5</v>
      </c>
      <c r="G248" s="302" t="s">
        <v>1362</v>
      </c>
      <c r="H248" s="300">
        <v>45468</v>
      </c>
      <c r="I248" s="151" t="s">
        <v>767</v>
      </c>
      <c r="J248" s="151"/>
    </row>
    <row r="249" spans="2:17" ht="15.6" x14ac:dyDescent="0.3">
      <c r="B249" s="145" t="s">
        <v>1360</v>
      </c>
      <c r="C249" s="150" t="s">
        <v>1361</v>
      </c>
      <c r="D249" s="146" t="s">
        <v>188</v>
      </c>
      <c r="E249" s="126"/>
      <c r="F249" s="349">
        <v>0.5</v>
      </c>
      <c r="G249" s="302" t="s">
        <v>1363</v>
      </c>
      <c r="H249" s="300">
        <v>45468</v>
      </c>
      <c r="I249" s="151" t="s">
        <v>767</v>
      </c>
      <c r="J249" s="151"/>
    </row>
    <row r="250" spans="2:17" ht="15.6" x14ac:dyDescent="0.3">
      <c r="B250" s="145"/>
      <c r="C250" s="150"/>
      <c r="D250" s="146"/>
      <c r="E250" s="147"/>
      <c r="F250" s="349"/>
      <c r="G250" s="147"/>
      <c r="H250" s="298"/>
      <c r="I250" s="151"/>
      <c r="J250" s="151"/>
    </row>
    <row r="251" spans="2:17" s="58" customFormat="1" ht="15.6" x14ac:dyDescent="0.3">
      <c r="B251" s="352"/>
      <c r="C251" s="353" t="s">
        <v>771</v>
      </c>
      <c r="D251" s="354" t="s">
        <v>188</v>
      </c>
      <c r="E251" s="355"/>
      <c r="F251" s="356">
        <f>ROUND(SUM(F248:F250),3)</f>
        <v>1</v>
      </c>
      <c r="G251" s="357"/>
      <c r="H251" s="358"/>
      <c r="I251" s="359"/>
      <c r="J251" s="359"/>
      <c r="M251" s="499"/>
      <c r="Q251" s="499"/>
    </row>
    <row r="252" spans="2:17" s="58" customFormat="1" ht="15.6" x14ac:dyDescent="0.3">
      <c r="B252" s="352"/>
      <c r="C252" s="353" t="s">
        <v>772</v>
      </c>
      <c r="D252" s="354" t="s">
        <v>188</v>
      </c>
      <c r="E252" s="355"/>
      <c r="F252" s="356">
        <v>1</v>
      </c>
      <c r="G252" s="357"/>
      <c r="H252" s="358"/>
      <c r="I252" s="359"/>
      <c r="J252" s="359"/>
      <c r="M252" s="499"/>
      <c r="Q252" s="499"/>
    </row>
    <row r="253" spans="2:17" s="58" customFormat="1" ht="15.6" x14ac:dyDescent="0.3">
      <c r="B253" s="360"/>
      <c r="C253" s="361" t="s">
        <v>773</v>
      </c>
      <c r="D253" s="362" t="s">
        <v>188</v>
      </c>
      <c r="E253" s="363"/>
      <c r="F253" s="364">
        <f>F251-F252</f>
        <v>0</v>
      </c>
      <c r="G253" s="365"/>
      <c r="H253" s="366"/>
      <c r="I253" s="367"/>
      <c r="J253" s="367"/>
      <c r="M253" s="499"/>
      <c r="Q253" s="499"/>
    </row>
    <row r="254" spans="2:17" ht="7.5" customHeight="1" x14ac:dyDescent="0.3">
      <c r="B254" s="338"/>
      <c r="C254" s="142"/>
      <c r="D254" s="143"/>
      <c r="E254" s="144"/>
      <c r="F254" s="345"/>
      <c r="G254" s="144"/>
      <c r="H254" s="144"/>
      <c r="I254" s="515"/>
      <c r="J254" s="514"/>
    </row>
    <row r="255" spans="2:17" ht="31.2" x14ac:dyDescent="0.3">
      <c r="B255" s="145" t="s">
        <v>1364</v>
      </c>
      <c r="C255" s="150" t="s">
        <v>1365</v>
      </c>
      <c r="D255" s="146" t="s">
        <v>188</v>
      </c>
      <c r="E255" s="126"/>
      <c r="F255" s="349">
        <v>1</v>
      </c>
      <c r="G255" s="302" t="s">
        <v>1354</v>
      </c>
      <c r="H255" s="298">
        <v>45468</v>
      </c>
      <c r="I255" s="151" t="s">
        <v>767</v>
      </c>
      <c r="J255" s="151"/>
    </row>
    <row r="256" spans="2:17" ht="15.6" x14ac:dyDescent="0.3">
      <c r="B256" s="145"/>
      <c r="C256" s="150"/>
      <c r="D256" s="146"/>
      <c r="E256" s="147"/>
      <c r="F256" s="349"/>
      <c r="G256" s="147"/>
      <c r="H256" s="298"/>
      <c r="I256" s="151"/>
      <c r="J256" s="151"/>
    </row>
    <row r="257" spans="2:17" s="58" customFormat="1" ht="15.6" x14ac:dyDescent="0.3">
      <c r="B257" s="352"/>
      <c r="C257" s="353" t="s">
        <v>771</v>
      </c>
      <c r="D257" s="354" t="s">
        <v>188</v>
      </c>
      <c r="E257" s="355"/>
      <c r="F257" s="356">
        <f>ROUND(SUM(F254:F256),3)</f>
        <v>1</v>
      </c>
      <c r="G257" s="357"/>
      <c r="H257" s="358"/>
      <c r="I257" s="359"/>
      <c r="J257" s="359"/>
      <c r="M257" s="499"/>
      <c r="Q257" s="499"/>
    </row>
    <row r="258" spans="2:17" s="58" customFormat="1" ht="15.6" x14ac:dyDescent="0.3">
      <c r="B258" s="352"/>
      <c r="C258" s="353" t="s">
        <v>772</v>
      </c>
      <c r="D258" s="354" t="s">
        <v>188</v>
      </c>
      <c r="E258" s="355"/>
      <c r="F258" s="356">
        <v>1</v>
      </c>
      <c r="G258" s="357"/>
      <c r="H258" s="358"/>
      <c r="I258" s="359"/>
      <c r="J258" s="359"/>
      <c r="M258" s="499"/>
      <c r="Q258" s="499"/>
    </row>
    <row r="259" spans="2:17" s="58" customFormat="1" ht="15.6" x14ac:dyDescent="0.3">
      <c r="B259" s="360"/>
      <c r="C259" s="361" t="s">
        <v>773</v>
      </c>
      <c r="D259" s="362" t="s">
        <v>188</v>
      </c>
      <c r="E259" s="363"/>
      <c r="F259" s="364">
        <f>F257-F258</f>
        <v>0</v>
      </c>
      <c r="G259" s="365"/>
      <c r="H259" s="366"/>
      <c r="I259" s="367"/>
      <c r="J259" s="367"/>
      <c r="M259" s="499"/>
      <c r="Q259" s="499"/>
    </row>
    <row r="260" spans="2:17" ht="7.5" customHeight="1" x14ac:dyDescent="0.3">
      <c r="B260" s="338"/>
      <c r="C260" s="142"/>
      <c r="D260" s="143"/>
      <c r="E260" s="144"/>
      <c r="F260" s="345"/>
      <c r="G260" s="144"/>
      <c r="H260" s="144"/>
      <c r="I260" s="515"/>
      <c r="J260" s="514"/>
    </row>
    <row r="261" spans="2:17" ht="15.6" x14ac:dyDescent="0.3">
      <c r="B261" s="145" t="s">
        <v>1366</v>
      </c>
      <c r="C261" s="150" t="s">
        <v>1367</v>
      </c>
      <c r="D261" s="146" t="s">
        <v>188</v>
      </c>
      <c r="E261" s="126"/>
      <c r="F261" s="349">
        <v>1</v>
      </c>
      <c r="G261" s="147" t="s">
        <v>1368</v>
      </c>
      <c r="H261" s="298">
        <v>45467</v>
      </c>
      <c r="I261" s="151" t="s">
        <v>767</v>
      </c>
      <c r="J261" s="151"/>
    </row>
    <row r="262" spans="2:17" ht="15.6" x14ac:dyDescent="0.3">
      <c r="B262" s="145"/>
      <c r="C262" s="150"/>
      <c r="D262" s="146"/>
      <c r="E262" s="147"/>
      <c r="F262" s="349"/>
      <c r="G262" s="147"/>
      <c r="H262" s="298"/>
      <c r="I262" s="151"/>
      <c r="J262" s="151"/>
    </row>
    <row r="263" spans="2:17" s="58" customFormat="1" ht="15.6" x14ac:dyDescent="0.3">
      <c r="B263" s="352"/>
      <c r="C263" s="353" t="s">
        <v>771</v>
      </c>
      <c r="D263" s="354" t="s">
        <v>188</v>
      </c>
      <c r="E263" s="355"/>
      <c r="F263" s="356">
        <f>ROUND(SUM(F260:F262),3)</f>
        <v>1</v>
      </c>
      <c r="G263" s="357"/>
      <c r="H263" s="358"/>
      <c r="I263" s="359"/>
      <c r="J263" s="359"/>
      <c r="L263" s="132"/>
      <c r="M263" s="339"/>
      <c r="N263" s="132"/>
      <c r="O263" s="132"/>
      <c r="P263" s="132"/>
      <c r="Q263" s="339"/>
    </row>
    <row r="264" spans="2:17" s="58" customFormat="1" ht="15.6" x14ac:dyDescent="0.3">
      <c r="B264" s="352"/>
      <c r="C264" s="353" t="s">
        <v>772</v>
      </c>
      <c r="D264" s="354" t="s">
        <v>188</v>
      </c>
      <c r="E264" s="355"/>
      <c r="F264" s="356">
        <v>1</v>
      </c>
      <c r="G264" s="357"/>
      <c r="H264" s="358"/>
      <c r="I264" s="359"/>
      <c r="J264" s="359"/>
      <c r="M264" s="499"/>
      <c r="Q264" s="499"/>
    </row>
    <row r="265" spans="2:17" s="58" customFormat="1" ht="15.6" x14ac:dyDescent="0.3">
      <c r="B265" s="360"/>
      <c r="C265" s="361" t="s">
        <v>773</v>
      </c>
      <c r="D265" s="362" t="s">
        <v>188</v>
      </c>
      <c r="E265" s="363"/>
      <c r="F265" s="364">
        <f>F263-F264</f>
        <v>0</v>
      </c>
      <c r="G265" s="365"/>
      <c r="H265" s="366"/>
      <c r="I265" s="367"/>
      <c r="J265" s="367"/>
      <c r="M265" s="499"/>
      <c r="Q265" s="499"/>
    </row>
    <row r="266" spans="2:17" ht="7.5" customHeight="1" x14ac:dyDescent="0.3">
      <c r="B266" s="338"/>
      <c r="C266" s="142"/>
      <c r="D266" s="143"/>
      <c r="E266" s="144"/>
      <c r="F266" s="345"/>
      <c r="G266" s="144"/>
      <c r="H266" s="144"/>
      <c r="I266" s="515"/>
      <c r="J266" s="514"/>
      <c r="L266" s="58"/>
      <c r="M266" s="499"/>
      <c r="N266" s="58"/>
      <c r="O266" s="58"/>
      <c r="P266" s="58"/>
      <c r="Q266" s="499"/>
    </row>
    <row r="267" spans="2:17" ht="31.2" x14ac:dyDescent="0.3">
      <c r="B267" s="145" t="s">
        <v>1369</v>
      </c>
      <c r="C267" s="150" t="s">
        <v>1370</v>
      </c>
      <c r="D267" s="146" t="s">
        <v>188</v>
      </c>
      <c r="E267" s="126"/>
      <c r="F267" s="349">
        <v>1</v>
      </c>
      <c r="G267" s="302" t="s">
        <v>1354</v>
      </c>
      <c r="H267" s="298">
        <v>45468</v>
      </c>
      <c r="I267" s="151" t="s">
        <v>767</v>
      </c>
      <c r="J267" s="151"/>
    </row>
    <row r="268" spans="2:17" ht="15.6" x14ac:dyDescent="0.3">
      <c r="B268" s="145"/>
      <c r="C268" s="150"/>
      <c r="D268" s="146"/>
      <c r="E268" s="147"/>
      <c r="F268" s="349"/>
      <c r="G268" s="147"/>
      <c r="H268" s="298"/>
      <c r="I268" s="151"/>
      <c r="J268" s="151"/>
    </row>
    <row r="269" spans="2:17" s="58" customFormat="1" ht="15.6" x14ac:dyDescent="0.3">
      <c r="B269" s="352"/>
      <c r="C269" s="353" t="s">
        <v>771</v>
      </c>
      <c r="D269" s="354" t="s">
        <v>188</v>
      </c>
      <c r="E269" s="355"/>
      <c r="F269" s="356">
        <f>ROUND(SUM(F266:F268),3)</f>
        <v>1</v>
      </c>
      <c r="G269" s="357"/>
      <c r="H269" s="358"/>
      <c r="I269" s="359"/>
      <c r="J269" s="359"/>
      <c r="L269" s="132"/>
      <c r="M269" s="339"/>
      <c r="N269" s="132"/>
      <c r="O269" s="132"/>
      <c r="P269" s="132"/>
      <c r="Q269" s="339"/>
    </row>
    <row r="270" spans="2:17" s="58" customFormat="1" ht="15.6" x14ac:dyDescent="0.3">
      <c r="B270" s="352"/>
      <c r="C270" s="353" t="s">
        <v>772</v>
      </c>
      <c r="D270" s="354" t="s">
        <v>188</v>
      </c>
      <c r="E270" s="355"/>
      <c r="F270" s="356">
        <v>1</v>
      </c>
      <c r="G270" s="357"/>
      <c r="H270" s="358"/>
      <c r="I270" s="359"/>
      <c r="J270" s="359"/>
      <c r="L270" s="132"/>
      <c r="M270" s="339"/>
      <c r="N270" s="132"/>
      <c r="O270" s="132"/>
      <c r="P270" s="132"/>
      <c r="Q270" s="339"/>
    </row>
    <row r="271" spans="2:17" s="58" customFormat="1" ht="15.6" x14ac:dyDescent="0.3">
      <c r="B271" s="360"/>
      <c r="C271" s="361" t="s">
        <v>773</v>
      </c>
      <c r="D271" s="362" t="s">
        <v>188</v>
      </c>
      <c r="E271" s="363"/>
      <c r="F271" s="364">
        <f>F269-F270</f>
        <v>0</v>
      </c>
      <c r="G271" s="365"/>
      <c r="H271" s="366"/>
      <c r="I271" s="367"/>
      <c r="J271" s="367"/>
      <c r="M271" s="499"/>
      <c r="Q271" s="499"/>
    </row>
    <row r="272" spans="2:17" ht="7.5" customHeight="1" x14ac:dyDescent="0.3">
      <c r="B272" s="338"/>
      <c r="C272" s="142"/>
      <c r="D272" s="143"/>
      <c r="E272" s="144"/>
      <c r="F272" s="345"/>
      <c r="G272" s="144"/>
      <c r="H272" s="144"/>
      <c r="I272" s="515"/>
      <c r="J272" s="514"/>
      <c r="L272" s="58"/>
      <c r="M272" s="499"/>
      <c r="N272" s="58"/>
      <c r="O272" s="58"/>
      <c r="P272" s="58"/>
      <c r="Q272" s="499"/>
    </row>
    <row r="273" spans="2:17" ht="15.6" x14ac:dyDescent="0.3">
      <c r="B273" s="145" t="s">
        <v>1371</v>
      </c>
      <c r="C273" s="150" t="s">
        <v>1372</v>
      </c>
      <c r="D273" s="146" t="s">
        <v>188</v>
      </c>
      <c r="E273" s="126"/>
      <c r="F273" s="483">
        <v>1</v>
      </c>
      <c r="G273" s="664" t="s">
        <v>1373</v>
      </c>
      <c r="H273" s="298">
        <v>45715</v>
      </c>
      <c r="I273" s="151" t="s">
        <v>1250</v>
      </c>
      <c r="J273" s="151"/>
    </row>
    <row r="274" spans="2:17" ht="15.6" x14ac:dyDescent="0.3">
      <c r="B274" s="145"/>
      <c r="C274" s="150"/>
      <c r="D274" s="146"/>
      <c r="E274" s="147"/>
      <c r="F274" s="349"/>
      <c r="G274" s="147"/>
      <c r="H274" s="298"/>
      <c r="I274" s="151"/>
      <c r="J274" s="151"/>
    </row>
    <row r="275" spans="2:17" s="58" customFormat="1" ht="15.6" x14ac:dyDescent="0.3">
      <c r="B275" s="352"/>
      <c r="C275" s="353" t="s">
        <v>771</v>
      </c>
      <c r="D275" s="354" t="s">
        <v>188</v>
      </c>
      <c r="E275" s="355"/>
      <c r="F275" s="356">
        <f>ROUND(SUM(F272:F274),3)</f>
        <v>1</v>
      </c>
      <c r="G275" s="357"/>
      <c r="H275" s="358"/>
      <c r="I275" s="359"/>
      <c r="J275" s="359"/>
      <c r="L275" s="132"/>
      <c r="M275" s="339"/>
      <c r="N275" s="132"/>
      <c r="O275" s="132"/>
      <c r="P275" s="132"/>
      <c r="Q275" s="339"/>
    </row>
    <row r="276" spans="2:17" s="58" customFormat="1" ht="15.6" x14ac:dyDescent="0.3">
      <c r="B276" s="352"/>
      <c r="C276" s="353" t="s">
        <v>772</v>
      </c>
      <c r="D276" s="354" t="s">
        <v>188</v>
      </c>
      <c r="E276" s="355"/>
      <c r="F276" s="356">
        <v>1</v>
      </c>
      <c r="G276" s="357"/>
      <c r="H276" s="358"/>
      <c r="I276" s="359"/>
      <c r="J276" s="359"/>
      <c r="M276" s="499"/>
      <c r="Q276" s="499"/>
    </row>
    <row r="277" spans="2:17" s="58" customFormat="1" ht="15.6" x14ac:dyDescent="0.3">
      <c r="B277" s="360"/>
      <c r="C277" s="361" t="s">
        <v>773</v>
      </c>
      <c r="D277" s="362" t="s">
        <v>188</v>
      </c>
      <c r="E277" s="363"/>
      <c r="F277" s="364">
        <f>F275-F276</f>
        <v>0</v>
      </c>
      <c r="G277" s="365"/>
      <c r="H277" s="366"/>
      <c r="I277" s="367"/>
      <c r="J277" s="367"/>
      <c r="M277" s="499"/>
      <c r="Q277" s="499"/>
    </row>
    <row r="278" spans="2:17" ht="7.5" customHeight="1" x14ac:dyDescent="0.3">
      <c r="B278" s="338"/>
      <c r="C278" s="142"/>
      <c r="D278" s="143"/>
      <c r="E278" s="144"/>
      <c r="F278" s="345"/>
      <c r="G278" s="144"/>
      <c r="H278" s="144"/>
      <c r="I278" s="515"/>
      <c r="J278" s="514"/>
      <c r="L278" s="58"/>
      <c r="M278" s="499"/>
      <c r="N278" s="58"/>
      <c r="O278" s="58"/>
      <c r="P278" s="58"/>
      <c r="Q278" s="499"/>
    </row>
    <row r="279" spans="2:17" ht="15.6" x14ac:dyDescent="0.3">
      <c r="B279" s="145" t="s">
        <v>1374</v>
      </c>
      <c r="C279" s="150" t="s">
        <v>1375</v>
      </c>
      <c r="D279" s="146" t="s">
        <v>188</v>
      </c>
      <c r="E279" s="126"/>
      <c r="F279" s="483">
        <v>1</v>
      </c>
      <c r="G279" s="302" t="s">
        <v>1376</v>
      </c>
      <c r="H279" s="298">
        <v>45635</v>
      </c>
      <c r="I279" s="151" t="s">
        <v>931</v>
      </c>
      <c r="J279" s="151"/>
    </row>
    <row r="280" spans="2:17" ht="15.6" x14ac:dyDescent="0.3">
      <c r="B280" s="145"/>
      <c r="C280" s="150"/>
      <c r="D280" s="146"/>
      <c r="E280" s="147"/>
      <c r="F280" s="349"/>
      <c r="G280" s="147"/>
      <c r="H280" s="298"/>
      <c r="I280" s="151"/>
      <c r="J280" s="151"/>
    </row>
    <row r="281" spans="2:17" s="58" customFormat="1" ht="15.6" x14ac:dyDescent="0.3">
      <c r="B281" s="352"/>
      <c r="C281" s="353" t="s">
        <v>771</v>
      </c>
      <c r="D281" s="354" t="s">
        <v>188</v>
      </c>
      <c r="E281" s="355"/>
      <c r="F281" s="356">
        <f>ROUND(SUM(F278:F280),3)</f>
        <v>1</v>
      </c>
      <c r="G281" s="357"/>
      <c r="H281" s="358"/>
      <c r="I281" s="359"/>
      <c r="J281" s="359"/>
      <c r="L281" s="132"/>
      <c r="M281" s="339"/>
      <c r="N281" s="132"/>
      <c r="O281" s="132"/>
      <c r="P281" s="132"/>
      <c r="Q281" s="339"/>
    </row>
    <row r="282" spans="2:17" s="58" customFormat="1" ht="15.6" x14ac:dyDescent="0.3">
      <c r="B282" s="352"/>
      <c r="C282" s="353" t="s">
        <v>772</v>
      </c>
      <c r="D282" s="354" t="s">
        <v>188</v>
      </c>
      <c r="E282" s="355"/>
      <c r="F282" s="356">
        <v>1</v>
      </c>
      <c r="G282" s="357"/>
      <c r="H282" s="358"/>
      <c r="I282" s="359"/>
      <c r="J282" s="359"/>
      <c r="L282" s="132"/>
      <c r="M282" s="339"/>
      <c r="N282" s="132"/>
      <c r="O282" s="132"/>
      <c r="P282" s="132"/>
      <c r="Q282" s="339"/>
    </row>
    <row r="283" spans="2:17" s="58" customFormat="1" ht="15.6" x14ac:dyDescent="0.3">
      <c r="B283" s="360"/>
      <c r="C283" s="361" t="s">
        <v>773</v>
      </c>
      <c r="D283" s="362" t="s">
        <v>188</v>
      </c>
      <c r="E283" s="363"/>
      <c r="F283" s="364">
        <f>F281-F282</f>
        <v>0</v>
      </c>
      <c r="G283" s="365"/>
      <c r="H283" s="366"/>
      <c r="I283" s="367"/>
      <c r="J283" s="367"/>
      <c r="M283" s="499"/>
      <c r="Q283" s="499"/>
    </row>
    <row r="284" spans="2:17" ht="7.5" customHeight="1" x14ac:dyDescent="0.3">
      <c r="B284" s="338"/>
      <c r="C284" s="142"/>
      <c r="D284" s="143"/>
      <c r="E284" s="144"/>
      <c r="F284" s="345"/>
      <c r="G284" s="144"/>
      <c r="H284" s="144"/>
      <c r="I284" s="515"/>
      <c r="J284" s="514"/>
      <c r="L284" s="58"/>
      <c r="M284" s="499"/>
      <c r="N284" s="58"/>
      <c r="O284" s="58"/>
      <c r="P284" s="58"/>
      <c r="Q284" s="499"/>
    </row>
    <row r="285" spans="2:17" ht="15.6" x14ac:dyDescent="0.3">
      <c r="B285" s="145" t="s">
        <v>1377</v>
      </c>
      <c r="C285" s="150" t="s">
        <v>1378</v>
      </c>
      <c r="D285" s="146" t="s">
        <v>188</v>
      </c>
      <c r="E285" s="126"/>
      <c r="F285" s="483">
        <v>1</v>
      </c>
      <c r="G285" s="147" t="s">
        <v>1379</v>
      </c>
      <c r="H285" s="298">
        <v>45644</v>
      </c>
      <c r="I285" s="151" t="s">
        <v>931</v>
      </c>
      <c r="J285" s="151"/>
    </row>
    <row r="286" spans="2:17" ht="15.6" x14ac:dyDescent="0.3">
      <c r="B286" s="145"/>
      <c r="C286" s="150"/>
      <c r="D286" s="146"/>
      <c r="E286" s="147"/>
      <c r="F286" s="349"/>
      <c r="G286" s="147"/>
      <c r="H286" s="298"/>
      <c r="I286" s="151"/>
      <c r="J286" s="151"/>
    </row>
    <row r="287" spans="2:17" s="58" customFormat="1" ht="15.6" x14ac:dyDescent="0.3">
      <c r="B287" s="352"/>
      <c r="C287" s="353" t="s">
        <v>771</v>
      </c>
      <c r="D287" s="354" t="s">
        <v>188</v>
      </c>
      <c r="E287" s="355"/>
      <c r="F287" s="356">
        <f>ROUND(SUM(F284:F286),3)</f>
        <v>1</v>
      </c>
      <c r="G287" s="357"/>
      <c r="H287" s="358"/>
      <c r="I287" s="359"/>
      <c r="J287" s="359"/>
      <c r="L287" s="132"/>
      <c r="M287" s="339"/>
      <c r="N287" s="132"/>
      <c r="O287" s="132"/>
      <c r="P287" s="132"/>
      <c r="Q287" s="339"/>
    </row>
    <row r="288" spans="2:17" s="58" customFormat="1" ht="15.6" x14ac:dyDescent="0.3">
      <c r="B288" s="352"/>
      <c r="C288" s="353" t="s">
        <v>772</v>
      </c>
      <c r="D288" s="354" t="s">
        <v>188</v>
      </c>
      <c r="E288" s="355"/>
      <c r="F288" s="356">
        <v>1</v>
      </c>
      <c r="G288" s="357"/>
      <c r="H288" s="358"/>
      <c r="I288" s="359"/>
      <c r="J288" s="359"/>
      <c r="L288" s="132"/>
      <c r="M288" s="339"/>
      <c r="N288" s="132"/>
      <c r="O288" s="132"/>
      <c r="P288" s="132"/>
      <c r="Q288" s="339"/>
    </row>
    <row r="289" spans="2:17" s="58" customFormat="1" ht="15.6" x14ac:dyDescent="0.3">
      <c r="B289" s="360"/>
      <c r="C289" s="361" t="s">
        <v>773</v>
      </c>
      <c r="D289" s="362" t="s">
        <v>188</v>
      </c>
      <c r="E289" s="363"/>
      <c r="F289" s="364">
        <f>F287-F288</f>
        <v>0</v>
      </c>
      <c r="G289" s="365"/>
      <c r="H289" s="366"/>
      <c r="I289" s="367"/>
      <c r="J289" s="367"/>
      <c r="M289" s="499"/>
      <c r="Q289" s="499"/>
    </row>
    <row r="290" spans="2:17" ht="7.5" customHeight="1" x14ac:dyDescent="0.3">
      <c r="B290" s="338"/>
      <c r="C290" s="142"/>
      <c r="D290" s="143"/>
      <c r="E290" s="144"/>
      <c r="F290" s="345"/>
      <c r="G290" s="144"/>
      <c r="H290" s="144"/>
      <c r="I290" s="515"/>
      <c r="J290" s="514"/>
      <c r="L290" s="58"/>
      <c r="M290" s="499"/>
      <c r="N290" s="58"/>
      <c r="O290" s="58"/>
      <c r="P290" s="58"/>
      <c r="Q290" s="499"/>
    </row>
    <row r="291" spans="2:17" ht="15.6" x14ac:dyDescent="0.3">
      <c r="B291" s="145" t="s">
        <v>1380</v>
      </c>
      <c r="C291" s="150" t="s">
        <v>1381</v>
      </c>
      <c r="D291" s="146" t="s">
        <v>188</v>
      </c>
      <c r="E291" s="126"/>
      <c r="F291" s="483">
        <v>1</v>
      </c>
      <c r="G291" s="302" t="s">
        <v>1376</v>
      </c>
      <c r="H291" s="298">
        <v>45635</v>
      </c>
      <c r="I291" s="151" t="s">
        <v>931</v>
      </c>
      <c r="J291" s="151"/>
    </row>
    <row r="292" spans="2:17" ht="15.6" x14ac:dyDescent="0.3">
      <c r="B292" s="145"/>
      <c r="C292" s="150"/>
      <c r="D292" s="146"/>
      <c r="E292" s="147"/>
      <c r="F292" s="349"/>
      <c r="G292" s="147"/>
      <c r="H292" s="298"/>
      <c r="I292" s="151"/>
      <c r="J292" s="151"/>
    </row>
    <row r="293" spans="2:17" s="58" customFormat="1" ht="15.6" x14ac:dyDescent="0.3">
      <c r="B293" s="352"/>
      <c r="C293" s="353" t="s">
        <v>771</v>
      </c>
      <c r="D293" s="354" t="s">
        <v>188</v>
      </c>
      <c r="E293" s="355"/>
      <c r="F293" s="356">
        <f>ROUND(SUM(F290:F292),3)</f>
        <v>1</v>
      </c>
      <c r="G293" s="357"/>
      <c r="H293" s="358"/>
      <c r="I293" s="359"/>
      <c r="J293" s="359"/>
      <c r="L293" s="132"/>
      <c r="M293" s="339"/>
      <c r="N293" s="132"/>
      <c r="O293" s="132"/>
      <c r="P293" s="132"/>
      <c r="Q293" s="339"/>
    </row>
    <row r="294" spans="2:17" s="58" customFormat="1" ht="15.6" x14ac:dyDescent="0.3">
      <c r="B294" s="352"/>
      <c r="C294" s="353" t="s">
        <v>772</v>
      </c>
      <c r="D294" s="354" t="s">
        <v>188</v>
      </c>
      <c r="E294" s="355"/>
      <c r="F294" s="356">
        <v>1</v>
      </c>
      <c r="G294" s="357"/>
      <c r="H294" s="358"/>
      <c r="I294" s="359"/>
      <c r="J294" s="359"/>
      <c r="L294" s="132"/>
      <c r="M294" s="339"/>
      <c r="N294" s="132"/>
      <c r="O294" s="132"/>
      <c r="P294" s="132"/>
      <c r="Q294" s="339"/>
    </row>
    <row r="295" spans="2:17" s="58" customFormat="1" ht="15.6" x14ac:dyDescent="0.3">
      <c r="B295" s="360"/>
      <c r="C295" s="361" t="s">
        <v>773</v>
      </c>
      <c r="D295" s="362" t="s">
        <v>188</v>
      </c>
      <c r="E295" s="363"/>
      <c r="F295" s="364">
        <f>F293-F294</f>
        <v>0</v>
      </c>
      <c r="G295" s="365"/>
      <c r="H295" s="366"/>
      <c r="I295" s="367"/>
      <c r="J295" s="367"/>
      <c r="M295" s="499"/>
      <c r="Q295" s="499"/>
    </row>
    <row r="296" spans="2:17" ht="7.5" customHeight="1" x14ac:dyDescent="0.3">
      <c r="B296" s="338"/>
      <c r="C296" s="142"/>
      <c r="D296" s="143"/>
      <c r="E296" s="144"/>
      <c r="F296" s="345"/>
      <c r="G296" s="144"/>
      <c r="H296" s="144"/>
      <c r="I296" s="515"/>
      <c r="J296" s="514"/>
      <c r="L296" s="58"/>
      <c r="M296" s="499"/>
      <c r="N296" s="58"/>
      <c r="O296" s="58"/>
      <c r="P296" s="58"/>
      <c r="Q296" s="499"/>
    </row>
    <row r="297" spans="2:17" ht="15.6" x14ac:dyDescent="0.3">
      <c r="B297" s="145" t="s">
        <v>1382</v>
      </c>
      <c r="C297" s="150" t="s">
        <v>1383</v>
      </c>
      <c r="D297" s="146" t="s">
        <v>188</v>
      </c>
      <c r="E297" s="126"/>
      <c r="F297" s="483">
        <v>1</v>
      </c>
      <c r="G297" s="147" t="s">
        <v>1379</v>
      </c>
      <c r="H297" s="298">
        <v>45644</v>
      </c>
      <c r="I297" s="151" t="s">
        <v>931</v>
      </c>
      <c r="J297" s="151"/>
    </row>
    <row r="298" spans="2:17" ht="15.6" x14ac:dyDescent="0.3">
      <c r="B298" s="145"/>
      <c r="C298" s="150"/>
      <c r="D298" s="146"/>
      <c r="E298" s="147"/>
      <c r="F298" s="349"/>
      <c r="G298" s="147"/>
      <c r="H298" s="298"/>
      <c r="I298" s="151"/>
      <c r="J298" s="151"/>
    </row>
    <row r="299" spans="2:17" s="58" customFormat="1" ht="15.6" x14ac:dyDescent="0.3">
      <c r="B299" s="352"/>
      <c r="C299" s="353" t="s">
        <v>771</v>
      </c>
      <c r="D299" s="354" t="s">
        <v>188</v>
      </c>
      <c r="E299" s="355"/>
      <c r="F299" s="356">
        <f>ROUND(SUM(F296:F298),3)</f>
        <v>1</v>
      </c>
      <c r="G299" s="357"/>
      <c r="H299" s="358"/>
      <c r="I299" s="359"/>
      <c r="J299" s="359"/>
      <c r="L299" s="132"/>
      <c r="M299" s="339"/>
      <c r="N299" s="132"/>
      <c r="O299" s="132"/>
      <c r="P299" s="132"/>
      <c r="Q299" s="339"/>
    </row>
    <row r="300" spans="2:17" s="58" customFormat="1" ht="15.6" x14ac:dyDescent="0.3">
      <c r="B300" s="352"/>
      <c r="C300" s="353" t="s">
        <v>772</v>
      </c>
      <c r="D300" s="354" t="s">
        <v>188</v>
      </c>
      <c r="E300" s="355"/>
      <c r="F300" s="356">
        <v>1</v>
      </c>
      <c r="G300" s="357"/>
      <c r="H300" s="358"/>
      <c r="I300" s="359"/>
      <c r="J300" s="359"/>
      <c r="L300" s="132"/>
      <c r="M300" s="339"/>
      <c r="N300" s="132"/>
      <c r="O300" s="132"/>
      <c r="P300" s="132"/>
      <c r="Q300" s="339"/>
    </row>
    <row r="301" spans="2:17" s="58" customFormat="1" ht="15.6" x14ac:dyDescent="0.3">
      <c r="B301" s="360"/>
      <c r="C301" s="361" t="s">
        <v>773</v>
      </c>
      <c r="D301" s="362" t="s">
        <v>188</v>
      </c>
      <c r="E301" s="363"/>
      <c r="F301" s="364">
        <f>F299-F300</f>
        <v>0</v>
      </c>
      <c r="G301" s="365"/>
      <c r="H301" s="366"/>
      <c r="I301" s="367"/>
      <c r="J301" s="367"/>
      <c r="M301" s="499"/>
      <c r="Q301" s="499"/>
    </row>
    <row r="302" spans="2:17" ht="7.5" customHeight="1" x14ac:dyDescent="0.3">
      <c r="B302" s="338"/>
      <c r="C302" s="142"/>
      <c r="D302" s="143"/>
      <c r="E302" s="144"/>
      <c r="F302" s="345"/>
      <c r="G302" s="144"/>
      <c r="H302" s="144"/>
      <c r="I302" s="515"/>
      <c r="J302" s="514"/>
      <c r="L302" s="58"/>
      <c r="M302" s="499"/>
      <c r="N302" s="58"/>
      <c r="O302" s="58"/>
      <c r="P302" s="58"/>
      <c r="Q302" s="499"/>
    </row>
    <row r="303" spans="2:17" ht="15.6" x14ac:dyDescent="0.3">
      <c r="B303" s="145" t="s">
        <v>1384</v>
      </c>
      <c r="C303" s="150" t="s">
        <v>1385</v>
      </c>
      <c r="D303" s="146" t="s">
        <v>188</v>
      </c>
      <c r="E303" s="126"/>
      <c r="F303" s="483">
        <v>1</v>
      </c>
      <c r="G303" s="147" t="s">
        <v>1386</v>
      </c>
      <c r="H303" s="298">
        <v>45930</v>
      </c>
      <c r="I303" s="151" t="s">
        <v>940</v>
      </c>
      <c r="J303" s="151"/>
    </row>
    <row r="304" spans="2:17" ht="15.6" x14ac:dyDescent="0.3">
      <c r="B304" s="145"/>
      <c r="C304" s="150"/>
      <c r="D304" s="146"/>
      <c r="E304" s="147"/>
      <c r="F304" s="349"/>
      <c r="G304" s="147"/>
      <c r="H304" s="298"/>
      <c r="I304" s="151"/>
      <c r="J304" s="151"/>
    </row>
    <row r="305" spans="2:17" s="58" customFormat="1" ht="15.6" x14ac:dyDescent="0.3">
      <c r="B305" s="352"/>
      <c r="C305" s="353" t="s">
        <v>771</v>
      </c>
      <c r="D305" s="354" t="s">
        <v>188</v>
      </c>
      <c r="E305" s="355"/>
      <c r="F305" s="356">
        <f>ROUND(SUM(F302:F304),3)</f>
        <v>1</v>
      </c>
      <c r="G305" s="357"/>
      <c r="H305" s="358"/>
      <c r="I305" s="359"/>
      <c r="J305" s="359"/>
      <c r="L305" s="132"/>
      <c r="M305" s="339"/>
      <c r="N305" s="132"/>
      <c r="O305" s="132"/>
      <c r="P305" s="132"/>
      <c r="Q305" s="339"/>
    </row>
    <row r="306" spans="2:17" s="58" customFormat="1" ht="15.6" x14ac:dyDescent="0.3">
      <c r="B306" s="352"/>
      <c r="C306" s="353" t="s">
        <v>772</v>
      </c>
      <c r="D306" s="354" t="s">
        <v>188</v>
      </c>
      <c r="E306" s="355"/>
      <c r="F306" s="356">
        <v>1</v>
      </c>
      <c r="G306" s="357"/>
      <c r="H306" s="358"/>
      <c r="I306" s="359"/>
      <c r="J306" s="359"/>
      <c r="L306" s="132"/>
      <c r="M306" s="339"/>
      <c r="N306" s="132"/>
      <c r="O306" s="132"/>
      <c r="P306" s="132"/>
      <c r="Q306" s="339"/>
    </row>
    <row r="307" spans="2:17" s="58" customFormat="1" ht="15.6" x14ac:dyDescent="0.3">
      <c r="B307" s="360"/>
      <c r="C307" s="361" t="s">
        <v>773</v>
      </c>
      <c r="D307" s="362" t="s">
        <v>188</v>
      </c>
      <c r="E307" s="363"/>
      <c r="F307" s="364">
        <f>F305-F306</f>
        <v>0</v>
      </c>
      <c r="G307" s="365"/>
      <c r="H307" s="366"/>
      <c r="I307" s="367"/>
      <c r="J307" s="367"/>
      <c r="M307" s="499"/>
      <c r="Q307" s="499"/>
    </row>
    <row r="308" spans="2:17" ht="7.5" customHeight="1" x14ac:dyDescent="0.3">
      <c r="B308" s="338"/>
      <c r="C308" s="142"/>
      <c r="D308" s="143"/>
      <c r="E308" s="144"/>
      <c r="F308" s="345"/>
      <c r="G308" s="144"/>
      <c r="H308" s="144"/>
      <c r="I308" s="515"/>
      <c r="J308" s="514"/>
      <c r="L308" s="58"/>
      <c r="M308" s="499"/>
      <c r="N308" s="58"/>
      <c r="O308" s="58"/>
      <c r="P308" s="58"/>
      <c r="Q308" s="499"/>
    </row>
    <row r="309" spans="2:17" ht="15.6" x14ac:dyDescent="0.3">
      <c r="B309" s="145" t="s">
        <v>1387</v>
      </c>
      <c r="C309" s="150" t="s">
        <v>1388</v>
      </c>
      <c r="D309" s="146" t="s">
        <v>188</v>
      </c>
      <c r="E309" s="126"/>
      <c r="F309" s="483">
        <v>1</v>
      </c>
      <c r="G309" s="147" t="s">
        <v>1389</v>
      </c>
      <c r="H309" s="298">
        <v>45948</v>
      </c>
      <c r="I309" s="151" t="s">
        <v>1026</v>
      </c>
      <c r="J309" s="151"/>
    </row>
    <row r="310" spans="2:17" ht="15.6" x14ac:dyDescent="0.3">
      <c r="B310" s="145"/>
      <c r="C310" s="150"/>
      <c r="D310" s="146"/>
      <c r="E310" s="147"/>
      <c r="F310" s="483"/>
      <c r="G310" s="147"/>
      <c r="H310" s="298"/>
      <c r="I310" s="151"/>
      <c r="J310" s="151"/>
    </row>
    <row r="311" spans="2:17" s="58" customFormat="1" ht="15.6" x14ac:dyDescent="0.3">
      <c r="B311" s="352"/>
      <c r="C311" s="353" t="s">
        <v>771</v>
      </c>
      <c r="D311" s="354" t="s">
        <v>188</v>
      </c>
      <c r="E311" s="355"/>
      <c r="F311" s="356">
        <f>ROUND(SUM(F308:F310),3)</f>
        <v>1</v>
      </c>
      <c r="G311" s="357"/>
      <c r="H311" s="358"/>
      <c r="I311" s="359"/>
      <c r="J311" s="359"/>
      <c r="L311" s="132"/>
      <c r="M311" s="339"/>
      <c r="N311" s="132"/>
      <c r="O311" s="132"/>
      <c r="P311" s="132"/>
      <c r="Q311" s="339"/>
    </row>
    <row r="312" spans="2:17" s="58" customFormat="1" ht="15.6" x14ac:dyDescent="0.3">
      <c r="B312" s="352"/>
      <c r="C312" s="353" t="s">
        <v>772</v>
      </c>
      <c r="D312" s="354" t="s">
        <v>188</v>
      </c>
      <c r="E312" s="355"/>
      <c r="F312" s="356">
        <v>1</v>
      </c>
      <c r="G312" s="357"/>
      <c r="H312" s="358"/>
      <c r="I312" s="359"/>
      <c r="J312" s="359"/>
      <c r="L312" s="132"/>
      <c r="M312" s="339"/>
      <c r="N312" s="132"/>
      <c r="O312" s="132"/>
      <c r="P312" s="132"/>
      <c r="Q312" s="339"/>
    </row>
    <row r="313" spans="2:17" s="58" customFormat="1" ht="15.6" x14ac:dyDescent="0.3">
      <c r="B313" s="360"/>
      <c r="C313" s="361" t="s">
        <v>773</v>
      </c>
      <c r="D313" s="362" t="s">
        <v>188</v>
      </c>
      <c r="E313" s="363"/>
      <c r="F313" s="364">
        <f>F311-F312</f>
        <v>0</v>
      </c>
      <c r="G313" s="365"/>
      <c r="H313" s="366"/>
      <c r="I313" s="367"/>
      <c r="J313" s="367"/>
      <c r="M313" s="499"/>
      <c r="Q313" s="499"/>
    </row>
    <row r="314" spans="2:17" ht="7.5" customHeight="1" x14ac:dyDescent="0.3">
      <c r="B314" s="338"/>
      <c r="C314" s="142"/>
      <c r="D314" s="143"/>
      <c r="E314" s="144"/>
      <c r="F314" s="345"/>
      <c r="G314" s="144"/>
      <c r="H314" s="144"/>
      <c r="I314" s="515"/>
      <c r="J314" s="514"/>
      <c r="L314" s="58"/>
      <c r="M314" s="499"/>
      <c r="N314" s="58"/>
      <c r="O314" s="58"/>
      <c r="P314" s="58"/>
      <c r="Q314" s="499"/>
    </row>
    <row r="315" spans="2:17" ht="15.6" x14ac:dyDescent="0.3">
      <c r="B315" s="148">
        <v>204</v>
      </c>
      <c r="C315" s="149" t="s">
        <v>302</v>
      </c>
      <c r="D315" s="138"/>
      <c r="E315" s="139"/>
      <c r="F315" s="346"/>
      <c r="G315" s="139"/>
      <c r="H315" s="139"/>
      <c r="I315" s="516"/>
      <c r="J315" s="506"/>
    </row>
    <row r="316" spans="2:17" ht="46.8" x14ac:dyDescent="0.3">
      <c r="B316" s="145" t="s">
        <v>1390</v>
      </c>
      <c r="C316" s="150" t="s">
        <v>1391</v>
      </c>
      <c r="D316" s="146" t="s">
        <v>267</v>
      </c>
      <c r="E316" s="147"/>
      <c r="F316" s="483">
        <v>7.3140000000000001</v>
      </c>
      <c r="G316" s="302" t="s">
        <v>1392</v>
      </c>
      <c r="H316" s="314" t="s">
        <v>1393</v>
      </c>
      <c r="I316" s="319" t="s">
        <v>871</v>
      </c>
      <c r="J316" s="319" t="s">
        <v>1394</v>
      </c>
    </row>
    <row r="317" spans="2:17" ht="15.6" x14ac:dyDescent="0.3">
      <c r="B317" s="145"/>
      <c r="C317" s="150"/>
      <c r="D317" s="146"/>
      <c r="E317" s="147"/>
      <c r="F317" s="483"/>
      <c r="G317" s="147"/>
      <c r="H317" s="298"/>
      <c r="I317" s="151"/>
      <c r="J317" s="151"/>
    </row>
    <row r="318" spans="2:17" s="58" customFormat="1" ht="15.6" x14ac:dyDescent="0.3">
      <c r="B318" s="352"/>
      <c r="C318" s="353" t="s">
        <v>771</v>
      </c>
      <c r="D318" s="354" t="s">
        <v>267</v>
      </c>
      <c r="E318" s="355"/>
      <c r="F318" s="356">
        <f>ROUND(SUM(F315:F317),3)</f>
        <v>7.3140000000000001</v>
      </c>
      <c r="G318" s="357"/>
      <c r="H318" s="358"/>
      <c r="I318" s="359"/>
      <c r="J318" s="359"/>
      <c r="L318" s="132"/>
      <c r="M318" s="339"/>
      <c r="N318" s="132"/>
      <c r="O318" s="132"/>
      <c r="P318" s="132"/>
      <c r="Q318" s="339"/>
    </row>
    <row r="319" spans="2:17" s="58" customFormat="1" ht="15.6" x14ac:dyDescent="0.3">
      <c r="B319" s="352"/>
      <c r="C319" s="353" t="s">
        <v>772</v>
      </c>
      <c r="D319" s="354" t="s">
        <v>267</v>
      </c>
      <c r="E319" s="355"/>
      <c r="F319" s="356">
        <v>7.3140000000000001</v>
      </c>
      <c r="G319" s="357"/>
      <c r="H319" s="358"/>
      <c r="I319" s="359"/>
      <c r="J319" s="359"/>
      <c r="L319" s="132"/>
      <c r="M319" s="339"/>
      <c r="N319" s="132"/>
      <c r="O319" s="132"/>
      <c r="P319" s="132"/>
      <c r="Q319" s="339"/>
    </row>
    <row r="320" spans="2:17" s="58" customFormat="1" ht="15.6" x14ac:dyDescent="0.3">
      <c r="B320" s="360"/>
      <c r="C320" s="361" t="s">
        <v>773</v>
      </c>
      <c r="D320" s="362" t="s">
        <v>267</v>
      </c>
      <c r="E320" s="363"/>
      <c r="F320" s="364">
        <f>F318-F319</f>
        <v>0</v>
      </c>
      <c r="G320" s="365"/>
      <c r="H320" s="366"/>
      <c r="I320" s="367"/>
      <c r="J320" s="367"/>
      <c r="M320" s="499"/>
      <c r="Q320" s="499"/>
    </row>
    <row r="321" spans="2:17" ht="7.5" customHeight="1" x14ac:dyDescent="0.3">
      <c r="B321" s="338"/>
      <c r="C321" s="142"/>
      <c r="D321" s="143"/>
      <c r="E321" s="144"/>
      <c r="F321" s="345"/>
      <c r="G321" s="144"/>
      <c r="H321" s="144"/>
      <c r="I321" s="515"/>
      <c r="J321" s="514"/>
      <c r="L321" s="58"/>
      <c r="M321" s="499"/>
      <c r="N321" s="58"/>
      <c r="O321" s="58"/>
      <c r="P321" s="58"/>
      <c r="Q321" s="499"/>
    </row>
    <row r="322" spans="2:17" ht="15.6" x14ac:dyDescent="0.3">
      <c r="B322" s="145" t="s">
        <v>1395</v>
      </c>
      <c r="C322" s="150" t="s">
        <v>1396</v>
      </c>
      <c r="D322" s="146" t="s">
        <v>267</v>
      </c>
      <c r="E322" s="147"/>
      <c r="F322" s="483">
        <v>7.3140000000000001</v>
      </c>
      <c r="G322" s="147" t="s">
        <v>1397</v>
      </c>
      <c r="H322" s="314">
        <v>45650</v>
      </c>
      <c r="I322" s="319" t="s">
        <v>931</v>
      </c>
      <c r="J322" s="319" t="s">
        <v>1394</v>
      </c>
    </row>
    <row r="323" spans="2:17" ht="15.6" x14ac:dyDescent="0.3">
      <c r="B323" s="145"/>
      <c r="C323" s="150"/>
      <c r="D323" s="146"/>
      <c r="E323" s="147"/>
      <c r="F323" s="483"/>
      <c r="G323" s="147"/>
      <c r="H323" s="298"/>
      <c r="I323" s="151"/>
      <c r="J323" s="151"/>
    </row>
    <row r="324" spans="2:17" s="58" customFormat="1" ht="15.6" x14ac:dyDescent="0.3">
      <c r="B324" s="352"/>
      <c r="C324" s="353" t="s">
        <v>771</v>
      </c>
      <c r="D324" s="354" t="s">
        <v>267</v>
      </c>
      <c r="E324" s="355"/>
      <c r="F324" s="356">
        <f>ROUND(SUM(F322:F323),3)</f>
        <v>7.3140000000000001</v>
      </c>
      <c r="G324" s="357"/>
      <c r="H324" s="358"/>
      <c r="I324" s="359"/>
      <c r="J324" s="359"/>
      <c r="L324" s="132"/>
      <c r="M324" s="339"/>
      <c r="N324" s="132"/>
      <c r="O324" s="132"/>
      <c r="P324" s="132"/>
      <c r="Q324" s="339"/>
    </row>
    <row r="325" spans="2:17" s="58" customFormat="1" ht="15.6" x14ac:dyDescent="0.3">
      <c r="B325" s="352"/>
      <c r="C325" s="353" t="s">
        <v>772</v>
      </c>
      <c r="D325" s="354" t="s">
        <v>267</v>
      </c>
      <c r="E325" s="355"/>
      <c r="F325" s="356">
        <v>7.3140000000000001</v>
      </c>
      <c r="G325" s="357"/>
      <c r="H325" s="358"/>
      <c r="I325" s="359"/>
      <c r="J325" s="359"/>
      <c r="L325" s="132"/>
      <c r="M325" s="339"/>
      <c r="N325" s="132"/>
      <c r="O325" s="132"/>
      <c r="P325" s="132"/>
      <c r="Q325" s="339"/>
    </row>
    <row r="326" spans="2:17" s="58" customFormat="1" ht="15.6" x14ac:dyDescent="0.3">
      <c r="B326" s="360"/>
      <c r="C326" s="361" t="s">
        <v>773</v>
      </c>
      <c r="D326" s="362" t="s">
        <v>267</v>
      </c>
      <c r="E326" s="363"/>
      <c r="F326" s="364">
        <f>F324-F325</f>
        <v>0</v>
      </c>
      <c r="G326" s="365"/>
      <c r="H326" s="366"/>
      <c r="I326" s="367"/>
      <c r="J326" s="367"/>
      <c r="M326" s="499"/>
      <c r="Q326" s="499"/>
    </row>
    <row r="327" spans="2:17" ht="7.5" customHeight="1" x14ac:dyDescent="0.3">
      <c r="B327" s="338"/>
      <c r="C327" s="142"/>
      <c r="D327" s="143"/>
      <c r="E327" s="144"/>
      <c r="F327" s="345"/>
      <c r="G327" s="144"/>
      <c r="H327" s="144"/>
      <c r="I327" s="515"/>
      <c r="J327" s="514"/>
      <c r="L327" s="58"/>
      <c r="M327" s="499"/>
      <c r="N327" s="58"/>
      <c r="O327" s="58"/>
      <c r="P327" s="58"/>
      <c r="Q327" s="499"/>
    </row>
    <row r="328" spans="2:17" ht="15.6" x14ac:dyDescent="0.3">
      <c r="B328" s="145" t="s">
        <v>1398</v>
      </c>
      <c r="C328" s="150" t="s">
        <v>1399</v>
      </c>
      <c r="D328" s="146" t="s">
        <v>267</v>
      </c>
      <c r="E328" s="147"/>
      <c r="F328" s="483">
        <v>7.3140000000000001</v>
      </c>
      <c r="G328" s="147" t="s">
        <v>1400</v>
      </c>
      <c r="H328" s="314">
        <v>45986</v>
      </c>
      <c r="I328" s="319" t="s">
        <v>1282</v>
      </c>
      <c r="J328" s="319" t="s">
        <v>1394</v>
      </c>
    </row>
    <row r="329" spans="2:17" ht="15.6" x14ac:dyDescent="0.3">
      <c r="B329" s="145"/>
      <c r="C329" s="150"/>
      <c r="D329" s="146"/>
      <c r="E329" s="147"/>
      <c r="F329" s="483"/>
      <c r="G329" s="147"/>
      <c r="H329" s="298"/>
      <c r="I329" s="151"/>
      <c r="J329" s="151"/>
    </row>
    <row r="330" spans="2:17" s="58" customFormat="1" ht="15.6" x14ac:dyDescent="0.3">
      <c r="B330" s="352"/>
      <c r="C330" s="353" t="s">
        <v>771</v>
      </c>
      <c r="D330" s="354" t="s">
        <v>267</v>
      </c>
      <c r="E330" s="355"/>
      <c r="F330" s="356">
        <f>ROUND(SUM(F328:F329),3)</f>
        <v>7.3140000000000001</v>
      </c>
      <c r="G330" s="357"/>
      <c r="H330" s="358"/>
      <c r="I330" s="359"/>
      <c r="J330" s="359"/>
      <c r="L330" s="132"/>
      <c r="M330" s="339"/>
      <c r="N330" s="132"/>
      <c r="O330" s="132"/>
      <c r="P330" s="132"/>
      <c r="Q330" s="339"/>
    </row>
    <row r="331" spans="2:17" s="58" customFormat="1" ht="15.6" x14ac:dyDescent="0.3">
      <c r="B331" s="352"/>
      <c r="C331" s="353" t="s">
        <v>772</v>
      </c>
      <c r="D331" s="354" t="s">
        <v>267</v>
      </c>
      <c r="E331" s="355"/>
      <c r="F331" s="356">
        <v>7.3140000000000001</v>
      </c>
      <c r="G331" s="357"/>
      <c r="H331" s="358"/>
      <c r="I331" s="359"/>
      <c r="J331" s="359"/>
      <c r="L331" s="132"/>
      <c r="M331" s="339"/>
      <c r="N331" s="132"/>
      <c r="O331" s="132"/>
      <c r="P331" s="132"/>
      <c r="Q331" s="339"/>
    </row>
    <row r="332" spans="2:17" s="58" customFormat="1" ht="15.6" x14ac:dyDescent="0.3">
      <c r="B332" s="360"/>
      <c r="C332" s="361" t="s">
        <v>773</v>
      </c>
      <c r="D332" s="362" t="s">
        <v>267</v>
      </c>
      <c r="E332" s="363"/>
      <c r="F332" s="364">
        <f>F330-F331</f>
        <v>0</v>
      </c>
      <c r="G332" s="365"/>
      <c r="H332" s="366"/>
      <c r="I332" s="367"/>
      <c r="J332" s="367"/>
      <c r="M332" s="499"/>
      <c r="Q332" s="499"/>
    </row>
    <row r="333" spans="2:17" ht="7.5" customHeight="1" x14ac:dyDescent="0.3">
      <c r="B333" s="338"/>
      <c r="C333" s="142"/>
      <c r="D333" s="143"/>
      <c r="E333" s="144"/>
      <c r="F333" s="345"/>
      <c r="G333" s="144"/>
      <c r="H333" s="144"/>
      <c r="I333" s="515"/>
      <c r="J333" s="514"/>
      <c r="L333" s="58"/>
      <c r="M333" s="499"/>
      <c r="N333" s="58"/>
      <c r="O333" s="58"/>
      <c r="P333" s="58"/>
      <c r="Q333" s="499"/>
    </row>
    <row r="334" spans="2:17" ht="46.8" x14ac:dyDescent="0.3">
      <c r="B334" s="145" t="s">
        <v>1401</v>
      </c>
      <c r="C334" s="150" t="s">
        <v>1402</v>
      </c>
      <c r="D334" s="146" t="s">
        <v>267</v>
      </c>
      <c r="E334" s="147"/>
      <c r="F334" s="483">
        <v>5.2</v>
      </c>
      <c r="G334" s="302" t="s">
        <v>1403</v>
      </c>
      <c r="H334" s="314" t="s">
        <v>1404</v>
      </c>
      <c r="I334" s="319" t="s">
        <v>1026</v>
      </c>
      <c r="J334" s="319"/>
    </row>
    <row r="335" spans="2:17" ht="15.6" x14ac:dyDescent="0.3">
      <c r="B335" s="145"/>
      <c r="C335" s="150"/>
      <c r="D335" s="146"/>
      <c r="E335" s="147"/>
      <c r="F335" s="483"/>
      <c r="G335" s="147"/>
      <c r="H335" s="298"/>
      <c r="I335" s="151"/>
      <c r="J335" s="151"/>
    </row>
    <row r="336" spans="2:17" s="58" customFormat="1" ht="15.6" x14ac:dyDescent="0.3">
      <c r="B336" s="352"/>
      <c r="C336" s="353" t="s">
        <v>771</v>
      </c>
      <c r="D336" s="354" t="s">
        <v>267</v>
      </c>
      <c r="E336" s="355"/>
      <c r="F336" s="356">
        <f>ROUND(SUM(F334:F335),3)</f>
        <v>5.2</v>
      </c>
      <c r="G336" s="357"/>
      <c r="H336" s="358"/>
      <c r="I336" s="359"/>
      <c r="J336" s="359"/>
      <c r="L336" s="132"/>
      <c r="M336" s="339"/>
      <c r="N336" s="132"/>
      <c r="O336" s="132"/>
      <c r="P336" s="132"/>
      <c r="Q336" s="339"/>
    </row>
    <row r="337" spans="2:17" s="58" customFormat="1" ht="15.6" x14ac:dyDescent="0.3">
      <c r="B337" s="352"/>
      <c r="C337" s="353" t="s">
        <v>772</v>
      </c>
      <c r="D337" s="354" t="s">
        <v>267</v>
      </c>
      <c r="E337" s="355"/>
      <c r="F337" s="356">
        <v>5.2</v>
      </c>
      <c r="G337" s="357"/>
      <c r="H337" s="358"/>
      <c r="I337" s="359"/>
      <c r="J337" s="359"/>
      <c r="L337" s="132"/>
      <c r="M337" s="339"/>
      <c r="N337" s="132"/>
      <c r="O337" s="132"/>
      <c r="P337" s="132"/>
      <c r="Q337" s="339"/>
    </row>
    <row r="338" spans="2:17" s="58" customFormat="1" ht="15.6" x14ac:dyDescent="0.3">
      <c r="B338" s="360"/>
      <c r="C338" s="361" t="s">
        <v>773</v>
      </c>
      <c r="D338" s="362" t="s">
        <v>267</v>
      </c>
      <c r="E338" s="363"/>
      <c r="F338" s="364">
        <f>F336-F337</f>
        <v>0</v>
      </c>
      <c r="G338" s="365"/>
      <c r="H338" s="366"/>
      <c r="I338" s="367"/>
      <c r="J338" s="367"/>
      <c r="M338" s="499"/>
      <c r="Q338" s="499"/>
    </row>
    <row r="339" spans="2:17" ht="7.5" customHeight="1" x14ac:dyDescent="0.3">
      <c r="B339" s="338"/>
      <c r="C339" s="142"/>
      <c r="D339" s="143"/>
      <c r="E339" s="144"/>
      <c r="F339" s="345"/>
      <c r="G339" s="144"/>
      <c r="H339" s="144"/>
      <c r="I339" s="515"/>
      <c r="J339" s="514"/>
      <c r="L339" s="58"/>
      <c r="M339" s="499"/>
      <c r="N339" s="58"/>
      <c r="O339" s="58"/>
      <c r="P339" s="58"/>
      <c r="Q339" s="499"/>
    </row>
    <row r="340" spans="2:17" ht="15.6" x14ac:dyDescent="0.3">
      <c r="B340" s="145" t="s">
        <v>1405</v>
      </c>
      <c r="C340" s="150" t="s">
        <v>1284</v>
      </c>
      <c r="D340" s="146" t="s">
        <v>267</v>
      </c>
      <c r="E340" s="147"/>
      <c r="F340" s="483">
        <v>1</v>
      </c>
      <c r="G340" s="302" t="s">
        <v>1285</v>
      </c>
      <c r="H340" s="299">
        <v>46112</v>
      </c>
      <c r="I340" s="319" t="s">
        <v>946</v>
      </c>
      <c r="J340" s="319" t="s">
        <v>1286</v>
      </c>
    </row>
    <row r="341" spans="2:17" ht="46.8" x14ac:dyDescent="0.3">
      <c r="B341" s="145" t="s">
        <v>1405</v>
      </c>
      <c r="C341" s="150" t="s">
        <v>1284</v>
      </c>
      <c r="D341" s="146" t="s">
        <v>267</v>
      </c>
      <c r="E341" s="147"/>
      <c r="F341" s="483">
        <v>4.2</v>
      </c>
      <c r="G341" s="302" t="s">
        <v>1287</v>
      </c>
      <c r="H341" s="314" t="s">
        <v>1288</v>
      </c>
      <c r="I341" s="319" t="s">
        <v>946</v>
      </c>
      <c r="J341" s="306" t="s">
        <v>1289</v>
      </c>
    </row>
    <row r="342" spans="2:17" ht="15.6" x14ac:dyDescent="0.3">
      <c r="B342" s="145"/>
      <c r="C342" s="150"/>
      <c r="D342" s="146"/>
      <c r="E342" s="147"/>
      <c r="F342" s="483"/>
      <c r="G342" s="147"/>
      <c r="H342" s="298"/>
      <c r="I342" s="151"/>
      <c r="J342" s="151"/>
    </row>
    <row r="343" spans="2:17" s="58" customFormat="1" ht="15.6" x14ac:dyDescent="0.3">
      <c r="B343" s="352"/>
      <c r="C343" s="353" t="s">
        <v>771</v>
      </c>
      <c r="D343" s="354" t="s">
        <v>267</v>
      </c>
      <c r="E343" s="355"/>
      <c r="F343" s="356">
        <f>ROUND(SUM(F340:F342),3)</f>
        <v>5.2</v>
      </c>
      <c r="G343" s="357"/>
      <c r="H343" s="358"/>
      <c r="I343" s="359"/>
      <c r="J343" s="359"/>
      <c r="L343" s="132"/>
      <c r="M343" s="339"/>
      <c r="N343" s="132"/>
      <c r="O343" s="132"/>
      <c r="P343" s="132"/>
      <c r="Q343" s="339"/>
    </row>
    <row r="344" spans="2:17" s="58" customFormat="1" ht="15.6" x14ac:dyDescent="0.3">
      <c r="B344" s="352"/>
      <c r="C344" s="353" t="s">
        <v>772</v>
      </c>
      <c r="D344" s="354" t="s">
        <v>267</v>
      </c>
      <c r="E344" s="355"/>
      <c r="F344" s="356">
        <v>5.2</v>
      </c>
      <c r="G344" s="357"/>
      <c r="H344" s="358"/>
      <c r="I344" s="359"/>
      <c r="J344" s="359"/>
      <c r="L344" s="132"/>
      <c r="M344" s="339"/>
      <c r="N344" s="132"/>
      <c r="O344" s="132"/>
      <c r="P344" s="132"/>
      <c r="Q344" s="339"/>
    </row>
    <row r="345" spans="2:17" s="58" customFormat="1" ht="15.6" x14ac:dyDescent="0.3">
      <c r="B345" s="360"/>
      <c r="C345" s="361" t="s">
        <v>773</v>
      </c>
      <c r="D345" s="362" t="s">
        <v>267</v>
      </c>
      <c r="E345" s="363"/>
      <c r="F345" s="364">
        <f>F343-F344</f>
        <v>0</v>
      </c>
      <c r="G345" s="365"/>
      <c r="H345" s="366"/>
      <c r="I345" s="367"/>
      <c r="J345" s="367"/>
      <c r="M345" s="499"/>
      <c r="Q345" s="499"/>
    </row>
    <row r="346" spans="2:17" ht="7.5" customHeight="1" x14ac:dyDescent="0.3">
      <c r="B346" s="338"/>
      <c r="C346" s="142"/>
      <c r="D346" s="143"/>
      <c r="E346" s="144"/>
      <c r="F346" s="345"/>
      <c r="G346" s="144"/>
      <c r="H346" s="144"/>
      <c r="I346" s="515"/>
      <c r="J346" s="514"/>
      <c r="L346" s="58"/>
      <c r="M346" s="499"/>
      <c r="N346" s="58"/>
      <c r="O346" s="58"/>
      <c r="P346" s="58"/>
      <c r="Q346" s="499"/>
    </row>
    <row r="347" spans="2:17" ht="15.6" x14ac:dyDescent="0.3">
      <c r="B347" s="145" t="s">
        <v>1406</v>
      </c>
      <c r="C347" s="150" t="s">
        <v>1407</v>
      </c>
      <c r="D347" s="146" t="s">
        <v>267</v>
      </c>
      <c r="E347" s="147"/>
      <c r="F347" s="483">
        <v>0.27</v>
      </c>
      <c r="G347" s="147" t="s">
        <v>1408</v>
      </c>
      <c r="H347" s="314">
        <v>45808</v>
      </c>
      <c r="I347" s="319" t="s">
        <v>1262</v>
      </c>
      <c r="J347" s="319" t="s">
        <v>1409</v>
      </c>
    </row>
    <row r="348" spans="2:17" ht="15.6" x14ac:dyDescent="0.3">
      <c r="B348" s="145" t="s">
        <v>1406</v>
      </c>
      <c r="C348" s="7" t="s">
        <v>1407</v>
      </c>
      <c r="D348" s="146" t="s">
        <v>267</v>
      </c>
      <c r="E348" s="147"/>
      <c r="F348" s="483">
        <v>0.23</v>
      </c>
      <c r="G348" s="302" t="s">
        <v>1410</v>
      </c>
      <c r="H348" s="314">
        <v>45845</v>
      </c>
      <c r="I348" s="319" t="s">
        <v>1262</v>
      </c>
      <c r="J348" s="319" t="s">
        <v>1411</v>
      </c>
    </row>
    <row r="349" spans="2:17" ht="15.6" x14ac:dyDescent="0.3">
      <c r="B349" s="145" t="s">
        <v>1406</v>
      </c>
      <c r="C349" s="7" t="s">
        <v>1407</v>
      </c>
      <c r="D349" s="146" t="s">
        <v>267</v>
      </c>
      <c r="E349" s="147"/>
      <c r="F349" s="483">
        <f>1.1-0.95</f>
        <v>0.15000000000000013</v>
      </c>
      <c r="G349" s="302" t="s">
        <v>1412</v>
      </c>
      <c r="H349" s="314">
        <v>46006</v>
      </c>
      <c r="I349" s="319" t="s">
        <v>943</v>
      </c>
      <c r="J349" s="319" t="s">
        <v>1413</v>
      </c>
    </row>
    <row r="350" spans="2:17" ht="15.6" x14ac:dyDescent="0.3">
      <c r="B350" s="145"/>
      <c r="C350" s="150"/>
      <c r="D350" s="146"/>
      <c r="E350" s="147"/>
      <c r="F350" s="483"/>
      <c r="G350" s="147"/>
      <c r="H350" s="298"/>
      <c r="I350" s="151"/>
      <c r="J350" s="151"/>
    </row>
    <row r="351" spans="2:17" s="58" customFormat="1" ht="15.6" x14ac:dyDescent="0.3">
      <c r="B351" s="352"/>
      <c r="C351" s="353" t="s">
        <v>771</v>
      </c>
      <c r="D351" s="354" t="s">
        <v>267</v>
      </c>
      <c r="E351" s="355"/>
      <c r="F351" s="356">
        <f>ROUND(SUM(F347:F350),3)</f>
        <v>0.65</v>
      </c>
      <c r="G351" s="357"/>
      <c r="H351" s="358"/>
      <c r="I351" s="359"/>
      <c r="J351" s="359"/>
      <c r="L351" s="132"/>
      <c r="M351" s="339"/>
      <c r="N351" s="132"/>
      <c r="O351" s="132"/>
      <c r="P351" s="132"/>
      <c r="Q351" s="339"/>
    </row>
    <row r="352" spans="2:17" s="58" customFormat="1" ht="15.6" x14ac:dyDescent="0.3">
      <c r="B352" s="352"/>
      <c r="C352" s="353" t="s">
        <v>772</v>
      </c>
      <c r="D352" s="354" t="s">
        <v>267</v>
      </c>
      <c r="E352" s="355"/>
      <c r="F352" s="356">
        <v>0.65</v>
      </c>
      <c r="G352" s="357"/>
      <c r="H352" s="358"/>
      <c r="I352" s="359"/>
      <c r="J352" s="359"/>
      <c r="L352" s="132"/>
      <c r="M352" s="339"/>
      <c r="N352" s="132"/>
      <c r="O352" s="132"/>
      <c r="P352" s="132"/>
      <c r="Q352" s="339"/>
    </row>
    <row r="353" spans="2:17" s="58" customFormat="1" ht="15.6" x14ac:dyDescent="0.3">
      <c r="B353" s="360"/>
      <c r="C353" s="361" t="s">
        <v>773</v>
      </c>
      <c r="D353" s="362" t="s">
        <v>267</v>
      </c>
      <c r="E353" s="363"/>
      <c r="F353" s="364">
        <f>F351-F352</f>
        <v>0</v>
      </c>
      <c r="G353" s="365"/>
      <c r="H353" s="366"/>
      <c r="I353" s="367"/>
      <c r="J353" s="367"/>
      <c r="M353" s="499"/>
      <c r="Q353" s="499"/>
    </row>
    <row r="354" spans="2:17" ht="7.5" customHeight="1" x14ac:dyDescent="0.3">
      <c r="B354" s="338"/>
      <c r="C354" s="142"/>
      <c r="D354" s="143"/>
      <c r="E354" s="144"/>
      <c r="F354" s="345"/>
      <c r="G354" s="144"/>
      <c r="H354" s="144"/>
      <c r="I354" s="515"/>
      <c r="J354" s="514"/>
      <c r="L354" s="58"/>
      <c r="M354" s="499"/>
      <c r="N354" s="58"/>
      <c r="O354" s="58"/>
      <c r="P354" s="58"/>
      <c r="Q354" s="499"/>
    </row>
    <row r="355" spans="2:17" ht="15.6" x14ac:dyDescent="0.3">
      <c r="B355" s="145" t="s">
        <v>1414</v>
      </c>
      <c r="C355" s="150" t="s">
        <v>1415</v>
      </c>
      <c r="D355" s="146" t="s">
        <v>267</v>
      </c>
      <c r="E355" s="147"/>
      <c r="F355" s="483">
        <v>0.23</v>
      </c>
      <c r="G355" s="147" t="s">
        <v>1416</v>
      </c>
      <c r="H355" s="314">
        <v>46031</v>
      </c>
      <c r="I355" s="319" t="s">
        <v>1417</v>
      </c>
      <c r="J355" s="319" t="s">
        <v>1411</v>
      </c>
    </row>
    <row r="356" spans="2:17" ht="15.6" x14ac:dyDescent="0.3">
      <c r="B356" s="145" t="s">
        <v>1414</v>
      </c>
      <c r="C356" s="150" t="s">
        <v>1415</v>
      </c>
      <c r="D356" s="146" t="s">
        <v>267</v>
      </c>
      <c r="E356" s="147"/>
      <c r="F356" s="483">
        <v>0.27</v>
      </c>
      <c r="G356" s="147" t="s">
        <v>1418</v>
      </c>
      <c r="H356" s="314">
        <v>46112</v>
      </c>
      <c r="I356" s="319" t="s">
        <v>946</v>
      </c>
      <c r="J356" s="319" t="s">
        <v>1409</v>
      </c>
    </row>
    <row r="357" spans="2:17" ht="15.6" x14ac:dyDescent="0.3">
      <c r="B357" s="145" t="s">
        <v>1414</v>
      </c>
      <c r="C357" s="150" t="s">
        <v>1415</v>
      </c>
      <c r="D357" s="146" t="s">
        <v>267</v>
      </c>
      <c r="E357" s="147"/>
      <c r="F357" s="483">
        <v>0.15</v>
      </c>
      <c r="G357" s="147" t="s">
        <v>1419</v>
      </c>
      <c r="H357" s="314">
        <v>46139</v>
      </c>
      <c r="I357" s="319" t="s">
        <v>1053</v>
      </c>
      <c r="J357" s="319" t="s">
        <v>1413</v>
      </c>
    </row>
    <row r="358" spans="2:17" ht="15.6" x14ac:dyDescent="0.3">
      <c r="B358" s="145"/>
      <c r="C358" s="150"/>
      <c r="D358" s="146"/>
      <c r="E358" s="147"/>
      <c r="F358" s="483"/>
      <c r="G358" s="147"/>
      <c r="H358" s="298"/>
      <c r="I358" s="151"/>
      <c r="J358" s="151"/>
    </row>
    <row r="359" spans="2:17" s="58" customFormat="1" ht="15.6" x14ac:dyDescent="0.3">
      <c r="B359" s="352"/>
      <c r="C359" s="353" t="s">
        <v>771</v>
      </c>
      <c r="D359" s="354" t="s">
        <v>267</v>
      </c>
      <c r="E359" s="355"/>
      <c r="F359" s="356">
        <f>ROUND(SUM(F355:F358),3)</f>
        <v>0.65</v>
      </c>
      <c r="G359" s="357"/>
      <c r="H359" s="358"/>
      <c r="I359" s="359"/>
      <c r="J359" s="359"/>
      <c r="L359" s="132"/>
      <c r="M359" s="339"/>
      <c r="N359" s="132"/>
      <c r="O359" s="132"/>
      <c r="P359" s="132"/>
      <c r="Q359" s="339"/>
    </row>
    <row r="360" spans="2:17" s="58" customFormat="1" ht="15.6" x14ac:dyDescent="0.3">
      <c r="B360" s="352"/>
      <c r="C360" s="353" t="s">
        <v>772</v>
      </c>
      <c r="D360" s="354" t="s">
        <v>267</v>
      </c>
      <c r="E360" s="355"/>
      <c r="F360" s="356">
        <v>0.65</v>
      </c>
      <c r="G360" s="357"/>
      <c r="H360" s="358"/>
      <c r="I360" s="359"/>
      <c r="J360" s="359"/>
      <c r="L360" s="132"/>
      <c r="M360" s="339"/>
      <c r="N360" s="132"/>
      <c r="O360" s="132"/>
      <c r="P360" s="132"/>
      <c r="Q360" s="339"/>
    </row>
    <row r="361" spans="2:17" s="58" customFormat="1" ht="15.6" x14ac:dyDescent="0.3">
      <c r="B361" s="360"/>
      <c r="C361" s="361" t="s">
        <v>773</v>
      </c>
      <c r="D361" s="362" t="s">
        <v>267</v>
      </c>
      <c r="E361" s="363"/>
      <c r="F361" s="364">
        <f>F359-F360</f>
        <v>0</v>
      </c>
      <c r="G361" s="365"/>
      <c r="H361" s="366"/>
      <c r="I361" s="367"/>
      <c r="J361" s="367"/>
      <c r="M361" s="499"/>
      <c r="Q361" s="499"/>
    </row>
    <row r="362" spans="2:17" ht="7.5" customHeight="1" x14ac:dyDescent="0.3">
      <c r="B362" s="338"/>
      <c r="C362" s="142"/>
      <c r="D362" s="143"/>
      <c r="E362" s="144"/>
      <c r="F362" s="345"/>
      <c r="G362" s="144"/>
      <c r="H362" s="144"/>
      <c r="I362" s="515"/>
      <c r="J362" s="514"/>
      <c r="L362" s="58"/>
      <c r="M362" s="499"/>
      <c r="N362" s="58"/>
      <c r="O362" s="58"/>
      <c r="P362" s="58"/>
      <c r="Q362" s="499"/>
    </row>
    <row r="363" spans="2:17" ht="15.6" x14ac:dyDescent="0.3">
      <c r="B363" s="145" t="s">
        <v>1420</v>
      </c>
      <c r="C363" s="150" t="s">
        <v>1421</v>
      </c>
      <c r="D363" s="146" t="s">
        <v>267</v>
      </c>
      <c r="E363" s="147"/>
      <c r="F363" s="483">
        <v>0.23</v>
      </c>
      <c r="G363" s="147" t="s">
        <v>1422</v>
      </c>
      <c r="H363" s="314">
        <v>46183</v>
      </c>
      <c r="I363" s="319" t="s">
        <v>949</v>
      </c>
      <c r="J363" s="319" t="s">
        <v>1411</v>
      </c>
    </row>
    <row r="364" spans="2:17" ht="15.6" x14ac:dyDescent="0.3">
      <c r="B364" s="145"/>
      <c r="C364" s="150"/>
      <c r="D364" s="146"/>
      <c r="E364" s="147"/>
      <c r="F364" s="483"/>
      <c r="G364" s="147"/>
      <c r="H364" s="298"/>
      <c r="I364" s="151"/>
      <c r="J364" s="151"/>
    </row>
    <row r="365" spans="2:17" s="58" customFormat="1" ht="15.6" x14ac:dyDescent="0.3">
      <c r="B365" s="352"/>
      <c r="C365" s="353" t="s">
        <v>771</v>
      </c>
      <c r="D365" s="354" t="s">
        <v>267</v>
      </c>
      <c r="E365" s="355"/>
      <c r="F365" s="356">
        <f>ROUND(SUM(F363:F364),3)</f>
        <v>0.23</v>
      </c>
      <c r="G365" s="357"/>
      <c r="H365" s="358"/>
      <c r="I365" s="359"/>
      <c r="J365" s="359"/>
      <c r="L365" s="132"/>
      <c r="M365" s="339"/>
      <c r="N365" s="132"/>
      <c r="O365" s="132"/>
      <c r="P365" s="132"/>
      <c r="Q365" s="339"/>
    </row>
    <row r="366" spans="2:17" s="58" customFormat="1" ht="15.6" x14ac:dyDescent="0.3">
      <c r="B366" s="352"/>
      <c r="C366" s="353" t="s">
        <v>772</v>
      </c>
      <c r="D366" s="354" t="s">
        <v>267</v>
      </c>
      <c r="E366" s="355"/>
      <c r="F366" s="356">
        <v>0.23</v>
      </c>
      <c r="G366" s="357"/>
      <c r="H366" s="358"/>
      <c r="I366" s="359"/>
      <c r="J366" s="359"/>
      <c r="L366" s="132"/>
      <c r="M366" s="339"/>
      <c r="N366" s="132"/>
      <c r="O366" s="132"/>
      <c r="P366" s="132"/>
      <c r="Q366" s="339"/>
    </row>
    <row r="367" spans="2:17" s="58" customFormat="1" ht="15.6" x14ac:dyDescent="0.3">
      <c r="B367" s="360"/>
      <c r="C367" s="361" t="s">
        <v>773</v>
      </c>
      <c r="D367" s="362" t="s">
        <v>267</v>
      </c>
      <c r="E367" s="363"/>
      <c r="F367" s="364">
        <f>F365-F366</f>
        <v>0</v>
      </c>
      <c r="G367" s="365"/>
      <c r="H367" s="366"/>
      <c r="I367" s="367"/>
      <c r="J367" s="367"/>
      <c r="M367" s="499"/>
      <c r="Q367" s="499"/>
    </row>
    <row r="368" spans="2:17" ht="7.5" customHeight="1" x14ac:dyDescent="0.3">
      <c r="B368" s="338"/>
      <c r="C368" s="142"/>
      <c r="D368" s="143"/>
      <c r="E368" s="144"/>
      <c r="F368" s="345"/>
      <c r="G368" s="144"/>
      <c r="H368" s="144"/>
      <c r="I368" s="515"/>
      <c r="J368" s="514"/>
      <c r="L368" s="58"/>
      <c r="M368" s="499"/>
      <c r="N368" s="58"/>
      <c r="O368" s="58"/>
      <c r="P368" s="58"/>
      <c r="Q368" s="499"/>
    </row>
    <row r="369" spans="2:17" ht="31.2" x14ac:dyDescent="0.3">
      <c r="B369" s="145" t="s">
        <v>1423</v>
      </c>
      <c r="C369" s="150" t="s">
        <v>1424</v>
      </c>
      <c r="D369" s="146" t="s">
        <v>190</v>
      </c>
      <c r="E369" s="147"/>
      <c r="F369" s="483">
        <f>4/26*2</f>
        <v>0.30769230769230771</v>
      </c>
      <c r="G369" s="147" t="s">
        <v>1425</v>
      </c>
      <c r="H369" s="298">
        <v>45570</v>
      </c>
      <c r="I369" s="151" t="s">
        <v>871</v>
      </c>
      <c r="J369" s="487" t="s">
        <v>1426</v>
      </c>
      <c r="L369" s="58"/>
      <c r="M369" s="499"/>
      <c r="N369" s="58"/>
      <c r="O369" s="58"/>
      <c r="P369" s="58"/>
      <c r="Q369" s="499"/>
    </row>
    <row r="370" spans="2:17" ht="62.4" x14ac:dyDescent="0.3">
      <c r="B370" s="145" t="s">
        <v>1423</v>
      </c>
      <c r="C370" s="150" t="s">
        <v>1424</v>
      </c>
      <c r="D370" s="146" t="s">
        <v>190</v>
      </c>
      <c r="E370" s="147"/>
      <c r="F370" s="483">
        <f>17/26*2</f>
        <v>1.3076923076923077</v>
      </c>
      <c r="G370" s="302" t="s">
        <v>1427</v>
      </c>
      <c r="H370" s="300" t="s">
        <v>1428</v>
      </c>
      <c r="I370" s="151" t="s">
        <v>898</v>
      </c>
      <c r="J370" s="487" t="s">
        <v>1429</v>
      </c>
    </row>
    <row r="371" spans="2:17" ht="46.8" x14ac:dyDescent="0.3">
      <c r="B371" s="145" t="s">
        <v>1423</v>
      </c>
      <c r="C371" s="150" t="s">
        <v>1424</v>
      </c>
      <c r="D371" s="146" t="s">
        <v>190</v>
      </c>
      <c r="E371" s="147"/>
      <c r="F371" s="483">
        <f>5/26*2</f>
        <v>0.38461538461538464</v>
      </c>
      <c r="G371" s="302" t="s">
        <v>1430</v>
      </c>
      <c r="H371" s="300" t="s">
        <v>1431</v>
      </c>
      <c r="I371" s="151" t="s">
        <v>934</v>
      </c>
      <c r="J371" s="487" t="s">
        <v>1432</v>
      </c>
    </row>
    <row r="372" spans="2:17" ht="15.6" x14ac:dyDescent="0.3">
      <c r="B372" s="145"/>
      <c r="C372" s="150"/>
      <c r="D372" s="146"/>
      <c r="E372" s="147"/>
      <c r="F372" s="483"/>
      <c r="G372" s="147"/>
      <c r="H372" s="298"/>
      <c r="I372" s="151"/>
      <c r="J372" s="151"/>
    </row>
    <row r="373" spans="2:17" s="58" customFormat="1" ht="15.6" x14ac:dyDescent="0.3">
      <c r="B373" s="352"/>
      <c r="C373" s="353" t="s">
        <v>771</v>
      </c>
      <c r="D373" s="354" t="s">
        <v>190</v>
      </c>
      <c r="E373" s="355"/>
      <c r="F373" s="356">
        <f>ROUND(SUM(F369:F372),3)</f>
        <v>2</v>
      </c>
      <c r="G373" s="357"/>
      <c r="H373" s="358"/>
      <c r="I373" s="359"/>
      <c r="J373" s="359"/>
      <c r="L373" s="132"/>
      <c r="M373" s="339"/>
      <c r="N373" s="132"/>
      <c r="O373" s="132"/>
      <c r="P373" s="132"/>
      <c r="Q373" s="339"/>
    </row>
    <row r="374" spans="2:17" s="58" customFormat="1" ht="15.6" x14ac:dyDescent="0.3">
      <c r="B374" s="352"/>
      <c r="C374" s="353" t="s">
        <v>772</v>
      </c>
      <c r="D374" s="354" t="s">
        <v>190</v>
      </c>
      <c r="E374" s="355"/>
      <c r="F374" s="356">
        <v>2</v>
      </c>
      <c r="G374" s="357"/>
      <c r="H374" s="358"/>
      <c r="I374" s="359"/>
      <c r="J374" s="359"/>
      <c r="M374" s="499"/>
      <c r="Q374" s="499"/>
    </row>
    <row r="375" spans="2:17" s="58" customFormat="1" ht="15.6" x14ac:dyDescent="0.3">
      <c r="B375" s="360"/>
      <c r="C375" s="361" t="s">
        <v>773</v>
      </c>
      <c r="D375" s="354" t="s">
        <v>190</v>
      </c>
      <c r="E375" s="363"/>
      <c r="F375" s="364">
        <f>F373-F374</f>
        <v>0</v>
      </c>
      <c r="G375" s="365"/>
      <c r="H375" s="366"/>
      <c r="I375" s="367"/>
      <c r="J375" s="367"/>
      <c r="M375" s="499"/>
      <c r="Q375" s="499"/>
    </row>
    <row r="376" spans="2:17" ht="7.5" customHeight="1" x14ac:dyDescent="0.3">
      <c r="B376" s="338"/>
      <c r="C376" s="142"/>
      <c r="D376" s="143"/>
      <c r="E376" s="144"/>
      <c r="F376" s="345"/>
      <c r="G376" s="144"/>
      <c r="H376" s="144"/>
      <c r="I376" s="515"/>
      <c r="J376" s="514"/>
      <c r="L376" s="58"/>
      <c r="M376" s="499"/>
      <c r="N376" s="58"/>
      <c r="O376" s="58"/>
      <c r="P376" s="58"/>
      <c r="Q376" s="499"/>
    </row>
    <row r="377" spans="2:17" ht="31.2" x14ac:dyDescent="0.3">
      <c r="B377" s="145" t="s">
        <v>1433</v>
      </c>
      <c r="C377" s="150" t="s">
        <v>1434</v>
      </c>
      <c r="D377" s="146" t="s">
        <v>190</v>
      </c>
      <c r="E377" s="147"/>
      <c r="F377" s="483">
        <f>4/26*2</f>
        <v>0.30769230769230771</v>
      </c>
      <c r="G377" s="302" t="s">
        <v>1435</v>
      </c>
      <c r="H377" s="300" t="s">
        <v>1436</v>
      </c>
      <c r="I377" s="151" t="s">
        <v>1302</v>
      </c>
      <c r="J377" s="487" t="s">
        <v>1437</v>
      </c>
      <c r="L377" s="58"/>
      <c r="M377" s="499"/>
      <c r="N377" s="58"/>
      <c r="O377" s="58"/>
      <c r="P377" s="58"/>
      <c r="Q377" s="499"/>
    </row>
    <row r="378" spans="2:17" ht="30.6" customHeight="1" x14ac:dyDescent="0.3">
      <c r="B378" s="145" t="s">
        <v>1433</v>
      </c>
      <c r="C378" s="150" t="s">
        <v>1434</v>
      </c>
      <c r="D378" s="146" t="s">
        <v>190</v>
      </c>
      <c r="E378" s="147"/>
      <c r="F378" s="483">
        <f>16/26*2</f>
        <v>1.2307692307692308</v>
      </c>
      <c r="G378" s="302" t="s">
        <v>1438</v>
      </c>
      <c r="H378" s="300" t="s">
        <v>1439</v>
      </c>
      <c r="I378" s="151" t="s">
        <v>97</v>
      </c>
      <c r="J378" s="487" t="s">
        <v>1440</v>
      </c>
    </row>
    <row r="379" spans="2:17" ht="30.6" customHeight="1" x14ac:dyDescent="0.3">
      <c r="B379" s="145" t="s">
        <v>1433</v>
      </c>
      <c r="C379" s="150" t="s">
        <v>1434</v>
      </c>
      <c r="D379" s="146" t="s">
        <v>190</v>
      </c>
      <c r="E379" s="147"/>
      <c r="F379" s="483">
        <f>2/26*2</f>
        <v>0.15384615384615385</v>
      </c>
      <c r="G379" s="302" t="s">
        <v>1441</v>
      </c>
      <c r="H379" s="300">
        <v>45834</v>
      </c>
      <c r="I379" s="151" t="s">
        <v>1262</v>
      </c>
      <c r="J379" s="487" t="s">
        <v>1442</v>
      </c>
    </row>
    <row r="380" spans="2:17" ht="30.6" customHeight="1" x14ac:dyDescent="0.3">
      <c r="B380" s="145" t="s">
        <v>1433</v>
      </c>
      <c r="C380" s="150" t="s">
        <v>1434</v>
      </c>
      <c r="D380" s="146" t="s">
        <v>190</v>
      </c>
      <c r="E380" s="147"/>
      <c r="F380" s="483">
        <f>4/26*2</f>
        <v>0.30769230769230771</v>
      </c>
      <c r="G380" s="302" t="s">
        <v>1443</v>
      </c>
      <c r="H380" s="300">
        <v>45842</v>
      </c>
      <c r="I380" s="151" t="s">
        <v>1262</v>
      </c>
      <c r="J380" s="487" t="s">
        <v>1444</v>
      </c>
    </row>
    <row r="381" spans="2:17" ht="15.6" x14ac:dyDescent="0.3">
      <c r="B381" s="145"/>
      <c r="C381" s="150"/>
      <c r="D381" s="146"/>
      <c r="E381" s="147"/>
      <c r="F381" s="483"/>
      <c r="G381" s="147"/>
      <c r="H381" s="298"/>
      <c r="I381" s="319"/>
      <c r="J381" s="306"/>
    </row>
    <row r="382" spans="2:17" s="58" customFormat="1" ht="15.6" x14ac:dyDescent="0.3">
      <c r="B382" s="352"/>
      <c r="C382" s="353" t="s">
        <v>771</v>
      </c>
      <c r="D382" s="354" t="s">
        <v>190</v>
      </c>
      <c r="E382" s="355"/>
      <c r="F382" s="356">
        <f>ROUND(SUM(F377:F381),3)</f>
        <v>2</v>
      </c>
      <c r="G382" s="357"/>
      <c r="H382" s="358"/>
      <c r="I382" s="359"/>
      <c r="J382" s="359"/>
      <c r="L382" s="132"/>
      <c r="M382" s="339"/>
      <c r="N382" s="132"/>
      <c r="O382" s="132"/>
      <c r="P382" s="132"/>
      <c r="Q382" s="339"/>
    </row>
    <row r="383" spans="2:17" s="58" customFormat="1" ht="15.6" x14ac:dyDescent="0.3">
      <c r="B383" s="352"/>
      <c r="C383" s="353" t="s">
        <v>772</v>
      </c>
      <c r="D383" s="354" t="s">
        <v>190</v>
      </c>
      <c r="E383" s="355"/>
      <c r="F383" s="356">
        <v>2</v>
      </c>
      <c r="G383" s="357"/>
      <c r="H383" s="358"/>
      <c r="I383" s="359"/>
      <c r="J383" s="359"/>
      <c r="M383" s="499"/>
      <c r="Q383" s="499"/>
    </row>
    <row r="384" spans="2:17" s="58" customFormat="1" ht="15.6" x14ac:dyDescent="0.3">
      <c r="B384" s="360"/>
      <c r="C384" s="361" t="s">
        <v>773</v>
      </c>
      <c r="D384" s="354" t="s">
        <v>190</v>
      </c>
      <c r="E384" s="363"/>
      <c r="F384" s="364">
        <f>F382-F383</f>
        <v>0</v>
      </c>
      <c r="G384" s="365"/>
      <c r="H384" s="366"/>
      <c r="I384" s="367"/>
      <c r="J384" s="367"/>
      <c r="M384" s="499"/>
      <c r="Q384" s="499"/>
    </row>
    <row r="385" spans="2:17" ht="7.5" customHeight="1" x14ac:dyDescent="0.3">
      <c r="B385" s="338"/>
      <c r="C385" s="142"/>
      <c r="D385" s="143"/>
      <c r="E385" s="144"/>
      <c r="F385" s="345"/>
      <c r="G385" s="144"/>
      <c r="H385" s="144"/>
      <c r="I385" s="515"/>
      <c r="J385" s="514"/>
      <c r="L385" s="58"/>
      <c r="M385" s="499"/>
      <c r="N385" s="58"/>
      <c r="O385" s="58"/>
      <c r="P385" s="58"/>
      <c r="Q385" s="499"/>
    </row>
    <row r="386" spans="2:17" ht="31.2" x14ac:dyDescent="0.3">
      <c r="B386" s="145" t="s">
        <v>1445</v>
      </c>
      <c r="C386" s="150" t="s">
        <v>1446</v>
      </c>
      <c r="D386" s="146" t="s">
        <v>190</v>
      </c>
      <c r="E386" s="147"/>
      <c r="F386" s="483">
        <f>6/26*2</f>
        <v>0.46153846153846156</v>
      </c>
      <c r="G386" s="302" t="s">
        <v>1447</v>
      </c>
      <c r="H386" s="647">
        <v>45867</v>
      </c>
      <c r="I386" s="151" t="s">
        <v>1262</v>
      </c>
      <c r="J386" s="487" t="s">
        <v>1448</v>
      </c>
      <c r="L386" s="58"/>
      <c r="M386" s="499"/>
      <c r="N386" s="58"/>
      <c r="O386" s="58"/>
      <c r="P386" s="58"/>
      <c r="Q386" s="499"/>
    </row>
    <row r="387" spans="2:17" ht="31.2" x14ac:dyDescent="0.3">
      <c r="B387" s="145" t="s">
        <v>1445</v>
      </c>
      <c r="C387" s="150" t="s">
        <v>1446</v>
      </c>
      <c r="D387" s="146" t="s">
        <v>190</v>
      </c>
      <c r="E387" s="147"/>
      <c r="F387" s="483">
        <f>ROUND(14/26*2,3)</f>
        <v>1.077</v>
      </c>
      <c r="G387" s="302" t="s">
        <v>1449</v>
      </c>
      <c r="H387" s="647">
        <v>45973</v>
      </c>
      <c r="I387" s="319" t="s">
        <v>1282</v>
      </c>
      <c r="J387" s="306" t="s">
        <v>1450</v>
      </c>
      <c r="L387" s="58"/>
      <c r="M387" s="499"/>
      <c r="N387" s="58"/>
      <c r="O387" s="58"/>
      <c r="P387" s="58"/>
      <c r="Q387" s="499"/>
    </row>
    <row r="388" spans="2:17" ht="31.2" x14ac:dyDescent="0.3">
      <c r="B388" s="145" t="s">
        <v>1445</v>
      </c>
      <c r="C388" s="150" t="s">
        <v>1446</v>
      </c>
      <c r="D388" s="146" t="s">
        <v>190</v>
      </c>
      <c r="E388" s="147"/>
      <c r="F388" s="483">
        <f>(2/26*2)</f>
        <v>0.15384615384615385</v>
      </c>
      <c r="G388" s="302" t="s">
        <v>1451</v>
      </c>
      <c r="H388" s="647">
        <v>46031</v>
      </c>
      <c r="I388" s="319" t="s">
        <v>1417</v>
      </c>
      <c r="J388" s="306" t="s">
        <v>1442</v>
      </c>
      <c r="L388" s="58"/>
      <c r="M388" s="499"/>
      <c r="N388" s="58"/>
      <c r="O388" s="58"/>
      <c r="P388" s="58"/>
      <c r="Q388" s="499"/>
    </row>
    <row r="389" spans="2:17" ht="31.2" x14ac:dyDescent="0.3">
      <c r="B389" s="145" t="s">
        <v>1445</v>
      </c>
      <c r="C389" s="150" t="s">
        <v>1446</v>
      </c>
      <c r="D389" s="146" t="s">
        <v>190</v>
      </c>
      <c r="E389" s="147"/>
      <c r="F389" s="483">
        <f>ROUND(4/26*2,3)</f>
        <v>0.308</v>
      </c>
      <c r="G389" s="302" t="s">
        <v>1452</v>
      </c>
      <c r="H389" s="647">
        <v>46031</v>
      </c>
      <c r="I389" s="319" t="s">
        <v>1417</v>
      </c>
      <c r="J389" s="487" t="s">
        <v>1444</v>
      </c>
      <c r="L389" s="58"/>
      <c r="M389" s="499"/>
      <c r="N389" s="58"/>
      <c r="O389" s="58"/>
      <c r="P389" s="58"/>
      <c r="Q389" s="499"/>
    </row>
    <row r="390" spans="2:17" ht="15.6" x14ac:dyDescent="0.3">
      <c r="B390" s="145"/>
      <c r="C390" s="150"/>
      <c r="D390" s="146"/>
      <c r="E390" s="147"/>
      <c r="F390" s="483"/>
      <c r="G390" s="147"/>
      <c r="H390" s="298"/>
      <c r="I390" s="319"/>
      <c r="J390" s="319"/>
    </row>
    <row r="391" spans="2:17" s="58" customFormat="1" ht="15.6" x14ac:dyDescent="0.3">
      <c r="B391" s="352"/>
      <c r="C391" s="353" t="s">
        <v>771</v>
      </c>
      <c r="D391" s="354" t="s">
        <v>190</v>
      </c>
      <c r="E391" s="355"/>
      <c r="F391" s="356">
        <f>ROUND(SUM(F386:F390),3)</f>
        <v>2</v>
      </c>
      <c r="G391" s="357"/>
      <c r="H391" s="358"/>
      <c r="I391" s="359"/>
      <c r="J391" s="359"/>
      <c r="L391" s="132"/>
      <c r="M391" s="339"/>
      <c r="N391" s="132"/>
      <c r="O391" s="132"/>
      <c r="P391" s="132"/>
      <c r="Q391" s="339"/>
    </row>
    <row r="392" spans="2:17" s="58" customFormat="1" ht="15.6" x14ac:dyDescent="0.3">
      <c r="B392" s="352"/>
      <c r="C392" s="353" t="s">
        <v>772</v>
      </c>
      <c r="D392" s="354" t="s">
        <v>190</v>
      </c>
      <c r="E392" s="355"/>
      <c r="F392" s="356">
        <v>2</v>
      </c>
      <c r="G392" s="357"/>
      <c r="H392" s="358"/>
      <c r="I392" s="359"/>
      <c r="J392" s="359"/>
      <c r="M392" s="499"/>
      <c r="Q392" s="499"/>
    </row>
    <row r="393" spans="2:17" s="58" customFormat="1" ht="15.6" x14ac:dyDescent="0.3">
      <c r="B393" s="360"/>
      <c r="C393" s="361" t="s">
        <v>773</v>
      </c>
      <c r="D393" s="354" t="s">
        <v>190</v>
      </c>
      <c r="E393" s="363"/>
      <c r="F393" s="364">
        <f>F391-F392</f>
        <v>0</v>
      </c>
      <c r="G393" s="365"/>
      <c r="H393" s="366"/>
      <c r="I393" s="367"/>
      <c r="J393" s="367"/>
      <c r="M393" s="499"/>
      <c r="Q393" s="499"/>
    </row>
    <row r="394" spans="2:17" ht="7.5" customHeight="1" x14ac:dyDescent="0.3">
      <c r="B394" s="338"/>
      <c r="C394" s="142"/>
      <c r="D394" s="143"/>
      <c r="E394" s="144"/>
      <c r="F394" s="345"/>
      <c r="G394" s="144"/>
      <c r="H394" s="144"/>
      <c r="I394" s="515"/>
      <c r="J394" s="514"/>
      <c r="L394" s="58"/>
      <c r="M394" s="499"/>
      <c r="N394" s="58"/>
      <c r="O394" s="58"/>
      <c r="P394" s="58"/>
      <c r="Q394" s="499"/>
    </row>
    <row r="395" spans="2:17" ht="31.2" x14ac:dyDescent="0.3">
      <c r="B395" s="145" t="s">
        <v>1453</v>
      </c>
      <c r="C395" s="150" t="s">
        <v>1454</v>
      </c>
      <c r="D395" s="146" t="s">
        <v>190</v>
      </c>
      <c r="E395" s="147"/>
      <c r="F395" s="483">
        <f>4/26*2</f>
        <v>0.30769230769230771</v>
      </c>
      <c r="G395" s="147" t="s">
        <v>1425</v>
      </c>
      <c r="H395" s="298">
        <v>45570</v>
      </c>
      <c r="I395" s="151" t="s">
        <v>871</v>
      </c>
      <c r="J395" s="487" t="s">
        <v>1426</v>
      </c>
    </row>
    <row r="396" spans="2:17" ht="62.4" x14ac:dyDescent="0.3">
      <c r="B396" s="145" t="s">
        <v>1453</v>
      </c>
      <c r="C396" s="150" t="s">
        <v>1454</v>
      </c>
      <c r="D396" s="146" t="s">
        <v>190</v>
      </c>
      <c r="E396" s="147"/>
      <c r="F396" s="483">
        <f>17/26*2</f>
        <v>1.3076923076923077</v>
      </c>
      <c r="G396" s="302" t="s">
        <v>1427</v>
      </c>
      <c r="H396" s="300" t="s">
        <v>1428</v>
      </c>
      <c r="I396" s="151" t="s">
        <v>898</v>
      </c>
      <c r="J396" s="487" t="s">
        <v>1455</v>
      </c>
    </row>
    <row r="397" spans="2:17" ht="31.2" x14ac:dyDescent="0.3">
      <c r="B397" s="145" t="s">
        <v>1453</v>
      </c>
      <c r="C397" s="150" t="s">
        <v>1454</v>
      </c>
      <c r="D397" s="146" t="s">
        <v>190</v>
      </c>
      <c r="E397" s="147"/>
      <c r="F397" s="483">
        <f>5/26*2</f>
        <v>0.38461538461538464</v>
      </c>
      <c r="G397" s="302" t="s">
        <v>1430</v>
      </c>
      <c r="H397" s="300" t="s">
        <v>1431</v>
      </c>
      <c r="I397" s="151" t="s">
        <v>934</v>
      </c>
      <c r="J397" s="487" t="s">
        <v>1456</v>
      </c>
    </row>
    <row r="398" spans="2:17" ht="15.6" x14ac:dyDescent="0.3">
      <c r="B398" s="145"/>
      <c r="C398" s="150"/>
      <c r="D398" s="146"/>
      <c r="E398" s="147"/>
      <c r="F398" s="483"/>
      <c r="G398" s="147"/>
      <c r="H398" s="298"/>
      <c r="I398" s="151"/>
      <c r="J398" s="487"/>
    </row>
    <row r="399" spans="2:17" s="58" customFormat="1" ht="15.6" x14ac:dyDescent="0.3">
      <c r="B399" s="352"/>
      <c r="C399" s="353" t="s">
        <v>771</v>
      </c>
      <c r="D399" s="354" t="s">
        <v>190</v>
      </c>
      <c r="E399" s="355"/>
      <c r="F399" s="356">
        <f>ROUND(SUM(F395:F398),3)</f>
        <v>2</v>
      </c>
      <c r="G399" s="357"/>
      <c r="H399" s="358"/>
      <c r="I399" s="359"/>
      <c r="J399" s="359"/>
      <c r="L399" s="132"/>
      <c r="M399" s="339"/>
      <c r="N399" s="132"/>
      <c r="O399" s="132"/>
      <c r="P399" s="132"/>
      <c r="Q399" s="339"/>
    </row>
    <row r="400" spans="2:17" s="58" customFormat="1" ht="15.6" x14ac:dyDescent="0.3">
      <c r="B400" s="352"/>
      <c r="C400" s="353" t="s">
        <v>772</v>
      </c>
      <c r="D400" s="354" t="s">
        <v>190</v>
      </c>
      <c r="E400" s="355"/>
      <c r="F400" s="356">
        <v>2</v>
      </c>
      <c r="G400" s="357"/>
      <c r="H400" s="358"/>
      <c r="I400" s="359"/>
      <c r="J400" s="359"/>
      <c r="M400" s="499"/>
      <c r="Q400" s="499"/>
    </row>
    <row r="401" spans="2:17" s="58" customFormat="1" ht="15.6" x14ac:dyDescent="0.3">
      <c r="B401" s="360"/>
      <c r="C401" s="361" t="s">
        <v>773</v>
      </c>
      <c r="D401" s="354" t="s">
        <v>190</v>
      </c>
      <c r="E401" s="363"/>
      <c r="F401" s="364">
        <f>F399-F400</f>
        <v>0</v>
      </c>
      <c r="G401" s="365"/>
      <c r="H401" s="366"/>
      <c r="I401" s="367"/>
      <c r="J401" s="367"/>
      <c r="M401" s="499"/>
      <c r="Q401" s="499"/>
    </row>
    <row r="402" spans="2:17" ht="7.35" customHeight="1" x14ac:dyDescent="0.3">
      <c r="B402" s="338"/>
      <c r="C402" s="142"/>
      <c r="D402" s="143"/>
      <c r="E402" s="144"/>
      <c r="F402" s="345"/>
      <c r="G402" s="144"/>
      <c r="H402" s="144"/>
      <c r="I402" s="515"/>
      <c r="J402" s="514"/>
      <c r="L402" s="58"/>
      <c r="M402" s="499"/>
      <c r="N402" s="58"/>
      <c r="O402" s="58"/>
      <c r="P402" s="58"/>
      <c r="Q402" s="499"/>
    </row>
    <row r="403" spans="2:17" ht="31.2" x14ac:dyDescent="0.3">
      <c r="B403" s="145" t="s">
        <v>1457</v>
      </c>
      <c r="C403" s="150" t="s">
        <v>1458</v>
      </c>
      <c r="D403" s="146" t="s">
        <v>190</v>
      </c>
      <c r="E403" s="147"/>
      <c r="F403" s="483">
        <f>2/26*2*50%</f>
        <v>7.6923076923076927E-2</v>
      </c>
      <c r="G403" s="302" t="s">
        <v>1459</v>
      </c>
      <c r="H403" s="300">
        <v>45763</v>
      </c>
      <c r="I403" s="151" t="s">
        <v>940</v>
      </c>
      <c r="J403" s="487" t="s">
        <v>1460</v>
      </c>
    </row>
    <row r="404" spans="2:17" ht="31.2" x14ac:dyDescent="0.3">
      <c r="B404" s="145" t="s">
        <v>1457</v>
      </c>
      <c r="C404" s="150" t="s">
        <v>1458</v>
      </c>
      <c r="D404" s="146" t="s">
        <v>190</v>
      </c>
      <c r="E404" s="147"/>
      <c r="F404" s="483">
        <f>2/26*2*50%</f>
        <v>7.6923076923076927E-2</v>
      </c>
      <c r="G404" s="302" t="s">
        <v>1461</v>
      </c>
      <c r="H404" s="300">
        <v>45764</v>
      </c>
      <c r="I404" s="151" t="s">
        <v>940</v>
      </c>
      <c r="J404" s="487" t="s">
        <v>1462</v>
      </c>
    </row>
    <row r="405" spans="2:17" ht="31.2" x14ac:dyDescent="0.3">
      <c r="B405" s="145" t="s">
        <v>1457</v>
      </c>
      <c r="C405" s="150" t="s">
        <v>1458</v>
      </c>
      <c r="D405" s="146" t="s">
        <v>190</v>
      </c>
      <c r="E405" s="147"/>
      <c r="F405" s="483">
        <f>2/26*2*50%</f>
        <v>7.6923076923076927E-2</v>
      </c>
      <c r="G405" s="302" t="s">
        <v>1463</v>
      </c>
      <c r="H405" s="300">
        <v>45780</v>
      </c>
      <c r="I405" s="151" t="s">
        <v>940</v>
      </c>
      <c r="J405" s="487" t="s">
        <v>1464</v>
      </c>
    </row>
    <row r="406" spans="2:17" ht="31.2" x14ac:dyDescent="0.3">
      <c r="B406" s="145" t="s">
        <v>1457</v>
      </c>
      <c r="C406" s="150" t="s">
        <v>1458</v>
      </c>
      <c r="D406" s="146" t="s">
        <v>190</v>
      </c>
      <c r="E406" s="147"/>
      <c r="F406" s="483">
        <f>14/26*2*50%</f>
        <v>0.53846153846153844</v>
      </c>
      <c r="G406" s="302" t="s">
        <v>1465</v>
      </c>
      <c r="H406" s="300">
        <v>45784</v>
      </c>
      <c r="I406" s="151" t="s">
        <v>940</v>
      </c>
      <c r="J406" s="487" t="s">
        <v>1466</v>
      </c>
    </row>
    <row r="407" spans="2:17" ht="31.2" x14ac:dyDescent="0.3">
      <c r="B407" s="145" t="s">
        <v>1457</v>
      </c>
      <c r="C407" s="150" t="s">
        <v>1458</v>
      </c>
      <c r="D407" s="146" t="s">
        <v>190</v>
      </c>
      <c r="E407" s="147"/>
      <c r="F407" s="483">
        <f>2/26*2*50%</f>
        <v>7.6923076923076927E-2</v>
      </c>
      <c r="G407" s="302" t="s">
        <v>1441</v>
      </c>
      <c r="H407" s="300">
        <v>45834</v>
      </c>
      <c r="I407" s="151" t="s">
        <v>940</v>
      </c>
      <c r="J407" s="487" t="s">
        <v>1467</v>
      </c>
    </row>
    <row r="408" spans="2:17" ht="31.2" x14ac:dyDescent="0.3">
      <c r="B408" s="145" t="s">
        <v>1457</v>
      </c>
      <c r="C408" s="150" t="s">
        <v>1458</v>
      </c>
      <c r="D408" s="146" t="s">
        <v>190</v>
      </c>
      <c r="E408" s="147"/>
      <c r="F408" s="483">
        <f>4/26*2*50%</f>
        <v>0.15384615384615385</v>
      </c>
      <c r="G408" s="302" t="s">
        <v>1443</v>
      </c>
      <c r="H408" s="300">
        <v>45842</v>
      </c>
      <c r="I408" s="151" t="s">
        <v>940</v>
      </c>
      <c r="J408" s="487" t="s">
        <v>1468</v>
      </c>
    </row>
    <row r="409" spans="2:17" ht="46.8" x14ac:dyDescent="0.3">
      <c r="B409" s="145" t="s">
        <v>1457</v>
      </c>
      <c r="C409" s="150" t="s">
        <v>1458</v>
      </c>
      <c r="D409" s="146" t="s">
        <v>190</v>
      </c>
      <c r="E409" s="147"/>
      <c r="F409" s="483">
        <f>26/26*2*50%</f>
        <v>1</v>
      </c>
      <c r="G409" s="302" t="s">
        <v>1469</v>
      </c>
      <c r="H409" s="300">
        <v>46001</v>
      </c>
      <c r="I409" s="151" t="s">
        <v>943</v>
      </c>
      <c r="J409" s="487" t="s">
        <v>1470</v>
      </c>
    </row>
    <row r="410" spans="2:17" ht="15.6" x14ac:dyDescent="0.3">
      <c r="B410" s="145"/>
      <c r="C410" s="150"/>
      <c r="D410" s="146"/>
      <c r="E410" s="147"/>
      <c r="F410" s="483"/>
      <c r="G410" s="147"/>
      <c r="H410" s="298"/>
      <c r="I410" s="151"/>
      <c r="J410" s="487"/>
    </row>
    <row r="411" spans="2:17" s="58" customFormat="1" ht="15.6" x14ac:dyDescent="0.3">
      <c r="B411" s="352"/>
      <c r="C411" s="353" t="s">
        <v>771</v>
      </c>
      <c r="D411" s="354" t="s">
        <v>190</v>
      </c>
      <c r="E411" s="355"/>
      <c r="F411" s="356">
        <f>ROUND(SUM(F403:F410),3)</f>
        <v>2</v>
      </c>
      <c r="G411" s="357"/>
      <c r="H411" s="358"/>
      <c r="I411" s="359"/>
      <c r="J411" s="359"/>
      <c r="L411" s="132"/>
      <c r="M411" s="339"/>
      <c r="N411" s="132"/>
      <c r="O411" s="132"/>
      <c r="P411" s="132"/>
      <c r="Q411" s="339"/>
    </row>
    <row r="412" spans="2:17" s="58" customFormat="1" ht="15.6" x14ac:dyDescent="0.3">
      <c r="B412" s="352"/>
      <c r="C412" s="353" t="s">
        <v>772</v>
      </c>
      <c r="D412" s="354" t="s">
        <v>190</v>
      </c>
      <c r="E412" s="355"/>
      <c r="F412" s="356">
        <v>2</v>
      </c>
      <c r="G412" s="357"/>
      <c r="H412" s="358"/>
      <c r="I412" s="359"/>
      <c r="J412" s="359"/>
      <c r="M412" s="499"/>
      <c r="Q412" s="499"/>
    </row>
    <row r="413" spans="2:17" s="58" customFormat="1" ht="15.6" x14ac:dyDescent="0.3">
      <c r="B413" s="360"/>
      <c r="C413" s="361" t="s">
        <v>773</v>
      </c>
      <c r="D413" s="354" t="s">
        <v>190</v>
      </c>
      <c r="E413" s="363"/>
      <c r="F413" s="364">
        <f>F411-F412</f>
        <v>0</v>
      </c>
      <c r="G413" s="365"/>
      <c r="H413" s="366"/>
      <c r="I413" s="367"/>
      <c r="J413" s="367"/>
      <c r="M413" s="499"/>
      <c r="Q413" s="499"/>
    </row>
    <row r="414" spans="2:17" ht="7.35" customHeight="1" x14ac:dyDescent="0.3">
      <c r="B414" s="338"/>
      <c r="C414" s="142"/>
      <c r="D414" s="143"/>
      <c r="E414" s="144"/>
      <c r="F414" s="345"/>
      <c r="G414" s="144"/>
      <c r="H414" s="144"/>
      <c r="I414" s="515"/>
      <c r="J414" s="514"/>
      <c r="L414" s="58"/>
      <c r="M414" s="499"/>
      <c r="N414" s="58"/>
      <c r="O414" s="58"/>
      <c r="P414" s="58"/>
      <c r="Q414" s="499"/>
    </row>
    <row r="415" spans="2:17" ht="31.2" x14ac:dyDescent="0.3">
      <c r="B415" s="145" t="s">
        <v>1471</v>
      </c>
      <c r="C415" s="150" t="s">
        <v>1472</v>
      </c>
      <c r="D415" s="146" t="s">
        <v>190</v>
      </c>
      <c r="E415" s="147"/>
      <c r="F415" s="483">
        <f>6/26*2*50%</f>
        <v>0.23076923076923078</v>
      </c>
      <c r="G415" s="302" t="s">
        <v>1473</v>
      </c>
      <c r="H415" s="647">
        <v>45975</v>
      </c>
      <c r="I415" s="319" t="s">
        <v>1282</v>
      </c>
      <c r="J415" s="487" t="s">
        <v>1474</v>
      </c>
    </row>
    <row r="416" spans="2:17" ht="31.2" x14ac:dyDescent="0.3">
      <c r="B416" s="145" t="s">
        <v>1471</v>
      </c>
      <c r="C416" s="150" t="s">
        <v>1472</v>
      </c>
      <c r="D416" s="146" t="s">
        <v>190</v>
      </c>
      <c r="E416" s="147"/>
      <c r="F416" s="483">
        <f>14/26*2*50%</f>
        <v>0.53846153846153844</v>
      </c>
      <c r="G416" s="302" t="s">
        <v>1449</v>
      </c>
      <c r="H416" s="647">
        <v>45973</v>
      </c>
      <c r="I416" s="319" t="s">
        <v>1282</v>
      </c>
      <c r="J416" s="306" t="s">
        <v>1475</v>
      </c>
    </row>
    <row r="417" spans="2:17" ht="31.2" x14ac:dyDescent="0.3">
      <c r="B417" s="145" t="s">
        <v>1471</v>
      </c>
      <c r="C417" s="150" t="s">
        <v>1472</v>
      </c>
      <c r="D417" s="146" t="s">
        <v>190</v>
      </c>
      <c r="E417" s="147"/>
      <c r="F417" s="483">
        <f>ROUND(2/26*2,3)*50%</f>
        <v>7.6999999999999999E-2</v>
      </c>
      <c r="G417" s="302" t="s">
        <v>1451</v>
      </c>
      <c r="H417" s="647">
        <v>46031</v>
      </c>
      <c r="I417" s="319" t="s">
        <v>1417</v>
      </c>
      <c r="J417" s="306" t="s">
        <v>1476</v>
      </c>
    </row>
    <row r="418" spans="2:17" ht="31.2" x14ac:dyDescent="0.3">
      <c r="B418" s="145" t="s">
        <v>1471</v>
      </c>
      <c r="C418" s="150" t="s">
        <v>1472</v>
      </c>
      <c r="D418" s="146" t="s">
        <v>190</v>
      </c>
      <c r="E418" s="147"/>
      <c r="F418" s="483">
        <f>ROUND(4/26*2,3)*50%</f>
        <v>0.154</v>
      </c>
      <c r="G418" s="302" t="s">
        <v>1452</v>
      </c>
      <c r="H418" s="647">
        <v>46031</v>
      </c>
      <c r="I418" s="319" t="s">
        <v>1417</v>
      </c>
      <c r="J418" s="487" t="s">
        <v>1477</v>
      </c>
    </row>
    <row r="419" spans="2:17" ht="31.2" x14ac:dyDescent="0.3">
      <c r="B419" s="145" t="s">
        <v>1471</v>
      </c>
      <c r="C419" s="150" t="s">
        <v>1472</v>
      </c>
      <c r="D419" s="146" t="s">
        <v>190</v>
      </c>
      <c r="E419" s="147"/>
      <c r="F419" s="483">
        <f>22/26*2*50%</f>
        <v>0.84615384615384615</v>
      </c>
      <c r="G419" s="302" t="s">
        <v>1478</v>
      </c>
      <c r="H419" s="647">
        <v>46058</v>
      </c>
      <c r="I419" s="319" t="s">
        <v>1053</v>
      </c>
      <c r="J419" s="487" t="s">
        <v>1479</v>
      </c>
    </row>
    <row r="420" spans="2:17" ht="46.8" x14ac:dyDescent="0.3">
      <c r="B420" s="145" t="s">
        <v>1471</v>
      </c>
      <c r="C420" s="150" t="s">
        <v>1472</v>
      </c>
      <c r="D420" s="146" t="s">
        <v>190</v>
      </c>
      <c r="E420" s="147"/>
      <c r="F420" s="483">
        <f>4/26*2*50%</f>
        <v>0.15384615384615385</v>
      </c>
      <c r="G420" s="302" t="s">
        <v>1480</v>
      </c>
      <c r="H420" s="647">
        <v>46090</v>
      </c>
      <c r="I420" s="319" t="s">
        <v>1053</v>
      </c>
      <c r="J420" s="487" t="s">
        <v>1481</v>
      </c>
    </row>
    <row r="421" spans="2:17" ht="15.6" x14ac:dyDescent="0.3">
      <c r="B421" s="145"/>
      <c r="C421" s="150"/>
      <c r="D421" s="146"/>
      <c r="E421" s="147"/>
      <c r="F421" s="483"/>
      <c r="G421" s="147"/>
      <c r="H421" s="298"/>
      <c r="I421" s="151"/>
      <c r="J421" s="487"/>
    </row>
    <row r="422" spans="2:17" s="58" customFormat="1" ht="15.6" x14ac:dyDescent="0.3">
      <c r="B422" s="352"/>
      <c r="C422" s="353" t="s">
        <v>771</v>
      </c>
      <c r="D422" s="354" t="s">
        <v>190</v>
      </c>
      <c r="E422" s="355"/>
      <c r="F422" s="356">
        <f>ROUND(SUM(F415:F421),3)</f>
        <v>2</v>
      </c>
      <c r="G422" s="357"/>
      <c r="H422" s="358"/>
      <c r="I422" s="359"/>
      <c r="J422" s="359"/>
      <c r="L422" s="132"/>
      <c r="M422" s="339"/>
      <c r="N422" s="132"/>
      <c r="O422" s="132"/>
      <c r="P422" s="132"/>
      <c r="Q422" s="339"/>
    </row>
    <row r="423" spans="2:17" s="58" customFormat="1" ht="15.6" x14ac:dyDescent="0.3">
      <c r="B423" s="352"/>
      <c r="C423" s="353" t="s">
        <v>772</v>
      </c>
      <c r="D423" s="354" t="s">
        <v>190</v>
      </c>
      <c r="E423" s="355"/>
      <c r="F423" s="356">
        <v>2</v>
      </c>
      <c r="G423" s="357"/>
      <c r="H423" s="358"/>
      <c r="I423" s="359"/>
      <c r="J423" s="359"/>
      <c r="M423" s="499"/>
      <c r="Q423" s="499"/>
    </row>
    <row r="424" spans="2:17" s="58" customFormat="1" ht="15.6" x14ac:dyDescent="0.3">
      <c r="B424" s="360"/>
      <c r="C424" s="361" t="s">
        <v>773</v>
      </c>
      <c r="D424" s="354" t="s">
        <v>190</v>
      </c>
      <c r="E424" s="363"/>
      <c r="F424" s="364">
        <f>F422-F423</f>
        <v>0</v>
      </c>
      <c r="G424" s="365"/>
      <c r="H424" s="366"/>
      <c r="I424" s="367"/>
      <c r="J424" s="367"/>
      <c r="M424" s="499"/>
      <c r="Q424" s="499"/>
    </row>
    <row r="425" spans="2:17" ht="7.35" customHeight="1" x14ac:dyDescent="0.3">
      <c r="B425" s="338"/>
      <c r="C425" s="142"/>
      <c r="D425" s="143"/>
      <c r="E425" s="144"/>
      <c r="F425" s="345"/>
      <c r="G425" s="144"/>
      <c r="H425" s="144"/>
      <c r="I425" s="515"/>
      <c r="J425" s="514"/>
      <c r="L425" s="58"/>
      <c r="M425" s="499"/>
      <c r="N425" s="58"/>
      <c r="O425" s="58"/>
      <c r="P425" s="58"/>
      <c r="Q425" s="499"/>
    </row>
    <row r="426" spans="2:17" ht="15.6" x14ac:dyDescent="0.3">
      <c r="B426" s="145" t="s">
        <v>1482</v>
      </c>
      <c r="C426" s="150" t="s">
        <v>1483</v>
      </c>
      <c r="D426" s="146" t="s">
        <v>190</v>
      </c>
      <c r="E426" s="147"/>
      <c r="F426" s="483">
        <v>2</v>
      </c>
      <c r="G426" s="147" t="s">
        <v>1484</v>
      </c>
      <c r="H426" s="298">
        <v>45574</v>
      </c>
      <c r="I426" s="151" t="s">
        <v>871</v>
      </c>
      <c r="J426" s="151"/>
    </row>
    <row r="427" spans="2:17" ht="15.6" x14ac:dyDescent="0.3">
      <c r="B427" s="145"/>
      <c r="C427" s="150"/>
      <c r="D427" s="146"/>
      <c r="E427" s="147"/>
      <c r="F427" s="483"/>
      <c r="G427" s="147"/>
      <c r="H427" s="298"/>
      <c r="I427" s="151"/>
      <c r="J427" s="151"/>
    </row>
    <row r="428" spans="2:17" s="58" customFormat="1" ht="15.6" x14ac:dyDescent="0.3">
      <c r="B428" s="352"/>
      <c r="C428" s="353" t="s">
        <v>771</v>
      </c>
      <c r="D428" s="354" t="s">
        <v>190</v>
      </c>
      <c r="E428" s="355"/>
      <c r="F428" s="356">
        <f>ROUND(SUM(F426:F427),3)</f>
        <v>2</v>
      </c>
      <c r="G428" s="357"/>
      <c r="H428" s="358"/>
      <c r="I428" s="359"/>
      <c r="J428" s="359"/>
      <c r="L428" s="132"/>
      <c r="M428" s="339"/>
      <c r="N428" s="132"/>
      <c r="O428" s="132"/>
      <c r="P428" s="132"/>
      <c r="Q428" s="339"/>
    </row>
    <row r="429" spans="2:17" s="58" customFormat="1" ht="15.6" x14ac:dyDescent="0.3">
      <c r="B429" s="352"/>
      <c r="C429" s="353" t="s">
        <v>772</v>
      </c>
      <c r="D429" s="354" t="s">
        <v>190</v>
      </c>
      <c r="E429" s="355"/>
      <c r="F429" s="356">
        <v>2</v>
      </c>
      <c r="G429" s="357"/>
      <c r="H429" s="358"/>
      <c r="I429" s="359"/>
      <c r="J429" s="359"/>
      <c r="L429" s="132"/>
      <c r="M429" s="339"/>
      <c r="N429" s="132"/>
      <c r="O429" s="132"/>
      <c r="P429" s="132"/>
      <c r="Q429" s="339"/>
    </row>
    <row r="430" spans="2:17" s="58" customFormat="1" ht="15.6" x14ac:dyDescent="0.3">
      <c r="B430" s="360"/>
      <c r="C430" s="361" t="s">
        <v>773</v>
      </c>
      <c r="D430" s="354" t="s">
        <v>190</v>
      </c>
      <c r="E430" s="363"/>
      <c r="F430" s="364">
        <f>F428-F429</f>
        <v>0</v>
      </c>
      <c r="G430" s="365"/>
      <c r="H430" s="366"/>
      <c r="I430" s="367"/>
      <c r="J430" s="367"/>
      <c r="M430" s="499"/>
      <c r="Q430" s="499"/>
    </row>
    <row r="431" spans="2:17" ht="7.5" customHeight="1" x14ac:dyDescent="0.3">
      <c r="B431" s="338"/>
      <c r="C431" s="142"/>
      <c r="D431" s="143"/>
      <c r="E431" s="144"/>
      <c r="F431" s="345"/>
      <c r="G431" s="144"/>
      <c r="H431" s="144"/>
      <c r="I431" s="515"/>
      <c r="J431" s="514"/>
      <c r="L431" s="58"/>
      <c r="M431" s="499"/>
      <c r="N431" s="58"/>
      <c r="O431" s="58"/>
      <c r="P431" s="58"/>
      <c r="Q431" s="499"/>
    </row>
    <row r="432" spans="2:17" ht="15.6" x14ac:dyDescent="0.3">
      <c r="B432" s="145" t="s">
        <v>1485</v>
      </c>
      <c r="C432" s="150" t="s">
        <v>1486</v>
      </c>
      <c r="D432" s="146" t="s">
        <v>190</v>
      </c>
      <c r="E432" s="147"/>
      <c r="F432" s="483">
        <v>2</v>
      </c>
      <c r="G432" s="302" t="s">
        <v>1487</v>
      </c>
      <c r="H432" s="300">
        <v>45799</v>
      </c>
      <c r="I432" s="151" t="s">
        <v>97</v>
      </c>
      <c r="J432" s="151"/>
      <c r="L432" s="58"/>
      <c r="M432" s="499"/>
      <c r="N432" s="58"/>
      <c r="O432" s="58"/>
      <c r="P432" s="58"/>
      <c r="Q432" s="499"/>
    </row>
    <row r="433" spans="2:17" ht="15.6" x14ac:dyDescent="0.3">
      <c r="B433" s="145"/>
      <c r="C433" s="150"/>
      <c r="D433" s="146"/>
      <c r="E433" s="147"/>
      <c r="F433" s="483"/>
      <c r="G433" s="147"/>
      <c r="H433" s="298"/>
      <c r="I433" s="151"/>
      <c r="J433" s="151"/>
    </row>
    <row r="434" spans="2:17" s="58" customFormat="1" ht="15.6" x14ac:dyDescent="0.3">
      <c r="B434" s="352"/>
      <c r="C434" s="353" t="s">
        <v>771</v>
      </c>
      <c r="D434" s="354" t="s">
        <v>190</v>
      </c>
      <c r="E434" s="355"/>
      <c r="F434" s="356">
        <f>ROUND(SUM(F432:F433),3)</f>
        <v>2</v>
      </c>
      <c r="G434" s="357"/>
      <c r="H434" s="358"/>
      <c r="I434" s="359"/>
      <c r="J434" s="359"/>
      <c r="L434" s="132"/>
      <c r="M434" s="339"/>
      <c r="N434" s="132"/>
      <c r="O434" s="132"/>
      <c r="P434" s="132"/>
      <c r="Q434" s="339"/>
    </row>
    <row r="435" spans="2:17" s="58" customFormat="1" ht="15.6" x14ac:dyDescent="0.3">
      <c r="B435" s="352"/>
      <c r="C435" s="353" t="s">
        <v>772</v>
      </c>
      <c r="D435" s="354" t="s">
        <v>190</v>
      </c>
      <c r="E435" s="355"/>
      <c r="F435" s="356">
        <v>2</v>
      </c>
      <c r="G435" s="357"/>
      <c r="H435" s="358"/>
      <c r="I435" s="359"/>
      <c r="J435" s="359"/>
      <c r="M435" s="499"/>
      <c r="Q435" s="499"/>
    </row>
    <row r="436" spans="2:17" s="58" customFormat="1" ht="15.6" x14ac:dyDescent="0.3">
      <c r="B436" s="360"/>
      <c r="C436" s="361" t="s">
        <v>773</v>
      </c>
      <c r="D436" s="354" t="s">
        <v>190</v>
      </c>
      <c r="E436" s="363"/>
      <c r="F436" s="364">
        <f>F434-F435</f>
        <v>0</v>
      </c>
      <c r="G436" s="365"/>
      <c r="H436" s="366"/>
      <c r="I436" s="367"/>
      <c r="J436" s="367"/>
      <c r="M436" s="499"/>
      <c r="Q436" s="499"/>
    </row>
    <row r="437" spans="2:17" ht="7.5" customHeight="1" x14ac:dyDescent="0.3">
      <c r="B437" s="338"/>
      <c r="C437" s="142"/>
      <c r="D437" s="143"/>
      <c r="E437" s="144"/>
      <c r="F437" s="345"/>
      <c r="G437" s="144"/>
      <c r="H437" s="144"/>
      <c r="I437" s="515"/>
      <c r="J437" s="514"/>
      <c r="L437" s="58"/>
      <c r="M437" s="499"/>
      <c r="N437" s="58"/>
      <c r="O437" s="58"/>
      <c r="P437" s="58"/>
      <c r="Q437" s="499"/>
    </row>
    <row r="438" spans="2:17" ht="15.6" x14ac:dyDescent="0.3">
      <c r="B438" s="145" t="s">
        <v>1488</v>
      </c>
      <c r="C438" s="150" t="s">
        <v>1489</v>
      </c>
      <c r="D438" s="146" t="s">
        <v>190</v>
      </c>
      <c r="E438" s="147"/>
      <c r="F438" s="483">
        <v>2</v>
      </c>
      <c r="G438" s="302" t="s">
        <v>1490</v>
      </c>
      <c r="H438" s="647">
        <v>45866</v>
      </c>
      <c r="I438" s="319" t="s">
        <v>1262</v>
      </c>
      <c r="J438" s="151"/>
      <c r="L438" s="58"/>
      <c r="M438" s="499"/>
      <c r="N438" s="58"/>
      <c r="O438" s="58"/>
      <c r="P438" s="58"/>
      <c r="Q438" s="499"/>
    </row>
    <row r="439" spans="2:17" ht="15.6" x14ac:dyDescent="0.3">
      <c r="B439" s="145"/>
      <c r="C439" s="150"/>
      <c r="D439" s="146"/>
      <c r="E439" s="147"/>
      <c r="F439" s="483"/>
      <c r="G439" s="147"/>
      <c r="H439" s="298"/>
      <c r="I439" s="151"/>
      <c r="J439" s="151"/>
    </row>
    <row r="440" spans="2:17" s="58" customFormat="1" ht="15.6" x14ac:dyDescent="0.3">
      <c r="B440" s="352"/>
      <c r="C440" s="353" t="s">
        <v>771</v>
      </c>
      <c r="D440" s="354" t="s">
        <v>190</v>
      </c>
      <c r="E440" s="355"/>
      <c r="F440" s="356">
        <f>ROUND(SUM(F438:F439),3)</f>
        <v>2</v>
      </c>
      <c r="G440" s="357"/>
      <c r="H440" s="358"/>
      <c r="I440" s="359"/>
      <c r="J440" s="359"/>
      <c r="L440" s="132"/>
      <c r="M440" s="339"/>
      <c r="N440" s="132"/>
      <c r="O440" s="132"/>
      <c r="P440" s="132"/>
      <c r="Q440" s="339"/>
    </row>
    <row r="441" spans="2:17" s="58" customFormat="1" ht="15.6" x14ac:dyDescent="0.3">
      <c r="B441" s="352"/>
      <c r="C441" s="353" t="s">
        <v>772</v>
      </c>
      <c r="D441" s="354" t="s">
        <v>190</v>
      </c>
      <c r="E441" s="355"/>
      <c r="F441" s="356">
        <v>2</v>
      </c>
      <c r="G441" s="357"/>
      <c r="H441" s="358"/>
      <c r="I441" s="359"/>
      <c r="J441" s="359"/>
      <c r="M441" s="499"/>
      <c r="Q441" s="499"/>
    </row>
    <row r="442" spans="2:17" s="58" customFormat="1" ht="15.6" x14ac:dyDescent="0.3">
      <c r="B442" s="360"/>
      <c r="C442" s="361" t="s">
        <v>773</v>
      </c>
      <c r="D442" s="354" t="s">
        <v>190</v>
      </c>
      <c r="E442" s="363"/>
      <c r="F442" s="364">
        <f>F440-F441</f>
        <v>0</v>
      </c>
      <c r="G442" s="365"/>
      <c r="H442" s="366"/>
      <c r="I442" s="367"/>
      <c r="J442" s="367"/>
      <c r="M442" s="499"/>
      <c r="Q442" s="499"/>
    </row>
    <row r="443" spans="2:17" ht="7.5" customHeight="1" x14ac:dyDescent="0.3">
      <c r="B443" s="338"/>
      <c r="C443" s="142"/>
      <c r="D443" s="143"/>
      <c r="E443" s="144"/>
      <c r="F443" s="345"/>
      <c r="G443" s="144"/>
      <c r="H443" s="144"/>
      <c r="I443" s="515"/>
      <c r="J443" s="514"/>
      <c r="L443" s="58"/>
      <c r="M443" s="499"/>
      <c r="N443" s="58"/>
      <c r="O443" s="58"/>
      <c r="P443" s="58"/>
      <c r="Q443" s="499"/>
    </row>
    <row r="444" spans="2:17" ht="46.8" x14ac:dyDescent="0.3">
      <c r="B444" s="145" t="s">
        <v>1491</v>
      </c>
      <c r="C444" s="150" t="s">
        <v>1492</v>
      </c>
      <c r="D444" s="146" t="s">
        <v>190</v>
      </c>
      <c r="E444" s="147"/>
      <c r="F444" s="483">
        <f>4/16*2</f>
        <v>0.5</v>
      </c>
      <c r="G444" s="302" t="s">
        <v>1493</v>
      </c>
      <c r="H444" s="300" t="s">
        <v>1494</v>
      </c>
      <c r="I444" s="151" t="s">
        <v>871</v>
      </c>
      <c r="J444" s="487" t="s">
        <v>1495</v>
      </c>
      <c r="L444" s="58"/>
      <c r="M444" s="499"/>
      <c r="N444" s="58"/>
      <c r="O444" s="58"/>
      <c r="P444" s="58"/>
      <c r="Q444" s="499"/>
    </row>
    <row r="445" spans="2:17" ht="46.8" x14ac:dyDescent="0.3">
      <c r="B445" s="145" t="s">
        <v>1491</v>
      </c>
      <c r="C445" s="150" t="s">
        <v>1492</v>
      </c>
      <c r="D445" s="146" t="s">
        <v>190</v>
      </c>
      <c r="E445" s="147"/>
      <c r="F445" s="483">
        <f>4/16*2</f>
        <v>0.5</v>
      </c>
      <c r="G445" s="302" t="s">
        <v>1496</v>
      </c>
      <c r="H445" s="300" t="s">
        <v>1497</v>
      </c>
      <c r="I445" s="151" t="s">
        <v>898</v>
      </c>
      <c r="J445" s="487" t="s">
        <v>1498</v>
      </c>
    </row>
    <row r="446" spans="2:17" ht="31.2" x14ac:dyDescent="0.3">
      <c r="B446" s="145" t="s">
        <v>1491</v>
      </c>
      <c r="C446" s="150" t="s">
        <v>1492</v>
      </c>
      <c r="D446" s="146" t="s">
        <v>190</v>
      </c>
      <c r="E446" s="147"/>
      <c r="F446" s="483">
        <f>1/16*2</f>
        <v>0.125</v>
      </c>
      <c r="G446" s="302" t="s">
        <v>1499</v>
      </c>
      <c r="H446" s="300">
        <v>45735</v>
      </c>
      <c r="I446" s="151" t="s">
        <v>934</v>
      </c>
      <c r="J446" s="487" t="s">
        <v>1500</v>
      </c>
    </row>
    <row r="447" spans="2:17" ht="31.2" x14ac:dyDescent="0.3">
      <c r="B447" s="145" t="s">
        <v>1491</v>
      </c>
      <c r="C447" s="150" t="s">
        <v>1492</v>
      </c>
      <c r="D447" s="146" t="s">
        <v>190</v>
      </c>
      <c r="E447" s="147"/>
      <c r="F447" s="483">
        <f>2/16*2</f>
        <v>0.25</v>
      </c>
      <c r="G447" s="302" t="s">
        <v>1501</v>
      </c>
      <c r="H447" s="300">
        <v>45805</v>
      </c>
      <c r="I447" s="151" t="s">
        <v>937</v>
      </c>
      <c r="J447" s="487" t="s">
        <v>1502</v>
      </c>
    </row>
    <row r="448" spans="2:17" ht="31.2" x14ac:dyDescent="0.3">
      <c r="B448" s="145" t="s">
        <v>1491</v>
      </c>
      <c r="C448" s="150" t="s">
        <v>1492</v>
      </c>
      <c r="D448" s="146" t="s">
        <v>190</v>
      </c>
      <c r="E448" s="147"/>
      <c r="F448" s="483">
        <f>1/16*2</f>
        <v>0.125</v>
      </c>
      <c r="G448" s="302" t="s">
        <v>1503</v>
      </c>
      <c r="H448" s="300">
        <v>45803</v>
      </c>
      <c r="I448" s="319" t="s">
        <v>1262</v>
      </c>
      <c r="J448" s="487" t="s">
        <v>1504</v>
      </c>
    </row>
    <row r="449" spans="2:17" ht="15.6" x14ac:dyDescent="0.3">
      <c r="B449" s="145" t="s">
        <v>1491</v>
      </c>
      <c r="C449" s="150" t="s">
        <v>1492</v>
      </c>
      <c r="D449" s="146" t="s">
        <v>190</v>
      </c>
      <c r="E449" s="147"/>
      <c r="F449" s="483">
        <f>1/16*2</f>
        <v>0.125</v>
      </c>
      <c r="G449" s="302" t="s">
        <v>1505</v>
      </c>
      <c r="H449" s="300">
        <v>45808</v>
      </c>
      <c r="I449" s="319" t="s">
        <v>1262</v>
      </c>
      <c r="J449" s="487" t="s">
        <v>1506</v>
      </c>
      <c r="K449" s="132" t="s">
        <v>1507</v>
      </c>
    </row>
    <row r="450" spans="2:17" ht="15.6" x14ac:dyDescent="0.3">
      <c r="B450" s="145" t="s">
        <v>1491</v>
      </c>
      <c r="C450" s="150" t="s">
        <v>1492</v>
      </c>
      <c r="D450" s="146" t="s">
        <v>190</v>
      </c>
      <c r="E450" s="147"/>
      <c r="F450" s="483">
        <f>1/16*2</f>
        <v>0.125</v>
      </c>
      <c r="G450" s="302" t="s">
        <v>1508</v>
      </c>
      <c r="H450" s="300">
        <v>45867</v>
      </c>
      <c r="I450" s="319" t="s">
        <v>1509</v>
      </c>
      <c r="J450" s="487" t="s">
        <v>1506</v>
      </c>
      <c r="K450" s="132" t="s">
        <v>1510</v>
      </c>
    </row>
    <row r="451" spans="2:17" ht="15.6" x14ac:dyDescent="0.3">
      <c r="B451" s="145" t="s">
        <v>1491</v>
      </c>
      <c r="C451" s="150" t="s">
        <v>1492</v>
      </c>
      <c r="D451" s="146" t="s">
        <v>190</v>
      </c>
      <c r="E451" s="147"/>
      <c r="F451" s="483">
        <f>1/16*2</f>
        <v>0.125</v>
      </c>
      <c r="G451" s="302" t="s">
        <v>1511</v>
      </c>
      <c r="H451" s="300">
        <v>45804</v>
      </c>
      <c r="I451" s="319" t="s">
        <v>1509</v>
      </c>
      <c r="J451" s="487" t="s">
        <v>1506</v>
      </c>
      <c r="K451" s="132" t="s">
        <v>1512</v>
      </c>
    </row>
    <row r="452" spans="2:17" ht="15.6" x14ac:dyDescent="0.3">
      <c r="B452" s="145" t="s">
        <v>1491</v>
      </c>
      <c r="C452" s="150" t="s">
        <v>1492</v>
      </c>
      <c r="D452" s="146" t="s">
        <v>190</v>
      </c>
      <c r="E452" s="147"/>
      <c r="F452" s="483">
        <f>1/16*2</f>
        <v>0.125</v>
      </c>
      <c r="G452" s="302" t="s">
        <v>1513</v>
      </c>
      <c r="H452" s="300">
        <v>45804</v>
      </c>
      <c r="I452" s="319" t="s">
        <v>1509</v>
      </c>
      <c r="J452" s="487" t="s">
        <v>1506</v>
      </c>
      <c r="K452" s="132" t="s">
        <v>1514</v>
      </c>
    </row>
    <row r="453" spans="2:17" ht="15.6" x14ac:dyDescent="0.3">
      <c r="B453" s="145"/>
      <c r="C453" s="150"/>
      <c r="D453" s="146"/>
      <c r="E453" s="147"/>
      <c r="F453" s="483"/>
      <c r="G453" s="147"/>
      <c r="H453" s="298"/>
      <c r="I453" s="151"/>
      <c r="J453" s="487"/>
    </row>
    <row r="454" spans="2:17" s="58" customFormat="1" ht="15.6" x14ac:dyDescent="0.3">
      <c r="B454" s="352"/>
      <c r="C454" s="353" t="s">
        <v>771</v>
      </c>
      <c r="D454" s="354" t="s">
        <v>190</v>
      </c>
      <c r="E454" s="355"/>
      <c r="F454" s="543">
        <f>ROUND(SUM(F444:F453),3)</f>
        <v>2</v>
      </c>
      <c r="G454" s="357"/>
      <c r="H454" s="358"/>
      <c r="I454" s="359"/>
      <c r="J454" s="359"/>
      <c r="L454" s="132"/>
      <c r="M454" s="339"/>
      <c r="N454" s="132"/>
      <c r="O454" s="132"/>
      <c r="P454" s="132"/>
      <c r="Q454" s="339"/>
    </row>
    <row r="455" spans="2:17" s="58" customFormat="1" ht="15.6" x14ac:dyDescent="0.3">
      <c r="B455" s="352"/>
      <c r="C455" s="353" t="s">
        <v>772</v>
      </c>
      <c r="D455" s="354" t="s">
        <v>190</v>
      </c>
      <c r="E455" s="355"/>
      <c r="F455" s="543">
        <v>2</v>
      </c>
      <c r="G455" s="357"/>
      <c r="H455" s="358"/>
      <c r="I455" s="359"/>
      <c r="J455" s="359"/>
      <c r="M455" s="499"/>
      <c r="Q455" s="499"/>
    </row>
    <row r="456" spans="2:17" s="58" customFormat="1" ht="15.6" x14ac:dyDescent="0.3">
      <c r="B456" s="360"/>
      <c r="C456" s="361" t="s">
        <v>773</v>
      </c>
      <c r="D456" s="354" t="s">
        <v>190</v>
      </c>
      <c r="E456" s="363"/>
      <c r="F456" s="544">
        <f>F454-F455</f>
        <v>0</v>
      </c>
      <c r="G456" s="365"/>
      <c r="H456" s="366"/>
      <c r="I456" s="367"/>
      <c r="J456" s="367"/>
      <c r="M456" s="499"/>
      <c r="Q456" s="499"/>
    </row>
    <row r="457" spans="2:17" ht="7.5" customHeight="1" x14ac:dyDescent="0.3">
      <c r="B457" s="338"/>
      <c r="C457" s="142"/>
      <c r="D457" s="143"/>
      <c r="E457" s="144"/>
      <c r="F457" s="545"/>
      <c r="G457" s="144"/>
      <c r="H457" s="144"/>
      <c r="I457" s="515"/>
      <c r="J457" s="514"/>
      <c r="L457" s="58"/>
      <c r="M457" s="499"/>
      <c r="N457" s="58"/>
      <c r="O457" s="58"/>
      <c r="P457" s="58"/>
      <c r="Q457" s="499"/>
    </row>
    <row r="458" spans="2:17" ht="31.2" x14ac:dyDescent="0.3">
      <c r="B458" s="145" t="s">
        <v>1515</v>
      </c>
      <c r="C458" s="150" t="s">
        <v>1516</v>
      </c>
      <c r="D458" s="146" t="s">
        <v>190</v>
      </c>
      <c r="E458" s="147"/>
      <c r="F458" s="483">
        <f>2/16*2</f>
        <v>0.25</v>
      </c>
      <c r="G458" s="302" t="s">
        <v>1517</v>
      </c>
      <c r="H458" s="300">
        <v>45824</v>
      </c>
      <c r="I458" s="151" t="s">
        <v>937</v>
      </c>
      <c r="J458" s="487" t="s">
        <v>1518</v>
      </c>
      <c r="K458" s="132" t="s">
        <v>1519</v>
      </c>
      <c r="L458" s="58"/>
      <c r="M458" s="499"/>
      <c r="N458" s="58"/>
      <c r="O458" s="58"/>
      <c r="P458" s="58"/>
      <c r="Q458" s="499"/>
    </row>
    <row r="459" spans="2:17" ht="15.6" x14ac:dyDescent="0.3">
      <c r="B459" s="145" t="s">
        <v>1515</v>
      </c>
      <c r="C459" s="150" t="s">
        <v>1516</v>
      </c>
      <c r="D459" s="146" t="s">
        <v>190</v>
      </c>
      <c r="E459" s="147"/>
      <c r="F459" s="483">
        <f>1/16*2</f>
        <v>0.125</v>
      </c>
      <c r="G459" s="302" t="s">
        <v>1520</v>
      </c>
      <c r="H459" s="300">
        <v>45833</v>
      </c>
      <c r="I459" s="319" t="s">
        <v>1509</v>
      </c>
      <c r="J459" s="487" t="s">
        <v>1521</v>
      </c>
      <c r="K459" s="132" t="s">
        <v>1522</v>
      </c>
      <c r="L459" s="58"/>
      <c r="M459" s="499"/>
      <c r="N459" s="58"/>
      <c r="O459" s="58"/>
      <c r="P459" s="58"/>
      <c r="Q459" s="499"/>
    </row>
    <row r="460" spans="2:17" ht="15.6" x14ac:dyDescent="0.3">
      <c r="B460" s="145" t="s">
        <v>1515</v>
      </c>
      <c r="C460" s="150" t="s">
        <v>1516</v>
      </c>
      <c r="D460" s="146" t="s">
        <v>190</v>
      </c>
      <c r="E460" s="147"/>
      <c r="F460" s="483">
        <f>1/16*2</f>
        <v>0.125</v>
      </c>
      <c r="G460" s="302" t="s">
        <v>1523</v>
      </c>
      <c r="H460" s="300">
        <v>45891</v>
      </c>
      <c r="I460" s="319" t="s">
        <v>1509</v>
      </c>
      <c r="J460" s="487" t="s">
        <v>1524</v>
      </c>
      <c r="K460" s="132" t="s">
        <v>1525</v>
      </c>
      <c r="L460" s="58"/>
      <c r="M460" s="499"/>
      <c r="N460" s="58"/>
      <c r="O460" s="58"/>
      <c r="P460" s="58"/>
      <c r="Q460" s="499"/>
    </row>
    <row r="461" spans="2:17" ht="31.2" x14ac:dyDescent="0.3">
      <c r="B461" s="145" t="s">
        <v>1515</v>
      </c>
      <c r="C461" s="150" t="s">
        <v>1516</v>
      </c>
      <c r="D461" s="146" t="s">
        <v>190</v>
      </c>
      <c r="E461" s="147"/>
      <c r="F461" s="483">
        <f>2/16*2</f>
        <v>0.25</v>
      </c>
      <c r="G461" s="302" t="s">
        <v>1526</v>
      </c>
      <c r="H461" s="300">
        <v>45910</v>
      </c>
      <c r="I461" s="319" t="s">
        <v>940</v>
      </c>
      <c r="J461" s="487" t="s">
        <v>1527</v>
      </c>
      <c r="L461" s="58"/>
      <c r="M461" s="499"/>
      <c r="N461" s="58"/>
      <c r="O461" s="58"/>
      <c r="P461" s="58"/>
      <c r="Q461" s="499"/>
    </row>
    <row r="462" spans="2:17" ht="15.6" x14ac:dyDescent="0.3">
      <c r="B462" s="145" t="s">
        <v>1515</v>
      </c>
      <c r="C462" s="150" t="s">
        <v>1516</v>
      </c>
      <c r="D462" s="146" t="s">
        <v>190</v>
      </c>
      <c r="E462" s="147"/>
      <c r="F462" s="483">
        <f t="shared" ref="F462:F463" si="2">1/16*2</f>
        <v>0.125</v>
      </c>
      <c r="G462" s="302" t="s">
        <v>1528</v>
      </c>
      <c r="H462" s="300">
        <v>45912</v>
      </c>
      <c r="I462" s="319" t="s">
        <v>940</v>
      </c>
      <c r="J462" s="487" t="s">
        <v>1529</v>
      </c>
      <c r="L462" s="58"/>
      <c r="M462" s="499"/>
      <c r="N462" s="58"/>
      <c r="O462" s="58"/>
      <c r="P462" s="58"/>
      <c r="Q462" s="499"/>
    </row>
    <row r="463" spans="2:17" ht="15.6" x14ac:dyDescent="0.3">
      <c r="B463" s="145" t="s">
        <v>1515</v>
      </c>
      <c r="C463" s="150" t="s">
        <v>1516</v>
      </c>
      <c r="D463" s="146" t="s">
        <v>190</v>
      </c>
      <c r="E463" s="147"/>
      <c r="F463" s="483">
        <f t="shared" si="2"/>
        <v>0.125</v>
      </c>
      <c r="G463" s="302" t="s">
        <v>1530</v>
      </c>
      <c r="H463" s="300">
        <v>45912</v>
      </c>
      <c r="I463" s="319" t="s">
        <v>940</v>
      </c>
      <c r="J463" s="487" t="s">
        <v>1531</v>
      </c>
      <c r="L463" s="58"/>
      <c r="M463" s="499"/>
      <c r="N463" s="58"/>
      <c r="O463" s="58"/>
      <c r="P463" s="58"/>
      <c r="Q463" s="499"/>
    </row>
    <row r="464" spans="2:17" ht="31.2" x14ac:dyDescent="0.3">
      <c r="B464" s="145" t="s">
        <v>1515</v>
      </c>
      <c r="C464" s="150" t="s">
        <v>1516</v>
      </c>
      <c r="D464" s="146" t="s">
        <v>190</v>
      </c>
      <c r="E464" s="147"/>
      <c r="F464" s="483">
        <f>2/16*2</f>
        <v>0.25</v>
      </c>
      <c r="G464" s="302" t="s">
        <v>1532</v>
      </c>
      <c r="H464" s="300">
        <v>45916</v>
      </c>
      <c r="I464" s="319" t="s">
        <v>940</v>
      </c>
      <c r="J464" s="487" t="s">
        <v>1533</v>
      </c>
      <c r="L464" s="58"/>
      <c r="M464" s="499"/>
      <c r="N464" s="58"/>
      <c r="O464" s="58"/>
      <c r="P464" s="58"/>
      <c r="Q464" s="499"/>
    </row>
    <row r="465" spans="2:17" ht="31.2" x14ac:dyDescent="0.3">
      <c r="B465" s="145" t="s">
        <v>1515</v>
      </c>
      <c r="C465" s="150" t="s">
        <v>1516</v>
      </c>
      <c r="D465" s="146" t="s">
        <v>190</v>
      </c>
      <c r="E465" s="147"/>
      <c r="F465" s="483">
        <f>6/16*2</f>
        <v>0.75</v>
      </c>
      <c r="G465" s="302" t="s">
        <v>1534</v>
      </c>
      <c r="H465" s="300">
        <v>45944</v>
      </c>
      <c r="I465" s="319" t="s">
        <v>1026</v>
      </c>
      <c r="J465" s="487" t="s">
        <v>1535</v>
      </c>
      <c r="L465" s="58"/>
      <c r="M465" s="499"/>
      <c r="N465" s="58"/>
      <c r="O465" s="58"/>
      <c r="P465" s="58"/>
      <c r="Q465" s="499"/>
    </row>
    <row r="466" spans="2:17" ht="15.6" x14ac:dyDescent="0.3">
      <c r="B466" s="145"/>
      <c r="C466" s="150"/>
      <c r="D466" s="146"/>
      <c r="E466" s="147"/>
      <c r="F466" s="483"/>
      <c r="G466" s="147"/>
      <c r="H466" s="298"/>
      <c r="I466" s="151"/>
      <c r="J466" s="487"/>
    </row>
    <row r="467" spans="2:17" s="58" customFormat="1" ht="15.6" x14ac:dyDescent="0.3">
      <c r="B467" s="352"/>
      <c r="C467" s="353" t="s">
        <v>771</v>
      </c>
      <c r="D467" s="354" t="s">
        <v>190</v>
      </c>
      <c r="E467" s="355"/>
      <c r="F467" s="356">
        <f>ROUND(SUM(F458:F466),3)</f>
        <v>2</v>
      </c>
      <c r="G467" s="357"/>
      <c r="H467" s="358"/>
      <c r="I467" s="359"/>
      <c r="J467" s="359"/>
      <c r="L467" s="132"/>
      <c r="M467" s="339"/>
      <c r="N467" s="132"/>
      <c r="O467" s="132"/>
      <c r="P467" s="132"/>
      <c r="Q467" s="339"/>
    </row>
    <row r="468" spans="2:17" s="58" customFormat="1" ht="15.6" x14ac:dyDescent="0.3">
      <c r="B468" s="352"/>
      <c r="C468" s="353" t="s">
        <v>772</v>
      </c>
      <c r="D468" s="354" t="s">
        <v>190</v>
      </c>
      <c r="E468" s="355"/>
      <c r="F468" s="356">
        <v>2</v>
      </c>
      <c r="G468" s="357"/>
      <c r="H468" s="358"/>
      <c r="I468" s="359"/>
      <c r="J468" s="359"/>
      <c r="M468" s="499"/>
      <c r="Q468" s="499"/>
    </row>
    <row r="469" spans="2:17" s="58" customFormat="1" ht="15.6" x14ac:dyDescent="0.3">
      <c r="B469" s="360"/>
      <c r="C469" s="361" t="s">
        <v>773</v>
      </c>
      <c r="D469" s="354" t="s">
        <v>190</v>
      </c>
      <c r="E469" s="363"/>
      <c r="F469" s="364">
        <f>F467-F468</f>
        <v>0</v>
      </c>
      <c r="G469" s="365"/>
      <c r="H469" s="366"/>
      <c r="I469" s="367"/>
      <c r="J469" s="367"/>
      <c r="M469" s="499"/>
      <c r="Q469" s="499"/>
    </row>
    <row r="470" spans="2:17" ht="7.35" customHeight="1" x14ac:dyDescent="0.3">
      <c r="B470" s="338"/>
      <c r="C470" s="142"/>
      <c r="D470" s="143"/>
      <c r="E470" s="144"/>
      <c r="F470" s="345"/>
      <c r="G470" s="144"/>
      <c r="H470" s="144"/>
      <c r="I470" s="515"/>
      <c r="J470" s="514"/>
      <c r="L470" s="58"/>
      <c r="M470" s="499"/>
      <c r="N470" s="58"/>
      <c r="O470" s="58"/>
      <c r="P470" s="58"/>
      <c r="Q470" s="499"/>
    </row>
    <row r="471" spans="2:17" ht="31.2" x14ac:dyDescent="0.3">
      <c r="B471" s="145" t="s">
        <v>1536</v>
      </c>
      <c r="C471" s="150" t="s">
        <v>1537</v>
      </c>
      <c r="D471" s="146" t="s">
        <v>190</v>
      </c>
      <c r="E471" s="147"/>
      <c r="F471" s="483">
        <f>1/16*2</f>
        <v>0.125</v>
      </c>
      <c r="G471" s="302" t="s">
        <v>1538</v>
      </c>
      <c r="H471" s="300" t="s">
        <v>1539</v>
      </c>
      <c r="I471" s="151" t="s">
        <v>1262</v>
      </c>
      <c r="J471" s="487" t="s">
        <v>1540</v>
      </c>
      <c r="L471" s="58"/>
      <c r="M471" s="499"/>
      <c r="N471" s="58"/>
      <c r="O471" s="58"/>
      <c r="P471" s="58"/>
      <c r="Q471" s="499"/>
    </row>
    <row r="472" spans="2:17" ht="31.2" x14ac:dyDescent="0.3">
      <c r="B472" s="145" t="s">
        <v>1536</v>
      </c>
      <c r="C472" s="150" t="s">
        <v>1537</v>
      </c>
      <c r="D472" s="146" t="s">
        <v>190</v>
      </c>
      <c r="E472" s="147"/>
      <c r="F472" s="483">
        <f>1/16*2</f>
        <v>0.125</v>
      </c>
      <c r="G472" s="302" t="s">
        <v>1538</v>
      </c>
      <c r="H472" s="300" t="s">
        <v>1539</v>
      </c>
      <c r="I472" s="319" t="s">
        <v>1026</v>
      </c>
      <c r="J472" s="487" t="s">
        <v>1540</v>
      </c>
      <c r="L472" s="58"/>
      <c r="M472" s="499"/>
      <c r="N472" s="58"/>
      <c r="O472" s="58"/>
      <c r="P472" s="58"/>
      <c r="Q472" s="499"/>
    </row>
    <row r="473" spans="2:17" ht="15.6" x14ac:dyDescent="0.3">
      <c r="B473" s="145" t="s">
        <v>1536</v>
      </c>
      <c r="C473" s="150" t="s">
        <v>1537</v>
      </c>
      <c r="D473" s="146" t="s">
        <v>190</v>
      </c>
      <c r="E473" s="147"/>
      <c r="F473" s="483">
        <f>1/16*2</f>
        <v>0.125</v>
      </c>
      <c r="G473" s="302" t="s">
        <v>1541</v>
      </c>
      <c r="H473" s="300">
        <v>45905</v>
      </c>
      <c r="I473" s="319" t="s">
        <v>1026</v>
      </c>
      <c r="J473" s="487" t="s">
        <v>1542</v>
      </c>
      <c r="L473" s="58"/>
      <c r="M473" s="499"/>
      <c r="N473" s="58"/>
      <c r="O473" s="58"/>
      <c r="P473" s="58"/>
      <c r="Q473" s="499"/>
    </row>
    <row r="474" spans="2:17" ht="31.2" x14ac:dyDescent="0.3">
      <c r="B474" s="145" t="s">
        <v>1536</v>
      </c>
      <c r="C474" s="150" t="s">
        <v>1537</v>
      </c>
      <c r="D474" s="146" t="s">
        <v>190</v>
      </c>
      <c r="E474" s="147"/>
      <c r="F474" s="483">
        <f>2/16*2</f>
        <v>0.25</v>
      </c>
      <c r="G474" s="302" t="s">
        <v>1543</v>
      </c>
      <c r="H474" s="300">
        <v>45978</v>
      </c>
      <c r="I474" s="319" t="s">
        <v>1282</v>
      </c>
      <c r="J474" s="487" t="s">
        <v>1544</v>
      </c>
      <c r="L474" s="58"/>
      <c r="M474" s="499"/>
      <c r="N474" s="58"/>
      <c r="O474" s="58"/>
      <c r="P474" s="58"/>
      <c r="Q474" s="499"/>
    </row>
    <row r="475" spans="2:17" ht="31.2" x14ac:dyDescent="0.3">
      <c r="B475" s="145" t="s">
        <v>1536</v>
      </c>
      <c r="C475" s="150" t="s">
        <v>1537</v>
      </c>
      <c r="D475" s="146" t="s">
        <v>190</v>
      </c>
      <c r="E475" s="147"/>
      <c r="F475" s="483">
        <f>2/16*2</f>
        <v>0.25</v>
      </c>
      <c r="G475" s="302" t="s">
        <v>1545</v>
      </c>
      <c r="H475" s="300">
        <v>45973</v>
      </c>
      <c r="I475" s="319" t="s">
        <v>1282</v>
      </c>
      <c r="J475" s="487" t="s">
        <v>1546</v>
      </c>
      <c r="L475" s="58"/>
      <c r="M475" s="499"/>
      <c r="N475" s="58"/>
      <c r="O475" s="58"/>
      <c r="P475" s="58"/>
      <c r="Q475" s="499"/>
    </row>
    <row r="476" spans="2:17" ht="31.2" x14ac:dyDescent="0.3">
      <c r="B476" s="145" t="s">
        <v>1536</v>
      </c>
      <c r="C476" s="150" t="s">
        <v>1537</v>
      </c>
      <c r="D476" s="146" t="s">
        <v>190</v>
      </c>
      <c r="E476" s="147"/>
      <c r="F476" s="483">
        <f>2/16*2</f>
        <v>0.25</v>
      </c>
      <c r="G476" s="302" t="s">
        <v>1547</v>
      </c>
      <c r="H476" s="300">
        <v>46006</v>
      </c>
      <c r="I476" s="319" t="s">
        <v>943</v>
      </c>
      <c r="J476" s="487" t="s">
        <v>1502</v>
      </c>
      <c r="L476" s="58"/>
      <c r="M476" s="499"/>
      <c r="N476" s="58"/>
      <c r="O476" s="58"/>
      <c r="P476" s="58"/>
      <c r="Q476" s="499"/>
    </row>
    <row r="477" spans="2:17" ht="31.2" x14ac:dyDescent="0.3">
      <c r="B477" s="145" t="s">
        <v>1536</v>
      </c>
      <c r="C477" s="150" t="s">
        <v>1537</v>
      </c>
      <c r="D477" s="146" t="s">
        <v>190</v>
      </c>
      <c r="E477" s="147"/>
      <c r="F477" s="483">
        <f>6/16*2</f>
        <v>0.75</v>
      </c>
      <c r="G477" s="302" t="s">
        <v>1548</v>
      </c>
      <c r="H477" s="300">
        <v>46002</v>
      </c>
      <c r="I477" s="319" t="s">
        <v>943</v>
      </c>
      <c r="J477" s="487" t="s">
        <v>1549</v>
      </c>
      <c r="K477" s="132" t="s">
        <v>1550</v>
      </c>
      <c r="L477" s="58"/>
      <c r="M477" s="499"/>
      <c r="N477" s="58"/>
      <c r="O477" s="58"/>
      <c r="P477" s="58"/>
      <c r="Q477" s="499"/>
    </row>
    <row r="478" spans="2:17" ht="15.6" x14ac:dyDescent="0.3">
      <c r="B478" s="145"/>
      <c r="C478" s="150"/>
      <c r="D478" s="146"/>
      <c r="E478" s="147"/>
      <c r="F478" s="483"/>
      <c r="G478" s="147"/>
      <c r="H478" s="298"/>
      <c r="I478" s="151"/>
      <c r="J478" s="487"/>
    </row>
    <row r="479" spans="2:17" s="58" customFormat="1" ht="15.6" x14ac:dyDescent="0.3">
      <c r="B479" s="352"/>
      <c r="C479" s="353" t="s">
        <v>771</v>
      </c>
      <c r="D479" s="354" t="s">
        <v>190</v>
      </c>
      <c r="E479" s="355"/>
      <c r="F479" s="356">
        <f>ROUND(SUM(F471:F478),3)</f>
        <v>1.875</v>
      </c>
      <c r="G479" s="357"/>
      <c r="H479" s="358"/>
      <c r="I479" s="359"/>
      <c r="J479" s="359"/>
      <c r="L479" s="132"/>
      <c r="M479" s="339"/>
      <c r="N479" s="132"/>
      <c r="O479" s="132"/>
      <c r="P479" s="132"/>
      <c r="Q479" s="339"/>
    </row>
    <row r="480" spans="2:17" s="58" customFormat="1" ht="15.6" x14ac:dyDescent="0.3">
      <c r="B480" s="352"/>
      <c r="C480" s="353" t="s">
        <v>772</v>
      </c>
      <c r="D480" s="354" t="s">
        <v>190</v>
      </c>
      <c r="E480" s="355"/>
      <c r="F480" s="356">
        <v>1.875</v>
      </c>
      <c r="G480" s="357"/>
      <c r="H480" s="358"/>
      <c r="I480" s="359"/>
      <c r="J480" s="359"/>
      <c r="M480" s="499"/>
      <c r="Q480" s="499"/>
    </row>
    <row r="481" spans="2:17" s="58" customFormat="1" ht="15.6" x14ac:dyDescent="0.3">
      <c r="B481" s="360"/>
      <c r="C481" s="361" t="s">
        <v>773</v>
      </c>
      <c r="D481" s="354" t="s">
        <v>190</v>
      </c>
      <c r="E481" s="363"/>
      <c r="F481" s="364">
        <f>F479-F480</f>
        <v>0</v>
      </c>
      <c r="G481" s="365"/>
      <c r="H481" s="366"/>
      <c r="I481" s="367"/>
      <c r="J481" s="367"/>
      <c r="M481" s="499"/>
      <c r="Q481" s="499"/>
    </row>
    <row r="482" spans="2:17" ht="7.5" customHeight="1" x14ac:dyDescent="0.3">
      <c r="B482" s="338"/>
      <c r="C482" s="142"/>
      <c r="D482" s="143"/>
      <c r="E482" s="144"/>
      <c r="F482" s="345"/>
      <c r="G482" s="144"/>
      <c r="H482" s="144"/>
      <c r="I482" s="515"/>
      <c r="J482" s="514"/>
      <c r="L482" s="58"/>
      <c r="M482" s="499"/>
      <c r="N482" s="58"/>
      <c r="O482" s="58"/>
      <c r="P482" s="58"/>
      <c r="Q482" s="499"/>
    </row>
    <row r="483" spans="2:17" ht="46.8" x14ac:dyDescent="0.3">
      <c r="B483" s="145" t="s">
        <v>1551</v>
      </c>
      <c r="C483" s="150" t="s">
        <v>1552</v>
      </c>
      <c r="D483" s="146" t="s">
        <v>190</v>
      </c>
      <c r="E483" s="147"/>
      <c r="F483" s="483">
        <f>4/16*2</f>
        <v>0.5</v>
      </c>
      <c r="G483" s="302" t="s">
        <v>1493</v>
      </c>
      <c r="H483" s="300" t="s">
        <v>1494</v>
      </c>
      <c r="I483" s="151" t="s">
        <v>871</v>
      </c>
      <c r="J483" s="487" t="s">
        <v>1495</v>
      </c>
    </row>
    <row r="484" spans="2:17" ht="46.8" x14ac:dyDescent="0.3">
      <c r="B484" s="145" t="s">
        <v>1551</v>
      </c>
      <c r="C484" s="150" t="s">
        <v>1552</v>
      </c>
      <c r="D484" s="146" t="s">
        <v>190</v>
      </c>
      <c r="E484" s="147"/>
      <c r="F484" s="483">
        <f>2/16*2</f>
        <v>0.25</v>
      </c>
      <c r="G484" s="302" t="s">
        <v>1496</v>
      </c>
      <c r="H484" s="300" t="s">
        <v>1497</v>
      </c>
      <c r="I484" s="151" t="s">
        <v>898</v>
      </c>
      <c r="J484" s="487" t="s">
        <v>1553</v>
      </c>
    </row>
    <row r="485" spans="2:17" ht="15.6" x14ac:dyDescent="0.3">
      <c r="B485" s="145" t="s">
        <v>1551</v>
      </c>
      <c r="C485" s="150" t="s">
        <v>1552</v>
      </c>
      <c r="D485" s="146" t="s">
        <v>190</v>
      </c>
      <c r="E485" s="147"/>
      <c r="F485" s="483">
        <f>1/16*2</f>
        <v>0.125</v>
      </c>
      <c r="G485" s="302" t="s">
        <v>1499</v>
      </c>
      <c r="H485" s="300">
        <v>45735</v>
      </c>
      <c r="I485" s="151" t="s">
        <v>934</v>
      </c>
      <c r="J485" s="487" t="s">
        <v>1542</v>
      </c>
    </row>
    <row r="486" spans="2:17" s="481" customFormat="1" ht="31.2" x14ac:dyDescent="0.3">
      <c r="B486" s="828" t="s">
        <v>1551</v>
      </c>
      <c r="C486" s="966" t="s">
        <v>1552</v>
      </c>
      <c r="D486" s="967" t="s">
        <v>190</v>
      </c>
      <c r="E486" s="489"/>
      <c r="F486" s="491">
        <f>2/16*2</f>
        <v>0.25</v>
      </c>
      <c r="G486" s="594" t="s">
        <v>1554</v>
      </c>
      <c r="H486" s="647" t="s">
        <v>1555</v>
      </c>
      <c r="I486" s="588" t="s">
        <v>1262</v>
      </c>
      <c r="J486" s="487" t="s">
        <v>1544</v>
      </c>
      <c r="K486" s="481" t="s">
        <v>1544</v>
      </c>
      <c r="M486" s="968"/>
      <c r="Q486" s="968"/>
    </row>
    <row r="487" spans="2:17" s="481" customFormat="1" ht="31.2" x14ac:dyDescent="0.3">
      <c r="B487" s="828" t="s">
        <v>1551</v>
      </c>
      <c r="C487" s="966" t="s">
        <v>1552</v>
      </c>
      <c r="D487" s="967" t="s">
        <v>190</v>
      </c>
      <c r="E487" s="489"/>
      <c r="F487" s="483">
        <f>2/16*2</f>
        <v>0.25</v>
      </c>
      <c r="G487" s="302" t="s">
        <v>1556</v>
      </c>
      <c r="H487" s="300">
        <v>45912</v>
      </c>
      <c r="I487" s="319" t="s">
        <v>1026</v>
      </c>
      <c r="J487" s="487" t="s">
        <v>1557</v>
      </c>
      <c r="M487" s="968"/>
      <c r="Q487" s="968"/>
    </row>
    <row r="488" spans="2:17" s="481" customFormat="1" ht="31.2" x14ac:dyDescent="0.3">
      <c r="B488" s="828" t="s">
        <v>1551</v>
      </c>
      <c r="C488" s="966" t="s">
        <v>1552</v>
      </c>
      <c r="D488" s="967" t="s">
        <v>190</v>
      </c>
      <c r="E488" s="489"/>
      <c r="F488" s="483">
        <f>2/16*2</f>
        <v>0.25</v>
      </c>
      <c r="G488" s="302" t="s">
        <v>1558</v>
      </c>
      <c r="H488" s="300">
        <v>45923</v>
      </c>
      <c r="I488" s="319" t="s">
        <v>1026</v>
      </c>
      <c r="J488" s="487" t="s">
        <v>1559</v>
      </c>
      <c r="M488" s="968"/>
      <c r="Q488" s="968"/>
    </row>
    <row r="489" spans="2:17" s="481" customFormat="1" ht="31.2" x14ac:dyDescent="0.3">
      <c r="B489" s="828" t="s">
        <v>1551</v>
      </c>
      <c r="C489" s="966" t="s">
        <v>1552</v>
      </c>
      <c r="D489" s="967" t="s">
        <v>190</v>
      </c>
      <c r="E489" s="489"/>
      <c r="F489" s="483">
        <f>1/16*2</f>
        <v>0.125</v>
      </c>
      <c r="G489" s="302" t="s">
        <v>1560</v>
      </c>
      <c r="H489" s="300">
        <v>45933</v>
      </c>
      <c r="I489" s="319" t="s">
        <v>1026</v>
      </c>
      <c r="J489" s="487" t="s">
        <v>1561</v>
      </c>
      <c r="M489" s="968"/>
      <c r="Q489" s="968"/>
    </row>
    <row r="490" spans="2:17" s="481" customFormat="1" ht="31.2" x14ac:dyDescent="0.3">
      <c r="B490" s="828" t="s">
        <v>1551</v>
      </c>
      <c r="C490" s="966" t="s">
        <v>1552</v>
      </c>
      <c r="D490" s="967" t="s">
        <v>190</v>
      </c>
      <c r="E490" s="489"/>
      <c r="F490" s="483">
        <f>2/16*2</f>
        <v>0.25</v>
      </c>
      <c r="G490" s="302" t="s">
        <v>1501</v>
      </c>
      <c r="H490" s="300">
        <v>45805</v>
      </c>
      <c r="I490" s="319" t="s">
        <v>1282</v>
      </c>
      <c r="J490" s="487" t="s">
        <v>1502</v>
      </c>
      <c r="M490" s="968"/>
      <c r="Q490" s="968"/>
    </row>
    <row r="491" spans="2:17" ht="15.6" x14ac:dyDescent="0.3">
      <c r="B491" s="145"/>
      <c r="C491" s="150"/>
      <c r="D491" s="146"/>
      <c r="E491" s="147"/>
      <c r="F491" s="483"/>
      <c r="G491" s="147"/>
      <c r="H491" s="298"/>
      <c r="I491" s="151"/>
      <c r="J491" s="487"/>
    </row>
    <row r="492" spans="2:17" s="58" customFormat="1" ht="15.6" x14ac:dyDescent="0.3">
      <c r="B492" s="352"/>
      <c r="C492" s="353" t="s">
        <v>771</v>
      </c>
      <c r="D492" s="354" t="s">
        <v>190</v>
      </c>
      <c r="E492" s="355"/>
      <c r="F492" s="356">
        <f>ROUND(SUM(F483:F491),3)</f>
        <v>2</v>
      </c>
      <c r="G492" s="357"/>
      <c r="H492" s="358"/>
      <c r="I492" s="359"/>
      <c r="J492" s="359"/>
      <c r="M492" s="499"/>
      <c r="Q492" s="499"/>
    </row>
    <row r="493" spans="2:17" s="58" customFormat="1" ht="15.6" x14ac:dyDescent="0.3">
      <c r="B493" s="352"/>
      <c r="C493" s="353" t="s">
        <v>772</v>
      </c>
      <c r="D493" s="354" t="s">
        <v>190</v>
      </c>
      <c r="E493" s="355"/>
      <c r="F493" s="356">
        <v>2</v>
      </c>
      <c r="G493" s="357"/>
      <c r="H493" s="358"/>
      <c r="I493" s="359"/>
      <c r="J493" s="359"/>
      <c r="M493" s="499"/>
      <c r="Q493" s="499"/>
    </row>
    <row r="494" spans="2:17" s="58" customFormat="1" ht="15.6" x14ac:dyDescent="0.3">
      <c r="B494" s="360"/>
      <c r="C494" s="361" t="s">
        <v>773</v>
      </c>
      <c r="D494" s="354" t="s">
        <v>190</v>
      </c>
      <c r="E494" s="363"/>
      <c r="F494" s="364">
        <f>F492-F493</f>
        <v>0</v>
      </c>
      <c r="G494" s="365"/>
      <c r="H494" s="366"/>
      <c r="I494" s="367"/>
      <c r="J494" s="367"/>
      <c r="M494" s="499"/>
      <c r="Q494" s="499"/>
    </row>
    <row r="495" spans="2:17" ht="7.5" customHeight="1" x14ac:dyDescent="0.3">
      <c r="B495" s="338"/>
      <c r="C495" s="142"/>
      <c r="D495" s="143"/>
      <c r="E495" s="144"/>
      <c r="F495" s="345"/>
      <c r="G495" s="144"/>
      <c r="H495" s="144"/>
      <c r="I495" s="515"/>
      <c r="J495" s="514"/>
    </row>
    <row r="496" spans="2:17" ht="31.2" x14ac:dyDescent="0.3">
      <c r="B496" s="145" t="s">
        <v>1562</v>
      </c>
      <c r="C496" s="150" t="s">
        <v>1563</v>
      </c>
      <c r="D496" s="146" t="s">
        <v>190</v>
      </c>
      <c r="E496" s="147"/>
      <c r="F496" s="483">
        <f>2/16*2*50%</f>
        <v>0.125</v>
      </c>
      <c r="G496" s="302" t="s">
        <v>1517</v>
      </c>
      <c r="H496" s="300">
        <v>45824</v>
      </c>
      <c r="I496" s="151" t="s">
        <v>940</v>
      </c>
      <c r="J496" s="487" t="s">
        <v>1564</v>
      </c>
      <c r="K496" s="132" t="s">
        <v>1519</v>
      </c>
      <c r="L496" s="58"/>
      <c r="M496" s="499"/>
      <c r="N496" s="58"/>
      <c r="O496" s="58"/>
      <c r="P496" s="58"/>
      <c r="Q496" s="499"/>
    </row>
    <row r="497" spans="2:17" ht="31.2" x14ac:dyDescent="0.3">
      <c r="B497" s="145" t="s">
        <v>1562</v>
      </c>
      <c r="C497" s="150" t="s">
        <v>1563</v>
      </c>
      <c r="D497" s="146" t="s">
        <v>190</v>
      </c>
      <c r="E497" s="147"/>
      <c r="F497" s="483">
        <f>1/16*2*50%</f>
        <v>6.25E-2</v>
      </c>
      <c r="G497" s="302" t="s">
        <v>1520</v>
      </c>
      <c r="H497" s="300">
        <v>45833</v>
      </c>
      <c r="I497" s="319" t="s">
        <v>940</v>
      </c>
      <c r="J497" s="487" t="s">
        <v>1565</v>
      </c>
      <c r="K497" s="132" t="s">
        <v>1522</v>
      </c>
      <c r="L497" s="58"/>
      <c r="M497" s="499"/>
      <c r="N497" s="58"/>
      <c r="O497" s="58"/>
      <c r="P497" s="58"/>
      <c r="Q497" s="499"/>
    </row>
    <row r="498" spans="2:17" ht="31.2" x14ac:dyDescent="0.3">
      <c r="B498" s="145" t="s">
        <v>1562</v>
      </c>
      <c r="C498" s="150" t="s">
        <v>1563</v>
      </c>
      <c r="D498" s="146" t="s">
        <v>190</v>
      </c>
      <c r="E498" s="147"/>
      <c r="F498" s="483">
        <f>1/16*2*50%</f>
        <v>6.25E-2</v>
      </c>
      <c r="G498" s="302" t="s">
        <v>1523</v>
      </c>
      <c r="H498" s="300">
        <v>45891</v>
      </c>
      <c r="I498" s="319" t="s">
        <v>940</v>
      </c>
      <c r="J498" s="487" t="s">
        <v>1566</v>
      </c>
      <c r="K498" s="132" t="s">
        <v>1525</v>
      </c>
      <c r="L498" s="58"/>
      <c r="M498" s="499"/>
      <c r="N498" s="58"/>
      <c r="O498" s="58"/>
      <c r="P498" s="58"/>
      <c r="Q498" s="499"/>
    </row>
    <row r="499" spans="2:17" ht="31.2" x14ac:dyDescent="0.3">
      <c r="B499" s="145" t="s">
        <v>1562</v>
      </c>
      <c r="C499" s="150" t="s">
        <v>1563</v>
      </c>
      <c r="D499" s="146" t="s">
        <v>190</v>
      </c>
      <c r="E499" s="147"/>
      <c r="F499" s="483">
        <f>1/16*2*50%</f>
        <v>6.25E-2</v>
      </c>
      <c r="G499" s="302" t="s">
        <v>1528</v>
      </c>
      <c r="H499" s="300">
        <v>45912</v>
      </c>
      <c r="I499" s="319" t="s">
        <v>940</v>
      </c>
      <c r="J499" s="487" t="s">
        <v>1567</v>
      </c>
      <c r="K499" s="132" t="s">
        <v>1568</v>
      </c>
      <c r="L499" s="58"/>
      <c r="M499" s="499"/>
      <c r="N499" s="58"/>
      <c r="O499" s="58"/>
      <c r="P499" s="58"/>
      <c r="Q499" s="499"/>
    </row>
    <row r="500" spans="2:17" ht="31.2" x14ac:dyDescent="0.3">
      <c r="B500" s="145" t="s">
        <v>1562</v>
      </c>
      <c r="C500" s="150" t="s">
        <v>1563</v>
      </c>
      <c r="D500" s="146" t="s">
        <v>190</v>
      </c>
      <c r="E500" s="147"/>
      <c r="F500" s="483">
        <f>1/16*2*50%</f>
        <v>6.25E-2</v>
      </c>
      <c r="G500" s="302" t="s">
        <v>1530</v>
      </c>
      <c r="H500" s="300">
        <v>45912</v>
      </c>
      <c r="I500" s="319" t="s">
        <v>940</v>
      </c>
      <c r="J500" s="487" t="s">
        <v>1569</v>
      </c>
      <c r="K500" s="132" t="s">
        <v>1570</v>
      </c>
      <c r="L500" s="58"/>
      <c r="M500" s="499"/>
      <c r="N500" s="58"/>
      <c r="O500" s="58"/>
      <c r="P500" s="58"/>
      <c r="Q500" s="499"/>
    </row>
    <row r="501" spans="2:17" ht="31.2" x14ac:dyDescent="0.3">
      <c r="B501" s="145" t="s">
        <v>1562</v>
      </c>
      <c r="C501" s="150" t="s">
        <v>1563</v>
      </c>
      <c r="D501" s="146" t="s">
        <v>190</v>
      </c>
      <c r="E501" s="147"/>
      <c r="F501" s="483">
        <f>2/16*2*50%</f>
        <v>0.125</v>
      </c>
      <c r="G501" s="302" t="s">
        <v>1532</v>
      </c>
      <c r="H501" s="300">
        <v>45916</v>
      </c>
      <c r="I501" s="319" t="s">
        <v>940</v>
      </c>
      <c r="J501" s="487" t="s">
        <v>1571</v>
      </c>
      <c r="K501" s="132" t="s">
        <v>1572</v>
      </c>
      <c r="L501" s="58"/>
      <c r="M501" s="499"/>
      <c r="N501" s="58"/>
      <c r="O501" s="58"/>
      <c r="P501" s="58"/>
      <c r="Q501" s="499"/>
    </row>
    <row r="502" spans="2:17" ht="31.2" x14ac:dyDescent="0.3">
      <c r="B502" s="145" t="s">
        <v>1562</v>
      </c>
      <c r="C502" s="150" t="s">
        <v>1563</v>
      </c>
      <c r="D502" s="146" t="s">
        <v>190</v>
      </c>
      <c r="E502" s="147"/>
      <c r="F502" s="483">
        <f>6/16*2*50%</f>
        <v>0.375</v>
      </c>
      <c r="G502" s="302" t="s">
        <v>1534</v>
      </c>
      <c r="H502" s="300">
        <v>45944</v>
      </c>
      <c r="I502" s="319" t="s">
        <v>1026</v>
      </c>
      <c r="J502" s="487" t="s">
        <v>1573</v>
      </c>
      <c r="K502" s="132" t="s">
        <v>1574</v>
      </c>
      <c r="L502" s="58"/>
      <c r="M502" s="499"/>
      <c r="N502" s="58"/>
      <c r="O502" s="58"/>
      <c r="P502" s="58"/>
      <c r="Q502" s="499"/>
    </row>
    <row r="503" spans="2:17" ht="46.8" x14ac:dyDescent="0.3">
      <c r="B503" s="145" t="s">
        <v>1562</v>
      </c>
      <c r="C503" s="150" t="s">
        <v>1563</v>
      </c>
      <c r="D503" s="146" t="s">
        <v>190</v>
      </c>
      <c r="E503" s="147"/>
      <c r="F503" s="491">
        <f>10/16*2*50%</f>
        <v>0.625</v>
      </c>
      <c r="G503" s="302" t="s">
        <v>1575</v>
      </c>
      <c r="H503" s="300">
        <v>46062</v>
      </c>
      <c r="I503" s="319" t="s">
        <v>1315</v>
      </c>
      <c r="J503" s="487" t="s">
        <v>1576</v>
      </c>
      <c r="K503" s="132" t="s">
        <v>1577</v>
      </c>
      <c r="L503" s="58"/>
      <c r="M503" s="499"/>
      <c r="N503" s="58"/>
      <c r="O503" s="58"/>
      <c r="P503" s="58"/>
      <c r="Q503" s="499"/>
    </row>
    <row r="504" spans="2:17" ht="46.8" x14ac:dyDescent="0.3">
      <c r="B504" s="145" t="s">
        <v>1562</v>
      </c>
      <c r="C504" s="150" t="s">
        <v>1563</v>
      </c>
      <c r="D504" s="146" t="s">
        <v>190</v>
      </c>
      <c r="E504" s="147"/>
      <c r="F504" s="491">
        <f>4/16*2*50%</f>
        <v>0.25</v>
      </c>
      <c r="G504" s="302" t="s">
        <v>1578</v>
      </c>
      <c r="H504" s="300">
        <v>46136</v>
      </c>
      <c r="I504" s="319" t="s">
        <v>1579</v>
      </c>
      <c r="J504" s="487" t="s">
        <v>1580</v>
      </c>
      <c r="K504" s="132" t="s">
        <v>1581</v>
      </c>
      <c r="L504" s="58"/>
      <c r="M504" s="499"/>
      <c r="N504" s="58"/>
      <c r="O504" s="58"/>
      <c r="P504" s="58"/>
      <c r="Q504" s="499"/>
    </row>
    <row r="505" spans="2:17" ht="15.6" x14ac:dyDescent="0.3">
      <c r="B505" s="145"/>
      <c r="C505" s="150"/>
      <c r="D505" s="146"/>
      <c r="E505" s="147"/>
      <c r="F505" s="491"/>
      <c r="G505" s="147"/>
      <c r="H505" s="298"/>
      <c r="I505" s="151"/>
      <c r="J505" s="487"/>
    </row>
    <row r="506" spans="2:17" s="58" customFormat="1" ht="15.6" x14ac:dyDescent="0.3">
      <c r="B506" s="352"/>
      <c r="C506" s="353" t="s">
        <v>771</v>
      </c>
      <c r="D506" s="354" t="s">
        <v>190</v>
      </c>
      <c r="E506" s="355"/>
      <c r="F506" s="543">
        <f>ROUND(SUM(F496:F505),3)</f>
        <v>1.75</v>
      </c>
      <c r="G506" s="357"/>
      <c r="H506" s="358"/>
      <c r="I506" s="359"/>
      <c r="J506" s="359"/>
      <c r="L506" s="132"/>
      <c r="M506" s="339"/>
      <c r="N506" s="132"/>
      <c r="O506" s="132"/>
      <c r="P506" s="132"/>
      <c r="Q506" s="339"/>
    </row>
    <row r="507" spans="2:17" s="58" customFormat="1" ht="15.6" x14ac:dyDescent="0.3">
      <c r="B507" s="352"/>
      <c r="C507" s="353" t="s">
        <v>772</v>
      </c>
      <c r="D507" s="354" t="s">
        <v>190</v>
      </c>
      <c r="E507" s="355"/>
      <c r="F507" s="543">
        <v>1.75</v>
      </c>
      <c r="G507" s="357"/>
      <c r="H507" s="358"/>
      <c r="I507" s="359"/>
      <c r="J507" s="359"/>
      <c r="M507" s="499"/>
      <c r="Q507" s="499"/>
    </row>
    <row r="508" spans="2:17" s="58" customFormat="1" ht="15.6" x14ac:dyDescent="0.3">
      <c r="B508" s="360"/>
      <c r="C508" s="361" t="s">
        <v>773</v>
      </c>
      <c r="D508" s="362" t="s">
        <v>190</v>
      </c>
      <c r="E508" s="363"/>
      <c r="F508" s="544">
        <f>F506-F507</f>
        <v>0</v>
      </c>
      <c r="G508" s="365"/>
      <c r="H508" s="366"/>
      <c r="I508" s="367"/>
      <c r="J508" s="367"/>
      <c r="M508" s="499"/>
      <c r="Q508" s="499"/>
    </row>
    <row r="509" spans="2:17" ht="7.35" customHeight="1" x14ac:dyDescent="0.3">
      <c r="B509" s="338"/>
      <c r="C509" s="142"/>
      <c r="D509" s="143"/>
      <c r="E509" s="144"/>
      <c r="F509" s="545"/>
      <c r="G509" s="144"/>
      <c r="H509" s="144"/>
      <c r="I509" s="515"/>
      <c r="J509" s="514"/>
    </row>
    <row r="510" spans="2:17" ht="31.2" x14ac:dyDescent="0.3">
      <c r="B510" s="145" t="s">
        <v>717</v>
      </c>
      <c r="C510" s="150" t="s">
        <v>718</v>
      </c>
      <c r="D510" s="146" t="s">
        <v>190</v>
      </c>
      <c r="E510" s="147"/>
      <c r="F510" s="483">
        <f>6/16*2*50%</f>
        <v>0.375</v>
      </c>
      <c r="G510" s="302" t="s">
        <v>1582</v>
      </c>
      <c r="H510" s="300">
        <v>46002</v>
      </c>
      <c r="I510" s="151" t="s">
        <v>943</v>
      </c>
      <c r="J510" s="487" t="s">
        <v>1583</v>
      </c>
      <c r="K510" s="132" t="s">
        <v>1584</v>
      </c>
      <c r="L510" s="58"/>
      <c r="M510" s="499"/>
      <c r="N510" s="58"/>
      <c r="O510" s="58"/>
      <c r="P510" s="58"/>
      <c r="Q510" s="499"/>
    </row>
    <row r="511" spans="2:17" ht="31.2" x14ac:dyDescent="0.3">
      <c r="B511" s="145" t="s">
        <v>717</v>
      </c>
      <c r="C511" s="150" t="s">
        <v>718</v>
      </c>
      <c r="D511" s="146" t="s">
        <v>190</v>
      </c>
      <c r="E511" s="147"/>
      <c r="F511" s="491">
        <f>1/16*2*50%</f>
        <v>6.25E-2</v>
      </c>
      <c r="G511" s="302" t="s">
        <v>1585</v>
      </c>
      <c r="H511" s="300">
        <v>45866</v>
      </c>
      <c r="I511" s="319" t="s">
        <v>1579</v>
      </c>
      <c r="J511" s="487" t="s">
        <v>1586</v>
      </c>
      <c r="K511" s="132" t="s">
        <v>1587</v>
      </c>
      <c r="L511" s="58"/>
      <c r="M511" s="499"/>
      <c r="N511" s="58"/>
      <c r="O511" s="58"/>
      <c r="P511" s="58"/>
      <c r="Q511" s="499"/>
    </row>
    <row r="512" spans="2:17" ht="31.2" x14ac:dyDescent="0.3">
      <c r="B512" s="145" t="s">
        <v>717</v>
      </c>
      <c r="C512" s="150" t="s">
        <v>718</v>
      </c>
      <c r="D512" s="146" t="s">
        <v>190</v>
      </c>
      <c r="E512" s="147"/>
      <c r="F512" s="491">
        <f t="shared" ref="F512:F513" si="3">1/16*2*50%</f>
        <v>6.25E-2</v>
      </c>
      <c r="G512" s="302" t="s">
        <v>1588</v>
      </c>
      <c r="H512" s="300">
        <v>45867</v>
      </c>
      <c r="I512" s="319" t="s">
        <v>1579</v>
      </c>
      <c r="J512" s="487" t="s">
        <v>1589</v>
      </c>
      <c r="K512" s="132" t="s">
        <v>1590</v>
      </c>
      <c r="L512" s="58"/>
      <c r="M512" s="499"/>
      <c r="N512" s="58"/>
      <c r="O512" s="58"/>
      <c r="P512" s="58"/>
      <c r="Q512" s="499"/>
    </row>
    <row r="513" spans="2:17" ht="31.2" x14ac:dyDescent="0.3">
      <c r="B513" s="145" t="s">
        <v>717</v>
      </c>
      <c r="C513" s="150" t="s">
        <v>718</v>
      </c>
      <c r="D513" s="146" t="s">
        <v>190</v>
      </c>
      <c r="E513" s="147"/>
      <c r="F513" s="491">
        <f t="shared" si="3"/>
        <v>6.25E-2</v>
      </c>
      <c r="G513" s="302" t="s">
        <v>1591</v>
      </c>
      <c r="H513" s="300">
        <v>45905</v>
      </c>
      <c r="I513" s="319" t="s">
        <v>1579</v>
      </c>
      <c r="J513" s="487" t="s">
        <v>1592</v>
      </c>
      <c r="K513" s="132" t="s">
        <v>1522</v>
      </c>
      <c r="L513" s="58"/>
      <c r="M513" s="499"/>
      <c r="N513" s="58"/>
      <c r="O513" s="58"/>
      <c r="P513" s="58"/>
      <c r="Q513" s="499"/>
    </row>
    <row r="514" spans="2:17" ht="31.2" x14ac:dyDescent="0.3">
      <c r="B514" s="145" t="s">
        <v>717</v>
      </c>
      <c r="C514" s="150" t="s">
        <v>718</v>
      </c>
      <c r="D514" s="146" t="s">
        <v>190</v>
      </c>
      <c r="E514" s="147"/>
      <c r="F514" s="491">
        <f>2/16*2*50%</f>
        <v>0.125</v>
      </c>
      <c r="G514" s="302" t="s">
        <v>1593</v>
      </c>
      <c r="H514" s="300">
        <v>45973</v>
      </c>
      <c r="I514" s="319" t="s">
        <v>1579</v>
      </c>
      <c r="J514" s="487" t="s">
        <v>1594</v>
      </c>
      <c r="K514" s="132" t="s">
        <v>1595</v>
      </c>
      <c r="L514" s="58"/>
      <c r="M514" s="499"/>
      <c r="N514" s="58"/>
      <c r="O514" s="58"/>
      <c r="P514" s="58"/>
      <c r="Q514" s="499"/>
    </row>
    <row r="515" spans="2:17" ht="31.2" x14ac:dyDescent="0.3">
      <c r="B515" s="145" t="s">
        <v>717</v>
      </c>
      <c r="C515" s="150" t="s">
        <v>718</v>
      </c>
      <c r="D515" s="146" t="s">
        <v>190</v>
      </c>
      <c r="E515" s="147"/>
      <c r="F515" s="491">
        <f>2/16*2*50%</f>
        <v>0.125</v>
      </c>
      <c r="G515" s="302" t="s">
        <v>1596</v>
      </c>
      <c r="H515" s="300">
        <v>45978</v>
      </c>
      <c r="I515" s="319" t="s">
        <v>1579</v>
      </c>
      <c r="J515" s="487" t="s">
        <v>1597</v>
      </c>
      <c r="K515" s="132" t="s">
        <v>1598</v>
      </c>
      <c r="L515" s="58"/>
      <c r="M515" s="499"/>
      <c r="N515" s="58"/>
      <c r="O515" s="58"/>
      <c r="P515" s="58"/>
      <c r="Q515" s="499"/>
    </row>
    <row r="516" spans="2:17" ht="31.2" x14ac:dyDescent="0.3">
      <c r="B516" s="145" t="s">
        <v>717</v>
      </c>
      <c r="C516" s="150" t="s">
        <v>718</v>
      </c>
      <c r="D516" s="146" t="s">
        <v>190</v>
      </c>
      <c r="E516" s="147"/>
      <c r="F516" s="491">
        <f>4/16*2*50%</f>
        <v>0.25</v>
      </c>
      <c r="G516" s="302" t="s">
        <v>1599</v>
      </c>
      <c r="H516" s="300">
        <v>46198</v>
      </c>
      <c r="I516" s="319" t="s">
        <v>949</v>
      </c>
      <c r="J516" s="487" t="s">
        <v>1600</v>
      </c>
      <c r="K516" s="132" t="s">
        <v>1601</v>
      </c>
      <c r="L516" s="58"/>
      <c r="M516" s="499"/>
      <c r="N516" s="58"/>
      <c r="O516" s="58"/>
      <c r="P516" s="58"/>
      <c r="Q516" s="499"/>
    </row>
    <row r="517" spans="2:17" ht="31.2" x14ac:dyDescent="0.3">
      <c r="B517" s="145" t="s">
        <v>717</v>
      </c>
      <c r="C517" s="150" t="s">
        <v>718</v>
      </c>
      <c r="D517" s="146" t="s">
        <v>190</v>
      </c>
      <c r="E517" s="147"/>
      <c r="F517" s="491">
        <f>6/16*2*50%</f>
        <v>0.375</v>
      </c>
      <c r="G517" s="302" t="s">
        <v>1602</v>
      </c>
      <c r="H517" s="300">
        <v>46199</v>
      </c>
      <c r="I517" s="319" t="s">
        <v>949</v>
      </c>
      <c r="J517" s="487" t="s">
        <v>1583</v>
      </c>
      <c r="K517" s="132" t="s">
        <v>1584</v>
      </c>
      <c r="L517" s="58"/>
      <c r="M517" s="499"/>
      <c r="N517" s="58"/>
      <c r="O517" s="58"/>
      <c r="P517" s="58"/>
      <c r="Q517" s="499"/>
    </row>
    <row r="518" spans="2:17" ht="46.8" x14ac:dyDescent="0.3">
      <c r="B518" s="145" t="s">
        <v>717</v>
      </c>
      <c r="C518" s="150" t="s">
        <v>718</v>
      </c>
      <c r="D518" s="146" t="s">
        <v>190</v>
      </c>
      <c r="E518" s="147"/>
      <c r="F518" s="1520">
        <f>4/16*2*50%</f>
        <v>0.25</v>
      </c>
      <c r="G518" s="302" t="s">
        <v>719</v>
      </c>
      <c r="H518" s="300">
        <v>46234</v>
      </c>
      <c r="I518" s="1521" t="s">
        <v>119</v>
      </c>
      <c r="J518" s="487" t="s">
        <v>720</v>
      </c>
      <c r="K518" s="132" t="s">
        <v>1581</v>
      </c>
      <c r="L518" s="58"/>
      <c r="M518" s="499"/>
      <c r="N518" s="58"/>
      <c r="O518" s="58"/>
      <c r="P518" s="58"/>
      <c r="Q518" s="499"/>
    </row>
    <row r="519" spans="2:17" ht="15.6" x14ac:dyDescent="0.3">
      <c r="B519" s="145"/>
      <c r="C519" s="150"/>
      <c r="D519" s="146"/>
      <c r="E519" s="147"/>
      <c r="F519" s="483"/>
      <c r="G519" s="147"/>
      <c r="H519" s="298"/>
      <c r="I519" s="151"/>
      <c r="J519" s="487"/>
    </row>
    <row r="520" spans="2:17" s="58" customFormat="1" ht="15.6" x14ac:dyDescent="0.3">
      <c r="B520" s="352"/>
      <c r="C520" s="353" t="s">
        <v>771</v>
      </c>
      <c r="D520" s="354" t="s">
        <v>190</v>
      </c>
      <c r="E520" s="355"/>
      <c r="F520" s="356">
        <f>ROUND(SUM(F510:F519),3)</f>
        <v>1.6879999999999999</v>
      </c>
      <c r="G520" s="357"/>
      <c r="H520" s="358"/>
      <c r="I520" s="359"/>
      <c r="J520" s="359"/>
      <c r="L520" s="132"/>
      <c r="M520" s="339"/>
      <c r="N520" s="132"/>
      <c r="O520" s="132"/>
      <c r="P520" s="132"/>
      <c r="Q520" s="339"/>
    </row>
    <row r="521" spans="2:17" s="58" customFormat="1" ht="15.6" x14ac:dyDescent="0.3">
      <c r="B521" s="352"/>
      <c r="C521" s="353" t="s">
        <v>772</v>
      </c>
      <c r="D521" s="354" t="s">
        <v>190</v>
      </c>
      <c r="E521" s="355"/>
      <c r="F521" s="356">
        <v>1.4379999999999999</v>
      </c>
      <c r="G521" s="357"/>
      <c r="H521" s="358"/>
      <c r="I521" s="359"/>
      <c r="J521" s="359"/>
      <c r="M521" s="499"/>
      <c r="Q521" s="499"/>
    </row>
    <row r="522" spans="2:17" s="58" customFormat="1" ht="15.6" x14ac:dyDescent="0.3">
      <c r="B522" s="360"/>
      <c r="C522" s="361" t="s">
        <v>773</v>
      </c>
      <c r="D522" s="362" t="s">
        <v>190</v>
      </c>
      <c r="E522" s="363"/>
      <c r="F522" s="364">
        <f>F520-F521</f>
        <v>0.25</v>
      </c>
      <c r="G522" s="365"/>
      <c r="H522" s="366"/>
      <c r="I522" s="367"/>
      <c r="J522" s="367"/>
      <c r="M522" s="499"/>
      <c r="Q522" s="499"/>
    </row>
    <row r="523" spans="2:17" ht="7.35" customHeight="1" x14ac:dyDescent="0.3">
      <c r="B523" s="338"/>
      <c r="C523" s="142"/>
      <c r="D523" s="143"/>
      <c r="E523" s="144"/>
      <c r="F523" s="545"/>
      <c r="G523" s="144"/>
      <c r="H523" s="144"/>
      <c r="I523" s="515"/>
      <c r="J523" s="514"/>
    </row>
    <row r="524" spans="2:17" ht="46.8" x14ac:dyDescent="0.3">
      <c r="B524" s="145" t="s">
        <v>1603</v>
      </c>
      <c r="C524" s="150" t="s">
        <v>1604</v>
      </c>
      <c r="D524" s="146" t="s">
        <v>190</v>
      </c>
      <c r="E524" s="147"/>
      <c r="F524" s="483">
        <f>6/14*2</f>
        <v>0.8571428571428571</v>
      </c>
      <c r="G524" s="302" t="s">
        <v>1605</v>
      </c>
      <c r="H524" s="300">
        <v>45737</v>
      </c>
      <c r="I524" s="151" t="s">
        <v>934</v>
      </c>
      <c r="J524" s="992" t="s">
        <v>1606</v>
      </c>
      <c r="K524" s="132">
        <v>12</v>
      </c>
    </row>
    <row r="525" spans="2:17" ht="62.4" x14ac:dyDescent="0.3">
      <c r="B525" s="145" t="s">
        <v>1603</v>
      </c>
      <c r="C525" s="150" t="s">
        <v>1604</v>
      </c>
      <c r="D525" s="146" t="s">
        <v>190</v>
      </c>
      <c r="E525" s="147"/>
      <c r="F525" s="483">
        <f>8/14*2</f>
        <v>1.1428571428571428</v>
      </c>
      <c r="G525" s="302" t="s">
        <v>1607</v>
      </c>
      <c r="H525" s="300" t="s">
        <v>1608</v>
      </c>
      <c r="I525" s="151" t="s">
        <v>937</v>
      </c>
      <c r="J525" s="487" t="s">
        <v>1609</v>
      </c>
    </row>
    <row r="526" spans="2:17" ht="15.6" x14ac:dyDescent="0.3">
      <c r="B526" s="145"/>
      <c r="C526" s="150"/>
      <c r="D526" s="146"/>
      <c r="E526" s="147"/>
      <c r="F526" s="483"/>
      <c r="G526" s="147"/>
      <c r="H526" s="298"/>
      <c r="I526" s="151"/>
      <c r="J526" s="151"/>
    </row>
    <row r="527" spans="2:17" s="58" customFormat="1" ht="15.6" x14ac:dyDescent="0.3">
      <c r="B527" s="352"/>
      <c r="C527" s="353" t="s">
        <v>771</v>
      </c>
      <c r="D527" s="354" t="s">
        <v>190</v>
      </c>
      <c r="E527" s="355"/>
      <c r="F527" s="543">
        <f>SUM(F524:F526)</f>
        <v>2</v>
      </c>
      <c r="G527" s="357"/>
      <c r="H527" s="358"/>
      <c r="I527" s="359"/>
      <c r="J527" s="359"/>
      <c r="M527" s="499"/>
      <c r="Q527" s="499"/>
    </row>
    <row r="528" spans="2:17" s="58" customFormat="1" ht="15.6" x14ac:dyDescent="0.3">
      <c r="B528" s="352"/>
      <c r="C528" s="353" t="s">
        <v>772</v>
      </c>
      <c r="D528" s="354" t="s">
        <v>190</v>
      </c>
      <c r="E528" s="355"/>
      <c r="F528" s="543">
        <v>2</v>
      </c>
      <c r="G528" s="357"/>
      <c r="H528" s="358"/>
      <c r="I528" s="359"/>
      <c r="J528" s="359"/>
      <c r="M528" s="499"/>
      <c r="Q528" s="499"/>
    </row>
    <row r="529" spans="2:17" s="58" customFormat="1" ht="15.6" x14ac:dyDescent="0.3">
      <c r="B529" s="360"/>
      <c r="C529" s="361" t="s">
        <v>773</v>
      </c>
      <c r="D529" s="354" t="s">
        <v>190</v>
      </c>
      <c r="E529" s="363"/>
      <c r="F529" s="544">
        <f>F527-F528</f>
        <v>0</v>
      </c>
      <c r="G529" s="365"/>
      <c r="H529" s="366"/>
      <c r="I529" s="367"/>
      <c r="J529" s="367"/>
      <c r="M529" s="499"/>
      <c r="Q529" s="499"/>
    </row>
    <row r="530" spans="2:17" ht="7.35" customHeight="1" x14ac:dyDescent="0.3">
      <c r="B530" s="338"/>
      <c r="C530" s="142"/>
      <c r="D530" s="143"/>
      <c r="E530" s="144"/>
      <c r="F530" s="545"/>
      <c r="G530" s="144"/>
      <c r="H530" s="144"/>
      <c r="I530" s="515"/>
      <c r="J530" s="514"/>
    </row>
    <row r="531" spans="2:17" ht="46.8" x14ac:dyDescent="0.3">
      <c r="B531" s="145" t="s">
        <v>1610</v>
      </c>
      <c r="C531" s="150" t="s">
        <v>1611</v>
      </c>
      <c r="D531" s="146" t="s">
        <v>190</v>
      </c>
      <c r="E531" s="147"/>
      <c r="F531" s="483">
        <f>6/14*2</f>
        <v>0.8571428571428571</v>
      </c>
      <c r="G531" s="302" t="s">
        <v>1612</v>
      </c>
      <c r="H531" s="300">
        <v>45814</v>
      </c>
      <c r="I531" s="151" t="s">
        <v>937</v>
      </c>
      <c r="J531" s="992" t="s">
        <v>1613</v>
      </c>
      <c r="K531" s="132">
        <v>12</v>
      </c>
    </row>
    <row r="532" spans="2:17" ht="31.2" x14ac:dyDescent="0.3">
      <c r="B532" s="145" t="s">
        <v>1610</v>
      </c>
      <c r="C532" s="150" t="s">
        <v>1611</v>
      </c>
      <c r="D532" s="146" t="s">
        <v>190</v>
      </c>
      <c r="E532" s="147"/>
      <c r="F532" s="483">
        <f>4/14*2</f>
        <v>0.5714285714285714</v>
      </c>
      <c r="G532" s="302" t="s">
        <v>1614</v>
      </c>
      <c r="H532" s="300">
        <v>45973</v>
      </c>
      <c r="I532" s="319" t="s">
        <v>1282</v>
      </c>
      <c r="J532" s="992" t="s">
        <v>1615</v>
      </c>
    </row>
    <row r="533" spans="2:17" ht="31.2" x14ac:dyDescent="0.3">
      <c r="B533" s="145" t="s">
        <v>1610</v>
      </c>
      <c r="C533" s="150" t="s">
        <v>1611</v>
      </c>
      <c r="D533" s="146" t="s">
        <v>190</v>
      </c>
      <c r="E533" s="147"/>
      <c r="F533" s="483">
        <f>4/14*2</f>
        <v>0.5714285714285714</v>
      </c>
      <c r="G533" s="302" t="s">
        <v>1616</v>
      </c>
      <c r="H533" s="300">
        <v>45973</v>
      </c>
      <c r="I533" s="319" t="s">
        <v>1282</v>
      </c>
      <c r="J533" s="992" t="s">
        <v>1617</v>
      </c>
    </row>
    <row r="534" spans="2:17" ht="15.6" x14ac:dyDescent="0.3">
      <c r="B534" s="145"/>
      <c r="C534" s="150"/>
      <c r="D534" s="146"/>
      <c r="E534" s="147"/>
      <c r="F534" s="483"/>
      <c r="G534" s="147"/>
      <c r="H534" s="298"/>
      <c r="I534" s="151"/>
      <c r="J534" s="151"/>
    </row>
    <row r="535" spans="2:17" s="58" customFormat="1" ht="15.6" x14ac:dyDescent="0.3">
      <c r="B535" s="352"/>
      <c r="C535" s="353" t="s">
        <v>771</v>
      </c>
      <c r="D535" s="354" t="s">
        <v>190</v>
      </c>
      <c r="E535" s="355"/>
      <c r="F535" s="356">
        <f>ROUND(SUM(F531:F534),3)</f>
        <v>2</v>
      </c>
      <c r="G535" s="357"/>
      <c r="H535" s="358"/>
      <c r="I535" s="359"/>
      <c r="J535" s="359"/>
      <c r="M535" s="499"/>
      <c r="Q535" s="499"/>
    </row>
    <row r="536" spans="2:17" s="58" customFormat="1" ht="15.6" x14ac:dyDescent="0.3">
      <c r="B536" s="352"/>
      <c r="C536" s="353" t="s">
        <v>772</v>
      </c>
      <c r="D536" s="354" t="s">
        <v>190</v>
      </c>
      <c r="E536" s="355"/>
      <c r="F536" s="356">
        <v>2</v>
      </c>
      <c r="G536" s="357"/>
      <c r="H536" s="358"/>
      <c r="I536" s="359"/>
      <c r="J536" s="359"/>
      <c r="M536" s="499"/>
      <c r="Q536" s="499"/>
    </row>
    <row r="537" spans="2:17" s="58" customFormat="1" ht="15.6" x14ac:dyDescent="0.3">
      <c r="B537" s="360"/>
      <c r="C537" s="361" t="s">
        <v>773</v>
      </c>
      <c r="D537" s="354" t="s">
        <v>190</v>
      </c>
      <c r="E537" s="363"/>
      <c r="F537" s="364">
        <f>F535-F536</f>
        <v>0</v>
      </c>
      <c r="G537" s="365"/>
      <c r="H537" s="366"/>
      <c r="I537" s="367"/>
      <c r="J537" s="367"/>
      <c r="M537" s="499"/>
      <c r="Q537" s="499"/>
    </row>
    <row r="538" spans="2:17" ht="7.35" customHeight="1" x14ac:dyDescent="0.3">
      <c r="B538" s="338"/>
      <c r="C538" s="142"/>
      <c r="D538" s="143"/>
      <c r="E538" s="144"/>
      <c r="F538" s="345"/>
      <c r="G538" s="144"/>
      <c r="H538" s="144"/>
      <c r="I538" s="515"/>
      <c r="J538" s="514"/>
    </row>
    <row r="539" spans="2:17" ht="46.8" x14ac:dyDescent="0.3">
      <c r="B539" s="145" t="s">
        <v>1618</v>
      </c>
      <c r="C539" s="150" t="s">
        <v>1619</v>
      </c>
      <c r="D539" s="146" t="s">
        <v>190</v>
      </c>
      <c r="E539" s="147"/>
      <c r="F539" s="483">
        <f>6/14*2</f>
        <v>0.8571428571428571</v>
      </c>
      <c r="G539" s="302" t="s">
        <v>1620</v>
      </c>
      <c r="H539" s="300">
        <v>45867</v>
      </c>
      <c r="I539" s="151" t="s">
        <v>943</v>
      </c>
      <c r="J539" s="992" t="s">
        <v>1613</v>
      </c>
      <c r="K539" s="132">
        <v>12</v>
      </c>
    </row>
    <row r="540" spans="2:17" ht="15.6" x14ac:dyDescent="0.3">
      <c r="B540" s="145"/>
      <c r="C540" s="150"/>
      <c r="D540" s="146"/>
      <c r="E540" s="147"/>
      <c r="F540" s="483"/>
      <c r="G540" s="147"/>
      <c r="H540" s="298"/>
      <c r="I540" s="151"/>
      <c r="J540" s="151"/>
    </row>
    <row r="541" spans="2:17" s="58" customFormat="1" ht="15.6" x14ac:dyDescent="0.3">
      <c r="B541" s="352"/>
      <c r="C541" s="353" t="s">
        <v>771</v>
      </c>
      <c r="D541" s="354" t="s">
        <v>190</v>
      </c>
      <c r="E541" s="355"/>
      <c r="F541" s="356">
        <f>ROUND(SUM(F539:F540),3)</f>
        <v>0.85699999999999998</v>
      </c>
      <c r="G541" s="357"/>
      <c r="H541" s="358"/>
      <c r="I541" s="359"/>
      <c r="J541" s="359"/>
      <c r="M541" s="499"/>
      <c r="Q541" s="499"/>
    </row>
    <row r="542" spans="2:17" s="58" customFormat="1" ht="15.6" x14ac:dyDescent="0.3">
      <c r="B542" s="352"/>
      <c r="C542" s="353" t="s">
        <v>772</v>
      </c>
      <c r="D542" s="354" t="s">
        <v>190</v>
      </c>
      <c r="E542" s="355"/>
      <c r="F542" s="356">
        <v>0.85699999999999998</v>
      </c>
      <c r="G542" s="357"/>
      <c r="H542" s="358"/>
      <c r="I542" s="359"/>
      <c r="J542" s="359"/>
      <c r="M542" s="499"/>
      <c r="Q542" s="499"/>
    </row>
    <row r="543" spans="2:17" s="58" customFormat="1" ht="15.6" x14ac:dyDescent="0.3">
      <c r="B543" s="360"/>
      <c r="C543" s="361" t="s">
        <v>773</v>
      </c>
      <c r="D543" s="354" t="s">
        <v>190</v>
      </c>
      <c r="E543" s="363"/>
      <c r="F543" s="364">
        <f>F541-F542</f>
        <v>0</v>
      </c>
      <c r="G543" s="365"/>
      <c r="H543" s="366"/>
      <c r="I543" s="367"/>
      <c r="J543" s="367"/>
      <c r="M543" s="499"/>
      <c r="Q543" s="499"/>
    </row>
    <row r="544" spans="2:17" ht="7.35" customHeight="1" x14ac:dyDescent="0.3">
      <c r="B544" s="338"/>
      <c r="C544" s="142"/>
      <c r="D544" s="143"/>
      <c r="E544" s="144"/>
      <c r="F544" s="345"/>
      <c r="G544" s="144"/>
      <c r="H544" s="144"/>
      <c r="I544" s="515"/>
      <c r="J544" s="514"/>
    </row>
    <row r="545" spans="2:17" ht="15.6" x14ac:dyDescent="0.3">
      <c r="B545" s="145" t="s">
        <v>1621</v>
      </c>
      <c r="C545" s="150" t="s">
        <v>1622</v>
      </c>
      <c r="D545" s="146" t="s">
        <v>190</v>
      </c>
      <c r="E545" s="147"/>
      <c r="F545" s="483">
        <v>1</v>
      </c>
      <c r="G545" s="147" t="s">
        <v>1623</v>
      </c>
      <c r="H545" s="298">
        <v>45547</v>
      </c>
      <c r="I545" s="151" t="s">
        <v>871</v>
      </c>
      <c r="J545" s="151"/>
      <c r="K545" s="132" t="s">
        <v>1624</v>
      </c>
    </row>
    <row r="546" spans="2:17" ht="15.6" x14ac:dyDescent="0.3">
      <c r="B546" s="145" t="s">
        <v>1621</v>
      </c>
      <c r="C546" s="150" t="s">
        <v>1622</v>
      </c>
      <c r="D546" s="146" t="s">
        <v>190</v>
      </c>
      <c r="E546" s="147"/>
      <c r="F546" s="483">
        <v>1</v>
      </c>
      <c r="G546" s="302" t="s">
        <v>1625</v>
      </c>
      <c r="H546" s="300">
        <v>45756</v>
      </c>
      <c r="I546" s="151" t="s">
        <v>97</v>
      </c>
      <c r="J546" s="993"/>
      <c r="K546" s="132" t="s">
        <v>1624</v>
      </c>
    </row>
    <row r="547" spans="2:17" ht="15.6" x14ac:dyDescent="0.3">
      <c r="B547" s="145" t="s">
        <v>1621</v>
      </c>
      <c r="C547" s="150" t="s">
        <v>1622</v>
      </c>
      <c r="D547" s="146" t="s">
        <v>190</v>
      </c>
      <c r="E547" s="147"/>
      <c r="F547" s="483">
        <v>1</v>
      </c>
      <c r="G547" s="302" t="s">
        <v>1309</v>
      </c>
      <c r="H547" s="300">
        <v>45789</v>
      </c>
      <c r="I547" s="151" t="s">
        <v>97</v>
      </c>
      <c r="J547" s="151"/>
      <c r="K547" s="132" t="s">
        <v>1626</v>
      </c>
    </row>
    <row r="548" spans="2:17" ht="15.6" x14ac:dyDescent="0.3">
      <c r="B548" s="145"/>
      <c r="C548" s="150"/>
      <c r="D548" s="146"/>
      <c r="E548" s="147"/>
      <c r="F548" s="483"/>
      <c r="G548" s="147"/>
      <c r="H548" s="298"/>
      <c r="I548" s="151"/>
      <c r="J548" s="151"/>
    </row>
    <row r="549" spans="2:17" s="58" customFormat="1" ht="15.6" x14ac:dyDescent="0.3">
      <c r="B549" s="352"/>
      <c r="C549" s="353" t="s">
        <v>771</v>
      </c>
      <c r="D549" s="354" t="s">
        <v>190</v>
      </c>
      <c r="E549" s="355"/>
      <c r="F549" s="356">
        <f>ROUND(SUM(F545:F548),3)</f>
        <v>3</v>
      </c>
      <c r="G549" s="357"/>
      <c r="H549" s="358"/>
      <c r="I549" s="359"/>
      <c r="J549" s="359"/>
      <c r="L549" s="132"/>
      <c r="M549" s="339"/>
      <c r="N549" s="132"/>
      <c r="O549" s="132"/>
      <c r="P549" s="132"/>
      <c r="Q549" s="339"/>
    </row>
    <row r="550" spans="2:17" s="58" customFormat="1" ht="15.6" x14ac:dyDescent="0.3">
      <c r="B550" s="352"/>
      <c r="C550" s="353" t="s">
        <v>772</v>
      </c>
      <c r="D550" s="354" t="s">
        <v>190</v>
      </c>
      <c r="E550" s="355"/>
      <c r="F550" s="356">
        <v>3</v>
      </c>
      <c r="G550" s="357"/>
      <c r="H550" s="358"/>
      <c r="I550" s="359"/>
      <c r="J550" s="359"/>
      <c r="M550" s="499"/>
      <c r="Q550" s="499"/>
    </row>
    <row r="551" spans="2:17" s="58" customFormat="1" ht="15.6" x14ac:dyDescent="0.3">
      <c r="B551" s="360"/>
      <c r="C551" s="361" t="s">
        <v>773</v>
      </c>
      <c r="D551" s="354" t="s">
        <v>190</v>
      </c>
      <c r="E551" s="363"/>
      <c r="F551" s="364">
        <f>F549-F550</f>
        <v>0</v>
      </c>
      <c r="G551" s="365"/>
      <c r="H551" s="366"/>
      <c r="I551" s="367"/>
      <c r="J551" s="367"/>
      <c r="M551" s="499"/>
      <c r="Q551" s="499"/>
    </row>
    <row r="552" spans="2:17" ht="7.5" customHeight="1" x14ac:dyDescent="0.3">
      <c r="B552" s="338"/>
      <c r="C552" s="142"/>
      <c r="D552" s="143"/>
      <c r="E552" s="144"/>
      <c r="F552" s="345"/>
      <c r="G552" s="144"/>
      <c r="H552" s="144"/>
      <c r="I552" s="515"/>
      <c r="J552" s="514"/>
      <c r="L552" s="58"/>
      <c r="M552" s="499"/>
      <c r="N552" s="58"/>
      <c r="O552" s="58"/>
      <c r="P552" s="58"/>
      <c r="Q552" s="499"/>
    </row>
    <row r="553" spans="2:17" ht="15.6" x14ac:dyDescent="0.3">
      <c r="B553" s="145" t="s">
        <v>1627</v>
      </c>
      <c r="C553" s="150" t="s">
        <v>1628</v>
      </c>
      <c r="D553" s="146" t="s">
        <v>190</v>
      </c>
      <c r="E553" s="147"/>
      <c r="F553" s="483">
        <v>1</v>
      </c>
      <c r="G553" s="147" t="s">
        <v>1629</v>
      </c>
      <c r="H553" s="298">
        <v>45908</v>
      </c>
      <c r="I553" s="151" t="s">
        <v>940</v>
      </c>
      <c r="J553" s="151" t="s">
        <v>1630</v>
      </c>
    </row>
    <row r="554" spans="2:17" ht="15.6" x14ac:dyDescent="0.3">
      <c r="B554" s="145" t="s">
        <v>1621</v>
      </c>
      <c r="C554" s="150" t="s">
        <v>1628</v>
      </c>
      <c r="D554" s="146" t="s">
        <v>190</v>
      </c>
      <c r="E554" s="147"/>
      <c r="F554" s="483">
        <v>1</v>
      </c>
      <c r="G554" s="302" t="s">
        <v>1631</v>
      </c>
      <c r="H554" s="300">
        <v>45908</v>
      </c>
      <c r="I554" s="151" t="s">
        <v>940</v>
      </c>
      <c r="J554" s="588" t="s">
        <v>1626</v>
      </c>
    </row>
    <row r="555" spans="2:17" ht="15.6" x14ac:dyDescent="0.3">
      <c r="B555" s="145" t="s">
        <v>1621</v>
      </c>
      <c r="C555" s="150" t="s">
        <v>1628</v>
      </c>
      <c r="D555" s="146" t="s">
        <v>190</v>
      </c>
      <c r="E555" s="147"/>
      <c r="F555" s="483">
        <f>ROUND(2/3,3)</f>
        <v>0.66700000000000004</v>
      </c>
      <c r="G555" s="302" t="s">
        <v>1632</v>
      </c>
      <c r="H555" s="298">
        <v>45937</v>
      </c>
      <c r="I555" s="319" t="s">
        <v>1282</v>
      </c>
      <c r="J555" s="151" t="s">
        <v>1633</v>
      </c>
    </row>
    <row r="556" spans="2:17" ht="15.6" x14ac:dyDescent="0.3">
      <c r="B556" s="145" t="s">
        <v>1621</v>
      </c>
      <c r="C556" s="150" t="s">
        <v>1628</v>
      </c>
      <c r="D556" s="146" t="s">
        <v>190</v>
      </c>
      <c r="E556" s="147"/>
      <c r="F556" s="483">
        <f>ROUND(1/3,3)</f>
        <v>0.33300000000000002</v>
      </c>
      <c r="G556" s="302" t="s">
        <v>1634</v>
      </c>
      <c r="H556" s="298">
        <v>46053</v>
      </c>
      <c r="I556" s="319" t="s">
        <v>1315</v>
      </c>
      <c r="J556" s="151" t="s">
        <v>1635</v>
      </c>
    </row>
    <row r="557" spans="2:17" ht="15.6" x14ac:dyDescent="0.3">
      <c r="B557" s="145"/>
      <c r="C557" s="150"/>
      <c r="D557" s="146"/>
      <c r="E557" s="147"/>
      <c r="F557" s="483"/>
      <c r="G557" s="147"/>
      <c r="H557" s="298"/>
      <c r="I557" s="319"/>
      <c r="J557" s="319"/>
    </row>
    <row r="558" spans="2:17" s="58" customFormat="1" ht="15.6" x14ac:dyDescent="0.3">
      <c r="B558" s="352"/>
      <c r="C558" s="353" t="s">
        <v>771</v>
      </c>
      <c r="D558" s="354" t="s">
        <v>190</v>
      </c>
      <c r="E558" s="355"/>
      <c r="F558" s="356">
        <f>ROUND(SUM(F553:F557),3)</f>
        <v>3</v>
      </c>
      <c r="G558" s="357"/>
      <c r="H558" s="358"/>
      <c r="I558" s="359"/>
      <c r="J558" s="359"/>
      <c r="L558" s="132"/>
      <c r="M558" s="339"/>
      <c r="N558" s="132"/>
      <c r="O558" s="132"/>
      <c r="P558" s="132"/>
      <c r="Q558" s="339"/>
    </row>
    <row r="559" spans="2:17" s="58" customFormat="1" ht="15.6" x14ac:dyDescent="0.3">
      <c r="B559" s="352"/>
      <c r="C559" s="353" t="s">
        <v>772</v>
      </c>
      <c r="D559" s="354" t="s">
        <v>190</v>
      </c>
      <c r="E559" s="355"/>
      <c r="F559" s="356">
        <v>3</v>
      </c>
      <c r="G559" s="357"/>
      <c r="H559" s="358"/>
      <c r="I559" s="359"/>
      <c r="J559" s="359"/>
      <c r="M559" s="499"/>
      <c r="Q559" s="499"/>
    </row>
    <row r="560" spans="2:17" s="58" customFormat="1" ht="15.6" x14ac:dyDescent="0.3">
      <c r="B560" s="360"/>
      <c r="C560" s="361" t="s">
        <v>773</v>
      </c>
      <c r="D560" s="354" t="s">
        <v>190</v>
      </c>
      <c r="E560" s="363"/>
      <c r="F560" s="364">
        <f>F558-F559</f>
        <v>0</v>
      </c>
      <c r="G560" s="365"/>
      <c r="H560" s="366"/>
      <c r="I560" s="367"/>
      <c r="J560" s="367"/>
      <c r="M560" s="499"/>
      <c r="Q560" s="499"/>
    </row>
    <row r="561" spans="2:17" ht="7.5" customHeight="1" x14ac:dyDescent="0.3">
      <c r="B561" s="338"/>
      <c r="C561" s="142"/>
      <c r="D561" s="143"/>
      <c r="E561" s="144"/>
      <c r="F561" s="345"/>
      <c r="G561" s="144"/>
      <c r="H561" s="144"/>
      <c r="I561" s="515"/>
      <c r="J561" s="514"/>
      <c r="L561" s="58"/>
      <c r="M561" s="499"/>
      <c r="N561" s="58"/>
      <c r="O561" s="58"/>
      <c r="P561" s="58"/>
      <c r="Q561" s="499"/>
    </row>
    <row r="562" spans="2:17" ht="62.4" x14ac:dyDescent="0.3">
      <c r="B562" s="145" t="s">
        <v>1636</v>
      </c>
      <c r="C562" s="150" t="s">
        <v>1637</v>
      </c>
      <c r="D562" s="146" t="s">
        <v>190</v>
      </c>
      <c r="E562" s="147"/>
      <c r="F562" s="483">
        <v>7</v>
      </c>
      <c r="G562" s="302" t="s">
        <v>1638</v>
      </c>
      <c r="H562" s="300" t="s">
        <v>1639</v>
      </c>
      <c r="I562" s="151" t="s">
        <v>934</v>
      </c>
      <c r="J562" s="487" t="s">
        <v>1640</v>
      </c>
    </row>
    <row r="563" spans="2:17" ht="15.6" x14ac:dyDescent="0.3">
      <c r="B563" s="145" t="s">
        <v>1636</v>
      </c>
      <c r="C563" s="150" t="s">
        <v>1637</v>
      </c>
      <c r="D563" s="146" t="s">
        <v>190</v>
      </c>
      <c r="E563" s="147"/>
      <c r="F563" s="483">
        <v>11</v>
      </c>
      <c r="G563" s="302" t="s">
        <v>1641</v>
      </c>
      <c r="H563" s="300">
        <v>45802</v>
      </c>
      <c r="I563" s="151" t="s">
        <v>97</v>
      </c>
    </row>
    <row r="564" spans="2:17" ht="15.6" x14ac:dyDescent="0.3">
      <c r="B564" s="145"/>
      <c r="C564" s="150"/>
      <c r="D564" s="146"/>
      <c r="E564" s="147"/>
      <c r="F564" s="483"/>
      <c r="G564" s="147"/>
      <c r="H564" s="298"/>
      <c r="I564" s="151"/>
      <c r="J564" s="151"/>
    </row>
    <row r="565" spans="2:17" s="58" customFormat="1" ht="15.6" x14ac:dyDescent="0.3">
      <c r="B565" s="352"/>
      <c r="C565" s="353" t="s">
        <v>771</v>
      </c>
      <c r="D565" s="354" t="s">
        <v>190</v>
      </c>
      <c r="E565" s="355"/>
      <c r="F565" s="356">
        <f>ROUND(SUM(F562:F564),3)</f>
        <v>18</v>
      </c>
      <c r="G565" s="357"/>
      <c r="H565" s="358"/>
      <c r="I565" s="359"/>
      <c r="J565" s="359"/>
      <c r="L565" s="132"/>
      <c r="M565" s="339"/>
      <c r="N565" s="132"/>
      <c r="O565" s="132"/>
      <c r="P565" s="132"/>
      <c r="Q565" s="339"/>
    </row>
    <row r="566" spans="2:17" s="58" customFormat="1" ht="15.6" x14ac:dyDescent="0.3">
      <c r="B566" s="352"/>
      <c r="C566" s="353" t="s">
        <v>772</v>
      </c>
      <c r="D566" s="354" t="s">
        <v>190</v>
      </c>
      <c r="E566" s="355"/>
      <c r="F566" s="356">
        <v>18</v>
      </c>
      <c r="G566" s="357"/>
      <c r="H566" s="358"/>
      <c r="I566" s="359"/>
      <c r="J566" s="359"/>
      <c r="M566" s="499"/>
      <c r="Q566" s="499"/>
    </row>
    <row r="567" spans="2:17" s="58" customFormat="1" ht="15.6" x14ac:dyDescent="0.3">
      <c r="B567" s="360"/>
      <c r="C567" s="361" t="s">
        <v>773</v>
      </c>
      <c r="D567" s="354" t="s">
        <v>190</v>
      </c>
      <c r="E567" s="363"/>
      <c r="F567" s="364">
        <f>F565-F566</f>
        <v>0</v>
      </c>
      <c r="G567" s="365"/>
      <c r="H567" s="366"/>
      <c r="I567" s="367"/>
      <c r="J567" s="367"/>
      <c r="M567" s="499"/>
      <c r="Q567" s="499"/>
    </row>
    <row r="568" spans="2:17" ht="7.5" customHeight="1" x14ac:dyDescent="0.3">
      <c r="B568" s="338"/>
      <c r="C568" s="142"/>
      <c r="D568" s="143"/>
      <c r="E568" s="144"/>
      <c r="F568" s="345"/>
      <c r="G568" s="144"/>
      <c r="H568" s="144"/>
      <c r="I568" s="515"/>
      <c r="J568" s="514"/>
      <c r="L568" s="58"/>
      <c r="M568" s="499"/>
      <c r="N568" s="58"/>
      <c r="O568" s="58"/>
      <c r="P568" s="58"/>
      <c r="Q568" s="499"/>
    </row>
    <row r="569" spans="2:17" ht="46.8" x14ac:dyDescent="0.3">
      <c r="B569" s="145" t="s">
        <v>1642</v>
      </c>
      <c r="C569" s="150" t="s">
        <v>1643</v>
      </c>
      <c r="D569" s="146" t="s">
        <v>190</v>
      </c>
      <c r="E569" s="147"/>
      <c r="F569" s="483">
        <v>5</v>
      </c>
      <c r="G569" s="147" t="s">
        <v>1644</v>
      </c>
      <c r="H569" s="314">
        <v>45744</v>
      </c>
      <c r="I569" s="151" t="s">
        <v>934</v>
      </c>
      <c r="J569" s="487" t="s">
        <v>1645</v>
      </c>
      <c r="L569" s="132" t="s">
        <v>1646</v>
      </c>
    </row>
    <row r="570" spans="2:17" ht="15.6" x14ac:dyDescent="0.3">
      <c r="B570" s="145" t="s">
        <v>1642</v>
      </c>
      <c r="C570" s="150" t="s">
        <v>1643</v>
      </c>
      <c r="D570" s="146" t="s">
        <v>190</v>
      </c>
      <c r="E570" s="147"/>
      <c r="F570" s="483">
        <v>1</v>
      </c>
      <c r="G570" s="147" t="s">
        <v>1647</v>
      </c>
      <c r="H570" s="314">
        <v>45765</v>
      </c>
      <c r="I570" s="151" t="s">
        <v>1302</v>
      </c>
      <c r="J570" s="151" t="s">
        <v>1648</v>
      </c>
    </row>
    <row r="571" spans="2:17" ht="15.6" x14ac:dyDescent="0.3">
      <c r="B571" s="145" t="s">
        <v>1642</v>
      </c>
      <c r="C571" s="150" t="s">
        <v>1643</v>
      </c>
      <c r="D571" s="146" t="s">
        <v>190</v>
      </c>
      <c r="E571" s="147"/>
      <c r="F571" s="483">
        <v>1</v>
      </c>
      <c r="G571" s="147" t="s">
        <v>1649</v>
      </c>
      <c r="H571" s="300">
        <v>45801</v>
      </c>
      <c r="I571" s="151" t="s">
        <v>937</v>
      </c>
      <c r="J571" s="151" t="s">
        <v>1650</v>
      </c>
    </row>
    <row r="572" spans="2:17" ht="62.4" x14ac:dyDescent="0.3">
      <c r="B572" s="145" t="s">
        <v>1642</v>
      </c>
      <c r="C572" s="150" t="s">
        <v>1643</v>
      </c>
      <c r="D572" s="146" t="s">
        <v>190</v>
      </c>
      <c r="E572" s="147"/>
      <c r="F572" s="483">
        <v>7</v>
      </c>
      <c r="G572" s="302" t="s">
        <v>1651</v>
      </c>
      <c r="H572" s="300">
        <v>45922</v>
      </c>
      <c r="I572" s="151" t="s">
        <v>940</v>
      </c>
      <c r="J572" s="487" t="s">
        <v>1652</v>
      </c>
    </row>
    <row r="573" spans="2:17" ht="46.8" x14ac:dyDescent="0.3">
      <c r="B573" s="145" t="s">
        <v>1642</v>
      </c>
      <c r="C573" s="150" t="s">
        <v>1643</v>
      </c>
      <c r="D573" s="146" t="s">
        <v>190</v>
      </c>
      <c r="E573" s="147"/>
      <c r="F573" s="483">
        <v>4</v>
      </c>
      <c r="G573" s="302" t="s">
        <v>1653</v>
      </c>
      <c r="H573" s="300">
        <v>45924</v>
      </c>
      <c r="I573" s="151" t="s">
        <v>940</v>
      </c>
      <c r="J573" s="487" t="s">
        <v>1654</v>
      </c>
    </row>
    <row r="574" spans="2:17" ht="15.6" x14ac:dyDescent="0.3">
      <c r="B574" s="145"/>
      <c r="C574" s="150"/>
      <c r="D574" s="146"/>
      <c r="E574" s="147"/>
      <c r="F574" s="483"/>
      <c r="G574" s="147"/>
      <c r="H574" s="298"/>
      <c r="I574" s="151"/>
      <c r="J574" s="151"/>
    </row>
    <row r="575" spans="2:17" s="58" customFormat="1" ht="15.6" x14ac:dyDescent="0.3">
      <c r="B575" s="352"/>
      <c r="C575" s="353" t="s">
        <v>771</v>
      </c>
      <c r="D575" s="354" t="s">
        <v>190</v>
      </c>
      <c r="E575" s="355"/>
      <c r="F575" s="356">
        <f>ROUND(SUM(F569:F574),3)</f>
        <v>18</v>
      </c>
      <c r="G575" s="357"/>
      <c r="H575" s="358"/>
      <c r="I575" s="359"/>
      <c r="J575" s="359"/>
      <c r="L575" s="132"/>
      <c r="M575" s="339"/>
      <c r="N575" s="132"/>
      <c r="O575" s="132"/>
      <c r="P575" s="132"/>
      <c r="Q575" s="339"/>
    </row>
    <row r="576" spans="2:17" s="58" customFormat="1" ht="15.6" x14ac:dyDescent="0.3">
      <c r="B576" s="352"/>
      <c r="C576" s="353" t="s">
        <v>772</v>
      </c>
      <c r="D576" s="354" t="s">
        <v>190</v>
      </c>
      <c r="E576" s="355"/>
      <c r="F576" s="356">
        <v>18</v>
      </c>
      <c r="G576" s="357"/>
      <c r="H576" s="358"/>
      <c r="I576" s="359"/>
      <c r="J576" s="359"/>
      <c r="M576" s="499"/>
      <c r="Q576" s="499"/>
    </row>
    <row r="577" spans="2:17" s="58" customFormat="1" ht="15.6" x14ac:dyDescent="0.3">
      <c r="B577" s="360"/>
      <c r="C577" s="361" t="s">
        <v>773</v>
      </c>
      <c r="D577" s="354" t="s">
        <v>190</v>
      </c>
      <c r="E577" s="363"/>
      <c r="F577" s="364">
        <f>F575-F576</f>
        <v>0</v>
      </c>
      <c r="G577" s="365"/>
      <c r="H577" s="366"/>
      <c r="I577" s="367"/>
      <c r="J577" s="367"/>
      <c r="M577" s="499"/>
      <c r="Q577" s="499"/>
    </row>
    <row r="578" spans="2:17" ht="7.5" customHeight="1" x14ac:dyDescent="0.3">
      <c r="B578" s="338"/>
      <c r="C578" s="142"/>
      <c r="D578" s="143"/>
      <c r="E578" s="144"/>
      <c r="F578" s="345"/>
      <c r="G578" s="144"/>
      <c r="H578" s="144"/>
      <c r="I578" s="515"/>
      <c r="J578" s="514"/>
      <c r="L578" s="58"/>
      <c r="M578" s="499"/>
      <c r="N578" s="58"/>
      <c r="O578" s="58"/>
      <c r="P578" s="58"/>
      <c r="Q578" s="499"/>
    </row>
    <row r="579" spans="2:17" ht="93.6" x14ac:dyDescent="0.3">
      <c r="B579" s="145" t="s">
        <v>1655</v>
      </c>
      <c r="C579" s="150" t="s">
        <v>1656</v>
      </c>
      <c r="D579" s="146" t="s">
        <v>190</v>
      </c>
      <c r="E579" s="147"/>
      <c r="F579" s="483">
        <v>11</v>
      </c>
      <c r="G579" s="302" t="s">
        <v>1657</v>
      </c>
      <c r="H579" s="300">
        <v>46006</v>
      </c>
      <c r="I579" s="151" t="s">
        <v>943</v>
      </c>
      <c r="J579" s="487" t="s">
        <v>1658</v>
      </c>
    </row>
    <row r="580" spans="2:17" ht="62.4" x14ac:dyDescent="0.3">
      <c r="B580" s="145" t="s">
        <v>1655</v>
      </c>
      <c r="C580" s="150" t="s">
        <v>1656</v>
      </c>
      <c r="D580" s="146" t="s">
        <v>190</v>
      </c>
      <c r="E580" s="147"/>
      <c r="F580" s="483">
        <v>7</v>
      </c>
      <c r="G580" s="302" t="s">
        <v>1659</v>
      </c>
      <c r="H580" s="300">
        <v>46197</v>
      </c>
      <c r="I580" s="151" t="s">
        <v>949</v>
      </c>
      <c r="J580" s="487" t="s">
        <v>1660</v>
      </c>
    </row>
    <row r="581" spans="2:17" ht="15.6" x14ac:dyDescent="0.3">
      <c r="B581" s="145"/>
      <c r="C581" s="150"/>
      <c r="D581" s="146"/>
      <c r="E581" s="147"/>
      <c r="F581" s="483"/>
      <c r="G581" s="147"/>
      <c r="H581" s="298"/>
      <c r="I581" s="151"/>
      <c r="J581" s="151"/>
    </row>
    <row r="582" spans="2:17" s="58" customFormat="1" ht="15.6" x14ac:dyDescent="0.3">
      <c r="B582" s="352"/>
      <c r="C582" s="353" t="s">
        <v>771</v>
      </c>
      <c r="D582" s="354" t="s">
        <v>190</v>
      </c>
      <c r="E582" s="355"/>
      <c r="F582" s="356">
        <f>ROUND(SUM(F579:F581),3)</f>
        <v>18</v>
      </c>
      <c r="G582" s="357"/>
      <c r="H582" s="358"/>
      <c r="I582" s="359"/>
      <c r="J582" s="359"/>
      <c r="L582" s="132"/>
      <c r="M582" s="339"/>
      <c r="N582" s="132"/>
      <c r="O582" s="132"/>
      <c r="P582" s="132"/>
      <c r="Q582" s="339"/>
    </row>
    <row r="583" spans="2:17" s="58" customFormat="1" ht="15.6" x14ac:dyDescent="0.3">
      <c r="B583" s="352"/>
      <c r="C583" s="353" t="s">
        <v>772</v>
      </c>
      <c r="D583" s="354" t="s">
        <v>190</v>
      </c>
      <c r="E583" s="355"/>
      <c r="F583" s="356">
        <v>18</v>
      </c>
      <c r="G583" s="357"/>
      <c r="H583" s="358"/>
      <c r="I583" s="359"/>
      <c r="J583" s="359"/>
      <c r="M583" s="499"/>
      <c r="Q583" s="499"/>
    </row>
    <row r="584" spans="2:17" s="58" customFormat="1" ht="15.6" x14ac:dyDescent="0.3">
      <c r="B584" s="360"/>
      <c r="C584" s="361" t="s">
        <v>773</v>
      </c>
      <c r="D584" s="354" t="s">
        <v>190</v>
      </c>
      <c r="E584" s="363"/>
      <c r="F584" s="364">
        <f>F582-F583</f>
        <v>0</v>
      </c>
      <c r="G584" s="365"/>
      <c r="H584" s="366"/>
      <c r="I584" s="367"/>
      <c r="J584" s="367"/>
      <c r="M584" s="499"/>
      <c r="Q584" s="499"/>
    </row>
    <row r="585" spans="2:17" ht="7.5" customHeight="1" x14ac:dyDescent="0.3">
      <c r="B585" s="338"/>
      <c r="C585" s="142"/>
      <c r="D585" s="143"/>
      <c r="E585" s="144"/>
      <c r="F585" s="345"/>
      <c r="G585" s="144"/>
      <c r="H585" s="144"/>
      <c r="I585" s="515"/>
      <c r="J585" s="514"/>
      <c r="L585" s="58"/>
      <c r="M585" s="499"/>
      <c r="N585" s="58"/>
      <c r="O585" s="58"/>
      <c r="P585" s="58"/>
      <c r="Q585" s="499"/>
    </row>
    <row r="586" spans="2:17" ht="31.2" x14ac:dyDescent="0.3">
      <c r="B586" s="145" t="s">
        <v>1661</v>
      </c>
      <c r="C586" s="150" t="s">
        <v>1662</v>
      </c>
      <c r="D586" s="146" t="s">
        <v>190</v>
      </c>
      <c r="E586" s="147"/>
      <c r="F586" s="483">
        <f>17/25</f>
        <v>0.68</v>
      </c>
      <c r="G586" s="302" t="s">
        <v>1663</v>
      </c>
      <c r="H586" s="300" t="s">
        <v>1664</v>
      </c>
      <c r="I586" s="151" t="s">
        <v>871</v>
      </c>
      <c r="J586" s="487" t="s">
        <v>1665</v>
      </c>
      <c r="L586" s="58"/>
      <c r="M586" s="499"/>
      <c r="N586" s="58"/>
      <c r="O586" s="58"/>
      <c r="P586" s="58"/>
      <c r="Q586" s="499"/>
    </row>
    <row r="587" spans="2:17" ht="46.8" x14ac:dyDescent="0.3">
      <c r="B587" s="145" t="s">
        <v>1661</v>
      </c>
      <c r="C587" s="150" t="s">
        <v>1662</v>
      </c>
      <c r="D587" s="146" t="s">
        <v>190</v>
      </c>
      <c r="E587" s="147"/>
      <c r="F587" s="483">
        <f>8/25</f>
        <v>0.32</v>
      </c>
      <c r="G587" s="302" t="s">
        <v>1666</v>
      </c>
      <c r="H587" s="300" t="s">
        <v>1667</v>
      </c>
      <c r="I587" s="151" t="s">
        <v>898</v>
      </c>
      <c r="J587" s="487" t="s">
        <v>1668</v>
      </c>
    </row>
    <row r="588" spans="2:17" ht="15.6" x14ac:dyDescent="0.3">
      <c r="B588" s="145"/>
      <c r="C588" s="150"/>
      <c r="D588" s="146"/>
      <c r="E588" s="147"/>
      <c r="F588" s="483"/>
      <c r="G588" s="147"/>
      <c r="H588" s="298"/>
      <c r="I588" s="151"/>
      <c r="J588" s="151"/>
    </row>
    <row r="589" spans="2:17" s="58" customFormat="1" ht="15.6" x14ac:dyDescent="0.3">
      <c r="B589" s="352"/>
      <c r="C589" s="353" t="s">
        <v>771</v>
      </c>
      <c r="D589" s="354" t="s">
        <v>190</v>
      </c>
      <c r="E589" s="355"/>
      <c r="F589" s="356">
        <f>ROUND(SUM(F586:F588),3)</f>
        <v>1</v>
      </c>
      <c r="G589" s="357"/>
      <c r="H589" s="358"/>
      <c r="I589" s="359"/>
      <c r="J589" s="359"/>
      <c r="L589" s="132"/>
      <c r="M589" s="339"/>
      <c r="N589" s="132"/>
      <c r="O589" s="132"/>
      <c r="P589" s="132"/>
      <c r="Q589" s="339"/>
    </row>
    <row r="590" spans="2:17" s="58" customFormat="1" ht="15.6" x14ac:dyDescent="0.3">
      <c r="B590" s="352"/>
      <c r="C590" s="353" t="s">
        <v>772</v>
      </c>
      <c r="D590" s="354" t="s">
        <v>190</v>
      </c>
      <c r="E590" s="355"/>
      <c r="F590" s="356">
        <v>1</v>
      </c>
      <c r="G590" s="357"/>
      <c r="H590" s="358"/>
      <c r="I590" s="359"/>
      <c r="J590" s="359"/>
      <c r="M590" s="499"/>
      <c r="Q590" s="499"/>
    </row>
    <row r="591" spans="2:17" s="58" customFormat="1" ht="15.6" x14ac:dyDescent="0.3">
      <c r="B591" s="360"/>
      <c r="C591" s="361" t="s">
        <v>773</v>
      </c>
      <c r="D591" s="354" t="s">
        <v>190</v>
      </c>
      <c r="E591" s="363"/>
      <c r="F591" s="364">
        <f>F589-F590</f>
        <v>0</v>
      </c>
      <c r="G591" s="365"/>
      <c r="H591" s="366"/>
      <c r="I591" s="367"/>
      <c r="J591" s="367"/>
      <c r="M591" s="499"/>
      <c r="Q591" s="499"/>
    </row>
    <row r="592" spans="2:17" ht="7.5" customHeight="1" x14ac:dyDescent="0.3">
      <c r="B592" s="338"/>
      <c r="C592" s="142"/>
      <c r="D592" s="143"/>
      <c r="E592" s="144"/>
      <c r="F592" s="345"/>
      <c r="G592" s="144"/>
      <c r="H592" s="144"/>
      <c r="I592" s="515"/>
      <c r="J592" s="514"/>
      <c r="L592" s="58"/>
      <c r="M592" s="499"/>
      <c r="N592" s="58"/>
      <c r="O592" s="58"/>
      <c r="P592" s="58"/>
      <c r="Q592" s="499"/>
    </row>
    <row r="593" spans="2:17" ht="180" x14ac:dyDescent="0.3">
      <c r="B593" s="145" t="s">
        <v>1669</v>
      </c>
      <c r="C593" s="150" t="s">
        <v>1670</v>
      </c>
      <c r="D593" s="146" t="s">
        <v>190</v>
      </c>
      <c r="E593" s="147"/>
      <c r="F593" s="483">
        <f>23/25</f>
        <v>0.92</v>
      </c>
      <c r="G593" s="649" t="s">
        <v>1671</v>
      </c>
      <c r="H593" s="650" t="s">
        <v>1672</v>
      </c>
      <c r="I593" s="151" t="s">
        <v>931</v>
      </c>
      <c r="J593" s="487" t="s">
        <v>1673</v>
      </c>
      <c r="L593" s="58"/>
      <c r="M593" s="499"/>
      <c r="N593" s="58"/>
      <c r="O593" s="58"/>
      <c r="P593" s="58"/>
      <c r="Q593" s="499"/>
    </row>
    <row r="594" spans="2:17" ht="31.2" x14ac:dyDescent="0.3">
      <c r="B594" s="145" t="s">
        <v>1669</v>
      </c>
      <c r="C594" s="150" t="s">
        <v>1670</v>
      </c>
      <c r="D594" s="146" t="s">
        <v>190</v>
      </c>
      <c r="E594" s="147"/>
      <c r="F594" s="483">
        <f>2/25</f>
        <v>0.08</v>
      </c>
      <c r="G594" s="649" t="s">
        <v>1674</v>
      </c>
      <c r="H594" s="650">
        <v>45712</v>
      </c>
      <c r="I594" s="151" t="s">
        <v>1250</v>
      </c>
      <c r="J594" s="487" t="s">
        <v>1675</v>
      </c>
      <c r="L594" s="58"/>
      <c r="M594" s="499"/>
      <c r="N594" s="58"/>
      <c r="O594" s="58"/>
      <c r="P594" s="58"/>
      <c r="Q594" s="499"/>
    </row>
    <row r="595" spans="2:17" ht="15.6" x14ac:dyDescent="0.3">
      <c r="B595" s="145"/>
      <c r="C595" s="150"/>
      <c r="D595" s="146"/>
      <c r="E595" s="147"/>
      <c r="F595" s="483"/>
      <c r="G595" s="147"/>
      <c r="H595" s="298"/>
      <c r="I595" s="151"/>
      <c r="J595" s="151"/>
    </row>
    <row r="596" spans="2:17" s="58" customFormat="1" ht="15.6" x14ac:dyDescent="0.3">
      <c r="B596" s="352"/>
      <c r="C596" s="353" t="s">
        <v>771</v>
      </c>
      <c r="D596" s="354" t="s">
        <v>190</v>
      </c>
      <c r="E596" s="355"/>
      <c r="F596" s="356">
        <f>ROUND(SUM(F593:F595),3)</f>
        <v>1</v>
      </c>
      <c r="G596" s="357"/>
      <c r="H596" s="358"/>
      <c r="I596" s="359"/>
      <c r="J596" s="359"/>
      <c r="L596" s="132"/>
      <c r="M596" s="339"/>
      <c r="N596" s="132"/>
      <c r="O596" s="132"/>
      <c r="P596" s="132"/>
      <c r="Q596" s="339"/>
    </row>
    <row r="597" spans="2:17" s="58" customFormat="1" ht="15.6" x14ac:dyDescent="0.3">
      <c r="B597" s="352"/>
      <c r="C597" s="353" t="s">
        <v>772</v>
      </c>
      <c r="D597" s="354" t="s">
        <v>190</v>
      </c>
      <c r="E597" s="355"/>
      <c r="F597" s="356">
        <v>1</v>
      </c>
      <c r="G597" s="357"/>
      <c r="H597" s="358"/>
      <c r="I597" s="359"/>
      <c r="J597" s="359"/>
      <c r="M597" s="499"/>
      <c r="Q597" s="499"/>
    </row>
    <row r="598" spans="2:17" s="58" customFormat="1" ht="15.6" x14ac:dyDescent="0.3">
      <c r="B598" s="360"/>
      <c r="C598" s="361" t="s">
        <v>773</v>
      </c>
      <c r="D598" s="354" t="s">
        <v>190</v>
      </c>
      <c r="E598" s="363"/>
      <c r="F598" s="364">
        <f>F596-F597</f>
        <v>0</v>
      </c>
      <c r="G598" s="365"/>
      <c r="H598" s="366"/>
      <c r="I598" s="367"/>
      <c r="J598" s="367"/>
      <c r="M598" s="499"/>
      <c r="Q598" s="499"/>
    </row>
    <row r="599" spans="2:17" ht="7.5" customHeight="1" x14ac:dyDescent="0.3">
      <c r="B599" s="338"/>
      <c r="C599" s="142"/>
      <c r="D599" s="143"/>
      <c r="E599" s="144"/>
      <c r="F599" s="345"/>
      <c r="G599" s="144"/>
      <c r="H599" s="144"/>
      <c r="I599" s="515"/>
      <c r="J599" s="514"/>
      <c r="L599" s="58"/>
      <c r="M599" s="499"/>
      <c r="N599" s="58"/>
      <c r="O599" s="58"/>
      <c r="P599" s="58"/>
      <c r="Q599" s="499"/>
    </row>
    <row r="600" spans="2:17" ht="31.35" customHeight="1" x14ac:dyDescent="0.3">
      <c r="B600" s="145" t="s">
        <v>1676</v>
      </c>
      <c r="C600" s="150" t="s">
        <v>1677</v>
      </c>
      <c r="D600" s="146" t="s">
        <v>190</v>
      </c>
      <c r="E600" s="147"/>
      <c r="F600" s="483">
        <f>23/25</f>
        <v>0.92</v>
      </c>
      <c r="G600" s="648" t="s">
        <v>1678</v>
      </c>
      <c r="H600" s="651" t="s">
        <v>1679</v>
      </c>
      <c r="I600" s="151" t="s">
        <v>1326</v>
      </c>
      <c r="J600" s="487" t="s">
        <v>1680</v>
      </c>
      <c r="L600" s="58"/>
      <c r="M600" s="499"/>
      <c r="N600" s="58"/>
      <c r="O600" s="58"/>
      <c r="P600" s="58"/>
      <c r="Q600" s="499"/>
    </row>
    <row r="601" spans="2:17" ht="31.35" customHeight="1" x14ac:dyDescent="0.3">
      <c r="B601" s="145" t="s">
        <v>1676</v>
      </c>
      <c r="C601" s="150" t="s">
        <v>1677</v>
      </c>
      <c r="D601" s="146" t="s">
        <v>190</v>
      </c>
      <c r="E601" s="147"/>
      <c r="F601" s="483">
        <f>2/25</f>
        <v>0.08</v>
      </c>
      <c r="G601" s="302" t="s">
        <v>1681</v>
      </c>
      <c r="H601" s="647">
        <v>45702</v>
      </c>
      <c r="I601" s="151" t="s">
        <v>934</v>
      </c>
      <c r="J601" s="151" t="s">
        <v>1682</v>
      </c>
      <c r="L601" s="58"/>
      <c r="M601" s="499"/>
      <c r="N601" s="58"/>
      <c r="O601" s="58"/>
      <c r="P601" s="58"/>
      <c r="Q601" s="499"/>
    </row>
    <row r="602" spans="2:17" ht="15.6" x14ac:dyDescent="0.3">
      <c r="B602" s="145"/>
      <c r="C602" s="150"/>
      <c r="D602" s="146"/>
      <c r="E602" s="147"/>
      <c r="F602" s="483"/>
      <c r="G602" s="147"/>
      <c r="H602" s="298"/>
      <c r="I602" s="151"/>
      <c r="J602" s="151"/>
    </row>
    <row r="603" spans="2:17" s="58" customFormat="1" ht="15.6" x14ac:dyDescent="0.3">
      <c r="B603" s="352"/>
      <c r="C603" s="353" t="s">
        <v>771</v>
      </c>
      <c r="D603" s="354" t="s">
        <v>190</v>
      </c>
      <c r="E603" s="355"/>
      <c r="F603" s="356">
        <f>ROUND(SUM(F600:F602),3)</f>
        <v>1</v>
      </c>
      <c r="G603" s="357"/>
      <c r="H603" s="358"/>
      <c r="I603" s="359"/>
      <c r="J603" s="359"/>
      <c r="L603" s="132"/>
      <c r="M603" s="339"/>
      <c r="N603" s="132"/>
      <c r="O603" s="132"/>
      <c r="P603" s="132"/>
      <c r="Q603" s="339"/>
    </row>
    <row r="604" spans="2:17" s="58" customFormat="1" ht="15.6" x14ac:dyDescent="0.3">
      <c r="B604" s="352"/>
      <c r="C604" s="353" t="s">
        <v>772</v>
      </c>
      <c r="D604" s="354" t="s">
        <v>190</v>
      </c>
      <c r="E604" s="355"/>
      <c r="F604" s="356">
        <v>1</v>
      </c>
      <c r="G604" s="357"/>
      <c r="H604" s="358"/>
      <c r="I604" s="359"/>
      <c r="J604" s="359"/>
      <c r="M604" s="499"/>
      <c r="Q604" s="499"/>
    </row>
    <row r="605" spans="2:17" s="58" customFormat="1" ht="15.6" x14ac:dyDescent="0.3">
      <c r="B605" s="360"/>
      <c r="C605" s="361" t="s">
        <v>773</v>
      </c>
      <c r="D605" s="354" t="s">
        <v>190</v>
      </c>
      <c r="E605" s="363"/>
      <c r="F605" s="364">
        <f>F603-F604</f>
        <v>0</v>
      </c>
      <c r="G605" s="365"/>
      <c r="H605" s="366"/>
      <c r="I605" s="367"/>
      <c r="J605" s="367"/>
      <c r="M605" s="499"/>
      <c r="Q605" s="499"/>
    </row>
    <row r="606" spans="2:17" ht="7.5" customHeight="1" x14ac:dyDescent="0.3">
      <c r="B606" s="338"/>
      <c r="C606" s="142"/>
      <c r="D606" s="143"/>
      <c r="E606" s="144"/>
      <c r="F606" s="345"/>
      <c r="G606" s="144"/>
      <c r="H606" s="144"/>
      <c r="I606" s="515"/>
      <c r="J606" s="514"/>
      <c r="L606" s="58"/>
      <c r="M606" s="499"/>
      <c r="N606" s="58"/>
      <c r="O606" s="58"/>
      <c r="P606" s="58"/>
      <c r="Q606" s="499"/>
    </row>
    <row r="607" spans="2:17" ht="31.2" x14ac:dyDescent="0.3">
      <c r="B607" s="145" t="s">
        <v>1683</v>
      </c>
      <c r="C607" s="150" t="s">
        <v>1684</v>
      </c>
      <c r="D607" s="146" t="s">
        <v>190</v>
      </c>
      <c r="E607" s="147"/>
      <c r="F607" s="483">
        <f>9/25</f>
        <v>0.36</v>
      </c>
      <c r="G607" s="147" t="s">
        <v>1685</v>
      </c>
      <c r="H607" s="298">
        <v>45582</v>
      </c>
      <c r="I607" s="151" t="s">
        <v>871</v>
      </c>
      <c r="J607" s="487" t="s">
        <v>1686</v>
      </c>
    </row>
    <row r="608" spans="2:17" ht="31.2" x14ac:dyDescent="0.3">
      <c r="B608" s="145" t="s">
        <v>1683</v>
      </c>
      <c r="C608" s="150" t="s">
        <v>1684</v>
      </c>
      <c r="D608" s="146" t="s">
        <v>190</v>
      </c>
      <c r="E608" s="147"/>
      <c r="F608" s="483">
        <f>8/25</f>
        <v>0.32</v>
      </c>
      <c r="G608" s="302" t="s">
        <v>1687</v>
      </c>
      <c r="H608" s="300">
        <v>45614</v>
      </c>
      <c r="I608" s="151" t="s">
        <v>898</v>
      </c>
      <c r="J608" s="487" t="s">
        <v>1688</v>
      </c>
    </row>
    <row r="609" spans="2:17" ht="31.2" x14ac:dyDescent="0.3">
      <c r="B609" s="145" t="s">
        <v>1683</v>
      </c>
      <c r="C609" s="150" t="s">
        <v>1684</v>
      </c>
      <c r="D609" s="146" t="s">
        <v>190</v>
      </c>
      <c r="E609" s="147"/>
      <c r="F609" s="483">
        <f>8/25</f>
        <v>0.32</v>
      </c>
      <c r="G609" s="594" t="s">
        <v>1689</v>
      </c>
      <c r="H609" s="647">
        <v>45679</v>
      </c>
      <c r="I609" s="151" t="s">
        <v>1326</v>
      </c>
      <c r="J609" s="487" t="s">
        <v>1668</v>
      </c>
    </row>
    <row r="610" spans="2:17" ht="15.6" x14ac:dyDescent="0.3">
      <c r="B610" s="145"/>
      <c r="C610" s="150"/>
      <c r="D610" s="146"/>
      <c r="E610" s="147"/>
      <c r="F610" s="483"/>
      <c r="G610" s="147"/>
      <c r="H610" s="298"/>
      <c r="I610" s="151"/>
      <c r="J610" s="487"/>
    </row>
    <row r="611" spans="2:17" s="58" customFormat="1" ht="15.6" x14ac:dyDescent="0.3">
      <c r="B611" s="352"/>
      <c r="C611" s="353" t="s">
        <v>771</v>
      </c>
      <c r="D611" s="354" t="s">
        <v>190</v>
      </c>
      <c r="E611" s="355"/>
      <c r="F611" s="356">
        <f>ROUND(SUM(F607:F610),3)</f>
        <v>1</v>
      </c>
      <c r="G611" s="357"/>
      <c r="H611" s="358"/>
      <c r="I611" s="359"/>
      <c r="J611" s="359"/>
      <c r="M611" s="499"/>
      <c r="Q611" s="499"/>
    </row>
    <row r="612" spans="2:17" s="58" customFormat="1" ht="15.6" x14ac:dyDescent="0.3">
      <c r="B612" s="352"/>
      <c r="C612" s="353" t="s">
        <v>772</v>
      </c>
      <c r="D612" s="354" t="s">
        <v>190</v>
      </c>
      <c r="E612" s="355"/>
      <c r="F612" s="356">
        <v>1</v>
      </c>
      <c r="G612" s="357"/>
      <c r="H612" s="358"/>
      <c r="I612" s="359"/>
      <c r="J612" s="359"/>
      <c r="M612" s="499"/>
      <c r="Q612" s="499"/>
    </row>
    <row r="613" spans="2:17" s="58" customFormat="1" ht="15.6" x14ac:dyDescent="0.3">
      <c r="B613" s="360"/>
      <c r="C613" s="361" t="s">
        <v>773</v>
      </c>
      <c r="D613" s="354" t="s">
        <v>190</v>
      </c>
      <c r="E613" s="363"/>
      <c r="F613" s="364">
        <f>F611-F612</f>
        <v>0</v>
      </c>
      <c r="G613" s="365"/>
      <c r="H613" s="366"/>
      <c r="I613" s="367"/>
      <c r="J613" s="367"/>
      <c r="M613" s="499"/>
      <c r="Q613" s="499"/>
    </row>
    <row r="614" spans="2:17" ht="7.5" customHeight="1" x14ac:dyDescent="0.3">
      <c r="B614" s="338"/>
      <c r="C614" s="142"/>
      <c r="D614" s="143"/>
      <c r="E614" s="144"/>
      <c r="F614" s="345"/>
      <c r="G614" s="144"/>
      <c r="H614" s="144"/>
      <c r="I614" s="515"/>
      <c r="J614" s="514"/>
    </row>
    <row r="615" spans="2:17" ht="31.2" x14ac:dyDescent="0.3">
      <c r="B615" s="145" t="s">
        <v>1690</v>
      </c>
      <c r="C615" s="150" t="s">
        <v>1691</v>
      </c>
      <c r="D615" s="146" t="s">
        <v>190</v>
      </c>
      <c r="E615" s="147"/>
      <c r="F615" s="483">
        <f>4/25*50%</f>
        <v>0.08</v>
      </c>
      <c r="G615" s="489" t="s">
        <v>1692</v>
      </c>
      <c r="H615" s="298">
        <v>45965</v>
      </c>
      <c r="I615" s="319" t="s">
        <v>1282</v>
      </c>
      <c r="J615" s="487" t="s">
        <v>1693</v>
      </c>
    </row>
    <row r="616" spans="2:17" ht="31.2" x14ac:dyDescent="0.3">
      <c r="B616" s="145" t="s">
        <v>1690</v>
      </c>
      <c r="C616" s="150" t="s">
        <v>1691</v>
      </c>
      <c r="D616" s="146" t="s">
        <v>190</v>
      </c>
      <c r="E616" s="147"/>
      <c r="F616" s="483">
        <f>8/25*50%</f>
        <v>0.16</v>
      </c>
      <c r="G616" s="489" t="s">
        <v>1694</v>
      </c>
      <c r="H616" s="298">
        <v>46066</v>
      </c>
      <c r="I616" s="319" t="s">
        <v>1315</v>
      </c>
      <c r="J616" s="487" t="s">
        <v>1695</v>
      </c>
    </row>
    <row r="617" spans="2:17" ht="31.2" x14ac:dyDescent="0.3">
      <c r="B617" s="145" t="s">
        <v>1690</v>
      </c>
      <c r="C617" s="150" t="s">
        <v>1691</v>
      </c>
      <c r="D617" s="146" t="s">
        <v>190</v>
      </c>
      <c r="E617" s="147"/>
      <c r="F617" s="483">
        <f>4/25</f>
        <v>0.16</v>
      </c>
      <c r="G617" s="489" t="s">
        <v>1696</v>
      </c>
      <c r="H617" s="298">
        <v>46063</v>
      </c>
      <c r="I617" s="319" t="s">
        <v>1053</v>
      </c>
      <c r="J617" s="487" t="s">
        <v>1697</v>
      </c>
    </row>
    <row r="618" spans="2:17" ht="31.2" x14ac:dyDescent="0.3">
      <c r="B618" s="145" t="s">
        <v>1690</v>
      </c>
      <c r="C618" s="150" t="s">
        <v>1691</v>
      </c>
      <c r="D618" s="146" t="s">
        <v>190</v>
      </c>
      <c r="E618" s="147"/>
      <c r="F618" s="483">
        <f>2/25</f>
        <v>0.08</v>
      </c>
      <c r="G618" s="489" t="s">
        <v>1698</v>
      </c>
      <c r="H618" s="298">
        <v>46125</v>
      </c>
      <c r="I618" s="319" t="s">
        <v>1053</v>
      </c>
      <c r="J618" s="487" t="s">
        <v>1699</v>
      </c>
    </row>
    <row r="619" spans="2:17" ht="31.2" x14ac:dyDescent="0.3">
      <c r="B619" s="145" t="s">
        <v>1690</v>
      </c>
      <c r="C619" s="150" t="s">
        <v>1691</v>
      </c>
      <c r="D619" s="146" t="s">
        <v>190</v>
      </c>
      <c r="E619" s="147"/>
      <c r="F619" s="483">
        <f>4/25</f>
        <v>0.16</v>
      </c>
      <c r="G619" s="489" t="s">
        <v>1700</v>
      </c>
      <c r="H619" s="298">
        <v>46125</v>
      </c>
      <c r="I619" s="319" t="s">
        <v>1053</v>
      </c>
      <c r="J619" s="487" t="s">
        <v>1701</v>
      </c>
    </row>
    <row r="620" spans="2:17" ht="31.2" x14ac:dyDescent="0.3">
      <c r="B620" s="145" t="s">
        <v>1690</v>
      </c>
      <c r="C620" s="150" t="s">
        <v>1691</v>
      </c>
      <c r="D620" s="146" t="s">
        <v>190</v>
      </c>
      <c r="E620" s="147"/>
      <c r="F620" s="483">
        <f>3/25</f>
        <v>0.12</v>
      </c>
      <c r="G620" s="489" t="s">
        <v>1702</v>
      </c>
      <c r="H620" s="298">
        <v>46125</v>
      </c>
      <c r="I620" s="319" t="s">
        <v>1053</v>
      </c>
      <c r="J620" s="487" t="s">
        <v>1703</v>
      </c>
    </row>
    <row r="621" spans="2:17" ht="15.6" x14ac:dyDescent="0.3">
      <c r="B621" s="145"/>
      <c r="C621" s="150"/>
      <c r="D621" s="146"/>
      <c r="E621" s="147"/>
      <c r="F621" s="483"/>
      <c r="G621" s="147"/>
      <c r="H621" s="298"/>
      <c r="I621" s="151"/>
      <c r="J621" s="487"/>
    </row>
    <row r="622" spans="2:17" s="58" customFormat="1" ht="15.6" x14ac:dyDescent="0.3">
      <c r="B622" s="352"/>
      <c r="C622" s="353" t="s">
        <v>771</v>
      </c>
      <c r="D622" s="354" t="s">
        <v>190</v>
      </c>
      <c r="E622" s="355"/>
      <c r="F622" s="356">
        <f>ROUND(SUM(F615:F621),3)</f>
        <v>0.76</v>
      </c>
      <c r="G622" s="357"/>
      <c r="H622" s="358"/>
      <c r="I622" s="359"/>
      <c r="J622" s="359"/>
      <c r="M622" s="499"/>
      <c r="Q622" s="499"/>
    </row>
    <row r="623" spans="2:17" s="58" customFormat="1" ht="15.6" x14ac:dyDescent="0.3">
      <c r="B623" s="352"/>
      <c r="C623" s="353" t="s">
        <v>772</v>
      </c>
      <c r="D623" s="354" t="s">
        <v>190</v>
      </c>
      <c r="E623" s="355"/>
      <c r="F623" s="356">
        <v>0.76</v>
      </c>
      <c r="G623" s="357"/>
      <c r="H623" s="358"/>
      <c r="I623" s="359"/>
      <c r="J623" s="359"/>
      <c r="M623" s="499"/>
      <c r="Q623" s="499"/>
    </row>
    <row r="624" spans="2:17" s="58" customFormat="1" ht="15.6" x14ac:dyDescent="0.3">
      <c r="B624" s="360"/>
      <c r="C624" s="361" t="s">
        <v>773</v>
      </c>
      <c r="D624" s="354" t="s">
        <v>190</v>
      </c>
      <c r="E624" s="363"/>
      <c r="F624" s="364">
        <f>F622-F623</f>
        <v>0</v>
      </c>
      <c r="G624" s="365"/>
      <c r="H624" s="366"/>
      <c r="I624" s="367"/>
      <c r="J624" s="367"/>
      <c r="M624" s="499"/>
      <c r="Q624" s="499"/>
    </row>
    <row r="625" spans="2:17" ht="7.5" customHeight="1" x14ac:dyDescent="0.3">
      <c r="B625" s="338"/>
      <c r="C625" s="142"/>
      <c r="D625" s="143"/>
      <c r="E625" s="144"/>
      <c r="F625" s="345"/>
      <c r="G625" s="144"/>
      <c r="H625" s="144"/>
      <c r="I625" s="515"/>
      <c r="J625" s="514"/>
    </row>
    <row r="626" spans="2:17" ht="31.2" x14ac:dyDescent="0.3">
      <c r="B626" s="145" t="s">
        <v>1704</v>
      </c>
      <c r="C626" s="150" t="s">
        <v>1705</v>
      </c>
      <c r="D626" s="146" t="s">
        <v>190</v>
      </c>
      <c r="E626" s="147"/>
      <c r="F626" s="483">
        <f>4/25*50%</f>
        <v>0.08</v>
      </c>
      <c r="G626" s="489" t="s">
        <v>1706</v>
      </c>
      <c r="H626" s="298">
        <v>46081</v>
      </c>
      <c r="I626" s="319" t="s">
        <v>946</v>
      </c>
      <c r="J626" s="487" t="s">
        <v>1693</v>
      </c>
    </row>
    <row r="627" spans="2:17" ht="30.6" customHeight="1" x14ac:dyDescent="0.3">
      <c r="B627" s="145" t="s">
        <v>1704</v>
      </c>
      <c r="C627" s="150" t="s">
        <v>1705</v>
      </c>
      <c r="D627" s="146" t="s">
        <v>190</v>
      </c>
      <c r="E627" s="147"/>
      <c r="F627" s="483">
        <f>8/25*50%</f>
        <v>0.16</v>
      </c>
      <c r="G627" s="489" t="s">
        <v>1707</v>
      </c>
      <c r="H627" s="298">
        <v>46125</v>
      </c>
      <c r="I627" s="319" t="s">
        <v>1579</v>
      </c>
      <c r="J627" s="487" t="s">
        <v>1695</v>
      </c>
    </row>
    <row r="628" spans="2:17" ht="30.6" customHeight="1" x14ac:dyDescent="0.3">
      <c r="B628" s="145" t="s">
        <v>1704</v>
      </c>
      <c r="C628" s="150" t="s">
        <v>1705</v>
      </c>
      <c r="D628" s="146" t="s">
        <v>190</v>
      </c>
      <c r="E628" s="147"/>
      <c r="F628" s="483">
        <f>4/25*50%</f>
        <v>0.08</v>
      </c>
      <c r="G628" s="489" t="s">
        <v>1708</v>
      </c>
      <c r="H628" s="298">
        <v>46190</v>
      </c>
      <c r="I628" s="319" t="s">
        <v>949</v>
      </c>
      <c r="J628" s="487" t="s">
        <v>1709</v>
      </c>
    </row>
    <row r="629" spans="2:17" ht="30.6" customHeight="1" x14ac:dyDescent="0.3">
      <c r="B629" s="145" t="s">
        <v>1704</v>
      </c>
      <c r="C629" s="150" t="s">
        <v>1705</v>
      </c>
      <c r="D629" s="146" t="s">
        <v>190</v>
      </c>
      <c r="E629" s="147"/>
      <c r="F629" s="483">
        <f>4/25*50%</f>
        <v>0.08</v>
      </c>
      <c r="G629" s="489" t="s">
        <v>1710</v>
      </c>
      <c r="H629" s="298">
        <v>46190</v>
      </c>
      <c r="I629" s="319" t="s">
        <v>949</v>
      </c>
      <c r="J629" s="487" t="s">
        <v>1711</v>
      </c>
    </row>
    <row r="630" spans="2:17" ht="30.6" customHeight="1" x14ac:dyDescent="0.3">
      <c r="B630" s="145" t="s">
        <v>1704</v>
      </c>
      <c r="C630" s="150" t="s">
        <v>1705</v>
      </c>
      <c r="D630" s="146" t="s">
        <v>190</v>
      </c>
      <c r="E630" s="147"/>
      <c r="F630" s="483">
        <f>2/25*50%</f>
        <v>0.04</v>
      </c>
      <c r="G630" s="489" t="s">
        <v>1712</v>
      </c>
      <c r="H630" s="298">
        <v>46190</v>
      </c>
      <c r="I630" s="319" t="s">
        <v>949</v>
      </c>
      <c r="J630" s="487" t="s">
        <v>1713</v>
      </c>
    </row>
    <row r="631" spans="2:17" ht="30.6" customHeight="1" x14ac:dyDescent="0.3">
      <c r="B631" s="145" t="s">
        <v>1704</v>
      </c>
      <c r="C631" s="150" t="s">
        <v>1705</v>
      </c>
      <c r="D631" s="146" t="s">
        <v>190</v>
      </c>
      <c r="E631" s="147"/>
      <c r="F631" s="483">
        <f>4/25*50%</f>
        <v>0.08</v>
      </c>
      <c r="G631" s="489" t="s">
        <v>1714</v>
      </c>
      <c r="H631" s="298">
        <v>46190</v>
      </c>
      <c r="I631" s="319" t="s">
        <v>949</v>
      </c>
      <c r="J631" s="487" t="s">
        <v>1715</v>
      </c>
    </row>
    <row r="632" spans="2:17" ht="15.6" x14ac:dyDescent="0.3">
      <c r="B632" s="145"/>
      <c r="C632" s="150"/>
      <c r="D632" s="146"/>
      <c r="E632" s="147"/>
      <c r="F632" s="483"/>
      <c r="G632" s="489"/>
      <c r="H632" s="298"/>
      <c r="I632" s="319"/>
      <c r="J632" s="487"/>
    </row>
    <row r="633" spans="2:17" s="58" customFormat="1" ht="15.6" x14ac:dyDescent="0.3">
      <c r="B633" s="352"/>
      <c r="C633" s="353" t="s">
        <v>771</v>
      </c>
      <c r="D633" s="354" t="s">
        <v>190</v>
      </c>
      <c r="E633" s="355"/>
      <c r="F633" s="356">
        <f>ROUND(SUM(F626:F632),3)</f>
        <v>0.52</v>
      </c>
      <c r="G633" s="357"/>
      <c r="H633" s="358"/>
      <c r="I633" s="359"/>
      <c r="J633" s="359"/>
      <c r="M633" s="499"/>
      <c r="Q633" s="499"/>
    </row>
    <row r="634" spans="2:17" s="58" customFormat="1" ht="15.6" x14ac:dyDescent="0.3">
      <c r="B634" s="352"/>
      <c r="C634" s="353" t="s">
        <v>772</v>
      </c>
      <c r="D634" s="354" t="s">
        <v>190</v>
      </c>
      <c r="E634" s="355"/>
      <c r="F634" s="356">
        <v>0.52</v>
      </c>
      <c r="G634" s="357"/>
      <c r="H634" s="358"/>
      <c r="I634" s="359"/>
      <c r="J634" s="359"/>
      <c r="M634" s="499"/>
      <c r="Q634" s="499"/>
    </row>
    <row r="635" spans="2:17" s="58" customFormat="1" ht="15.6" x14ac:dyDescent="0.3">
      <c r="B635" s="360"/>
      <c r="C635" s="361" t="s">
        <v>773</v>
      </c>
      <c r="D635" s="354" t="s">
        <v>190</v>
      </c>
      <c r="E635" s="363"/>
      <c r="F635" s="364">
        <f>F633-F634</f>
        <v>0</v>
      </c>
      <c r="G635" s="365"/>
      <c r="H635" s="366"/>
      <c r="I635" s="367"/>
      <c r="J635" s="367"/>
      <c r="M635" s="499"/>
      <c r="Q635" s="499"/>
    </row>
    <row r="636" spans="2:17" ht="7.5" customHeight="1" x14ac:dyDescent="0.3">
      <c r="B636" s="338"/>
      <c r="C636" s="142"/>
      <c r="D636" s="143"/>
      <c r="E636" s="144"/>
      <c r="F636" s="345"/>
      <c r="G636" s="144"/>
      <c r="H636" s="144"/>
      <c r="I636" s="515"/>
      <c r="J636" s="514"/>
    </row>
    <row r="637" spans="2:17" ht="31.2" x14ac:dyDescent="0.3">
      <c r="B637" s="145" t="s">
        <v>1716</v>
      </c>
      <c r="C637" s="150" t="s">
        <v>1717</v>
      </c>
      <c r="D637" s="146" t="s">
        <v>190</v>
      </c>
      <c r="E637" s="147"/>
      <c r="F637" s="483">
        <f>4/24</f>
        <v>0.16666666666666666</v>
      </c>
      <c r="G637" s="147" t="s">
        <v>1718</v>
      </c>
      <c r="H637" s="298">
        <v>45656</v>
      </c>
      <c r="I637" s="151" t="s">
        <v>931</v>
      </c>
      <c r="J637" s="487" t="s">
        <v>1719</v>
      </c>
    </row>
    <row r="638" spans="2:17" ht="31.2" x14ac:dyDescent="0.3">
      <c r="B638" s="145" t="s">
        <v>1716</v>
      </c>
      <c r="C638" s="150" t="s">
        <v>1717</v>
      </c>
      <c r="D638" s="146" t="s">
        <v>190</v>
      </c>
      <c r="E638" s="147"/>
      <c r="F638" s="483">
        <f>5/24</f>
        <v>0.20833333333333334</v>
      </c>
      <c r="G638" s="594" t="s">
        <v>1718</v>
      </c>
      <c r="H638" s="647">
        <v>45656</v>
      </c>
      <c r="I638" s="151" t="s">
        <v>1326</v>
      </c>
      <c r="J638" s="487" t="s">
        <v>1720</v>
      </c>
    </row>
    <row r="639" spans="2:17" ht="31.2" x14ac:dyDescent="0.3">
      <c r="B639" s="145" t="s">
        <v>1716</v>
      </c>
      <c r="C639" s="150" t="s">
        <v>1717</v>
      </c>
      <c r="D639" s="146" t="s">
        <v>190</v>
      </c>
      <c r="E639" s="147"/>
      <c r="F639" s="483">
        <f>7/24</f>
        <v>0.29166666666666669</v>
      </c>
      <c r="G639" s="302" t="s">
        <v>1721</v>
      </c>
      <c r="H639" s="300">
        <v>45772</v>
      </c>
      <c r="I639" s="151" t="s">
        <v>97</v>
      </c>
      <c r="J639" s="487" t="s">
        <v>1722</v>
      </c>
    </row>
    <row r="640" spans="2:17" ht="31.2" x14ac:dyDescent="0.3">
      <c r="B640" s="145" t="s">
        <v>1716</v>
      </c>
      <c r="C640" s="150" t="s">
        <v>1717</v>
      </c>
      <c r="D640" s="146" t="s">
        <v>190</v>
      </c>
      <c r="E640" s="147"/>
      <c r="F640" s="483">
        <f>4/24</f>
        <v>0.16666666666666666</v>
      </c>
      <c r="G640" s="302" t="s">
        <v>1723</v>
      </c>
      <c r="H640" s="298">
        <v>45864</v>
      </c>
      <c r="I640" s="319" t="s">
        <v>1262</v>
      </c>
      <c r="J640" s="487" t="s">
        <v>1724</v>
      </c>
    </row>
    <row r="641" spans="2:17" ht="31.2" x14ac:dyDescent="0.3">
      <c r="B641" s="145" t="s">
        <v>1716</v>
      </c>
      <c r="C641" s="150" t="s">
        <v>1717</v>
      </c>
      <c r="D641" s="146" t="s">
        <v>190</v>
      </c>
      <c r="E641" s="147"/>
      <c r="F641" s="483">
        <f>4/24</f>
        <v>0.16666666666666666</v>
      </c>
      <c r="G641" s="302" t="s">
        <v>1725</v>
      </c>
      <c r="H641" s="298">
        <v>45871</v>
      </c>
      <c r="I641" s="319" t="s">
        <v>1509</v>
      </c>
      <c r="J641" s="487" t="s">
        <v>1726</v>
      </c>
    </row>
    <row r="642" spans="2:17" ht="15.6" x14ac:dyDescent="0.3">
      <c r="B642" s="145"/>
      <c r="C642" s="150"/>
      <c r="D642" s="146"/>
      <c r="E642" s="147"/>
      <c r="F642" s="483"/>
      <c r="G642" s="147"/>
      <c r="H642" s="298"/>
      <c r="I642" s="151"/>
      <c r="J642" s="487"/>
    </row>
    <row r="643" spans="2:17" s="58" customFormat="1" ht="15.6" x14ac:dyDescent="0.3">
      <c r="B643" s="352"/>
      <c r="C643" s="353" t="s">
        <v>771</v>
      </c>
      <c r="D643" s="354" t="s">
        <v>190</v>
      </c>
      <c r="E643" s="355"/>
      <c r="F643" s="543">
        <f>ROUND(SUM(F637:F642),3)</f>
        <v>1</v>
      </c>
      <c r="G643" s="357"/>
      <c r="H643" s="358"/>
      <c r="I643" s="359"/>
      <c r="J643" s="359"/>
      <c r="M643" s="499"/>
      <c r="Q643" s="499"/>
    </row>
    <row r="644" spans="2:17" s="58" customFormat="1" ht="15.6" x14ac:dyDescent="0.3">
      <c r="B644" s="352"/>
      <c r="C644" s="353" t="s">
        <v>772</v>
      </c>
      <c r="D644" s="354" t="s">
        <v>190</v>
      </c>
      <c r="E644" s="355"/>
      <c r="F644" s="543">
        <v>1</v>
      </c>
      <c r="G644" s="357"/>
      <c r="H644" s="358"/>
      <c r="I644" s="359"/>
      <c r="J644" s="359"/>
      <c r="M644" s="499"/>
      <c r="Q644" s="499"/>
    </row>
    <row r="645" spans="2:17" s="58" customFormat="1" ht="15.6" x14ac:dyDescent="0.3">
      <c r="B645" s="360"/>
      <c r="C645" s="361" t="s">
        <v>773</v>
      </c>
      <c r="D645" s="354" t="s">
        <v>190</v>
      </c>
      <c r="E645" s="363"/>
      <c r="F645" s="544">
        <f>F643-F644</f>
        <v>0</v>
      </c>
      <c r="G645" s="365"/>
      <c r="H645" s="366"/>
      <c r="I645" s="367"/>
      <c r="J645" s="367"/>
      <c r="M645" s="499"/>
      <c r="Q645" s="499"/>
    </row>
    <row r="646" spans="2:17" ht="7.5" customHeight="1" x14ac:dyDescent="0.3">
      <c r="B646" s="338"/>
      <c r="C646" s="142"/>
      <c r="D646" s="143"/>
      <c r="E646" s="144"/>
      <c r="F646" s="545"/>
      <c r="G646" s="144"/>
      <c r="H646" s="144"/>
      <c r="I646" s="515"/>
      <c r="J646" s="514"/>
    </row>
    <row r="647" spans="2:17" ht="31.2" x14ac:dyDescent="0.3">
      <c r="B647" s="145" t="s">
        <v>1727</v>
      </c>
      <c r="C647" s="150" t="s">
        <v>1728</v>
      </c>
      <c r="D647" s="146" t="s">
        <v>190</v>
      </c>
      <c r="E647" s="147"/>
      <c r="F647" s="483">
        <f>8/24</f>
        <v>0.33333333333333331</v>
      </c>
      <c r="G647" s="147" t="s">
        <v>1729</v>
      </c>
      <c r="H647" s="298">
        <v>45807</v>
      </c>
      <c r="I647" s="151" t="s">
        <v>937</v>
      </c>
      <c r="J647" s="487" t="s">
        <v>1730</v>
      </c>
    </row>
    <row r="648" spans="2:17" ht="31.2" x14ac:dyDescent="0.3">
      <c r="B648" s="145" t="s">
        <v>1727</v>
      </c>
      <c r="C648" s="150" t="s">
        <v>1728</v>
      </c>
      <c r="D648" s="146" t="s">
        <v>190</v>
      </c>
      <c r="E648" s="147"/>
      <c r="F648" s="483">
        <f>8/24</f>
        <v>0.33333333333333331</v>
      </c>
      <c r="G648" s="147" t="s">
        <v>1731</v>
      </c>
      <c r="H648" s="298">
        <v>45857</v>
      </c>
      <c r="I648" s="319" t="s">
        <v>1262</v>
      </c>
      <c r="J648" s="487" t="s">
        <v>1732</v>
      </c>
    </row>
    <row r="649" spans="2:17" ht="15.6" x14ac:dyDescent="0.3">
      <c r="B649" s="145" t="s">
        <v>1727</v>
      </c>
      <c r="C649" s="150" t="s">
        <v>1728</v>
      </c>
      <c r="D649" s="146" t="s">
        <v>190</v>
      </c>
      <c r="E649" s="147"/>
      <c r="F649" s="483">
        <f>4/24</f>
        <v>0.16666666666666666</v>
      </c>
      <c r="G649" s="147" t="s">
        <v>1733</v>
      </c>
      <c r="H649" s="300">
        <v>45938</v>
      </c>
      <c r="I649" s="319" t="s">
        <v>1026</v>
      </c>
      <c r="J649" s="487" t="s">
        <v>1734</v>
      </c>
    </row>
    <row r="650" spans="2:17" ht="31.2" x14ac:dyDescent="0.3">
      <c r="B650" s="145" t="s">
        <v>1727</v>
      </c>
      <c r="C650" s="150" t="s">
        <v>1728</v>
      </c>
      <c r="D650" s="146" t="s">
        <v>190</v>
      </c>
      <c r="E650" s="147"/>
      <c r="F650" s="483">
        <f>ROUND(4/24,3)</f>
        <v>0.16700000000000001</v>
      </c>
      <c r="G650" s="147" t="s">
        <v>1735</v>
      </c>
      <c r="H650" s="300">
        <v>45962</v>
      </c>
      <c r="I650" s="319" t="s">
        <v>1282</v>
      </c>
      <c r="J650" s="487" t="s">
        <v>1736</v>
      </c>
    </row>
    <row r="651" spans="2:17" ht="15.6" x14ac:dyDescent="0.3">
      <c r="B651" s="145"/>
      <c r="C651" s="150"/>
      <c r="D651" s="146"/>
      <c r="E651" s="147"/>
      <c r="F651" s="483"/>
      <c r="G651" s="147"/>
      <c r="H651" s="298"/>
      <c r="I651" s="151"/>
      <c r="J651" s="487"/>
    </row>
    <row r="652" spans="2:17" s="58" customFormat="1" ht="15.6" x14ac:dyDescent="0.3">
      <c r="B652" s="352"/>
      <c r="C652" s="353" t="s">
        <v>771</v>
      </c>
      <c r="D652" s="354" t="s">
        <v>190</v>
      </c>
      <c r="E652" s="355"/>
      <c r="F652" s="543">
        <f>ROUND(SUM(F647:F651),3)</f>
        <v>1</v>
      </c>
      <c r="G652" s="357"/>
      <c r="H652" s="358"/>
      <c r="I652" s="359"/>
      <c r="J652" s="359"/>
      <c r="M652" s="499"/>
      <c r="Q652" s="499"/>
    </row>
    <row r="653" spans="2:17" s="58" customFormat="1" ht="15.6" x14ac:dyDescent="0.3">
      <c r="B653" s="352"/>
      <c r="C653" s="353" t="s">
        <v>772</v>
      </c>
      <c r="D653" s="354" t="s">
        <v>190</v>
      </c>
      <c r="E653" s="355"/>
      <c r="F653" s="543">
        <v>1</v>
      </c>
      <c r="G653" s="357"/>
      <c r="H653" s="358"/>
      <c r="I653" s="359"/>
      <c r="J653" s="359"/>
      <c r="M653" s="499"/>
      <c r="Q653" s="499"/>
    </row>
    <row r="654" spans="2:17" s="58" customFormat="1" ht="15.6" x14ac:dyDescent="0.3">
      <c r="B654" s="360"/>
      <c r="C654" s="361" t="s">
        <v>773</v>
      </c>
      <c r="D654" s="354" t="s">
        <v>190</v>
      </c>
      <c r="E654" s="363"/>
      <c r="F654" s="544">
        <f>F652-F653</f>
        <v>0</v>
      </c>
      <c r="G654" s="365"/>
      <c r="H654" s="366"/>
      <c r="I654" s="367"/>
      <c r="J654" s="367"/>
      <c r="M654" s="499"/>
      <c r="Q654" s="499"/>
    </row>
    <row r="655" spans="2:17" ht="7.5" customHeight="1" x14ac:dyDescent="0.3">
      <c r="B655" s="338"/>
      <c r="C655" s="142"/>
      <c r="D655" s="143"/>
      <c r="E655" s="144"/>
      <c r="F655" s="545"/>
      <c r="G655" s="144"/>
      <c r="H655" s="144"/>
      <c r="I655" s="515"/>
      <c r="J655" s="514"/>
    </row>
    <row r="656" spans="2:17" ht="31.2" x14ac:dyDescent="0.3">
      <c r="B656" s="145" t="s">
        <v>1737</v>
      </c>
      <c r="C656" s="150" t="s">
        <v>1738</v>
      </c>
      <c r="D656" s="146" t="s">
        <v>190</v>
      </c>
      <c r="E656" s="147"/>
      <c r="F656" s="483">
        <f>8/24</f>
        <v>0.33333333333333331</v>
      </c>
      <c r="G656" s="969" t="s">
        <v>1739</v>
      </c>
      <c r="H656" s="298">
        <v>45867</v>
      </c>
      <c r="I656" s="151" t="s">
        <v>1262</v>
      </c>
      <c r="J656" s="487" t="s">
        <v>1740</v>
      </c>
    </row>
    <row r="657" spans="2:17" ht="31.2" x14ac:dyDescent="0.3">
      <c r="B657" s="145" t="s">
        <v>1737</v>
      </c>
      <c r="C657" s="150" t="s">
        <v>1738</v>
      </c>
      <c r="D657" s="146" t="s">
        <v>190</v>
      </c>
      <c r="E657" s="147"/>
      <c r="F657" s="483">
        <f>8/24</f>
        <v>0.33333333333333331</v>
      </c>
      <c r="G657" s="147" t="s">
        <v>1741</v>
      </c>
      <c r="H657" s="298">
        <v>45905</v>
      </c>
      <c r="I657" s="151" t="s">
        <v>940</v>
      </c>
      <c r="J657" s="487" t="s">
        <v>1742</v>
      </c>
    </row>
    <row r="658" spans="2:17" ht="31.2" x14ac:dyDescent="0.3">
      <c r="B658" s="145" t="s">
        <v>1737</v>
      </c>
      <c r="C658" s="150" t="s">
        <v>1738</v>
      </c>
      <c r="D658" s="146" t="s">
        <v>190</v>
      </c>
      <c r="E658" s="147"/>
      <c r="F658" s="483">
        <f>4/24</f>
        <v>0.16666666666666666</v>
      </c>
      <c r="G658" s="147" t="s">
        <v>1743</v>
      </c>
      <c r="H658" s="298">
        <v>46043</v>
      </c>
      <c r="I658" s="151" t="s">
        <v>1417</v>
      </c>
      <c r="J658" s="487" t="s">
        <v>1724</v>
      </c>
    </row>
    <row r="659" spans="2:17" ht="31.2" x14ac:dyDescent="0.3">
      <c r="B659" s="145" t="s">
        <v>1737</v>
      </c>
      <c r="C659" s="150" t="s">
        <v>1738</v>
      </c>
      <c r="D659" s="146" t="s">
        <v>190</v>
      </c>
      <c r="E659" s="147"/>
      <c r="F659" s="483">
        <f>4/24</f>
        <v>0.16666666666666666</v>
      </c>
      <c r="G659" s="147" t="s">
        <v>1744</v>
      </c>
      <c r="H659" s="298">
        <v>46095</v>
      </c>
      <c r="I659" s="151" t="s">
        <v>1053</v>
      </c>
      <c r="J659" s="487" t="s">
        <v>1726</v>
      </c>
    </row>
    <row r="660" spans="2:17" ht="15.6" x14ac:dyDescent="0.3">
      <c r="B660" s="145"/>
      <c r="C660" s="150"/>
      <c r="D660" s="146"/>
      <c r="E660" s="147"/>
      <c r="F660" s="483"/>
      <c r="G660" s="147"/>
      <c r="H660" s="298"/>
      <c r="I660" s="151"/>
      <c r="J660" s="151"/>
    </row>
    <row r="661" spans="2:17" s="58" customFormat="1" ht="15.6" x14ac:dyDescent="0.3">
      <c r="B661" s="352"/>
      <c r="C661" s="353" t="s">
        <v>771</v>
      </c>
      <c r="D661" s="354" t="s">
        <v>190</v>
      </c>
      <c r="E661" s="355"/>
      <c r="F661" s="356">
        <f>ROUND(SUM(F656:F660),3)</f>
        <v>1</v>
      </c>
      <c r="G661" s="357"/>
      <c r="H661" s="358"/>
      <c r="I661" s="359"/>
      <c r="J661" s="359"/>
      <c r="M661" s="499"/>
      <c r="Q661" s="499"/>
    </row>
    <row r="662" spans="2:17" s="58" customFormat="1" ht="15.6" x14ac:dyDescent="0.3">
      <c r="B662" s="352"/>
      <c r="C662" s="353" t="s">
        <v>772</v>
      </c>
      <c r="D662" s="354" t="s">
        <v>190</v>
      </c>
      <c r="E662" s="355"/>
      <c r="F662" s="356">
        <v>1</v>
      </c>
      <c r="G662" s="357"/>
      <c r="H662" s="358"/>
      <c r="I662" s="359"/>
      <c r="J662" s="359"/>
      <c r="M662" s="499"/>
      <c r="Q662" s="499"/>
    </row>
    <row r="663" spans="2:17" s="58" customFormat="1" ht="15.6" x14ac:dyDescent="0.3">
      <c r="B663" s="360"/>
      <c r="C663" s="361" t="s">
        <v>773</v>
      </c>
      <c r="D663" s="354" t="s">
        <v>190</v>
      </c>
      <c r="E663" s="363"/>
      <c r="F663" s="364">
        <f>F661-F662</f>
        <v>0</v>
      </c>
      <c r="G663" s="365"/>
      <c r="H663" s="366"/>
      <c r="I663" s="367"/>
      <c r="J663" s="367"/>
      <c r="M663" s="499"/>
      <c r="Q663" s="499"/>
    </row>
    <row r="664" spans="2:17" ht="7.5" customHeight="1" x14ac:dyDescent="0.3">
      <c r="B664" s="338"/>
      <c r="C664" s="142"/>
      <c r="D664" s="143"/>
      <c r="E664" s="144"/>
      <c r="F664" s="345"/>
      <c r="G664" s="144"/>
      <c r="H664" s="144"/>
      <c r="I664" s="515"/>
      <c r="J664" s="514"/>
    </row>
    <row r="665" spans="2:17" ht="15.6" x14ac:dyDescent="0.3">
      <c r="B665" s="145" t="s">
        <v>1745</v>
      </c>
      <c r="C665" s="150" t="s">
        <v>1746</v>
      </c>
      <c r="D665" s="146" t="s">
        <v>320</v>
      </c>
      <c r="E665" s="147"/>
      <c r="F665" s="483">
        <v>672</v>
      </c>
      <c r="G665" s="147" t="s">
        <v>1342</v>
      </c>
      <c r="H665" s="298">
        <v>45535</v>
      </c>
      <c r="I665" s="151" t="s">
        <v>795</v>
      </c>
      <c r="J665" s="151"/>
    </row>
    <row r="666" spans="2:17" ht="15.6" x14ac:dyDescent="0.3">
      <c r="B666" s="145"/>
      <c r="C666" s="150"/>
      <c r="D666" s="146"/>
      <c r="E666" s="147"/>
      <c r="F666" s="483"/>
      <c r="G666" s="147"/>
      <c r="H666" s="298"/>
      <c r="I666" s="151"/>
      <c r="J666" s="151"/>
    </row>
    <row r="667" spans="2:17" s="58" customFormat="1" ht="15.6" x14ac:dyDescent="0.3">
      <c r="B667" s="352"/>
      <c r="C667" s="353" t="s">
        <v>771</v>
      </c>
      <c r="D667" s="354" t="s">
        <v>320</v>
      </c>
      <c r="E667" s="355"/>
      <c r="F667" s="356">
        <f>ROUND(SUM(F665:F666),3)</f>
        <v>672</v>
      </c>
      <c r="G667" s="357"/>
      <c r="H667" s="358"/>
      <c r="I667" s="359"/>
      <c r="J667" s="359"/>
      <c r="L667" s="132"/>
      <c r="M667" s="339"/>
      <c r="N667" s="132"/>
      <c r="O667" s="132"/>
      <c r="P667" s="132"/>
      <c r="Q667" s="339"/>
    </row>
    <row r="668" spans="2:17" s="58" customFormat="1" ht="15.6" x14ac:dyDescent="0.3">
      <c r="B668" s="352"/>
      <c r="C668" s="353" t="s">
        <v>772</v>
      </c>
      <c r="D668" s="354" t="s">
        <v>320</v>
      </c>
      <c r="E668" s="355"/>
      <c r="F668" s="356">
        <v>672</v>
      </c>
      <c r="G668" s="357"/>
      <c r="H668" s="358"/>
      <c r="I668" s="359"/>
      <c r="J668" s="359"/>
      <c r="M668" s="499"/>
      <c r="Q668" s="499"/>
    </row>
    <row r="669" spans="2:17" s="58" customFormat="1" ht="15.6" x14ac:dyDescent="0.3">
      <c r="B669" s="360"/>
      <c r="C669" s="361" t="s">
        <v>773</v>
      </c>
      <c r="D669" s="362" t="s">
        <v>320</v>
      </c>
      <c r="E669" s="363"/>
      <c r="F669" s="364">
        <f>F667-F668</f>
        <v>0</v>
      </c>
      <c r="G669" s="365"/>
      <c r="H669" s="366"/>
      <c r="I669" s="367"/>
      <c r="J669" s="367"/>
      <c r="M669" s="499"/>
      <c r="Q669" s="499"/>
    </row>
    <row r="670" spans="2:17" ht="7.5" customHeight="1" x14ac:dyDescent="0.3">
      <c r="B670" s="338"/>
      <c r="C670" s="142"/>
      <c r="D670" s="143"/>
      <c r="E670" s="144"/>
      <c r="F670" s="345"/>
      <c r="G670" s="144"/>
      <c r="H670" s="144"/>
      <c r="I670" s="515"/>
      <c r="J670" s="514"/>
      <c r="L670" s="58"/>
      <c r="M670" s="499"/>
      <c r="N670" s="58"/>
      <c r="O670" s="58"/>
      <c r="P670" s="58"/>
      <c r="Q670" s="499"/>
    </row>
    <row r="671" spans="2:17" ht="15.6" x14ac:dyDescent="0.3">
      <c r="B671" s="145" t="s">
        <v>1747</v>
      </c>
      <c r="C671" s="150" t="s">
        <v>1748</v>
      </c>
      <c r="D671" s="146" t="s">
        <v>190</v>
      </c>
      <c r="E671" s="147"/>
      <c r="F671" s="483">
        <v>1</v>
      </c>
      <c r="G671" s="147" t="s">
        <v>1749</v>
      </c>
      <c r="H671" s="298">
        <v>45747</v>
      </c>
      <c r="I671" s="151" t="s">
        <v>934</v>
      </c>
      <c r="J671" s="151"/>
    </row>
    <row r="672" spans="2:17" ht="15.6" x14ac:dyDescent="0.3">
      <c r="B672" s="145"/>
      <c r="C672" s="150"/>
      <c r="D672" s="146"/>
      <c r="E672" s="147"/>
      <c r="F672" s="483"/>
      <c r="G672" s="147"/>
      <c r="H672" s="298"/>
      <c r="I672" s="151"/>
      <c r="J672" s="151"/>
    </row>
    <row r="673" spans="2:17" s="58" customFormat="1" ht="15.6" x14ac:dyDescent="0.3">
      <c r="B673" s="352"/>
      <c r="C673" s="353" t="s">
        <v>771</v>
      </c>
      <c r="D673" s="354" t="s">
        <v>190</v>
      </c>
      <c r="E673" s="355"/>
      <c r="F673" s="356">
        <f>ROUND(SUM(F671:F672),3)</f>
        <v>1</v>
      </c>
      <c r="G673" s="357"/>
      <c r="H673" s="358"/>
      <c r="I673" s="359"/>
      <c r="J673" s="359"/>
      <c r="L673" s="132"/>
      <c r="M673" s="339"/>
      <c r="N673" s="132"/>
      <c r="O673" s="132"/>
      <c r="P673" s="132"/>
      <c r="Q673" s="339"/>
    </row>
    <row r="674" spans="2:17" s="58" customFormat="1" ht="15.6" x14ac:dyDescent="0.3">
      <c r="B674" s="352"/>
      <c r="C674" s="353" t="s">
        <v>772</v>
      </c>
      <c r="D674" s="354" t="s">
        <v>190</v>
      </c>
      <c r="E674" s="355"/>
      <c r="F674" s="356">
        <v>1</v>
      </c>
      <c r="G674" s="357"/>
      <c r="H674" s="358"/>
      <c r="I674" s="359"/>
      <c r="J674" s="359"/>
      <c r="M674" s="499"/>
      <c r="Q674" s="499"/>
    </row>
    <row r="675" spans="2:17" s="58" customFormat="1" ht="15.6" x14ac:dyDescent="0.3">
      <c r="B675" s="360"/>
      <c r="C675" s="361" t="s">
        <v>773</v>
      </c>
      <c r="D675" s="362" t="s">
        <v>190</v>
      </c>
      <c r="E675" s="363"/>
      <c r="F675" s="364">
        <f>F673-F674</f>
        <v>0</v>
      </c>
      <c r="G675" s="365"/>
      <c r="H675" s="366"/>
      <c r="I675" s="367"/>
      <c r="J675" s="367"/>
      <c r="M675" s="499"/>
      <c r="Q675" s="499"/>
    </row>
    <row r="676" spans="2:17" ht="7.5" customHeight="1" x14ac:dyDescent="0.3">
      <c r="B676" s="338"/>
      <c r="C676" s="142"/>
      <c r="D676" s="143"/>
      <c r="E676" s="144"/>
      <c r="F676" s="345"/>
      <c r="G676" s="144"/>
      <c r="H676" s="144"/>
      <c r="I676" s="515"/>
      <c r="J676" s="514"/>
      <c r="L676" s="58"/>
      <c r="M676" s="499"/>
      <c r="N676" s="58"/>
      <c r="O676" s="58"/>
      <c r="P676" s="58"/>
      <c r="Q676" s="499"/>
    </row>
    <row r="677" spans="2:17" ht="15.6" x14ac:dyDescent="0.3">
      <c r="B677" s="145" t="s">
        <v>1750</v>
      </c>
      <c r="C677" s="150" t="s">
        <v>1751</v>
      </c>
      <c r="D677" s="146" t="s">
        <v>190</v>
      </c>
      <c r="E677" s="147"/>
      <c r="F677" s="483">
        <v>2</v>
      </c>
      <c r="G677" s="147" t="s">
        <v>1752</v>
      </c>
      <c r="H677" s="298">
        <v>45625</v>
      </c>
      <c r="I677" s="151" t="s">
        <v>898</v>
      </c>
      <c r="J677" s="151"/>
    </row>
    <row r="678" spans="2:17" ht="15.6" x14ac:dyDescent="0.3">
      <c r="B678" s="145"/>
      <c r="C678" s="150"/>
      <c r="D678" s="146"/>
      <c r="E678" s="147"/>
      <c r="F678" s="483"/>
      <c r="G678" s="147"/>
      <c r="H678" s="298"/>
      <c r="I678" s="151"/>
      <c r="J678" s="151"/>
      <c r="O678" s="132">
        <v>800</v>
      </c>
      <c r="P678" s="132">
        <v>1300</v>
      </c>
      <c r="Q678" s="339">
        <f t="shared" ref="Q678:Q720" si="4">(P678-O678)/1000</f>
        <v>0.5</v>
      </c>
    </row>
    <row r="679" spans="2:17" s="58" customFormat="1" ht="15.6" x14ac:dyDescent="0.3">
      <c r="B679" s="352"/>
      <c r="C679" s="353" t="s">
        <v>771</v>
      </c>
      <c r="D679" s="354" t="s">
        <v>190</v>
      </c>
      <c r="E679" s="355"/>
      <c r="F679" s="356">
        <f>ROUND(SUM(F677:F678),3)</f>
        <v>2</v>
      </c>
      <c r="G679" s="357"/>
      <c r="H679" s="358"/>
      <c r="I679" s="359"/>
      <c r="J679" s="359"/>
      <c r="L679" s="132"/>
      <c r="M679" s="339"/>
      <c r="N679" s="132"/>
      <c r="O679" s="132"/>
      <c r="P679" s="132"/>
      <c r="Q679" s="339"/>
    </row>
    <row r="680" spans="2:17" s="58" customFormat="1" ht="15.6" x14ac:dyDescent="0.3">
      <c r="B680" s="352"/>
      <c r="C680" s="353" t="s">
        <v>772</v>
      </c>
      <c r="D680" s="354" t="s">
        <v>190</v>
      </c>
      <c r="E680" s="355"/>
      <c r="F680" s="356">
        <v>2</v>
      </c>
      <c r="G680" s="357"/>
      <c r="H680" s="358"/>
      <c r="I680" s="359"/>
      <c r="J680" s="359"/>
      <c r="L680" s="132"/>
      <c r="M680" s="339"/>
      <c r="N680" s="132"/>
      <c r="O680" s="132">
        <v>2600</v>
      </c>
      <c r="P680" s="132">
        <v>3052</v>
      </c>
      <c r="Q680" s="339">
        <f t="shared" si="4"/>
        <v>0.45200000000000001</v>
      </c>
    </row>
    <row r="681" spans="2:17" s="58" customFormat="1" ht="15.6" x14ac:dyDescent="0.3">
      <c r="B681" s="360"/>
      <c r="C681" s="361" t="s">
        <v>773</v>
      </c>
      <c r="D681" s="362" t="s">
        <v>190</v>
      </c>
      <c r="E681" s="363"/>
      <c r="F681" s="364">
        <f>F679-F680</f>
        <v>0</v>
      </c>
      <c r="G681" s="365"/>
      <c r="H681" s="366"/>
      <c r="I681" s="367"/>
      <c r="J681" s="367"/>
      <c r="L681" s="132"/>
      <c r="M681" s="339"/>
      <c r="O681" s="132">
        <v>4220</v>
      </c>
      <c r="P681" s="132">
        <v>4480</v>
      </c>
      <c r="Q681" s="339">
        <f t="shared" si="4"/>
        <v>0.26</v>
      </c>
    </row>
    <row r="682" spans="2:17" ht="7.5" customHeight="1" x14ac:dyDescent="0.3">
      <c r="B682" s="338"/>
      <c r="C682" s="142"/>
      <c r="D682" s="143"/>
      <c r="E682" s="144"/>
      <c r="F682" s="345"/>
      <c r="G682" s="144"/>
      <c r="H682" s="144"/>
      <c r="I682" s="515"/>
      <c r="J682" s="514"/>
      <c r="N682" s="58"/>
      <c r="O682" s="132">
        <v>4515</v>
      </c>
      <c r="P682" s="132">
        <v>4750</v>
      </c>
      <c r="Q682" s="339">
        <f t="shared" si="4"/>
        <v>0.23499999999999999</v>
      </c>
    </row>
    <row r="683" spans="2:17" ht="15.6" x14ac:dyDescent="0.3">
      <c r="B683" s="145" t="s">
        <v>1753</v>
      </c>
      <c r="C683" s="150" t="s">
        <v>1754</v>
      </c>
      <c r="D683" s="146" t="s">
        <v>190</v>
      </c>
      <c r="E683" s="147"/>
      <c r="F683" s="483"/>
      <c r="G683" s="147" t="s">
        <v>1389</v>
      </c>
      <c r="H683" s="298">
        <v>45948</v>
      </c>
      <c r="I683" s="151"/>
      <c r="J683" s="151"/>
    </row>
    <row r="684" spans="2:17" ht="15.6" x14ac:dyDescent="0.3">
      <c r="B684" s="145"/>
      <c r="C684" s="150"/>
      <c r="D684" s="146"/>
      <c r="E684" s="147"/>
      <c r="F684" s="483"/>
      <c r="G684" s="147"/>
      <c r="H684" s="298"/>
      <c r="I684" s="151"/>
      <c r="J684" s="151"/>
      <c r="O684" s="132">
        <v>800</v>
      </c>
      <c r="P684" s="132">
        <v>1300</v>
      </c>
      <c r="Q684" s="339">
        <f t="shared" ref="Q684" si="5">(P684-O684)/1000</f>
        <v>0.5</v>
      </c>
    </row>
    <row r="685" spans="2:17" s="58" customFormat="1" ht="15.6" x14ac:dyDescent="0.3">
      <c r="B685" s="352"/>
      <c r="C685" s="353" t="s">
        <v>771</v>
      </c>
      <c r="D685" s="354" t="s">
        <v>190</v>
      </c>
      <c r="E685" s="355"/>
      <c r="F685" s="356">
        <f>ROUND(SUM(F683:F684),3)</f>
        <v>0</v>
      </c>
      <c r="G685" s="357"/>
      <c r="H685" s="358"/>
      <c r="I685" s="359"/>
      <c r="J685" s="359"/>
      <c r="L685" s="132"/>
      <c r="M685" s="339"/>
      <c r="N685" s="132"/>
      <c r="O685" s="132"/>
      <c r="P685" s="132"/>
      <c r="Q685" s="339"/>
    </row>
    <row r="686" spans="2:17" s="58" customFormat="1" ht="15.6" x14ac:dyDescent="0.3">
      <c r="B686" s="352"/>
      <c r="C686" s="353" t="s">
        <v>772</v>
      </c>
      <c r="D686" s="354" t="s">
        <v>190</v>
      </c>
      <c r="E686" s="355"/>
      <c r="F686" s="356">
        <v>0</v>
      </c>
      <c r="G686" s="357"/>
      <c r="H686" s="358"/>
      <c r="I686" s="359"/>
      <c r="J686" s="359"/>
      <c r="L686" s="132"/>
      <c r="M686" s="339"/>
      <c r="N686" s="132"/>
      <c r="O686" s="132">
        <v>2600</v>
      </c>
      <c r="P686" s="132">
        <v>3052</v>
      </c>
      <c r="Q686" s="339">
        <f t="shared" ref="Q686:Q688" si="6">(P686-O686)/1000</f>
        <v>0.45200000000000001</v>
      </c>
    </row>
    <row r="687" spans="2:17" s="58" customFormat="1" ht="15.6" x14ac:dyDescent="0.3">
      <c r="B687" s="360"/>
      <c r="C687" s="361" t="s">
        <v>773</v>
      </c>
      <c r="D687" s="362" t="s">
        <v>190</v>
      </c>
      <c r="E687" s="363"/>
      <c r="F687" s="364">
        <f>F685-F686</f>
        <v>0</v>
      </c>
      <c r="G687" s="365"/>
      <c r="H687" s="366"/>
      <c r="I687" s="367"/>
      <c r="J687" s="367"/>
      <c r="L687" s="132"/>
      <c r="M687" s="339"/>
      <c r="O687" s="132">
        <v>4220</v>
      </c>
      <c r="P687" s="132">
        <v>4480</v>
      </c>
      <c r="Q687" s="339">
        <f t="shared" si="6"/>
        <v>0.26</v>
      </c>
    </row>
    <row r="688" spans="2:17" ht="7.5" customHeight="1" x14ac:dyDescent="0.3">
      <c r="B688" s="338"/>
      <c r="C688" s="142"/>
      <c r="D688" s="143"/>
      <c r="E688" s="144"/>
      <c r="F688" s="345"/>
      <c r="G688" s="144"/>
      <c r="H688" s="144"/>
      <c r="I688" s="515"/>
      <c r="J688" s="514"/>
      <c r="N688" s="58"/>
      <c r="O688" s="132">
        <v>4515</v>
      </c>
      <c r="P688" s="132">
        <v>4750</v>
      </c>
      <c r="Q688" s="339">
        <f t="shared" si="6"/>
        <v>0.23499999999999999</v>
      </c>
    </row>
    <row r="689" spans="2:17" ht="15.6" x14ac:dyDescent="0.3">
      <c r="B689" s="145" t="s">
        <v>1755</v>
      </c>
      <c r="C689" s="150" t="s">
        <v>1756</v>
      </c>
      <c r="D689" s="146" t="s">
        <v>190</v>
      </c>
      <c r="E689" s="147"/>
      <c r="F689" s="483">
        <v>1</v>
      </c>
      <c r="G689" s="147" t="s">
        <v>1757</v>
      </c>
      <c r="H689" s="298">
        <v>45741</v>
      </c>
      <c r="I689" s="151" t="s">
        <v>934</v>
      </c>
      <c r="J689" s="151"/>
    </row>
    <row r="690" spans="2:17" ht="15.6" x14ac:dyDescent="0.3">
      <c r="B690" s="145"/>
      <c r="C690" s="150"/>
      <c r="D690" s="146"/>
      <c r="E690" s="147"/>
      <c r="F690" s="483"/>
      <c r="G690" s="147"/>
      <c r="H690" s="298"/>
      <c r="I690" s="151"/>
      <c r="J690" s="151"/>
      <c r="O690" s="132">
        <v>800</v>
      </c>
      <c r="P690" s="132">
        <v>1300</v>
      </c>
      <c r="Q690" s="339">
        <f>(P690-O690)/1000</f>
        <v>0.5</v>
      </c>
    </row>
    <row r="691" spans="2:17" s="58" customFormat="1" ht="15.6" x14ac:dyDescent="0.3">
      <c r="B691" s="352"/>
      <c r="C691" s="353" t="s">
        <v>771</v>
      </c>
      <c r="D691" s="354" t="s">
        <v>190</v>
      </c>
      <c r="E691" s="355"/>
      <c r="F691" s="356">
        <f>ROUND(SUM(F689:F690),3)</f>
        <v>1</v>
      </c>
      <c r="G691" s="357"/>
      <c r="H691" s="358"/>
      <c r="I691" s="359"/>
      <c r="J691" s="359"/>
      <c r="L691" s="132"/>
      <c r="M691" s="339"/>
      <c r="N691" s="132"/>
      <c r="O691" s="132"/>
      <c r="P691" s="132"/>
      <c r="Q691" s="339"/>
    </row>
    <row r="692" spans="2:17" s="58" customFormat="1" ht="15.6" x14ac:dyDescent="0.3">
      <c r="B692" s="352"/>
      <c r="C692" s="353" t="s">
        <v>772</v>
      </c>
      <c r="D692" s="354" t="s">
        <v>190</v>
      </c>
      <c r="E692" s="355"/>
      <c r="F692" s="356">
        <v>1</v>
      </c>
      <c r="G692" s="357"/>
      <c r="H692" s="358"/>
      <c r="I692" s="359"/>
      <c r="J692" s="359"/>
      <c r="L692" s="132"/>
      <c r="M692" s="339"/>
      <c r="N692" s="132"/>
      <c r="O692" s="132">
        <v>2600</v>
      </c>
      <c r="P692" s="132">
        <v>3052</v>
      </c>
      <c r="Q692" s="339">
        <f>(P692-O692)/1000</f>
        <v>0.45200000000000001</v>
      </c>
    </row>
    <row r="693" spans="2:17" s="58" customFormat="1" ht="15.6" x14ac:dyDescent="0.3">
      <c r="B693" s="360"/>
      <c r="C693" s="361" t="s">
        <v>773</v>
      </c>
      <c r="D693" s="362" t="s">
        <v>190</v>
      </c>
      <c r="E693" s="363"/>
      <c r="F693" s="364">
        <f>F691-F692</f>
        <v>0</v>
      </c>
      <c r="G693" s="365"/>
      <c r="H693" s="366"/>
      <c r="I693" s="367"/>
      <c r="J693" s="367"/>
      <c r="L693" s="132"/>
      <c r="M693" s="339"/>
      <c r="O693" s="132">
        <v>4220</v>
      </c>
      <c r="P693" s="132">
        <v>4480</v>
      </c>
      <c r="Q693" s="339">
        <f>(P693-O693)/1000</f>
        <v>0.26</v>
      </c>
    </row>
    <row r="694" spans="2:17" ht="7.5" customHeight="1" x14ac:dyDescent="0.3">
      <c r="B694" s="338"/>
      <c r="C694" s="142"/>
      <c r="D694" s="143"/>
      <c r="E694" s="144"/>
      <c r="F694" s="345"/>
      <c r="G694" s="144"/>
      <c r="H694" s="144"/>
      <c r="I694" s="515"/>
      <c r="J694" s="514"/>
      <c r="N694" s="58"/>
      <c r="O694" s="132">
        <v>4515</v>
      </c>
      <c r="P694" s="132">
        <v>4750</v>
      </c>
      <c r="Q694" s="339">
        <f>(P694-O694)/1000</f>
        <v>0.23499999999999999</v>
      </c>
    </row>
    <row r="695" spans="2:17" ht="15.6" x14ac:dyDescent="0.3">
      <c r="B695" s="145" t="s">
        <v>1758</v>
      </c>
      <c r="C695" s="150" t="s">
        <v>1759</v>
      </c>
      <c r="D695" s="146" t="s">
        <v>190</v>
      </c>
      <c r="E695" s="147"/>
      <c r="F695" s="483">
        <v>1</v>
      </c>
      <c r="G695" s="147" t="s">
        <v>1760</v>
      </c>
      <c r="H695" s="298">
        <v>45890</v>
      </c>
      <c r="I695" s="151" t="s">
        <v>1509</v>
      </c>
      <c r="J695" s="151"/>
    </row>
    <row r="696" spans="2:17" ht="15.6" x14ac:dyDescent="0.3">
      <c r="B696" s="145"/>
      <c r="C696" s="150"/>
      <c r="D696" s="146"/>
      <c r="E696" s="147"/>
      <c r="F696" s="483"/>
      <c r="G696" s="147"/>
      <c r="H696" s="298"/>
      <c r="I696" s="151"/>
      <c r="J696" s="151"/>
      <c r="O696" s="132">
        <v>800</v>
      </c>
      <c r="P696" s="132">
        <v>1300</v>
      </c>
      <c r="Q696" s="339">
        <f>(P696-O696)/1000</f>
        <v>0.5</v>
      </c>
    </row>
    <row r="697" spans="2:17" s="58" customFormat="1" ht="15.6" x14ac:dyDescent="0.3">
      <c r="B697" s="352"/>
      <c r="C697" s="353" t="s">
        <v>771</v>
      </c>
      <c r="D697" s="354" t="s">
        <v>190</v>
      </c>
      <c r="E697" s="355"/>
      <c r="F697" s="543">
        <f>ROUND(SUM(F695:F696),3)</f>
        <v>1</v>
      </c>
      <c r="G697" s="357"/>
      <c r="H697" s="358"/>
      <c r="I697" s="359"/>
      <c r="J697" s="359"/>
      <c r="L697" s="132"/>
      <c r="M697" s="339"/>
      <c r="N697" s="132"/>
      <c r="O697" s="132"/>
      <c r="P697" s="132"/>
      <c r="Q697" s="339"/>
    </row>
    <row r="698" spans="2:17" s="58" customFormat="1" ht="15.6" x14ac:dyDescent="0.3">
      <c r="B698" s="352"/>
      <c r="C698" s="353" t="s">
        <v>772</v>
      </c>
      <c r="D698" s="354" t="s">
        <v>190</v>
      </c>
      <c r="E698" s="355"/>
      <c r="F698" s="543">
        <v>1</v>
      </c>
      <c r="G698" s="357"/>
      <c r="H698" s="358"/>
      <c r="I698" s="359"/>
      <c r="J698" s="359"/>
      <c r="L698" s="132"/>
      <c r="M698" s="339"/>
      <c r="N698" s="132"/>
      <c r="O698" s="132">
        <v>2600</v>
      </c>
      <c r="P698" s="132">
        <v>3052</v>
      </c>
      <c r="Q698" s="339">
        <f>(P698-O698)/1000</f>
        <v>0.45200000000000001</v>
      </c>
    </row>
    <row r="699" spans="2:17" s="58" customFormat="1" ht="15.6" x14ac:dyDescent="0.3">
      <c r="B699" s="360"/>
      <c r="C699" s="361" t="s">
        <v>773</v>
      </c>
      <c r="D699" s="362" t="s">
        <v>190</v>
      </c>
      <c r="E699" s="363"/>
      <c r="F699" s="544">
        <f>F697-F698</f>
        <v>0</v>
      </c>
      <c r="G699" s="365"/>
      <c r="H699" s="366"/>
      <c r="I699" s="367"/>
      <c r="J699" s="367"/>
      <c r="L699" s="132"/>
      <c r="M699" s="339"/>
      <c r="O699" s="132">
        <v>4220</v>
      </c>
      <c r="P699" s="132">
        <v>4480</v>
      </c>
      <c r="Q699" s="339">
        <f>(P699-O699)/1000</f>
        <v>0.26</v>
      </c>
    </row>
    <row r="700" spans="2:17" ht="7.5" customHeight="1" x14ac:dyDescent="0.3">
      <c r="B700" s="338"/>
      <c r="C700" s="142"/>
      <c r="D700" s="143"/>
      <c r="E700" s="144"/>
      <c r="F700" s="545"/>
      <c r="G700" s="144"/>
      <c r="H700" s="144"/>
      <c r="I700" s="515"/>
      <c r="J700" s="514"/>
      <c r="N700" s="58"/>
      <c r="O700" s="132">
        <v>4515</v>
      </c>
      <c r="P700" s="132">
        <v>4750</v>
      </c>
      <c r="Q700" s="339">
        <f>(P700-O700)/1000</f>
        <v>0.23499999999999999</v>
      </c>
    </row>
    <row r="701" spans="2:17" ht="15.6" x14ac:dyDescent="0.3">
      <c r="B701" s="145" t="s">
        <v>1761</v>
      </c>
      <c r="C701" s="150" t="s">
        <v>1762</v>
      </c>
      <c r="D701" s="146" t="s">
        <v>190</v>
      </c>
      <c r="E701" s="147"/>
      <c r="F701" s="483">
        <v>10</v>
      </c>
      <c r="G701" s="147" t="s">
        <v>1763</v>
      </c>
      <c r="H701" s="298">
        <v>45849</v>
      </c>
      <c r="I701" s="151" t="s">
        <v>1509</v>
      </c>
      <c r="J701" s="151"/>
    </row>
    <row r="702" spans="2:17" ht="15.6" x14ac:dyDescent="0.3">
      <c r="B702" s="145"/>
      <c r="C702" s="150"/>
      <c r="D702" s="146"/>
      <c r="E702" s="147"/>
      <c r="F702" s="483"/>
      <c r="G702" s="147"/>
      <c r="H702" s="298"/>
      <c r="I702" s="151"/>
      <c r="J702" s="151"/>
      <c r="O702" s="132">
        <v>800</v>
      </c>
      <c r="P702" s="132">
        <v>1300</v>
      </c>
      <c r="Q702" s="339">
        <f>(P702-O702)/1000</f>
        <v>0.5</v>
      </c>
    </row>
    <row r="703" spans="2:17" s="58" customFormat="1" ht="15.6" x14ac:dyDescent="0.3">
      <c r="B703" s="352"/>
      <c r="C703" s="353" t="s">
        <v>771</v>
      </c>
      <c r="D703" s="354" t="s">
        <v>190</v>
      </c>
      <c r="E703" s="355"/>
      <c r="F703" s="356">
        <f>ROUND(SUM(F701:F702),3)</f>
        <v>10</v>
      </c>
      <c r="G703" s="357"/>
      <c r="H703" s="358"/>
      <c r="I703" s="359"/>
      <c r="J703" s="359"/>
      <c r="L703" s="132"/>
      <c r="M703" s="339"/>
      <c r="N703" s="132"/>
      <c r="O703" s="132"/>
      <c r="P703" s="132"/>
      <c r="Q703" s="339"/>
    </row>
    <row r="704" spans="2:17" s="58" customFormat="1" ht="15.6" x14ac:dyDescent="0.3">
      <c r="B704" s="352"/>
      <c r="C704" s="353" t="s">
        <v>772</v>
      </c>
      <c r="D704" s="354" t="s">
        <v>190</v>
      </c>
      <c r="E704" s="355"/>
      <c r="F704" s="356">
        <v>10</v>
      </c>
      <c r="G704" s="357"/>
      <c r="H704" s="358"/>
      <c r="I704" s="359"/>
      <c r="J704" s="359"/>
      <c r="L704" s="132"/>
      <c r="M704" s="339"/>
      <c r="N704" s="132"/>
      <c r="O704" s="132">
        <v>2600</v>
      </c>
      <c r="P704" s="132">
        <v>3052</v>
      </c>
      <c r="Q704" s="339">
        <f>(P704-O704)/1000</f>
        <v>0.45200000000000001</v>
      </c>
    </row>
    <row r="705" spans="2:17" s="58" customFormat="1" ht="15.6" x14ac:dyDescent="0.3">
      <c r="B705" s="360"/>
      <c r="C705" s="361" t="s">
        <v>773</v>
      </c>
      <c r="D705" s="362" t="s">
        <v>190</v>
      </c>
      <c r="E705" s="363"/>
      <c r="F705" s="364">
        <f>F703-F704</f>
        <v>0</v>
      </c>
      <c r="G705" s="365"/>
      <c r="H705" s="366"/>
      <c r="I705" s="367"/>
      <c r="J705" s="367"/>
      <c r="L705" s="132"/>
      <c r="M705" s="339"/>
      <c r="O705" s="132">
        <v>4220</v>
      </c>
      <c r="P705" s="132">
        <v>4480</v>
      </c>
      <c r="Q705" s="339">
        <f>(P705-O705)/1000</f>
        <v>0.26</v>
      </c>
    </row>
    <row r="706" spans="2:17" ht="7.5" customHeight="1" x14ac:dyDescent="0.3">
      <c r="B706" s="338"/>
      <c r="C706" s="142"/>
      <c r="D706" s="143"/>
      <c r="E706" s="144"/>
      <c r="F706" s="345"/>
      <c r="G706" s="144"/>
      <c r="H706" s="144"/>
      <c r="I706" s="515"/>
      <c r="J706" s="514"/>
      <c r="N706" s="58"/>
      <c r="O706" s="132">
        <v>4515</v>
      </c>
      <c r="P706" s="132">
        <v>4750</v>
      </c>
      <c r="Q706" s="339">
        <f>(P706-O706)/1000</f>
        <v>0.23499999999999999</v>
      </c>
    </row>
    <row r="707" spans="2:17" ht="15.6" x14ac:dyDescent="0.3">
      <c r="B707" s="145" t="s">
        <v>1764</v>
      </c>
      <c r="C707" s="150" t="s">
        <v>1765</v>
      </c>
      <c r="D707" s="146" t="s">
        <v>190</v>
      </c>
      <c r="E707" s="147"/>
      <c r="F707" s="483">
        <v>10</v>
      </c>
      <c r="G707" s="147" t="s">
        <v>1766</v>
      </c>
      <c r="H707" s="298">
        <v>45852</v>
      </c>
      <c r="I707" s="151" t="s">
        <v>940</v>
      </c>
      <c r="J707" s="151"/>
    </row>
    <row r="708" spans="2:17" ht="15.6" x14ac:dyDescent="0.3">
      <c r="B708" s="145"/>
      <c r="C708" s="150"/>
      <c r="D708" s="146"/>
      <c r="E708" s="147"/>
      <c r="F708" s="483"/>
      <c r="G708" s="147"/>
      <c r="H708" s="298"/>
      <c r="I708" s="151"/>
      <c r="J708" s="151"/>
      <c r="O708" s="132">
        <v>800</v>
      </c>
      <c r="P708" s="132">
        <v>1300</v>
      </c>
      <c r="Q708" s="339">
        <f>(P708-O708)/1000</f>
        <v>0.5</v>
      </c>
    </row>
    <row r="709" spans="2:17" s="58" customFormat="1" ht="15.6" x14ac:dyDescent="0.3">
      <c r="B709" s="352"/>
      <c r="C709" s="353" t="s">
        <v>771</v>
      </c>
      <c r="D709" s="354" t="s">
        <v>190</v>
      </c>
      <c r="E709" s="355"/>
      <c r="F709" s="356">
        <f>ROUND(SUM(F707:F708),3)</f>
        <v>10</v>
      </c>
      <c r="G709" s="357"/>
      <c r="H709" s="358"/>
      <c r="I709" s="359"/>
      <c r="J709" s="359"/>
      <c r="L709" s="132"/>
      <c r="M709" s="339"/>
      <c r="N709" s="132"/>
      <c r="O709" s="132"/>
      <c r="P709" s="132"/>
      <c r="Q709" s="339"/>
    </row>
    <row r="710" spans="2:17" s="58" customFormat="1" ht="15.6" x14ac:dyDescent="0.3">
      <c r="B710" s="352"/>
      <c r="C710" s="353" t="s">
        <v>772</v>
      </c>
      <c r="D710" s="354" t="s">
        <v>190</v>
      </c>
      <c r="E710" s="355"/>
      <c r="F710" s="356">
        <v>10</v>
      </c>
      <c r="G710" s="357"/>
      <c r="H710" s="358"/>
      <c r="I710" s="359"/>
      <c r="J710" s="359"/>
      <c r="L710" s="132"/>
      <c r="M710" s="339"/>
      <c r="N710" s="132"/>
      <c r="O710" s="132">
        <v>2600</v>
      </c>
      <c r="P710" s="132">
        <v>3052</v>
      </c>
      <c r="Q710" s="339">
        <f>(P710-O710)/1000</f>
        <v>0.45200000000000001</v>
      </c>
    </row>
    <row r="711" spans="2:17" s="58" customFormat="1" ht="15.6" x14ac:dyDescent="0.3">
      <c r="B711" s="360"/>
      <c r="C711" s="361" t="s">
        <v>773</v>
      </c>
      <c r="D711" s="362" t="s">
        <v>190</v>
      </c>
      <c r="E711" s="363"/>
      <c r="F711" s="364">
        <f>F709-F710</f>
        <v>0</v>
      </c>
      <c r="G711" s="365"/>
      <c r="H711" s="366"/>
      <c r="I711" s="367"/>
      <c r="J711" s="367"/>
      <c r="L711" s="132"/>
      <c r="M711" s="339"/>
      <c r="O711" s="132">
        <v>4220</v>
      </c>
      <c r="P711" s="132">
        <v>4480</v>
      </c>
      <c r="Q711" s="339">
        <f>(P711-O711)/1000</f>
        <v>0.26</v>
      </c>
    </row>
    <row r="712" spans="2:17" ht="7.5" customHeight="1" x14ac:dyDescent="0.3">
      <c r="B712" s="338"/>
      <c r="C712" s="142"/>
      <c r="D712" s="143"/>
      <c r="E712" s="144"/>
      <c r="F712" s="345"/>
      <c r="G712" s="144"/>
      <c r="H712" s="144"/>
      <c r="I712" s="515"/>
      <c r="J712" s="514"/>
      <c r="N712" s="58"/>
      <c r="O712" s="132">
        <v>4515</v>
      </c>
      <c r="P712" s="132">
        <v>4750</v>
      </c>
      <c r="Q712" s="339">
        <f>(P712-O712)/1000</f>
        <v>0.23499999999999999</v>
      </c>
    </row>
    <row r="713" spans="2:17" ht="15.6" x14ac:dyDescent="0.3">
      <c r="B713" s="145" t="s">
        <v>1767</v>
      </c>
      <c r="C713" s="150" t="s">
        <v>1768</v>
      </c>
      <c r="D713" s="146" t="s">
        <v>190</v>
      </c>
      <c r="E713" s="147"/>
      <c r="F713" s="483">
        <v>10</v>
      </c>
      <c r="G713" s="147" t="s">
        <v>1769</v>
      </c>
      <c r="H713" s="298">
        <v>45986</v>
      </c>
      <c r="I713" s="151" t="s">
        <v>1315</v>
      </c>
      <c r="J713" s="151"/>
    </row>
    <row r="714" spans="2:17" ht="15.6" x14ac:dyDescent="0.3">
      <c r="B714" s="145"/>
      <c r="C714" s="150"/>
      <c r="D714" s="146"/>
      <c r="E714" s="147"/>
      <c r="F714" s="483"/>
      <c r="G714" s="147"/>
      <c r="H714" s="298"/>
      <c r="I714" s="151"/>
      <c r="J714" s="151"/>
      <c r="O714" s="132">
        <v>800</v>
      </c>
      <c r="P714" s="132">
        <v>1300</v>
      </c>
      <c r="Q714" s="339">
        <f>(P714-O714)/1000</f>
        <v>0.5</v>
      </c>
    </row>
    <row r="715" spans="2:17" s="58" customFormat="1" ht="15.6" x14ac:dyDescent="0.3">
      <c r="B715" s="352"/>
      <c r="C715" s="353" t="s">
        <v>771</v>
      </c>
      <c r="D715" s="354" t="s">
        <v>190</v>
      </c>
      <c r="E715" s="355"/>
      <c r="F715" s="356">
        <f>ROUND(SUM(F713:F714),3)</f>
        <v>10</v>
      </c>
      <c r="G715" s="357"/>
      <c r="H715" s="358"/>
      <c r="I715" s="359"/>
      <c r="J715" s="359"/>
      <c r="L715" s="132"/>
      <c r="M715" s="339"/>
      <c r="N715" s="132"/>
      <c r="O715" s="132"/>
      <c r="P715" s="132"/>
      <c r="Q715" s="339"/>
    </row>
    <row r="716" spans="2:17" s="58" customFormat="1" ht="15.6" x14ac:dyDescent="0.3">
      <c r="B716" s="352"/>
      <c r="C716" s="353" t="s">
        <v>772</v>
      </c>
      <c r="D716" s="354" t="s">
        <v>190</v>
      </c>
      <c r="E716" s="355"/>
      <c r="F716" s="356">
        <v>10</v>
      </c>
      <c r="G716" s="357"/>
      <c r="H716" s="358"/>
      <c r="I716" s="359"/>
      <c r="J716" s="359"/>
      <c r="L716" s="132"/>
      <c r="M716" s="339"/>
      <c r="N716" s="132"/>
      <c r="O716" s="132">
        <v>2600</v>
      </c>
      <c r="P716" s="132">
        <v>3052</v>
      </c>
      <c r="Q716" s="339">
        <f>(P716-O716)/1000</f>
        <v>0.45200000000000001</v>
      </c>
    </row>
    <row r="717" spans="2:17" s="58" customFormat="1" ht="15.6" x14ac:dyDescent="0.3">
      <c r="B717" s="360"/>
      <c r="C717" s="361" t="s">
        <v>773</v>
      </c>
      <c r="D717" s="362" t="s">
        <v>190</v>
      </c>
      <c r="E717" s="363"/>
      <c r="F717" s="364">
        <f>F715-F716</f>
        <v>0</v>
      </c>
      <c r="G717" s="365"/>
      <c r="H717" s="366"/>
      <c r="I717" s="367"/>
      <c r="J717" s="367"/>
      <c r="L717" s="132"/>
      <c r="M717" s="339"/>
      <c r="O717" s="132">
        <v>4220</v>
      </c>
      <c r="P717" s="132">
        <v>4480</v>
      </c>
      <c r="Q717" s="339">
        <f>(P717-O717)/1000</f>
        <v>0.26</v>
      </c>
    </row>
    <row r="718" spans="2:17" ht="7.5" customHeight="1" x14ac:dyDescent="0.3">
      <c r="B718" s="338"/>
      <c r="C718" s="142"/>
      <c r="D718" s="143"/>
      <c r="E718" s="144"/>
      <c r="F718" s="345"/>
      <c r="G718" s="144"/>
      <c r="H718" s="144"/>
      <c r="I718" s="515"/>
      <c r="J718" s="514"/>
      <c r="N718" s="58"/>
      <c r="O718" s="132">
        <v>4515</v>
      </c>
      <c r="P718" s="132">
        <v>4750</v>
      </c>
      <c r="Q718" s="339">
        <f>(P718-O718)/1000</f>
        <v>0.23499999999999999</v>
      </c>
    </row>
    <row r="719" spans="2:17" ht="15.6" x14ac:dyDescent="0.3">
      <c r="B719" s="148">
        <v>205</v>
      </c>
      <c r="C719" s="149" t="s">
        <v>328</v>
      </c>
      <c r="D719" s="138"/>
      <c r="E719" s="139"/>
      <c r="F719" s="346"/>
      <c r="G719" s="139"/>
      <c r="H719" s="139"/>
      <c r="I719" s="516"/>
      <c r="J719" s="506"/>
      <c r="O719" s="132">
        <v>4750</v>
      </c>
      <c r="P719" s="132">
        <v>4780</v>
      </c>
      <c r="Q719" s="339">
        <f t="shared" si="4"/>
        <v>0.03</v>
      </c>
    </row>
    <row r="720" spans="2:17" ht="15.6" x14ac:dyDescent="0.3">
      <c r="B720" s="145" t="s">
        <v>1770</v>
      </c>
      <c r="C720" s="150" t="s">
        <v>279</v>
      </c>
      <c r="D720" s="146" t="s">
        <v>267</v>
      </c>
      <c r="E720" s="147"/>
      <c r="F720" s="483">
        <v>12.21</v>
      </c>
      <c r="G720" s="147" t="s">
        <v>1273</v>
      </c>
      <c r="H720" s="298">
        <v>45534</v>
      </c>
      <c r="I720" s="151" t="s">
        <v>795</v>
      </c>
      <c r="J720" s="151"/>
      <c r="O720" s="132">
        <v>9360</v>
      </c>
      <c r="P720" s="132">
        <v>9880</v>
      </c>
      <c r="Q720" s="339">
        <f t="shared" si="4"/>
        <v>0.52</v>
      </c>
    </row>
    <row r="721" spans="2:17" ht="15.6" x14ac:dyDescent="0.3">
      <c r="B721" s="145"/>
      <c r="C721" s="150"/>
      <c r="D721" s="146"/>
      <c r="E721" s="147"/>
      <c r="F721" s="349"/>
      <c r="G721" s="147"/>
      <c r="H721" s="298"/>
      <c r="I721" s="151"/>
      <c r="J721" s="151"/>
      <c r="Q721" s="339">
        <f>SUM(Q678:Q720)</f>
        <v>10.678999999999998</v>
      </c>
    </row>
    <row r="722" spans="2:17" s="58" customFormat="1" ht="15.6" x14ac:dyDescent="0.3">
      <c r="B722" s="352"/>
      <c r="C722" s="353" t="s">
        <v>771</v>
      </c>
      <c r="D722" s="354" t="s">
        <v>267</v>
      </c>
      <c r="E722" s="355"/>
      <c r="F722" s="356">
        <f>ROUND(SUM(F720:F721),3)</f>
        <v>12.21</v>
      </c>
      <c r="G722" s="357"/>
      <c r="H722" s="358"/>
      <c r="I722" s="359"/>
      <c r="J722" s="359"/>
      <c r="L722" s="132"/>
      <c r="M722" s="339"/>
      <c r="N722" s="132"/>
      <c r="O722" s="132"/>
      <c r="P722" s="132"/>
      <c r="Q722" s="339"/>
    </row>
    <row r="723" spans="2:17" s="58" customFormat="1" ht="15.6" x14ac:dyDescent="0.3">
      <c r="B723" s="352"/>
      <c r="C723" s="353" t="s">
        <v>772</v>
      </c>
      <c r="D723" s="354" t="s">
        <v>267</v>
      </c>
      <c r="E723" s="355"/>
      <c r="F723" s="356">
        <v>12.21</v>
      </c>
      <c r="G723" s="357"/>
      <c r="H723" s="358"/>
      <c r="I723" s="359"/>
      <c r="J723" s="359"/>
      <c r="L723" s="132"/>
      <c r="M723" s="339"/>
      <c r="N723" s="132"/>
      <c r="O723" s="132"/>
      <c r="P723" s="132"/>
      <c r="Q723" s="339"/>
    </row>
    <row r="724" spans="2:17" s="58" customFormat="1" ht="15.6" x14ac:dyDescent="0.3">
      <c r="B724" s="360"/>
      <c r="C724" s="361" t="s">
        <v>773</v>
      </c>
      <c r="D724" s="362" t="s">
        <v>267</v>
      </c>
      <c r="E724" s="363"/>
      <c r="F724" s="364">
        <f>F722-F723</f>
        <v>0</v>
      </c>
      <c r="G724" s="365"/>
      <c r="H724" s="366"/>
      <c r="I724" s="367"/>
      <c r="J724" s="367"/>
      <c r="L724" s="132"/>
      <c r="M724" s="339"/>
      <c r="N724" s="132"/>
      <c r="O724" s="132"/>
      <c r="P724" s="132"/>
      <c r="Q724" s="339"/>
    </row>
    <row r="725" spans="2:17" ht="7.5" customHeight="1" x14ac:dyDescent="0.3">
      <c r="B725" s="338"/>
      <c r="C725" s="142"/>
      <c r="D725" s="143"/>
      <c r="E725" s="144"/>
      <c r="F725" s="345"/>
      <c r="G725" s="144"/>
      <c r="H725" s="144"/>
      <c r="I725" s="515"/>
      <c r="J725" s="514"/>
    </row>
    <row r="726" spans="2:17" ht="15.6" x14ac:dyDescent="0.3">
      <c r="B726" s="145" t="s">
        <v>1771</v>
      </c>
      <c r="C726" s="150" t="s">
        <v>280</v>
      </c>
      <c r="D726" s="146" t="s">
        <v>267</v>
      </c>
      <c r="E726" s="147"/>
      <c r="F726" s="483">
        <f>12.21-(2*0.012+1*0.036)-0.216-0.216-0.108-0.756-Q721</f>
        <v>0.17500000000000249</v>
      </c>
      <c r="G726" s="147" t="s">
        <v>1276</v>
      </c>
      <c r="H726" s="298">
        <v>45565</v>
      </c>
      <c r="I726" s="151" t="s">
        <v>797</v>
      </c>
      <c r="J726" s="151"/>
    </row>
    <row r="727" spans="2:17" ht="31.65" customHeight="1" x14ac:dyDescent="0.3">
      <c r="B727" s="145" t="s">
        <v>1771</v>
      </c>
      <c r="C727" s="150" t="s">
        <v>280</v>
      </c>
      <c r="D727" s="146" t="s">
        <v>267</v>
      </c>
      <c r="E727" s="147"/>
      <c r="F727" s="483">
        <f>12.21-F726</f>
        <v>12.034999999999998</v>
      </c>
      <c r="G727" s="302" t="s">
        <v>1277</v>
      </c>
      <c r="H727" s="300" t="s">
        <v>1278</v>
      </c>
      <c r="I727" s="151" t="s">
        <v>898</v>
      </c>
      <c r="J727" s="151"/>
    </row>
    <row r="728" spans="2:17" ht="15.6" x14ac:dyDescent="0.3">
      <c r="B728" s="145"/>
      <c r="C728" s="150"/>
      <c r="D728" s="146"/>
      <c r="E728" s="147"/>
      <c r="F728" s="349"/>
      <c r="G728" s="147"/>
      <c r="H728" s="298"/>
      <c r="I728" s="151"/>
      <c r="J728" s="151"/>
    </row>
    <row r="729" spans="2:17" s="58" customFormat="1" ht="15.6" x14ac:dyDescent="0.3">
      <c r="B729" s="352"/>
      <c r="C729" s="353" t="s">
        <v>771</v>
      </c>
      <c r="D729" s="354" t="s">
        <v>267</v>
      </c>
      <c r="E729" s="355"/>
      <c r="F729" s="356">
        <f>ROUND(SUM(F726:F728),3)</f>
        <v>12.21</v>
      </c>
      <c r="G729" s="357"/>
      <c r="H729" s="358"/>
      <c r="I729" s="359"/>
      <c r="J729" s="359"/>
      <c r="K729" s="132"/>
      <c r="L729" s="132"/>
      <c r="M729" s="339"/>
      <c r="N729" s="132"/>
      <c r="O729" s="132"/>
      <c r="P729" s="132"/>
      <c r="Q729" s="339"/>
    </row>
    <row r="730" spans="2:17" s="58" customFormat="1" ht="15.6" x14ac:dyDescent="0.3">
      <c r="B730" s="352"/>
      <c r="C730" s="353" t="s">
        <v>772</v>
      </c>
      <c r="D730" s="354" t="s">
        <v>267</v>
      </c>
      <c r="E730" s="355"/>
      <c r="F730" s="356">
        <v>12.21</v>
      </c>
      <c r="G730" s="357"/>
      <c r="H730" s="358"/>
      <c r="I730" s="359"/>
      <c r="J730" s="359"/>
      <c r="K730" s="132"/>
      <c r="L730" s="132"/>
      <c r="M730" s="339"/>
      <c r="N730" s="132"/>
      <c r="O730" s="132"/>
      <c r="P730" s="132"/>
      <c r="Q730" s="339"/>
    </row>
    <row r="731" spans="2:17" s="58" customFormat="1" ht="15.6" x14ac:dyDescent="0.3">
      <c r="B731" s="360"/>
      <c r="C731" s="361" t="s">
        <v>773</v>
      </c>
      <c r="D731" s="362" t="s">
        <v>267</v>
      </c>
      <c r="E731" s="363"/>
      <c r="F731" s="364">
        <f>F729-F730</f>
        <v>0</v>
      </c>
      <c r="G731" s="365"/>
      <c r="H731" s="366"/>
      <c r="I731" s="367"/>
      <c r="J731" s="367"/>
      <c r="L731" s="132"/>
      <c r="M731" s="339"/>
      <c r="N731" s="132"/>
      <c r="O731" s="132"/>
      <c r="P731" s="132"/>
      <c r="Q731" s="339"/>
    </row>
    <row r="732" spans="2:17" ht="7.5" customHeight="1" x14ac:dyDescent="0.3">
      <c r="B732" s="338"/>
      <c r="C732" s="142"/>
      <c r="D732" s="143"/>
      <c r="E732" s="144"/>
      <c r="F732" s="345"/>
      <c r="G732" s="144"/>
      <c r="H732" s="144"/>
      <c r="I732" s="515"/>
      <c r="J732" s="514"/>
    </row>
    <row r="733" spans="2:17" ht="15.6" x14ac:dyDescent="0.3">
      <c r="B733" s="145" t="s">
        <v>1772</v>
      </c>
      <c r="C733" s="150" t="s">
        <v>1773</v>
      </c>
      <c r="D733" s="146" t="s">
        <v>267</v>
      </c>
      <c r="E733" s="147"/>
      <c r="F733" s="483">
        <v>12.21</v>
      </c>
      <c r="G733" s="147" t="s">
        <v>1400</v>
      </c>
      <c r="H733" s="314">
        <v>45986</v>
      </c>
      <c r="I733" s="319" t="s">
        <v>1282</v>
      </c>
      <c r="J733" s="319" t="s">
        <v>1394</v>
      </c>
      <c r="O733" s="132">
        <v>9360</v>
      </c>
      <c r="P733" s="132">
        <v>9880</v>
      </c>
      <c r="Q733" s="339">
        <f t="shared" ref="Q733" si="7">(P733-O733)/1000</f>
        <v>0.52</v>
      </c>
    </row>
    <row r="734" spans="2:17" ht="15.6" x14ac:dyDescent="0.3">
      <c r="B734" s="145"/>
      <c r="C734" s="150"/>
      <c r="D734" s="146"/>
      <c r="E734" s="147"/>
      <c r="F734" s="483"/>
      <c r="G734" s="147"/>
      <c r="H734" s="298"/>
      <c r="I734" s="151"/>
      <c r="J734" s="151"/>
      <c r="Q734" s="339">
        <f>SUM(Q691:Q733)</f>
        <v>18.483999999999998</v>
      </c>
    </row>
    <row r="735" spans="2:17" s="58" customFormat="1" ht="15.6" x14ac:dyDescent="0.3">
      <c r="B735" s="352"/>
      <c r="C735" s="353" t="s">
        <v>771</v>
      </c>
      <c r="D735" s="354" t="s">
        <v>267</v>
      </c>
      <c r="E735" s="355"/>
      <c r="F735" s="356">
        <f>ROUND(SUM(F733:F734),3)</f>
        <v>12.21</v>
      </c>
      <c r="G735" s="357"/>
      <c r="H735" s="358"/>
      <c r="I735" s="359"/>
      <c r="J735" s="359"/>
      <c r="L735" s="132"/>
      <c r="M735" s="339"/>
      <c r="N735" s="132"/>
      <c r="O735" s="132"/>
      <c r="P735" s="132"/>
      <c r="Q735" s="339"/>
    </row>
    <row r="736" spans="2:17" s="58" customFormat="1" ht="15.6" x14ac:dyDescent="0.3">
      <c r="B736" s="352"/>
      <c r="C736" s="353" t="s">
        <v>772</v>
      </c>
      <c r="D736" s="354" t="s">
        <v>267</v>
      </c>
      <c r="E736" s="355"/>
      <c r="F736" s="356">
        <v>12.21</v>
      </c>
      <c r="G736" s="357"/>
      <c r="H736" s="358"/>
      <c r="I736" s="359"/>
      <c r="J736" s="359"/>
      <c r="L736" s="132"/>
      <c r="M736" s="339"/>
      <c r="N736" s="132"/>
      <c r="O736" s="132"/>
      <c r="P736" s="132"/>
      <c r="Q736" s="339"/>
    </row>
    <row r="737" spans="2:17" s="58" customFormat="1" ht="15.6" x14ac:dyDescent="0.3">
      <c r="B737" s="360"/>
      <c r="C737" s="361" t="s">
        <v>773</v>
      </c>
      <c r="D737" s="362" t="s">
        <v>267</v>
      </c>
      <c r="E737" s="363"/>
      <c r="F737" s="364">
        <f>F735-F736</f>
        <v>0</v>
      </c>
      <c r="G737" s="365"/>
      <c r="H737" s="366"/>
      <c r="I737" s="367"/>
      <c r="J737" s="367"/>
      <c r="L737" s="132"/>
      <c r="M737" s="339"/>
      <c r="N737" s="132"/>
      <c r="O737" s="132"/>
      <c r="P737" s="132"/>
      <c r="Q737" s="339"/>
    </row>
    <row r="738" spans="2:17" ht="7.5" customHeight="1" x14ac:dyDescent="0.3">
      <c r="B738" s="338"/>
      <c r="C738" s="142"/>
      <c r="D738" s="143"/>
      <c r="E738" s="144"/>
      <c r="F738" s="345"/>
      <c r="G738" s="144"/>
      <c r="H738" s="144"/>
      <c r="I738" s="515"/>
      <c r="J738" s="514"/>
    </row>
  </sheetData>
  <autoFilter ref="B6:J738" xr:uid="{4D58A2C1-66AC-447E-9999-F6E2311FCAFD}"/>
  <phoneticPr fontId="23" type="noConversion"/>
  <conditionalFormatting sqref="D7:D738">
    <cfRule type="cellIs" dxfId="161" priority="1" operator="lessThan">
      <formula>0</formula>
    </cfRule>
  </conditionalFormatting>
  <printOptions horizontalCentered="1"/>
  <pageMargins left="0.39370078740157483" right="0.39370078740157483" top="0.55118110236220474" bottom="0.94488188976377963" header="0.31496062992125984" footer="0.31496062992125984"/>
  <pageSetup paperSize="9" scale="48" fitToHeight="0" orientation="portrait" r:id="rId1"/>
  <rowBreaks count="6" manualBreakCount="6">
    <brk id="86" min="1" max="9" man="1"/>
    <brk id="174" min="1" max="9" man="1"/>
    <brk id="346" min="1" max="9" man="1"/>
    <brk id="464" min="1" max="9" man="1"/>
    <brk id="572" min="1" max="9" man="1"/>
    <brk id="625" min="1" max="9" man="1"/>
  </rowBreaks>
  <ignoredErrors>
    <ignoredError sqref="I35 I99" numberStoredAsText="1"/>
    <ignoredError sqref="F447 F461 F489 F485:F486 F627:F630 F618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0666-1D24-4D85-8010-0069BE5FFFC5}">
  <sheetPr codeName="Sheet8">
    <pageSetUpPr fitToPage="1"/>
  </sheetPr>
  <dimension ref="A1:K192"/>
  <sheetViews>
    <sheetView view="pageBreakPreview" zoomScale="70" zoomScaleNormal="80" zoomScaleSheetLayoutView="70" workbookViewId="0">
      <pane ySplit="6" topLeftCell="A159" activePane="bottomLeft" state="frozen"/>
      <selection activeCell="H327" sqref="H327"/>
      <selection pane="bottomLeft" activeCell="L185" sqref="L185"/>
    </sheetView>
  </sheetViews>
  <sheetFormatPr defaultColWidth="9.109375" defaultRowHeight="14.4" x14ac:dyDescent="0.3"/>
  <cols>
    <col min="1" max="1" width="2" style="132" customWidth="1"/>
    <col min="2" max="2" width="12.5546875" style="132" customWidth="1"/>
    <col min="3" max="3" width="60.5546875" style="132" customWidth="1"/>
    <col min="4" max="4" width="10.5546875" style="132" customWidth="1"/>
    <col min="5" max="5" width="12.5546875" style="132" customWidth="1"/>
    <col min="6" max="6" width="12.5546875" style="339" customWidth="1"/>
    <col min="7" max="7" width="32.5546875" style="132" customWidth="1"/>
    <col min="8" max="8" width="12.5546875" style="132" customWidth="1"/>
    <col min="9" max="9" width="10.5546875" style="132" customWidth="1"/>
    <col min="10" max="10" width="24.5546875" style="132" customWidth="1"/>
    <col min="11" max="16384" width="9.109375" style="132"/>
  </cols>
  <sheetData>
    <row r="1" spans="2:10" ht="8.25" customHeight="1" x14ac:dyDescent="0.3"/>
    <row r="2" spans="2:10" ht="42" customHeight="1" x14ac:dyDescent="0.3">
      <c r="B2" s="315"/>
      <c r="C2" s="309" t="s">
        <v>141</v>
      </c>
      <c r="D2" s="310"/>
      <c r="E2" s="310"/>
      <c r="F2" s="340"/>
      <c r="G2" s="311"/>
      <c r="H2" s="311"/>
      <c r="I2" s="531"/>
      <c r="J2" s="532"/>
    </row>
    <row r="3" spans="2:10" ht="18" customHeight="1" x14ac:dyDescent="0.3">
      <c r="B3" s="317"/>
      <c r="C3" s="312"/>
      <c r="D3" s="312"/>
      <c r="E3" s="312"/>
      <c r="F3" s="341"/>
      <c r="H3" s="308" t="str">
        <f>'Schedule 2'!H3</f>
        <v>Period of bill : 1st Jul'26 to 31st Jul'26</v>
      </c>
      <c r="I3" s="318"/>
      <c r="J3" s="522"/>
    </row>
    <row r="4" spans="2:10" ht="15.6" x14ac:dyDescent="0.3">
      <c r="B4" s="293" t="s">
        <v>1774</v>
      </c>
      <c r="C4" s="294"/>
      <c r="D4" s="294"/>
      <c r="E4" s="294"/>
      <c r="F4" s="342"/>
      <c r="G4" s="295"/>
      <c r="H4" s="292"/>
      <c r="I4" s="520"/>
      <c r="J4" s="133" t="str">
        <f>'Schedule 1'!J4</f>
        <v>IPC - 34</v>
      </c>
    </row>
    <row r="5" spans="2:10" ht="15.6" x14ac:dyDescent="0.3">
      <c r="B5" s="245" t="s">
        <v>762</v>
      </c>
      <c r="C5" s="246"/>
      <c r="D5" s="246"/>
      <c r="E5" s="246"/>
      <c r="F5" s="343"/>
      <c r="G5" s="246"/>
      <c r="H5" s="246"/>
      <c r="I5" s="247"/>
      <c r="J5" s="522"/>
    </row>
    <row r="6" spans="2:10" ht="31.5" customHeight="1" x14ac:dyDescent="0.3">
      <c r="B6" s="134" t="s">
        <v>498</v>
      </c>
      <c r="C6" s="135" t="s">
        <v>176</v>
      </c>
      <c r="D6" s="136" t="s">
        <v>500</v>
      </c>
      <c r="E6" s="137" t="s">
        <v>501</v>
      </c>
      <c r="F6" s="344" t="s">
        <v>502</v>
      </c>
      <c r="G6" s="137" t="s">
        <v>763</v>
      </c>
      <c r="H6" s="134" t="s">
        <v>504</v>
      </c>
      <c r="I6" s="136" t="s">
        <v>764</v>
      </c>
      <c r="J6" s="523" t="s">
        <v>507</v>
      </c>
    </row>
    <row r="7" spans="2:10" ht="7.5" customHeight="1" x14ac:dyDescent="0.3">
      <c r="B7" s="338"/>
      <c r="C7" s="142"/>
      <c r="D7" s="143"/>
      <c r="E7" s="144"/>
      <c r="F7" s="345"/>
      <c r="G7" s="144"/>
      <c r="H7" s="144"/>
      <c r="I7" s="515"/>
      <c r="J7" s="524"/>
    </row>
    <row r="8" spans="2:10" ht="15.6" x14ac:dyDescent="0.3">
      <c r="B8" s="49">
        <v>301</v>
      </c>
      <c r="C8" s="140" t="s">
        <v>331</v>
      </c>
      <c r="D8" s="138"/>
      <c r="E8" s="139"/>
      <c r="F8" s="346"/>
      <c r="G8" s="139"/>
      <c r="H8" s="139"/>
      <c r="I8" s="505"/>
      <c r="J8" s="500"/>
    </row>
    <row r="9" spans="2:10" ht="15.6" x14ac:dyDescent="0.3">
      <c r="B9" s="124" t="s">
        <v>1775</v>
      </c>
      <c r="C9" s="129" t="s">
        <v>332</v>
      </c>
      <c r="D9" s="127" t="s">
        <v>333</v>
      </c>
      <c r="E9" s="125" t="s">
        <v>510</v>
      </c>
      <c r="F9" s="350">
        <v>1929.4249999999993</v>
      </c>
      <c r="G9" s="125" t="s">
        <v>1776</v>
      </c>
      <c r="H9" s="303">
        <v>45453</v>
      </c>
      <c r="I9" s="131" t="s">
        <v>767</v>
      </c>
      <c r="J9" s="525"/>
    </row>
    <row r="10" spans="2:10" ht="15.6" x14ac:dyDescent="0.3">
      <c r="B10" s="31" t="s">
        <v>1775</v>
      </c>
      <c r="C10" s="130" t="s">
        <v>332</v>
      </c>
      <c r="D10" s="43" t="s">
        <v>333</v>
      </c>
      <c r="E10" s="126" t="s">
        <v>515</v>
      </c>
      <c r="F10" s="351">
        <v>1353.3250000000003</v>
      </c>
      <c r="G10" s="126" t="s">
        <v>1777</v>
      </c>
      <c r="H10" s="304">
        <v>45454</v>
      </c>
      <c r="I10" s="151" t="s">
        <v>767</v>
      </c>
      <c r="J10" s="494"/>
    </row>
    <row r="11" spans="2:10" ht="15.6" x14ac:dyDescent="0.3">
      <c r="B11" s="31" t="s">
        <v>1775</v>
      </c>
      <c r="C11" s="130" t="s">
        <v>332</v>
      </c>
      <c r="D11" s="43" t="s">
        <v>333</v>
      </c>
      <c r="E11" s="126" t="s">
        <v>510</v>
      </c>
      <c r="F11" s="351">
        <v>616.62809894979637</v>
      </c>
      <c r="G11" s="126" t="s">
        <v>1778</v>
      </c>
      <c r="H11" s="304">
        <v>45502</v>
      </c>
      <c r="I11" s="151" t="s">
        <v>778</v>
      </c>
      <c r="J11" s="494"/>
    </row>
    <row r="12" spans="2:10" ht="15.6" x14ac:dyDescent="0.3">
      <c r="B12" s="31"/>
      <c r="C12" s="130"/>
      <c r="D12" s="43"/>
      <c r="E12" s="126"/>
      <c r="F12" s="351"/>
      <c r="G12" s="126"/>
      <c r="H12" s="304"/>
      <c r="I12" s="151"/>
      <c r="J12" s="494"/>
    </row>
    <row r="13" spans="2:10" s="58" customFormat="1" ht="15.6" x14ac:dyDescent="0.3">
      <c r="B13" s="352"/>
      <c r="C13" s="353" t="s">
        <v>771</v>
      </c>
      <c r="D13" s="354" t="s">
        <v>333</v>
      </c>
      <c r="E13" s="355"/>
      <c r="F13" s="356">
        <f>SUM(F9:F12)</f>
        <v>3899.3780989497959</v>
      </c>
      <c r="G13" s="357"/>
      <c r="H13" s="358"/>
      <c r="I13" s="359"/>
      <c r="J13" s="526"/>
    </row>
    <row r="14" spans="2:10" s="58" customFormat="1" ht="15.6" x14ac:dyDescent="0.3">
      <c r="B14" s="352"/>
      <c r="C14" s="353" t="s">
        <v>772</v>
      </c>
      <c r="D14" s="354" t="s">
        <v>333</v>
      </c>
      <c r="E14" s="355"/>
      <c r="F14" s="356">
        <v>3899.3780989497959</v>
      </c>
      <c r="G14" s="357"/>
      <c r="H14" s="358"/>
      <c r="I14" s="359"/>
      <c r="J14" s="526"/>
    </row>
    <row r="15" spans="2:10" s="58" customFormat="1" ht="15.6" x14ac:dyDescent="0.3">
      <c r="B15" s="360"/>
      <c r="C15" s="361" t="s">
        <v>773</v>
      </c>
      <c r="D15" s="362" t="s">
        <v>333</v>
      </c>
      <c r="E15" s="363"/>
      <c r="F15" s="364">
        <f>F13-F14</f>
        <v>0</v>
      </c>
      <c r="G15" s="365"/>
      <c r="H15" s="366"/>
      <c r="I15" s="367"/>
      <c r="J15" s="527"/>
    </row>
    <row r="16" spans="2:10" ht="7.5" customHeight="1" x14ac:dyDescent="0.3">
      <c r="B16" s="338"/>
      <c r="C16" s="142"/>
      <c r="D16" s="143"/>
      <c r="E16" s="144"/>
      <c r="F16" s="345"/>
      <c r="G16" s="144"/>
      <c r="H16" s="144"/>
      <c r="I16" s="515"/>
      <c r="J16" s="524"/>
    </row>
    <row r="17" spans="2:10" ht="15.6" x14ac:dyDescent="0.3">
      <c r="B17" s="124" t="s">
        <v>1779</v>
      </c>
      <c r="C17" s="129" t="s">
        <v>334</v>
      </c>
      <c r="D17" s="127" t="s">
        <v>320</v>
      </c>
      <c r="E17" s="125" t="s">
        <v>510</v>
      </c>
      <c r="F17" s="490">
        <v>174.4</v>
      </c>
      <c r="G17" s="125" t="s">
        <v>1780</v>
      </c>
      <c r="H17" s="303">
        <v>45533</v>
      </c>
      <c r="I17" s="131" t="s">
        <v>795</v>
      </c>
      <c r="J17" s="525" t="s">
        <v>1781</v>
      </c>
    </row>
    <row r="18" spans="2:10" ht="15.6" x14ac:dyDescent="0.3">
      <c r="B18" s="145" t="s">
        <v>1779</v>
      </c>
      <c r="C18" s="150" t="s">
        <v>334</v>
      </c>
      <c r="D18" s="146" t="s">
        <v>320</v>
      </c>
      <c r="E18" s="147" t="s">
        <v>515</v>
      </c>
      <c r="F18" s="491">
        <v>36</v>
      </c>
      <c r="G18" s="147" t="s">
        <v>1782</v>
      </c>
      <c r="H18" s="492">
        <v>45535</v>
      </c>
      <c r="I18" s="319" t="s">
        <v>795</v>
      </c>
      <c r="J18" s="528" t="s">
        <v>1783</v>
      </c>
    </row>
    <row r="19" spans="2:10" ht="15.6" x14ac:dyDescent="0.3">
      <c r="B19" s="145" t="s">
        <v>1779</v>
      </c>
      <c r="C19" s="150" t="s">
        <v>334</v>
      </c>
      <c r="D19" s="146" t="s">
        <v>320</v>
      </c>
      <c r="E19" s="147" t="s">
        <v>510</v>
      </c>
      <c r="F19" s="491">
        <f>5756-5733</f>
        <v>23</v>
      </c>
      <c r="G19" s="147" t="s">
        <v>1784</v>
      </c>
      <c r="H19" s="492">
        <v>45563</v>
      </c>
      <c r="I19" s="319" t="s">
        <v>797</v>
      </c>
      <c r="J19" s="528" t="s">
        <v>1785</v>
      </c>
    </row>
    <row r="20" spans="2:10" ht="15.6" x14ac:dyDescent="0.3">
      <c r="B20" s="145" t="s">
        <v>1779</v>
      </c>
      <c r="C20" s="150" t="s">
        <v>334</v>
      </c>
      <c r="D20" s="146" t="s">
        <v>320</v>
      </c>
      <c r="E20" s="147" t="s">
        <v>510</v>
      </c>
      <c r="F20" s="491">
        <f>5781-5756</f>
        <v>25</v>
      </c>
      <c r="G20" s="147" t="s">
        <v>1786</v>
      </c>
      <c r="H20" s="492">
        <v>45565</v>
      </c>
      <c r="I20" s="319" t="s">
        <v>797</v>
      </c>
      <c r="J20" s="528" t="s">
        <v>1787</v>
      </c>
    </row>
    <row r="21" spans="2:10" ht="15.6" x14ac:dyDescent="0.3">
      <c r="B21" s="145" t="s">
        <v>1779</v>
      </c>
      <c r="C21" s="150" t="s">
        <v>334</v>
      </c>
      <c r="D21" s="146" t="s">
        <v>320</v>
      </c>
      <c r="E21" s="147" t="s">
        <v>515</v>
      </c>
      <c r="F21" s="491">
        <f>9182-9159</f>
        <v>23</v>
      </c>
      <c r="G21" s="147" t="s">
        <v>1788</v>
      </c>
      <c r="H21" s="492">
        <v>45546</v>
      </c>
      <c r="I21" s="319" t="s">
        <v>797</v>
      </c>
      <c r="J21" s="528" t="s">
        <v>1789</v>
      </c>
    </row>
    <row r="22" spans="2:10" ht="15.6" x14ac:dyDescent="0.3">
      <c r="B22" s="145" t="s">
        <v>1779</v>
      </c>
      <c r="C22" s="150" t="s">
        <v>334</v>
      </c>
      <c r="D22" s="146" t="s">
        <v>320</v>
      </c>
      <c r="E22" s="147" t="s">
        <v>515</v>
      </c>
      <c r="F22" s="491">
        <f>9159-9105</f>
        <v>54</v>
      </c>
      <c r="G22" s="147" t="s">
        <v>1790</v>
      </c>
      <c r="H22" s="492">
        <v>45563</v>
      </c>
      <c r="I22" s="319" t="s">
        <v>797</v>
      </c>
      <c r="J22" s="528" t="s">
        <v>1791</v>
      </c>
    </row>
    <row r="23" spans="2:10" ht="15.6" x14ac:dyDescent="0.3">
      <c r="B23" s="145" t="s">
        <v>1779</v>
      </c>
      <c r="C23" s="150" t="s">
        <v>334</v>
      </c>
      <c r="D23" s="146" t="s">
        <v>320</v>
      </c>
      <c r="E23" s="147" t="s">
        <v>515</v>
      </c>
      <c r="F23" s="491">
        <f>9105-9092</f>
        <v>13</v>
      </c>
      <c r="G23" s="147" t="s">
        <v>1792</v>
      </c>
      <c r="H23" s="492">
        <v>45565</v>
      </c>
      <c r="I23" s="319" t="s">
        <v>797</v>
      </c>
      <c r="J23" s="528" t="s">
        <v>1793</v>
      </c>
    </row>
    <row r="24" spans="2:10" ht="15.6" x14ac:dyDescent="0.3">
      <c r="B24" s="145" t="s">
        <v>1779</v>
      </c>
      <c r="C24" s="150" t="s">
        <v>334</v>
      </c>
      <c r="D24" s="146" t="s">
        <v>320</v>
      </c>
      <c r="E24" s="147" t="s">
        <v>515</v>
      </c>
      <c r="F24" s="491">
        <f>9080-9017.5</f>
        <v>62.5</v>
      </c>
      <c r="G24" s="147" t="s">
        <v>1794</v>
      </c>
      <c r="H24" s="492">
        <v>45594</v>
      </c>
      <c r="I24" s="319" t="s">
        <v>871</v>
      </c>
      <c r="J24" s="528" t="s">
        <v>1795</v>
      </c>
    </row>
    <row r="25" spans="2:10" ht="15.6" x14ac:dyDescent="0.3">
      <c r="B25" s="145" t="s">
        <v>1779</v>
      </c>
      <c r="C25" s="150" t="s">
        <v>334</v>
      </c>
      <c r="D25" s="146" t="s">
        <v>320</v>
      </c>
      <c r="E25" s="147" t="s">
        <v>510</v>
      </c>
      <c r="F25" s="491">
        <f>5829-5781</f>
        <v>48</v>
      </c>
      <c r="G25" s="147" t="s">
        <v>1796</v>
      </c>
      <c r="H25" s="492">
        <v>45594</v>
      </c>
      <c r="I25" s="319" t="s">
        <v>871</v>
      </c>
      <c r="J25" s="528" t="s">
        <v>1797</v>
      </c>
    </row>
    <row r="26" spans="2:10" ht="15.6" x14ac:dyDescent="0.3">
      <c r="B26" s="145" t="s">
        <v>1779</v>
      </c>
      <c r="C26" s="150" t="s">
        <v>334</v>
      </c>
      <c r="D26" s="146" t="s">
        <v>320</v>
      </c>
      <c r="E26" s="147" t="s">
        <v>515</v>
      </c>
      <c r="F26" s="491">
        <f>9017.5-8992</f>
        <v>25.5</v>
      </c>
      <c r="G26" s="147" t="s">
        <v>1798</v>
      </c>
      <c r="H26" s="492">
        <v>45596</v>
      </c>
      <c r="I26" s="319" t="s">
        <v>871</v>
      </c>
      <c r="J26" s="528" t="s">
        <v>1799</v>
      </c>
    </row>
    <row r="27" spans="2:10" ht="15.6" x14ac:dyDescent="0.3">
      <c r="B27" s="145" t="s">
        <v>1779</v>
      </c>
      <c r="C27" s="150" t="s">
        <v>334</v>
      </c>
      <c r="D27" s="146" t="s">
        <v>320</v>
      </c>
      <c r="E27" s="147" t="s">
        <v>510</v>
      </c>
      <c r="F27" s="491">
        <f>5854-5829</f>
        <v>25</v>
      </c>
      <c r="G27" s="147" t="s">
        <v>1800</v>
      </c>
      <c r="H27" s="492">
        <v>45596</v>
      </c>
      <c r="I27" s="319" t="s">
        <v>871</v>
      </c>
      <c r="J27" s="528" t="s">
        <v>1801</v>
      </c>
    </row>
    <row r="28" spans="2:10" ht="15.6" x14ac:dyDescent="0.3">
      <c r="B28" s="145" t="s">
        <v>1779</v>
      </c>
      <c r="C28" s="150" t="s">
        <v>334</v>
      </c>
      <c r="D28" s="146" t="s">
        <v>320</v>
      </c>
      <c r="E28" s="147" t="s">
        <v>515</v>
      </c>
      <c r="F28" s="491">
        <f>8992-8956</f>
        <v>36</v>
      </c>
      <c r="G28" s="147" t="s">
        <v>1802</v>
      </c>
      <c r="H28" s="492">
        <v>45611</v>
      </c>
      <c r="I28" s="319" t="s">
        <v>898</v>
      </c>
      <c r="J28" s="528" t="s">
        <v>1803</v>
      </c>
    </row>
    <row r="29" spans="2:10" ht="15.6" x14ac:dyDescent="0.3">
      <c r="B29" s="145" t="s">
        <v>1779</v>
      </c>
      <c r="C29" s="150" t="s">
        <v>334</v>
      </c>
      <c r="D29" s="146" t="s">
        <v>320</v>
      </c>
      <c r="E29" s="147" t="s">
        <v>510</v>
      </c>
      <c r="F29" s="491">
        <f>5929-5854</f>
        <v>75</v>
      </c>
      <c r="G29" s="147" t="s">
        <v>1804</v>
      </c>
      <c r="H29" s="492">
        <v>45624</v>
      </c>
      <c r="I29" s="319" t="s">
        <v>898</v>
      </c>
      <c r="J29" s="528" t="s">
        <v>1805</v>
      </c>
    </row>
    <row r="30" spans="2:10" ht="15.6" x14ac:dyDescent="0.3">
      <c r="B30" s="145" t="s">
        <v>1779</v>
      </c>
      <c r="C30" s="150" t="s">
        <v>334</v>
      </c>
      <c r="D30" s="146" t="s">
        <v>320</v>
      </c>
      <c r="E30" s="147" t="s">
        <v>515</v>
      </c>
      <c r="F30" s="491">
        <f>8879.9-8857.9</f>
        <v>22</v>
      </c>
      <c r="G30" s="147" t="s">
        <v>1806</v>
      </c>
      <c r="H30" s="492">
        <v>45626</v>
      </c>
      <c r="I30" s="319" t="s">
        <v>898</v>
      </c>
      <c r="J30" s="528" t="s">
        <v>1807</v>
      </c>
    </row>
    <row r="31" spans="2:10" ht="15.6" x14ac:dyDescent="0.3">
      <c r="B31" s="145" t="s">
        <v>1779</v>
      </c>
      <c r="C31" s="150" t="s">
        <v>334</v>
      </c>
      <c r="D31" s="146" t="s">
        <v>320</v>
      </c>
      <c r="E31" s="147" t="s">
        <v>510</v>
      </c>
      <c r="F31" s="491">
        <f>5959-5929.4</f>
        <v>29.600000000000364</v>
      </c>
      <c r="G31" s="147" t="s">
        <v>1808</v>
      </c>
      <c r="H31" s="492">
        <v>45626</v>
      </c>
      <c r="I31" s="319" t="s">
        <v>898</v>
      </c>
      <c r="J31" s="528" t="s">
        <v>1809</v>
      </c>
    </row>
    <row r="32" spans="2:10" ht="15.6" x14ac:dyDescent="0.3">
      <c r="B32" s="31"/>
      <c r="C32" s="130"/>
      <c r="D32" s="43"/>
      <c r="E32" s="126"/>
      <c r="F32" s="351"/>
      <c r="G32" s="126"/>
      <c r="H32" s="304"/>
      <c r="I32" s="151"/>
      <c r="J32" s="494"/>
    </row>
    <row r="33" spans="1:10" s="58" customFormat="1" ht="15.6" x14ac:dyDescent="0.3">
      <c r="B33" s="352"/>
      <c r="C33" s="353" t="s">
        <v>771</v>
      </c>
      <c r="D33" s="354" t="s">
        <v>320</v>
      </c>
      <c r="E33" s="355"/>
      <c r="F33" s="356">
        <f>SUM(F17:F32)</f>
        <v>672.00000000000034</v>
      </c>
      <c r="G33" s="357"/>
      <c r="H33" s="358"/>
      <c r="I33" s="359"/>
      <c r="J33" s="526"/>
    </row>
    <row r="34" spans="1:10" s="58" customFormat="1" ht="15.6" x14ac:dyDescent="0.3">
      <c r="B34" s="352"/>
      <c r="C34" s="353" t="s">
        <v>772</v>
      </c>
      <c r="D34" s="354" t="s">
        <v>320</v>
      </c>
      <c r="E34" s="355"/>
      <c r="F34" s="356">
        <v>672</v>
      </c>
      <c r="G34" s="357"/>
      <c r="H34" s="358"/>
      <c r="I34" s="359"/>
      <c r="J34" s="526"/>
    </row>
    <row r="35" spans="1:10" s="58" customFormat="1" ht="15.6" x14ac:dyDescent="0.3">
      <c r="B35" s="360"/>
      <c r="C35" s="361" t="s">
        <v>773</v>
      </c>
      <c r="D35" s="354" t="s">
        <v>320</v>
      </c>
      <c r="E35" s="363"/>
      <c r="F35" s="364">
        <f>F33-F34</f>
        <v>0</v>
      </c>
      <c r="G35" s="365"/>
      <c r="H35" s="366"/>
      <c r="I35" s="367"/>
      <c r="J35" s="527"/>
    </row>
    <row r="36" spans="1:10" ht="7.5" customHeight="1" x14ac:dyDescent="0.3">
      <c r="B36" s="338"/>
      <c r="C36" s="142"/>
      <c r="D36" s="143"/>
      <c r="E36" s="144"/>
      <c r="F36" s="345"/>
      <c r="G36" s="144"/>
      <c r="H36" s="144"/>
      <c r="I36" s="515"/>
      <c r="J36" s="524"/>
    </row>
    <row r="37" spans="1:10" ht="15.6" x14ac:dyDescent="0.3">
      <c r="B37" s="49">
        <v>302</v>
      </c>
      <c r="C37" s="140" t="s">
        <v>335</v>
      </c>
      <c r="D37" s="138"/>
      <c r="E37" s="139"/>
      <c r="F37" s="346"/>
      <c r="G37" s="139"/>
      <c r="H37" s="291"/>
      <c r="I37" s="576"/>
      <c r="J37" s="500"/>
    </row>
    <row r="38" spans="1:10" ht="15.6" x14ac:dyDescent="0.3">
      <c r="B38" s="124" t="s">
        <v>1810</v>
      </c>
      <c r="C38" s="129" t="s">
        <v>1811</v>
      </c>
      <c r="D38" s="127" t="s">
        <v>190</v>
      </c>
      <c r="E38" s="125" t="s">
        <v>510</v>
      </c>
      <c r="F38" s="348">
        <v>2</v>
      </c>
      <c r="G38" s="125" t="s">
        <v>1812</v>
      </c>
      <c r="H38" s="303">
        <v>45454</v>
      </c>
      <c r="I38" s="131" t="s">
        <v>767</v>
      </c>
      <c r="J38" s="525"/>
    </row>
    <row r="39" spans="1:10" ht="15.6" x14ac:dyDescent="0.3">
      <c r="B39" s="31" t="s">
        <v>1810</v>
      </c>
      <c r="C39" s="130" t="s">
        <v>1811</v>
      </c>
      <c r="D39" s="43" t="s">
        <v>190</v>
      </c>
      <c r="E39" s="126" t="s">
        <v>515</v>
      </c>
      <c r="F39" s="348">
        <v>2</v>
      </c>
      <c r="G39" s="126" t="s">
        <v>1813</v>
      </c>
      <c r="H39" s="304">
        <v>45462</v>
      </c>
      <c r="I39" s="151" t="s">
        <v>767</v>
      </c>
      <c r="J39" s="494"/>
    </row>
    <row r="40" spans="1:10" ht="15.6" x14ac:dyDescent="0.3">
      <c r="B40" s="31"/>
      <c r="C40" s="130"/>
      <c r="D40" s="43"/>
      <c r="E40" s="126"/>
      <c r="F40" s="351"/>
      <c r="G40" s="126"/>
      <c r="H40" s="304"/>
      <c r="I40" s="151"/>
      <c r="J40" s="494"/>
    </row>
    <row r="41" spans="1:10" s="58" customFormat="1" ht="15.6" x14ac:dyDescent="0.3">
      <c r="B41" s="352"/>
      <c r="C41" s="353" t="s">
        <v>771</v>
      </c>
      <c r="D41" s="354" t="s">
        <v>190</v>
      </c>
      <c r="E41" s="355"/>
      <c r="F41" s="356">
        <f>SUM(F38:F40)</f>
        <v>4</v>
      </c>
      <c r="G41" s="357"/>
      <c r="H41" s="358"/>
      <c r="I41" s="359"/>
      <c r="J41" s="526"/>
    </row>
    <row r="42" spans="1:10" s="58" customFormat="1" ht="15.6" x14ac:dyDescent="0.3">
      <c r="B42" s="352"/>
      <c r="C42" s="353" t="s">
        <v>772</v>
      </c>
      <c r="D42" s="354" t="s">
        <v>190</v>
      </c>
      <c r="E42" s="355"/>
      <c r="F42" s="356">
        <v>4</v>
      </c>
      <c r="G42" s="357"/>
      <c r="H42" s="358"/>
      <c r="I42" s="359"/>
      <c r="J42" s="526"/>
    </row>
    <row r="43" spans="1:10" s="58" customFormat="1" ht="15.6" x14ac:dyDescent="0.3">
      <c r="B43" s="360"/>
      <c r="C43" s="361" t="s">
        <v>773</v>
      </c>
      <c r="D43" s="362" t="s">
        <v>190</v>
      </c>
      <c r="E43" s="363"/>
      <c r="F43" s="364">
        <f>F41-F42</f>
        <v>0</v>
      </c>
      <c r="G43" s="365"/>
      <c r="H43" s="366"/>
      <c r="I43" s="367"/>
      <c r="J43" s="527"/>
    </row>
    <row r="44" spans="1:10" ht="7.5" customHeight="1" x14ac:dyDescent="0.3">
      <c r="B44" s="338"/>
      <c r="C44" s="142"/>
      <c r="D44" s="143"/>
      <c r="E44" s="144"/>
      <c r="F44" s="345"/>
      <c r="G44" s="144"/>
      <c r="H44" s="144"/>
      <c r="I44" s="515"/>
      <c r="J44" s="524"/>
    </row>
    <row r="45" spans="1:10" ht="15.6" x14ac:dyDescent="0.3">
      <c r="A45" s="132" t="s">
        <v>37</v>
      </c>
      <c r="B45" s="31" t="s">
        <v>1814</v>
      </c>
      <c r="C45" s="130" t="s">
        <v>1815</v>
      </c>
      <c r="D45" s="43" t="s">
        <v>190</v>
      </c>
      <c r="E45" s="126" t="s">
        <v>515</v>
      </c>
      <c r="F45" s="348">
        <v>1</v>
      </c>
      <c r="G45" s="126" t="s">
        <v>1816</v>
      </c>
      <c r="H45" s="304">
        <v>45473</v>
      </c>
      <c r="I45" s="151" t="s">
        <v>767</v>
      </c>
      <c r="J45" s="494"/>
    </row>
    <row r="46" spans="1:10" ht="15.6" x14ac:dyDescent="0.3">
      <c r="B46" s="31" t="s">
        <v>1814</v>
      </c>
      <c r="C46" s="130" t="s">
        <v>1815</v>
      </c>
      <c r="D46" s="43" t="s">
        <v>190</v>
      </c>
      <c r="E46" s="126" t="s">
        <v>510</v>
      </c>
      <c r="F46" s="348">
        <v>1</v>
      </c>
      <c r="G46" s="126" t="s">
        <v>1817</v>
      </c>
      <c r="H46" s="304">
        <v>45473</v>
      </c>
      <c r="I46" s="151" t="s">
        <v>767</v>
      </c>
      <c r="J46" s="494"/>
    </row>
    <row r="47" spans="1:10" ht="15.6" x14ac:dyDescent="0.3">
      <c r="B47" s="31" t="s">
        <v>1814</v>
      </c>
      <c r="C47" s="130" t="s">
        <v>1815</v>
      </c>
      <c r="D47" s="43" t="s">
        <v>190</v>
      </c>
      <c r="E47" s="126" t="s">
        <v>515</v>
      </c>
      <c r="F47" s="482">
        <v>1</v>
      </c>
      <c r="G47" s="126" t="s">
        <v>1818</v>
      </c>
      <c r="H47" s="304">
        <v>45688</v>
      </c>
      <c r="I47" s="151" t="s">
        <v>1326</v>
      </c>
      <c r="J47" s="494"/>
    </row>
    <row r="48" spans="1:10" ht="15.6" x14ac:dyDescent="0.3">
      <c r="B48" s="31" t="s">
        <v>1814</v>
      </c>
      <c r="C48" s="130" t="s">
        <v>1815</v>
      </c>
      <c r="D48" s="43" t="s">
        <v>190</v>
      </c>
      <c r="E48" s="126" t="s">
        <v>510</v>
      </c>
      <c r="F48" s="482">
        <v>1</v>
      </c>
      <c r="G48" s="126" t="s">
        <v>1819</v>
      </c>
      <c r="H48" s="304">
        <v>45702</v>
      </c>
      <c r="I48" s="151" t="s">
        <v>1250</v>
      </c>
      <c r="J48" s="494"/>
    </row>
    <row r="49" spans="1:10" ht="15.6" x14ac:dyDescent="0.3">
      <c r="B49" s="31"/>
      <c r="C49" s="130"/>
      <c r="D49" s="43"/>
      <c r="E49" s="126"/>
      <c r="F49" s="351"/>
      <c r="G49" s="126"/>
      <c r="H49" s="304"/>
      <c r="I49" s="151"/>
      <c r="J49" s="494"/>
    </row>
    <row r="50" spans="1:10" s="58" customFormat="1" ht="15.6" x14ac:dyDescent="0.3">
      <c r="B50" s="352"/>
      <c r="C50" s="353" t="s">
        <v>771</v>
      </c>
      <c r="D50" s="354" t="s">
        <v>190</v>
      </c>
      <c r="E50" s="355"/>
      <c r="F50" s="356">
        <f>SUM(F45:F49)</f>
        <v>4</v>
      </c>
      <c r="G50" s="357"/>
      <c r="H50" s="358"/>
      <c r="I50" s="359"/>
      <c r="J50" s="526"/>
    </row>
    <row r="51" spans="1:10" s="58" customFormat="1" ht="15.6" x14ac:dyDescent="0.3">
      <c r="B51" s="352"/>
      <c r="C51" s="353" t="s">
        <v>772</v>
      </c>
      <c r="D51" s="354" t="s">
        <v>190</v>
      </c>
      <c r="E51" s="355"/>
      <c r="F51" s="356">
        <v>4</v>
      </c>
      <c r="G51" s="357"/>
      <c r="H51" s="358"/>
      <c r="I51" s="359"/>
      <c r="J51" s="526"/>
    </row>
    <row r="52" spans="1:10" s="58" customFormat="1" ht="15.6" x14ac:dyDescent="0.3">
      <c r="B52" s="360"/>
      <c r="C52" s="361" t="s">
        <v>773</v>
      </c>
      <c r="D52" s="362" t="s">
        <v>190</v>
      </c>
      <c r="E52" s="363"/>
      <c r="F52" s="364">
        <f>F50-F51</f>
        <v>0</v>
      </c>
      <c r="G52" s="365"/>
      <c r="H52" s="366"/>
      <c r="I52" s="367"/>
      <c r="J52" s="527"/>
    </row>
    <row r="53" spans="1:10" ht="7.5" customHeight="1" x14ac:dyDescent="0.3">
      <c r="B53" s="338"/>
      <c r="C53" s="142"/>
      <c r="D53" s="143"/>
      <c r="E53" s="144"/>
      <c r="F53" s="345"/>
      <c r="G53" s="144"/>
      <c r="H53" s="144"/>
      <c r="I53" s="515"/>
      <c r="J53" s="524"/>
    </row>
    <row r="54" spans="1:10" ht="15.6" x14ac:dyDescent="0.3">
      <c r="A54" s="132" t="s">
        <v>37</v>
      </c>
      <c r="B54" s="31" t="s">
        <v>1820</v>
      </c>
      <c r="C54" s="130" t="s">
        <v>1821</v>
      </c>
      <c r="D54" s="43" t="s">
        <v>190</v>
      </c>
      <c r="E54" s="126" t="s">
        <v>510</v>
      </c>
      <c r="F54" s="482">
        <v>1</v>
      </c>
      <c r="G54" s="126" t="s">
        <v>1822</v>
      </c>
      <c r="H54" s="304">
        <v>45626</v>
      </c>
      <c r="I54" s="151" t="s">
        <v>898</v>
      </c>
      <c r="J54" s="494"/>
    </row>
    <row r="55" spans="1:10" ht="15.6" x14ac:dyDescent="0.3">
      <c r="B55" s="31" t="s">
        <v>1820</v>
      </c>
      <c r="C55" s="130" t="s">
        <v>1821</v>
      </c>
      <c r="D55" s="43" t="s">
        <v>190</v>
      </c>
      <c r="E55" s="126" t="s">
        <v>515</v>
      </c>
      <c r="F55" s="482">
        <v>1</v>
      </c>
      <c r="G55" s="126" t="s">
        <v>1823</v>
      </c>
      <c r="H55" s="304">
        <v>45688</v>
      </c>
      <c r="I55" s="151" t="s">
        <v>1326</v>
      </c>
      <c r="J55" s="494"/>
    </row>
    <row r="56" spans="1:10" ht="15.6" x14ac:dyDescent="0.3">
      <c r="B56" s="31" t="s">
        <v>1820</v>
      </c>
      <c r="C56" s="130" t="s">
        <v>1821</v>
      </c>
      <c r="D56" s="43" t="s">
        <v>190</v>
      </c>
      <c r="E56" s="126" t="s">
        <v>510</v>
      </c>
      <c r="F56" s="482">
        <v>1</v>
      </c>
      <c r="G56" s="126" t="s">
        <v>1824</v>
      </c>
      <c r="H56" s="304">
        <v>45716</v>
      </c>
      <c r="I56" s="151" t="s">
        <v>1250</v>
      </c>
      <c r="J56" s="494"/>
    </row>
    <row r="57" spans="1:10" ht="15.6" x14ac:dyDescent="0.3">
      <c r="B57" s="31" t="s">
        <v>1820</v>
      </c>
      <c r="C57" s="130" t="s">
        <v>1821</v>
      </c>
      <c r="D57" s="43" t="s">
        <v>190</v>
      </c>
      <c r="E57" s="126" t="s">
        <v>515</v>
      </c>
      <c r="F57" s="482">
        <v>1</v>
      </c>
      <c r="G57" s="126" t="s">
        <v>1825</v>
      </c>
      <c r="H57" s="304">
        <v>45716</v>
      </c>
      <c r="I57" s="151" t="s">
        <v>1250</v>
      </c>
      <c r="J57" s="494"/>
    </row>
    <row r="58" spans="1:10" ht="15.6" x14ac:dyDescent="0.3">
      <c r="B58" s="31"/>
      <c r="C58" s="130"/>
      <c r="D58" s="43"/>
      <c r="E58" s="126"/>
      <c r="F58" s="351"/>
      <c r="G58" s="126"/>
      <c r="H58" s="304"/>
      <c r="I58" s="151"/>
      <c r="J58" s="494"/>
    </row>
    <row r="59" spans="1:10" s="58" customFormat="1" ht="15.6" x14ac:dyDescent="0.3">
      <c r="B59" s="352"/>
      <c r="C59" s="353" t="s">
        <v>771</v>
      </c>
      <c r="D59" s="354" t="s">
        <v>190</v>
      </c>
      <c r="E59" s="355"/>
      <c r="F59" s="356">
        <f>SUM(F54:F58)</f>
        <v>4</v>
      </c>
      <c r="G59" s="357"/>
      <c r="H59" s="358"/>
      <c r="I59" s="359"/>
      <c r="J59" s="526"/>
    </row>
    <row r="60" spans="1:10" s="58" customFormat="1" ht="15.6" x14ac:dyDescent="0.3">
      <c r="B60" s="352"/>
      <c r="C60" s="353" t="s">
        <v>772</v>
      </c>
      <c r="D60" s="354" t="s">
        <v>190</v>
      </c>
      <c r="E60" s="355"/>
      <c r="F60" s="356">
        <v>4</v>
      </c>
      <c r="G60" s="357"/>
      <c r="H60" s="358"/>
      <c r="I60" s="359"/>
      <c r="J60" s="526"/>
    </row>
    <row r="61" spans="1:10" s="58" customFormat="1" ht="15.6" x14ac:dyDescent="0.3">
      <c r="B61" s="360"/>
      <c r="C61" s="361" t="s">
        <v>773</v>
      </c>
      <c r="D61" s="362" t="s">
        <v>190</v>
      </c>
      <c r="E61" s="363"/>
      <c r="F61" s="364">
        <f>F59-F60</f>
        <v>0</v>
      </c>
      <c r="G61" s="365"/>
      <c r="H61" s="366"/>
      <c r="I61" s="367"/>
      <c r="J61" s="527"/>
    </row>
    <row r="62" spans="1:10" ht="7.5" customHeight="1" x14ac:dyDescent="0.3">
      <c r="B62" s="338"/>
      <c r="C62" s="142"/>
      <c r="D62" s="143"/>
      <c r="E62" s="144"/>
      <c r="F62" s="345"/>
      <c r="G62" s="144"/>
      <c r="H62" s="144"/>
      <c r="I62" s="515"/>
      <c r="J62" s="524"/>
    </row>
    <row r="63" spans="1:10" ht="15.6" x14ac:dyDescent="0.3">
      <c r="B63" s="124" t="s">
        <v>1826</v>
      </c>
      <c r="C63" s="129" t="s">
        <v>1827</v>
      </c>
      <c r="D63" s="127" t="s">
        <v>190</v>
      </c>
      <c r="E63" s="125" t="s">
        <v>1828</v>
      </c>
      <c r="F63" s="482">
        <v>1</v>
      </c>
      <c r="G63" s="125" t="s">
        <v>1829</v>
      </c>
      <c r="H63" s="303">
        <v>45625</v>
      </c>
      <c r="I63" s="131" t="s">
        <v>898</v>
      </c>
      <c r="J63" s="525"/>
    </row>
    <row r="64" spans="1:10" ht="15.6" x14ac:dyDescent="0.3">
      <c r="B64" s="31"/>
      <c r="C64" s="130"/>
      <c r="D64" s="43"/>
      <c r="E64" s="126"/>
      <c r="F64" s="351"/>
      <c r="G64" s="126"/>
      <c r="H64" s="304"/>
      <c r="I64" s="151"/>
      <c r="J64" s="494"/>
    </row>
    <row r="65" spans="2:10" s="58" customFormat="1" ht="15.6" x14ac:dyDescent="0.3">
      <c r="B65" s="352"/>
      <c r="C65" s="353" t="s">
        <v>771</v>
      </c>
      <c r="D65" s="354" t="s">
        <v>190</v>
      </c>
      <c r="E65" s="355"/>
      <c r="F65" s="356">
        <f>SUM(F63:F64)</f>
        <v>1</v>
      </c>
      <c r="G65" s="357"/>
      <c r="H65" s="358"/>
      <c r="I65" s="359"/>
      <c r="J65" s="526"/>
    </row>
    <row r="66" spans="2:10" s="58" customFormat="1" ht="15.6" x14ac:dyDescent="0.3">
      <c r="B66" s="352"/>
      <c r="C66" s="353" t="s">
        <v>772</v>
      </c>
      <c r="D66" s="354" t="s">
        <v>190</v>
      </c>
      <c r="E66" s="355"/>
      <c r="F66" s="356">
        <v>1</v>
      </c>
      <c r="G66" s="357"/>
      <c r="H66" s="358"/>
      <c r="I66" s="359"/>
      <c r="J66" s="526"/>
    </row>
    <row r="67" spans="2:10" s="58" customFormat="1" ht="15.6" x14ac:dyDescent="0.3">
      <c r="B67" s="360"/>
      <c r="C67" s="361" t="s">
        <v>773</v>
      </c>
      <c r="D67" s="362" t="s">
        <v>190</v>
      </c>
      <c r="E67" s="363"/>
      <c r="F67" s="364">
        <f>F65-F66</f>
        <v>0</v>
      </c>
      <c r="G67" s="365"/>
      <c r="H67" s="366"/>
      <c r="I67" s="367"/>
      <c r="J67" s="527"/>
    </row>
    <row r="68" spans="2:10" ht="7.5" customHeight="1" x14ac:dyDescent="0.3">
      <c r="B68" s="338"/>
      <c r="C68" s="142"/>
      <c r="D68" s="143"/>
      <c r="E68" s="144"/>
      <c r="F68" s="345"/>
      <c r="G68" s="144"/>
      <c r="H68" s="144"/>
      <c r="I68" s="515"/>
      <c r="J68" s="524"/>
    </row>
    <row r="69" spans="2:10" ht="15.6" x14ac:dyDescent="0.3">
      <c r="B69" s="124" t="s">
        <v>1830</v>
      </c>
      <c r="C69" s="129" t="s">
        <v>1831</v>
      </c>
      <c r="D69" s="127" t="s">
        <v>190</v>
      </c>
      <c r="E69" s="125" t="s">
        <v>1828</v>
      </c>
      <c r="F69" s="482">
        <v>1</v>
      </c>
      <c r="G69" s="125" t="s">
        <v>1832</v>
      </c>
      <c r="H69" s="303">
        <v>45625</v>
      </c>
      <c r="I69" s="131" t="s">
        <v>898</v>
      </c>
      <c r="J69" s="525"/>
    </row>
    <row r="70" spans="2:10" ht="15.6" x14ac:dyDescent="0.3">
      <c r="B70" s="31"/>
      <c r="C70" s="130"/>
      <c r="D70" s="43"/>
      <c r="E70" s="126"/>
      <c r="F70" s="351"/>
      <c r="G70" s="126"/>
      <c r="H70" s="304"/>
      <c r="I70" s="151"/>
      <c r="J70" s="494"/>
    </row>
    <row r="71" spans="2:10" s="58" customFormat="1" ht="15.6" x14ac:dyDescent="0.3">
      <c r="B71" s="352"/>
      <c r="C71" s="353" t="s">
        <v>771</v>
      </c>
      <c r="D71" s="354" t="s">
        <v>190</v>
      </c>
      <c r="E71" s="355"/>
      <c r="F71" s="356">
        <f>SUM(F69:F70)</f>
        <v>1</v>
      </c>
      <c r="G71" s="357"/>
      <c r="H71" s="358"/>
      <c r="I71" s="359"/>
      <c r="J71" s="526"/>
    </row>
    <row r="72" spans="2:10" s="58" customFormat="1" ht="15.6" x14ac:dyDescent="0.3">
      <c r="B72" s="352"/>
      <c r="C72" s="353" t="s">
        <v>772</v>
      </c>
      <c r="D72" s="354" t="s">
        <v>190</v>
      </c>
      <c r="E72" s="355"/>
      <c r="F72" s="356">
        <v>1</v>
      </c>
      <c r="G72" s="357"/>
      <c r="H72" s="358"/>
      <c r="I72" s="359"/>
      <c r="J72" s="526"/>
    </row>
    <row r="73" spans="2:10" s="58" customFormat="1" ht="15.6" x14ac:dyDescent="0.3">
      <c r="B73" s="360"/>
      <c r="C73" s="361" t="s">
        <v>773</v>
      </c>
      <c r="D73" s="362" t="s">
        <v>190</v>
      </c>
      <c r="E73" s="363"/>
      <c r="F73" s="364">
        <f>F71-F72</f>
        <v>0</v>
      </c>
      <c r="G73" s="365"/>
      <c r="H73" s="366"/>
      <c r="I73" s="367"/>
      <c r="J73" s="527"/>
    </row>
    <row r="74" spans="2:10" ht="7.5" customHeight="1" x14ac:dyDescent="0.3">
      <c r="B74" s="338"/>
      <c r="C74" s="142"/>
      <c r="D74" s="143"/>
      <c r="E74" s="144"/>
      <c r="F74" s="345"/>
      <c r="G74" s="144"/>
      <c r="H74" s="144"/>
      <c r="I74" s="515"/>
      <c r="J74" s="524"/>
    </row>
    <row r="75" spans="2:10" ht="15.6" x14ac:dyDescent="0.3">
      <c r="B75" s="124" t="s">
        <v>1833</v>
      </c>
      <c r="C75" s="129" t="s">
        <v>1834</v>
      </c>
      <c r="D75" s="127" t="s">
        <v>190</v>
      </c>
      <c r="E75" s="125" t="s">
        <v>1828</v>
      </c>
      <c r="F75" s="482">
        <v>1</v>
      </c>
      <c r="G75" s="125" t="s">
        <v>1835</v>
      </c>
      <c r="H75" s="303">
        <v>45747</v>
      </c>
      <c r="I75" s="151" t="s">
        <v>934</v>
      </c>
      <c r="J75" s="525"/>
    </row>
    <row r="76" spans="2:10" ht="15.6" x14ac:dyDescent="0.3">
      <c r="B76" s="31"/>
      <c r="C76" s="130"/>
      <c r="D76" s="43"/>
      <c r="E76" s="126"/>
      <c r="F76" s="351"/>
      <c r="G76" s="126"/>
      <c r="H76" s="304"/>
      <c r="I76" s="151"/>
      <c r="J76" s="494"/>
    </row>
    <row r="77" spans="2:10" s="58" customFormat="1" ht="15.6" x14ac:dyDescent="0.3">
      <c r="B77" s="352"/>
      <c r="C77" s="353" t="s">
        <v>771</v>
      </c>
      <c r="D77" s="354" t="s">
        <v>190</v>
      </c>
      <c r="E77" s="355"/>
      <c r="F77" s="356">
        <f>SUM(F75:F76)</f>
        <v>1</v>
      </c>
      <c r="G77" s="357"/>
      <c r="H77" s="358"/>
      <c r="I77" s="359"/>
      <c r="J77" s="526"/>
    </row>
    <row r="78" spans="2:10" s="58" customFormat="1" ht="15.6" x14ac:dyDescent="0.3">
      <c r="B78" s="352"/>
      <c r="C78" s="353" t="s">
        <v>772</v>
      </c>
      <c r="D78" s="354" t="s">
        <v>190</v>
      </c>
      <c r="E78" s="355"/>
      <c r="F78" s="356">
        <v>1</v>
      </c>
      <c r="G78" s="357"/>
      <c r="H78" s="358"/>
      <c r="I78" s="359"/>
      <c r="J78" s="526"/>
    </row>
    <row r="79" spans="2:10" s="58" customFormat="1" ht="15.6" x14ac:dyDescent="0.3">
      <c r="B79" s="360"/>
      <c r="C79" s="361" t="s">
        <v>773</v>
      </c>
      <c r="D79" s="362" t="s">
        <v>190</v>
      </c>
      <c r="E79" s="363"/>
      <c r="F79" s="364">
        <f>F77-F78</f>
        <v>0</v>
      </c>
      <c r="G79" s="365"/>
      <c r="H79" s="366"/>
      <c r="I79" s="367"/>
      <c r="J79" s="527"/>
    </row>
    <row r="80" spans="2:10" ht="7.5" customHeight="1" x14ac:dyDescent="0.3">
      <c r="B80" s="338"/>
      <c r="C80" s="142"/>
      <c r="D80" s="143"/>
      <c r="E80" s="144"/>
      <c r="F80" s="345"/>
      <c r="G80" s="144"/>
      <c r="H80" s="144"/>
      <c r="I80" s="515"/>
      <c r="J80" s="524"/>
    </row>
    <row r="81" spans="2:10" ht="15.6" x14ac:dyDescent="0.3">
      <c r="B81" s="31" t="s">
        <v>1836</v>
      </c>
      <c r="C81" s="130" t="s">
        <v>341</v>
      </c>
      <c r="D81" s="43" t="s">
        <v>190</v>
      </c>
      <c r="E81" s="126" t="s">
        <v>510</v>
      </c>
      <c r="F81" s="482">
        <v>1</v>
      </c>
      <c r="G81" s="378" t="s">
        <v>1837</v>
      </c>
      <c r="H81" s="304">
        <v>45596</v>
      </c>
      <c r="I81" s="319" t="s">
        <v>871</v>
      </c>
      <c r="J81" s="494"/>
    </row>
    <row r="82" spans="2:10" ht="15.6" x14ac:dyDescent="0.3">
      <c r="B82" s="31" t="s">
        <v>1836</v>
      </c>
      <c r="C82" s="130" t="s">
        <v>341</v>
      </c>
      <c r="D82" s="43" t="s">
        <v>190</v>
      </c>
      <c r="E82" s="126" t="s">
        <v>515</v>
      </c>
      <c r="F82" s="482">
        <v>1</v>
      </c>
      <c r="G82" s="147" t="s">
        <v>1838</v>
      </c>
      <c r="H82" s="304">
        <v>45596</v>
      </c>
      <c r="I82" s="319" t="s">
        <v>871</v>
      </c>
      <c r="J82" s="494"/>
    </row>
    <row r="83" spans="2:10" ht="15.6" x14ac:dyDescent="0.3">
      <c r="B83" s="31"/>
      <c r="C83" s="130"/>
      <c r="D83" s="43"/>
      <c r="E83" s="126"/>
      <c r="F83" s="351"/>
      <c r="G83" s="126"/>
      <c r="H83" s="304"/>
      <c r="I83" s="151"/>
      <c r="J83" s="494"/>
    </row>
    <row r="84" spans="2:10" s="58" customFormat="1" ht="15.6" x14ac:dyDescent="0.3">
      <c r="B84" s="352"/>
      <c r="C84" s="353" t="s">
        <v>771</v>
      </c>
      <c r="D84" s="354" t="s">
        <v>190</v>
      </c>
      <c r="E84" s="355"/>
      <c r="F84" s="356">
        <f>SUM(F81:F83)</f>
        <v>2</v>
      </c>
      <c r="G84" s="357"/>
      <c r="H84" s="358"/>
      <c r="I84" s="359"/>
      <c r="J84" s="526"/>
    </row>
    <row r="85" spans="2:10" s="58" customFormat="1" ht="15.6" x14ac:dyDescent="0.3">
      <c r="B85" s="352"/>
      <c r="C85" s="353" t="s">
        <v>772</v>
      </c>
      <c r="D85" s="354" t="s">
        <v>190</v>
      </c>
      <c r="E85" s="355"/>
      <c r="F85" s="356">
        <v>2</v>
      </c>
      <c r="G85" s="357"/>
      <c r="H85" s="358"/>
      <c r="I85" s="359"/>
      <c r="J85" s="526"/>
    </row>
    <row r="86" spans="2:10" s="58" customFormat="1" ht="15.6" x14ac:dyDescent="0.3">
      <c r="B86" s="360"/>
      <c r="C86" s="361" t="s">
        <v>773</v>
      </c>
      <c r="D86" s="362" t="s">
        <v>190</v>
      </c>
      <c r="E86" s="363"/>
      <c r="F86" s="364">
        <f>F84-F85</f>
        <v>0</v>
      </c>
      <c r="G86" s="365"/>
      <c r="H86" s="366"/>
      <c r="I86" s="367"/>
      <c r="J86" s="527"/>
    </row>
    <row r="87" spans="2:10" ht="7.5" customHeight="1" x14ac:dyDescent="0.3">
      <c r="B87" s="338"/>
      <c r="C87" s="142"/>
      <c r="D87" s="143"/>
      <c r="E87" s="144"/>
      <c r="F87" s="345"/>
      <c r="G87" s="144"/>
      <c r="H87" s="144"/>
      <c r="I87" s="515"/>
      <c r="J87" s="524"/>
    </row>
    <row r="88" spans="2:10" ht="15.6" x14ac:dyDescent="0.3">
      <c r="B88" s="31" t="s">
        <v>1839</v>
      </c>
      <c r="C88" s="130" t="s">
        <v>342</v>
      </c>
      <c r="D88" s="43" t="s">
        <v>190</v>
      </c>
      <c r="E88" s="126" t="s">
        <v>510</v>
      </c>
      <c r="F88" s="348">
        <v>1</v>
      </c>
      <c r="G88" s="378" t="s">
        <v>1840</v>
      </c>
      <c r="H88" s="304">
        <v>45596</v>
      </c>
      <c r="I88" s="319" t="s">
        <v>871</v>
      </c>
      <c r="J88" s="494"/>
    </row>
    <row r="89" spans="2:10" ht="15.6" x14ac:dyDescent="0.3">
      <c r="B89" s="31" t="s">
        <v>1839</v>
      </c>
      <c r="C89" s="130" t="s">
        <v>342</v>
      </c>
      <c r="D89" s="43" t="s">
        <v>190</v>
      </c>
      <c r="E89" s="126" t="s">
        <v>515</v>
      </c>
      <c r="F89" s="348">
        <v>1</v>
      </c>
      <c r="G89" s="147" t="s">
        <v>1841</v>
      </c>
      <c r="H89" s="304">
        <v>45596</v>
      </c>
      <c r="I89" s="319" t="s">
        <v>871</v>
      </c>
      <c r="J89" s="494"/>
    </row>
    <row r="90" spans="2:10" ht="15.6" x14ac:dyDescent="0.3">
      <c r="B90" s="31"/>
      <c r="C90" s="130"/>
      <c r="D90" s="43"/>
      <c r="E90" s="126"/>
      <c r="F90" s="351"/>
      <c r="G90" s="126"/>
      <c r="H90" s="304"/>
      <c r="I90" s="151"/>
      <c r="J90" s="494"/>
    </row>
    <row r="91" spans="2:10" s="58" customFormat="1" ht="15.6" x14ac:dyDescent="0.3">
      <c r="B91" s="352"/>
      <c r="C91" s="353" t="s">
        <v>771</v>
      </c>
      <c r="D91" s="354" t="s">
        <v>190</v>
      </c>
      <c r="E91" s="355"/>
      <c r="F91" s="356">
        <f>SUM(F88:F90)</f>
        <v>2</v>
      </c>
      <c r="G91" s="357"/>
      <c r="H91" s="358"/>
      <c r="I91" s="359"/>
      <c r="J91" s="526"/>
    </row>
    <row r="92" spans="2:10" s="58" customFormat="1" ht="15.6" x14ac:dyDescent="0.3">
      <c r="B92" s="352"/>
      <c r="C92" s="353" t="s">
        <v>772</v>
      </c>
      <c r="D92" s="354" t="s">
        <v>190</v>
      </c>
      <c r="E92" s="355"/>
      <c r="F92" s="356">
        <v>2</v>
      </c>
      <c r="G92" s="357"/>
      <c r="H92" s="358"/>
      <c r="I92" s="359"/>
      <c r="J92" s="526"/>
    </row>
    <row r="93" spans="2:10" s="58" customFormat="1" ht="15.6" x14ac:dyDescent="0.3">
      <c r="B93" s="360"/>
      <c r="C93" s="361" t="s">
        <v>773</v>
      </c>
      <c r="D93" s="362" t="s">
        <v>190</v>
      </c>
      <c r="E93" s="363"/>
      <c r="F93" s="364">
        <f>F91-F92</f>
        <v>0</v>
      </c>
      <c r="G93" s="365"/>
      <c r="H93" s="366"/>
      <c r="I93" s="367"/>
      <c r="J93" s="527"/>
    </row>
    <row r="94" spans="2:10" ht="7.5" customHeight="1" x14ac:dyDescent="0.3">
      <c r="B94" s="338"/>
      <c r="C94" s="142"/>
      <c r="D94" s="143"/>
      <c r="E94" s="144"/>
      <c r="F94" s="345"/>
      <c r="G94" s="144"/>
      <c r="H94" s="144"/>
      <c r="I94" s="515"/>
      <c r="J94" s="524"/>
    </row>
    <row r="95" spans="2:10" ht="15.6" x14ac:dyDescent="0.3">
      <c r="B95" s="31" t="s">
        <v>1842</v>
      </c>
      <c r="C95" s="130" t="s">
        <v>343</v>
      </c>
      <c r="D95" s="43" t="s">
        <v>190</v>
      </c>
      <c r="E95" s="126" t="s">
        <v>510</v>
      </c>
      <c r="F95" s="348">
        <v>1</v>
      </c>
      <c r="G95" s="378" t="s">
        <v>1843</v>
      </c>
      <c r="H95" s="304">
        <v>45500</v>
      </c>
      <c r="I95" s="151" t="s">
        <v>778</v>
      </c>
      <c r="J95" s="494"/>
    </row>
    <row r="96" spans="2:10" ht="15.6" x14ac:dyDescent="0.3">
      <c r="B96" s="31"/>
      <c r="C96" s="130"/>
      <c r="D96" s="43"/>
      <c r="E96" s="126"/>
      <c r="F96" s="351"/>
      <c r="G96" s="126"/>
      <c r="H96" s="304"/>
      <c r="I96" s="151"/>
      <c r="J96" s="494"/>
    </row>
    <row r="97" spans="2:11" s="58" customFormat="1" ht="15.6" x14ac:dyDescent="0.3">
      <c r="B97" s="352"/>
      <c r="C97" s="353" t="s">
        <v>771</v>
      </c>
      <c r="D97" s="354" t="s">
        <v>190</v>
      </c>
      <c r="E97" s="355"/>
      <c r="F97" s="356">
        <f>SUM(F95:F96)</f>
        <v>1</v>
      </c>
      <c r="G97" s="357"/>
      <c r="H97" s="358"/>
      <c r="I97" s="359"/>
      <c r="J97" s="526"/>
    </row>
    <row r="98" spans="2:11" s="58" customFormat="1" ht="15.6" x14ac:dyDescent="0.3">
      <c r="B98" s="352"/>
      <c r="C98" s="353" t="s">
        <v>772</v>
      </c>
      <c r="D98" s="354" t="s">
        <v>190</v>
      </c>
      <c r="E98" s="355"/>
      <c r="F98" s="356">
        <v>1</v>
      </c>
      <c r="G98" s="357"/>
      <c r="H98" s="358"/>
      <c r="I98" s="359"/>
      <c r="J98" s="526"/>
    </row>
    <row r="99" spans="2:11" s="58" customFormat="1" ht="15.6" x14ac:dyDescent="0.3">
      <c r="B99" s="360"/>
      <c r="C99" s="361" t="s">
        <v>773</v>
      </c>
      <c r="D99" s="362" t="s">
        <v>190</v>
      </c>
      <c r="E99" s="363"/>
      <c r="F99" s="364">
        <f>F97-F98</f>
        <v>0</v>
      </c>
      <c r="G99" s="365"/>
      <c r="H99" s="366"/>
      <c r="I99" s="367"/>
      <c r="J99" s="527"/>
    </row>
    <row r="100" spans="2:11" ht="7.5" customHeight="1" x14ac:dyDescent="0.3">
      <c r="B100" s="338"/>
      <c r="C100" s="142"/>
      <c r="D100" s="143"/>
      <c r="E100" s="144"/>
      <c r="F100" s="345"/>
      <c r="G100" s="144"/>
      <c r="H100" s="144"/>
      <c r="I100" s="515"/>
      <c r="J100" s="524"/>
    </row>
    <row r="101" spans="2:11" ht="15.6" x14ac:dyDescent="0.3">
      <c r="B101" s="148">
        <v>303</v>
      </c>
      <c r="C101" s="149" t="s">
        <v>344</v>
      </c>
      <c r="D101" s="138"/>
      <c r="E101" s="139"/>
      <c r="F101" s="346"/>
      <c r="G101" s="139"/>
      <c r="H101" s="139"/>
      <c r="I101" s="139"/>
      <c r="J101" s="500"/>
    </row>
    <row r="102" spans="2:11" ht="15.6" x14ac:dyDescent="0.3">
      <c r="B102" s="31" t="s">
        <v>1844</v>
      </c>
      <c r="C102" s="130" t="s">
        <v>1845</v>
      </c>
      <c r="D102" s="43" t="s">
        <v>190</v>
      </c>
      <c r="E102" s="126" t="s">
        <v>510</v>
      </c>
      <c r="F102" s="482">
        <v>0.75</v>
      </c>
      <c r="G102" s="378" t="s">
        <v>1846</v>
      </c>
      <c r="H102" s="304">
        <v>45656</v>
      </c>
      <c r="I102" s="151" t="s">
        <v>931</v>
      </c>
      <c r="J102" s="494"/>
    </row>
    <row r="103" spans="2:11" ht="15.6" x14ac:dyDescent="0.3">
      <c r="B103" s="31" t="s">
        <v>1844</v>
      </c>
      <c r="C103" s="130" t="s">
        <v>1845</v>
      </c>
      <c r="D103" s="43" t="s">
        <v>190</v>
      </c>
      <c r="E103" s="126" t="s">
        <v>510</v>
      </c>
      <c r="F103" s="482">
        <v>0.25</v>
      </c>
      <c r="G103" s="147" t="s">
        <v>1847</v>
      </c>
      <c r="H103" s="304">
        <v>45688</v>
      </c>
      <c r="I103" s="151" t="s">
        <v>1326</v>
      </c>
      <c r="J103" s="494"/>
    </row>
    <row r="104" spans="2:11" ht="15.6" x14ac:dyDescent="0.3">
      <c r="B104" s="31" t="s">
        <v>1844</v>
      </c>
      <c r="C104" s="130" t="s">
        <v>1845</v>
      </c>
      <c r="D104" s="43" t="s">
        <v>190</v>
      </c>
      <c r="E104" s="126" t="s">
        <v>515</v>
      </c>
      <c r="F104" s="482">
        <v>0.75</v>
      </c>
      <c r="G104" s="147" t="s">
        <v>1848</v>
      </c>
      <c r="H104" s="304">
        <v>45688</v>
      </c>
      <c r="I104" s="151" t="s">
        <v>1326</v>
      </c>
      <c r="J104" s="494"/>
      <c r="K104" s="132" t="s">
        <v>1849</v>
      </c>
    </row>
    <row r="105" spans="2:11" ht="15.6" x14ac:dyDescent="0.3">
      <c r="B105" s="31" t="s">
        <v>1844</v>
      </c>
      <c r="C105" s="130" t="s">
        <v>1845</v>
      </c>
      <c r="D105" s="43" t="s">
        <v>190</v>
      </c>
      <c r="E105" s="126" t="s">
        <v>515</v>
      </c>
      <c r="F105" s="482">
        <v>0.25</v>
      </c>
      <c r="G105" s="147" t="s">
        <v>1850</v>
      </c>
      <c r="H105" s="304">
        <v>45716</v>
      </c>
      <c r="I105" s="151" t="s">
        <v>1250</v>
      </c>
      <c r="J105" s="494"/>
    </row>
    <row r="106" spans="2:11" ht="15.6" x14ac:dyDescent="0.3">
      <c r="B106" s="31"/>
      <c r="C106" s="130"/>
      <c r="D106" s="43"/>
      <c r="E106" s="126"/>
      <c r="F106" s="351"/>
      <c r="G106" s="126"/>
      <c r="H106" s="304"/>
      <c r="I106" s="151"/>
      <c r="J106" s="494"/>
    </row>
    <row r="107" spans="2:11" s="58" customFormat="1" ht="15.6" x14ac:dyDescent="0.3">
      <c r="B107" s="352"/>
      <c r="C107" s="353" t="s">
        <v>771</v>
      </c>
      <c r="D107" s="354" t="s">
        <v>190</v>
      </c>
      <c r="E107" s="355"/>
      <c r="F107" s="356">
        <f>SUM(F102:F106)</f>
        <v>2</v>
      </c>
      <c r="G107" s="357"/>
      <c r="H107" s="358"/>
      <c r="I107" s="359"/>
      <c r="J107" s="526"/>
    </row>
    <row r="108" spans="2:11" s="58" customFormat="1" ht="15.6" x14ac:dyDescent="0.3">
      <c r="B108" s="352"/>
      <c r="C108" s="353" t="s">
        <v>772</v>
      </c>
      <c r="D108" s="354" t="s">
        <v>190</v>
      </c>
      <c r="E108" s="355"/>
      <c r="F108" s="356">
        <v>2</v>
      </c>
      <c r="G108" s="357"/>
      <c r="H108" s="358"/>
      <c r="I108" s="359"/>
      <c r="J108" s="526"/>
    </row>
    <row r="109" spans="2:11" s="58" customFormat="1" ht="15.6" x14ac:dyDescent="0.3">
      <c r="B109" s="360"/>
      <c r="C109" s="361" t="s">
        <v>773</v>
      </c>
      <c r="D109" s="362" t="s">
        <v>190</v>
      </c>
      <c r="E109" s="363"/>
      <c r="F109" s="364">
        <f>F107-F108</f>
        <v>0</v>
      </c>
      <c r="G109" s="365"/>
      <c r="H109" s="366"/>
      <c r="I109" s="367"/>
      <c r="J109" s="527"/>
    </row>
    <row r="110" spans="2:11" ht="6.6" customHeight="1" x14ac:dyDescent="0.3">
      <c r="B110" s="338"/>
      <c r="C110" s="142"/>
      <c r="D110" s="143"/>
      <c r="E110" s="144"/>
      <c r="F110" s="345"/>
      <c r="G110" s="144"/>
      <c r="H110" s="144"/>
      <c r="I110" s="515"/>
      <c r="J110" s="524"/>
    </row>
    <row r="111" spans="2:11" ht="15.6" x14ac:dyDescent="0.3">
      <c r="B111" s="31" t="s">
        <v>1851</v>
      </c>
      <c r="C111" s="130" t="s">
        <v>1852</v>
      </c>
      <c r="D111" s="43" t="s">
        <v>190</v>
      </c>
      <c r="E111" s="126" t="s">
        <v>510</v>
      </c>
      <c r="F111" s="482">
        <f>600/1600</f>
        <v>0.375</v>
      </c>
      <c r="G111" s="378" t="s">
        <v>1853</v>
      </c>
      <c r="H111" s="304">
        <v>45716</v>
      </c>
      <c r="I111" s="151" t="s">
        <v>1250</v>
      </c>
      <c r="J111" s="494" t="s">
        <v>1854</v>
      </c>
    </row>
    <row r="112" spans="2:11" ht="15.6" x14ac:dyDescent="0.3">
      <c r="B112" s="31" t="s">
        <v>1851</v>
      </c>
      <c r="C112" s="130" t="s">
        <v>1852</v>
      </c>
      <c r="D112" s="43" t="s">
        <v>190</v>
      </c>
      <c r="E112" s="126" t="s">
        <v>515</v>
      </c>
      <c r="F112" s="482">
        <f>250/1600</f>
        <v>0.15625</v>
      </c>
      <c r="G112" s="147" t="s">
        <v>1855</v>
      </c>
      <c r="H112" s="304">
        <v>45716</v>
      </c>
      <c r="I112" s="151" t="s">
        <v>1250</v>
      </c>
      <c r="J112" s="494" t="s">
        <v>1856</v>
      </c>
    </row>
    <row r="113" spans="2:10" ht="15.6" x14ac:dyDescent="0.3">
      <c r="B113" s="31" t="s">
        <v>1851</v>
      </c>
      <c r="C113" s="130" t="s">
        <v>1852</v>
      </c>
      <c r="D113" s="43" t="s">
        <v>190</v>
      </c>
      <c r="E113" s="126" t="s">
        <v>510</v>
      </c>
      <c r="F113" s="482">
        <f>600/1600</f>
        <v>0.375</v>
      </c>
      <c r="G113" s="147" t="s">
        <v>1857</v>
      </c>
      <c r="H113" s="304">
        <v>45744</v>
      </c>
      <c r="I113" s="151" t="s">
        <v>934</v>
      </c>
      <c r="J113" s="494" t="s">
        <v>1854</v>
      </c>
    </row>
    <row r="114" spans="2:10" ht="31.2" x14ac:dyDescent="0.3">
      <c r="B114" s="31" t="s">
        <v>1851</v>
      </c>
      <c r="C114" s="130" t="s">
        <v>1852</v>
      </c>
      <c r="D114" s="43" t="s">
        <v>190</v>
      </c>
      <c r="E114" s="126" t="s">
        <v>515</v>
      </c>
      <c r="F114" s="482">
        <f>750/1600</f>
        <v>0.46875</v>
      </c>
      <c r="G114" s="302" t="s">
        <v>1858</v>
      </c>
      <c r="H114" s="542" t="s">
        <v>1859</v>
      </c>
      <c r="I114" s="151" t="s">
        <v>934</v>
      </c>
      <c r="J114" s="494" t="s">
        <v>1860</v>
      </c>
    </row>
    <row r="115" spans="2:10" ht="15.6" x14ac:dyDescent="0.3">
      <c r="B115" s="31" t="s">
        <v>1851</v>
      </c>
      <c r="C115" s="130" t="s">
        <v>1852</v>
      </c>
      <c r="D115" s="43" t="s">
        <v>190</v>
      </c>
      <c r="E115" s="126" t="s">
        <v>510</v>
      </c>
      <c r="F115" s="482">
        <f>400/1600</f>
        <v>0.25</v>
      </c>
      <c r="G115" s="147" t="s">
        <v>1861</v>
      </c>
      <c r="H115" s="542">
        <v>45777</v>
      </c>
      <c r="I115" s="151" t="s">
        <v>1302</v>
      </c>
      <c r="J115" s="494" t="s">
        <v>1862</v>
      </c>
    </row>
    <row r="116" spans="2:10" ht="15.6" x14ac:dyDescent="0.3">
      <c r="B116" s="31" t="s">
        <v>1851</v>
      </c>
      <c r="C116" s="130" t="s">
        <v>1852</v>
      </c>
      <c r="D116" s="43" t="s">
        <v>190</v>
      </c>
      <c r="E116" s="126" t="s">
        <v>515</v>
      </c>
      <c r="F116" s="482">
        <f>350/1600</f>
        <v>0.21875</v>
      </c>
      <c r="G116" s="147" t="s">
        <v>1863</v>
      </c>
      <c r="H116" s="542">
        <v>45777</v>
      </c>
      <c r="I116" s="151" t="s">
        <v>1302</v>
      </c>
      <c r="J116" s="494" t="s">
        <v>1864</v>
      </c>
    </row>
    <row r="117" spans="2:10" ht="15.6" x14ac:dyDescent="0.3">
      <c r="B117" s="31" t="s">
        <v>1851</v>
      </c>
      <c r="C117" s="130" t="s">
        <v>1852</v>
      </c>
      <c r="D117" s="43" t="s">
        <v>190</v>
      </c>
      <c r="E117" s="126" t="s">
        <v>515</v>
      </c>
      <c r="F117" s="482">
        <f>250/1600</f>
        <v>0.15625</v>
      </c>
      <c r="G117" s="489" t="s">
        <v>1865</v>
      </c>
      <c r="H117" s="542">
        <v>45838</v>
      </c>
      <c r="I117" s="151" t="s">
        <v>937</v>
      </c>
      <c r="J117" s="494" t="s">
        <v>1856</v>
      </c>
    </row>
    <row r="118" spans="2:10" ht="15.6" x14ac:dyDescent="0.3">
      <c r="B118" s="31"/>
      <c r="C118" s="130"/>
      <c r="D118" s="43"/>
      <c r="E118" s="126"/>
      <c r="F118" s="504"/>
      <c r="G118" s="126"/>
      <c r="H118" s="304"/>
      <c r="I118" s="151"/>
      <c r="J118" s="494"/>
    </row>
    <row r="119" spans="2:10" s="58" customFormat="1" ht="15.6" x14ac:dyDescent="0.3">
      <c r="B119" s="352"/>
      <c r="C119" s="353" t="s">
        <v>771</v>
      </c>
      <c r="D119" s="354" t="s">
        <v>190</v>
      </c>
      <c r="E119" s="355"/>
      <c r="F119" s="356">
        <f>ROUND(SUM(F111:F118),0)</f>
        <v>2</v>
      </c>
      <c r="G119" s="357"/>
      <c r="H119" s="358"/>
      <c r="I119" s="359"/>
      <c r="J119" s="526"/>
    </row>
    <row r="120" spans="2:10" s="58" customFormat="1" ht="15.6" x14ac:dyDescent="0.3">
      <c r="B120" s="352"/>
      <c r="C120" s="353" t="s">
        <v>772</v>
      </c>
      <c r="D120" s="354" t="s">
        <v>190</v>
      </c>
      <c r="E120" s="355"/>
      <c r="F120" s="356">
        <v>2</v>
      </c>
      <c r="G120" s="357"/>
      <c r="H120" s="358"/>
      <c r="I120" s="359"/>
      <c r="J120" s="526"/>
    </row>
    <row r="121" spans="2:10" s="58" customFormat="1" ht="15.6" x14ac:dyDescent="0.3">
      <c r="B121" s="360"/>
      <c r="C121" s="361" t="s">
        <v>773</v>
      </c>
      <c r="D121" s="362" t="s">
        <v>190</v>
      </c>
      <c r="E121" s="363"/>
      <c r="F121" s="364">
        <f>F119-F120</f>
        <v>0</v>
      </c>
      <c r="G121" s="365"/>
      <c r="H121" s="366"/>
      <c r="I121" s="367"/>
      <c r="J121" s="527"/>
    </row>
    <row r="122" spans="2:10" ht="7.35" customHeight="1" x14ac:dyDescent="0.3">
      <c r="B122" s="338"/>
      <c r="C122" s="142"/>
      <c r="D122" s="143"/>
      <c r="E122" s="144"/>
      <c r="F122" s="345"/>
      <c r="G122" s="144"/>
      <c r="H122" s="144"/>
      <c r="I122" s="515"/>
      <c r="J122" s="524"/>
    </row>
    <row r="123" spans="2:10" ht="15.6" x14ac:dyDescent="0.3">
      <c r="B123" s="31" t="s">
        <v>1866</v>
      </c>
      <c r="C123" s="130" t="s">
        <v>1867</v>
      </c>
      <c r="D123" s="43" t="s">
        <v>190</v>
      </c>
      <c r="E123" s="126" t="s">
        <v>510</v>
      </c>
      <c r="F123" s="482">
        <v>1</v>
      </c>
      <c r="G123" s="147" t="s">
        <v>1868</v>
      </c>
      <c r="H123" s="304">
        <v>45744</v>
      </c>
      <c r="I123" s="151" t="s">
        <v>934</v>
      </c>
      <c r="J123" s="494"/>
    </row>
    <row r="124" spans="2:10" ht="15.6" x14ac:dyDescent="0.3">
      <c r="B124" s="31" t="s">
        <v>1866</v>
      </c>
      <c r="C124" s="130" t="s">
        <v>1867</v>
      </c>
      <c r="D124" s="43" t="s">
        <v>190</v>
      </c>
      <c r="E124" s="126" t="s">
        <v>515</v>
      </c>
      <c r="F124" s="482">
        <v>1</v>
      </c>
      <c r="G124" s="147" t="s">
        <v>1869</v>
      </c>
      <c r="H124" s="304">
        <v>45777</v>
      </c>
      <c r="I124" s="151" t="s">
        <v>1302</v>
      </c>
      <c r="J124" s="494"/>
    </row>
    <row r="125" spans="2:10" ht="15.6" x14ac:dyDescent="0.3">
      <c r="B125" s="31"/>
      <c r="C125" s="130"/>
      <c r="D125" s="43"/>
      <c r="E125" s="126"/>
      <c r="F125" s="351"/>
      <c r="G125" s="126"/>
      <c r="H125" s="304"/>
      <c r="I125" s="151"/>
      <c r="J125" s="494"/>
    </row>
    <row r="126" spans="2:10" s="58" customFormat="1" ht="15.6" x14ac:dyDescent="0.3">
      <c r="B126" s="352"/>
      <c r="C126" s="353" t="s">
        <v>771</v>
      </c>
      <c r="D126" s="354" t="s">
        <v>190</v>
      </c>
      <c r="E126" s="355"/>
      <c r="F126" s="356">
        <f>SUM(F123:F125)</f>
        <v>2</v>
      </c>
      <c r="G126" s="357"/>
      <c r="H126" s="358"/>
      <c r="I126" s="359"/>
      <c r="J126" s="526"/>
    </row>
    <row r="127" spans="2:10" s="58" customFormat="1" ht="15.6" x14ac:dyDescent="0.3">
      <c r="B127" s="352"/>
      <c r="C127" s="353" t="s">
        <v>772</v>
      </c>
      <c r="D127" s="354" t="s">
        <v>190</v>
      </c>
      <c r="E127" s="355"/>
      <c r="F127" s="356">
        <v>2</v>
      </c>
      <c r="G127" s="357"/>
      <c r="H127" s="358"/>
      <c r="I127" s="359"/>
      <c r="J127" s="526"/>
    </row>
    <row r="128" spans="2:10" s="58" customFormat="1" ht="15.6" x14ac:dyDescent="0.3">
      <c r="B128" s="360"/>
      <c r="C128" s="361" t="s">
        <v>773</v>
      </c>
      <c r="D128" s="362" t="s">
        <v>190</v>
      </c>
      <c r="E128" s="363"/>
      <c r="F128" s="364">
        <f>F126-F127</f>
        <v>0</v>
      </c>
      <c r="G128" s="365"/>
      <c r="H128" s="366"/>
      <c r="I128" s="367"/>
      <c r="J128" s="527"/>
    </row>
    <row r="129" spans="2:10" ht="7.5" customHeight="1" x14ac:dyDescent="0.3">
      <c r="B129" s="338"/>
      <c r="C129" s="142"/>
      <c r="D129" s="143"/>
      <c r="E129" s="144"/>
      <c r="F129" s="345"/>
      <c r="G129" s="144"/>
      <c r="H129" s="144"/>
      <c r="I129" s="515"/>
      <c r="J129" s="524"/>
    </row>
    <row r="130" spans="2:10" ht="15.6" x14ac:dyDescent="0.3">
      <c r="B130" s="31" t="s">
        <v>1870</v>
      </c>
      <c r="C130" s="130" t="s">
        <v>1871</v>
      </c>
      <c r="D130" s="43" t="s">
        <v>190</v>
      </c>
      <c r="E130" s="126" t="s">
        <v>510</v>
      </c>
      <c r="F130" s="482">
        <f>1</f>
        <v>1</v>
      </c>
      <c r="G130" s="489" t="s">
        <v>1872</v>
      </c>
      <c r="H130" s="595">
        <v>45808</v>
      </c>
      <c r="I130" s="151" t="s">
        <v>97</v>
      </c>
      <c r="J130" s="494"/>
    </row>
    <row r="131" spans="2:10" ht="15.6" x14ac:dyDescent="0.3">
      <c r="B131" s="31" t="s">
        <v>1870</v>
      </c>
      <c r="C131" s="130" t="s">
        <v>1871</v>
      </c>
      <c r="D131" s="43" t="s">
        <v>190</v>
      </c>
      <c r="E131" s="126" t="s">
        <v>515</v>
      </c>
      <c r="F131" s="482">
        <f>1</f>
        <v>1</v>
      </c>
      <c r="G131" s="489" t="s">
        <v>1873</v>
      </c>
      <c r="H131" s="595">
        <v>45808</v>
      </c>
      <c r="I131" s="151" t="s">
        <v>97</v>
      </c>
      <c r="J131" s="494"/>
    </row>
    <row r="132" spans="2:10" ht="15.6" x14ac:dyDescent="0.3">
      <c r="B132" s="31"/>
      <c r="C132" s="130"/>
      <c r="D132" s="43"/>
      <c r="E132" s="126"/>
      <c r="F132" s="482"/>
      <c r="G132" s="126"/>
      <c r="H132" s="304"/>
      <c r="I132" s="151"/>
      <c r="J132" s="494"/>
    </row>
    <row r="133" spans="2:10" s="58" customFormat="1" ht="15.6" x14ac:dyDescent="0.3">
      <c r="B133" s="352"/>
      <c r="C133" s="353" t="s">
        <v>771</v>
      </c>
      <c r="D133" s="354" t="s">
        <v>190</v>
      </c>
      <c r="E133" s="355"/>
      <c r="F133" s="356">
        <f>SUM(F130:F132)</f>
        <v>2</v>
      </c>
      <c r="G133" s="357"/>
      <c r="H133" s="358"/>
      <c r="I133" s="359"/>
      <c r="J133" s="526"/>
    </row>
    <row r="134" spans="2:10" s="58" customFormat="1" ht="15.6" x14ac:dyDescent="0.3">
      <c r="B134" s="352"/>
      <c r="C134" s="353" t="s">
        <v>772</v>
      </c>
      <c r="D134" s="354" t="s">
        <v>190</v>
      </c>
      <c r="E134" s="355"/>
      <c r="F134" s="356">
        <v>2</v>
      </c>
      <c r="G134" s="357"/>
      <c r="H134" s="358"/>
      <c r="I134" s="359"/>
      <c r="J134" s="526"/>
    </row>
    <row r="135" spans="2:10" s="58" customFormat="1" ht="15.6" x14ac:dyDescent="0.3">
      <c r="B135" s="360"/>
      <c r="C135" s="361" t="s">
        <v>773</v>
      </c>
      <c r="D135" s="362" t="s">
        <v>190</v>
      </c>
      <c r="E135" s="363"/>
      <c r="F135" s="364">
        <f>F133-F134</f>
        <v>0</v>
      </c>
      <c r="G135" s="365"/>
      <c r="H135" s="366"/>
      <c r="I135" s="367"/>
      <c r="J135" s="527"/>
    </row>
    <row r="136" spans="2:10" ht="7.5" customHeight="1" x14ac:dyDescent="0.3">
      <c r="B136" s="338"/>
      <c r="C136" s="142"/>
      <c r="D136" s="143"/>
      <c r="E136" s="144"/>
      <c r="F136" s="345"/>
      <c r="G136" s="144"/>
      <c r="H136" s="144"/>
      <c r="I136" s="515"/>
      <c r="J136" s="524"/>
    </row>
    <row r="137" spans="2:10" ht="31.2" x14ac:dyDescent="0.3">
      <c r="B137" s="31" t="s">
        <v>1874</v>
      </c>
      <c r="C137" s="479" t="s">
        <v>1875</v>
      </c>
      <c r="D137" s="43" t="s">
        <v>190</v>
      </c>
      <c r="E137" s="126" t="s">
        <v>510</v>
      </c>
      <c r="F137" s="482">
        <f>1</f>
        <v>1</v>
      </c>
      <c r="G137" s="489" t="s">
        <v>1876</v>
      </c>
      <c r="H137" s="595">
        <v>45838</v>
      </c>
      <c r="I137" s="151" t="s">
        <v>937</v>
      </c>
      <c r="J137" s="494"/>
    </row>
    <row r="138" spans="2:10" ht="31.2" x14ac:dyDescent="0.3">
      <c r="B138" s="31" t="s">
        <v>1874</v>
      </c>
      <c r="C138" s="479" t="s">
        <v>1875</v>
      </c>
      <c r="D138" s="43" t="s">
        <v>190</v>
      </c>
      <c r="E138" s="126" t="s">
        <v>515</v>
      </c>
      <c r="F138" s="482">
        <f>1</f>
        <v>1</v>
      </c>
      <c r="G138" s="489" t="s">
        <v>1877</v>
      </c>
      <c r="H138" s="595">
        <v>45838</v>
      </c>
      <c r="I138" s="151" t="s">
        <v>937</v>
      </c>
      <c r="J138" s="494"/>
    </row>
    <row r="139" spans="2:10" ht="15.6" x14ac:dyDescent="0.3">
      <c r="B139" s="31"/>
      <c r="C139" s="130"/>
      <c r="D139" s="43"/>
      <c r="E139" s="126"/>
      <c r="F139" s="482"/>
      <c r="G139" s="126"/>
      <c r="H139" s="304"/>
      <c r="I139" s="151"/>
      <c r="J139" s="494"/>
    </row>
    <row r="140" spans="2:10" s="58" customFormat="1" ht="15.6" x14ac:dyDescent="0.3">
      <c r="B140" s="352"/>
      <c r="C140" s="353" t="s">
        <v>771</v>
      </c>
      <c r="D140" s="354" t="s">
        <v>190</v>
      </c>
      <c r="E140" s="355"/>
      <c r="F140" s="356">
        <f>SUM(F137:F139)</f>
        <v>2</v>
      </c>
      <c r="G140" s="357"/>
      <c r="H140" s="358"/>
      <c r="I140" s="359"/>
      <c r="J140" s="526"/>
    </row>
    <row r="141" spans="2:10" s="58" customFormat="1" ht="15.6" x14ac:dyDescent="0.3">
      <c r="B141" s="352"/>
      <c r="C141" s="353" t="s">
        <v>772</v>
      </c>
      <c r="D141" s="354" t="s">
        <v>190</v>
      </c>
      <c r="E141" s="355"/>
      <c r="F141" s="356">
        <v>2</v>
      </c>
      <c r="G141" s="357"/>
      <c r="H141" s="358"/>
      <c r="I141" s="359"/>
      <c r="J141" s="526"/>
    </row>
    <row r="142" spans="2:10" s="58" customFormat="1" ht="15.6" x14ac:dyDescent="0.3">
      <c r="B142" s="360"/>
      <c r="C142" s="361" t="s">
        <v>773</v>
      </c>
      <c r="D142" s="362" t="s">
        <v>190</v>
      </c>
      <c r="E142" s="363"/>
      <c r="F142" s="364">
        <f>F140-F141</f>
        <v>0</v>
      </c>
      <c r="G142" s="365"/>
      <c r="H142" s="366"/>
      <c r="I142" s="367"/>
      <c r="J142" s="527"/>
    </row>
    <row r="143" spans="2:10" ht="7.5" customHeight="1" x14ac:dyDescent="0.3">
      <c r="B143" s="338"/>
      <c r="C143" s="142"/>
      <c r="D143" s="143"/>
      <c r="E143" s="144"/>
      <c r="F143" s="345"/>
      <c r="G143" s="144"/>
      <c r="H143" s="144"/>
      <c r="I143" s="515"/>
      <c r="J143" s="524"/>
    </row>
    <row r="144" spans="2:10" ht="15.6" x14ac:dyDescent="0.3">
      <c r="B144" s="148">
        <v>304</v>
      </c>
      <c r="C144" s="149" t="s">
        <v>352</v>
      </c>
      <c r="D144" s="138"/>
      <c r="E144" s="139"/>
      <c r="F144" s="346"/>
      <c r="G144" s="139"/>
      <c r="H144" s="139"/>
      <c r="I144" s="139"/>
      <c r="J144" s="500"/>
    </row>
    <row r="145" spans="2:11" ht="15.6" x14ac:dyDescent="0.3">
      <c r="B145" s="31" t="s">
        <v>1878</v>
      </c>
      <c r="C145" s="130" t="s">
        <v>353</v>
      </c>
      <c r="D145" s="43" t="s">
        <v>190</v>
      </c>
      <c r="E145" s="126"/>
      <c r="F145" s="482">
        <v>4</v>
      </c>
      <c r="G145" s="378" t="s">
        <v>1879</v>
      </c>
      <c r="H145" s="304">
        <v>45626</v>
      </c>
      <c r="I145" s="151" t="s">
        <v>898</v>
      </c>
      <c r="J145" s="494"/>
    </row>
    <row r="146" spans="2:11" ht="15.6" x14ac:dyDescent="0.3">
      <c r="B146" s="31"/>
      <c r="C146" s="130"/>
      <c r="D146" s="43"/>
      <c r="E146" s="126"/>
      <c r="F146" s="351"/>
      <c r="G146" s="126"/>
      <c r="H146" s="304"/>
      <c r="I146" s="151"/>
      <c r="J146" s="494"/>
    </row>
    <row r="147" spans="2:11" s="58" customFormat="1" ht="15.6" x14ac:dyDescent="0.3">
      <c r="B147" s="352"/>
      <c r="C147" s="353" t="s">
        <v>771</v>
      </c>
      <c r="D147" s="354" t="s">
        <v>190</v>
      </c>
      <c r="E147" s="355"/>
      <c r="F147" s="356">
        <f>SUM(F145:F146)</f>
        <v>4</v>
      </c>
      <c r="G147" s="357"/>
      <c r="H147" s="358"/>
      <c r="I147" s="359"/>
      <c r="J147" s="526"/>
    </row>
    <row r="148" spans="2:11" s="58" customFormat="1" ht="15.6" x14ac:dyDescent="0.3">
      <c r="B148" s="352"/>
      <c r="C148" s="353" t="s">
        <v>772</v>
      </c>
      <c r="D148" s="354" t="s">
        <v>190</v>
      </c>
      <c r="E148" s="355"/>
      <c r="F148" s="356">
        <v>4</v>
      </c>
      <c r="G148" s="357"/>
      <c r="H148" s="358"/>
      <c r="I148" s="359"/>
      <c r="J148" s="526"/>
    </row>
    <row r="149" spans="2:11" s="58" customFormat="1" ht="15.6" x14ac:dyDescent="0.3">
      <c r="B149" s="360"/>
      <c r="C149" s="361" t="s">
        <v>773</v>
      </c>
      <c r="D149" s="362" t="s">
        <v>190</v>
      </c>
      <c r="E149" s="363"/>
      <c r="F149" s="364">
        <f>F147-F148</f>
        <v>0</v>
      </c>
      <c r="G149" s="365"/>
      <c r="H149" s="366"/>
      <c r="I149" s="367"/>
      <c r="J149" s="527"/>
    </row>
    <row r="150" spans="2:11" ht="7.5" customHeight="1" x14ac:dyDescent="0.3">
      <c r="B150" s="338"/>
      <c r="C150" s="142"/>
      <c r="D150" s="143"/>
      <c r="E150" s="144"/>
      <c r="F150" s="345"/>
      <c r="G150" s="144"/>
      <c r="H150" s="144"/>
      <c r="I150" s="515"/>
      <c r="J150" s="524"/>
    </row>
    <row r="151" spans="2:11" ht="15.6" x14ac:dyDescent="0.3">
      <c r="B151" s="31" t="s">
        <v>1880</v>
      </c>
      <c r="C151" s="130" t="s">
        <v>354</v>
      </c>
      <c r="D151" s="43" t="s">
        <v>190</v>
      </c>
      <c r="E151" s="126"/>
      <c r="F151" s="482">
        <f>(227)/1571*4</f>
        <v>0.57797581158497768</v>
      </c>
      <c r="G151" s="378" t="s">
        <v>1881</v>
      </c>
      <c r="H151" s="304"/>
      <c r="I151" s="151" t="s">
        <v>1250</v>
      </c>
      <c r="J151" s="658" t="s">
        <v>1882</v>
      </c>
      <c r="K151" s="657"/>
    </row>
    <row r="152" spans="2:11" ht="15.6" x14ac:dyDescent="0.3">
      <c r="B152" s="31" t="s">
        <v>1880</v>
      </c>
      <c r="C152" s="130" t="s">
        <v>354</v>
      </c>
      <c r="D152" s="43" t="s">
        <v>190</v>
      </c>
      <c r="E152" s="126"/>
      <c r="F152" s="482">
        <f>473/1571*4</f>
        <v>1.2043284532145131</v>
      </c>
      <c r="G152" s="147" t="s">
        <v>1881</v>
      </c>
      <c r="H152" s="304"/>
      <c r="I152" s="151" t="s">
        <v>934</v>
      </c>
      <c r="J152" s="658" t="s">
        <v>1883</v>
      </c>
      <c r="K152" s="657"/>
    </row>
    <row r="153" spans="2:11" ht="15.6" x14ac:dyDescent="0.3">
      <c r="B153" s="31" t="s">
        <v>1880</v>
      </c>
      <c r="C153" s="130" t="s">
        <v>354</v>
      </c>
      <c r="D153" s="43" t="s">
        <v>190</v>
      </c>
      <c r="E153" s="126"/>
      <c r="F153" s="482">
        <f>871/1571*4</f>
        <v>2.2176957352005093</v>
      </c>
      <c r="G153" s="147" t="s">
        <v>1881</v>
      </c>
      <c r="H153" s="304"/>
      <c r="I153" s="151" t="s">
        <v>1302</v>
      </c>
      <c r="J153" s="658" t="s">
        <v>1884</v>
      </c>
      <c r="K153" s="657"/>
    </row>
    <row r="154" spans="2:11" ht="15.6" x14ac:dyDescent="0.3">
      <c r="B154" s="31"/>
      <c r="C154" s="130"/>
      <c r="D154" s="43"/>
      <c r="E154" s="126"/>
      <c r="F154" s="351"/>
      <c r="G154" s="126"/>
      <c r="H154" s="304"/>
      <c r="I154" s="151"/>
      <c r="J154" s="494"/>
    </row>
    <row r="155" spans="2:11" s="58" customFormat="1" ht="15.6" x14ac:dyDescent="0.3">
      <c r="B155" s="352"/>
      <c r="C155" s="353" t="s">
        <v>771</v>
      </c>
      <c r="D155" s="354" t="s">
        <v>190</v>
      </c>
      <c r="E155" s="355"/>
      <c r="F155" s="356">
        <f>SUM(F151:F154)</f>
        <v>4</v>
      </c>
      <c r="G155" s="357"/>
      <c r="H155" s="358"/>
      <c r="I155" s="359"/>
      <c r="J155" s="526"/>
    </row>
    <row r="156" spans="2:11" s="58" customFormat="1" ht="15.6" x14ac:dyDescent="0.3">
      <c r="B156" s="352"/>
      <c r="C156" s="353" t="s">
        <v>772</v>
      </c>
      <c r="D156" s="354" t="s">
        <v>190</v>
      </c>
      <c r="E156" s="355"/>
      <c r="F156" s="356">
        <v>4</v>
      </c>
      <c r="G156" s="357"/>
      <c r="H156" s="358"/>
      <c r="I156" s="359"/>
      <c r="J156" s="526"/>
    </row>
    <row r="157" spans="2:11" s="58" customFormat="1" ht="15.6" x14ac:dyDescent="0.3">
      <c r="B157" s="360"/>
      <c r="C157" s="361" t="s">
        <v>773</v>
      </c>
      <c r="D157" s="362" t="s">
        <v>190</v>
      </c>
      <c r="E157" s="363"/>
      <c r="F157" s="364">
        <f>F155-F156</f>
        <v>0</v>
      </c>
      <c r="G157" s="365"/>
      <c r="H157" s="366"/>
      <c r="I157" s="367"/>
      <c r="J157" s="527"/>
    </row>
    <row r="158" spans="2:11" ht="7.5" customHeight="1" x14ac:dyDescent="0.3">
      <c r="B158" s="338"/>
      <c r="C158" s="142"/>
      <c r="D158" s="143"/>
      <c r="E158" s="144"/>
      <c r="F158" s="345"/>
      <c r="G158" s="144"/>
      <c r="H158" s="144"/>
      <c r="I158" s="515"/>
      <c r="J158" s="524"/>
    </row>
    <row r="159" spans="2:11" ht="15.6" x14ac:dyDescent="0.3">
      <c r="B159" s="31" t="s">
        <v>1885</v>
      </c>
      <c r="C159" s="130" t="s">
        <v>355</v>
      </c>
      <c r="D159" s="43" t="s">
        <v>190</v>
      </c>
      <c r="E159" s="126" t="s">
        <v>1886</v>
      </c>
      <c r="F159" s="482">
        <v>2</v>
      </c>
      <c r="G159" s="378" t="s">
        <v>1887</v>
      </c>
      <c r="H159" s="304">
        <v>45656</v>
      </c>
      <c r="I159" s="151" t="s">
        <v>931</v>
      </c>
      <c r="J159" s="494"/>
    </row>
    <row r="160" spans="2:11" ht="15.6" x14ac:dyDescent="0.3">
      <c r="B160" s="31"/>
      <c r="C160" s="130"/>
      <c r="D160" s="43"/>
      <c r="E160" s="126"/>
      <c r="F160" s="351"/>
      <c r="G160" s="126"/>
      <c r="H160" s="304"/>
      <c r="I160" s="151"/>
      <c r="J160" s="494"/>
    </row>
    <row r="161" spans="2:10" s="58" customFormat="1" ht="15.6" x14ac:dyDescent="0.3">
      <c r="B161" s="352"/>
      <c r="C161" s="353" t="s">
        <v>771</v>
      </c>
      <c r="D161" s="354" t="s">
        <v>190</v>
      </c>
      <c r="E161" s="355"/>
      <c r="F161" s="356">
        <f>SUM(F159:F160)</f>
        <v>2</v>
      </c>
      <c r="G161" s="357"/>
      <c r="H161" s="358"/>
      <c r="I161" s="359"/>
      <c r="J161" s="526"/>
    </row>
    <row r="162" spans="2:10" s="58" customFormat="1" ht="15.6" x14ac:dyDescent="0.3">
      <c r="B162" s="352"/>
      <c r="C162" s="353" t="s">
        <v>772</v>
      </c>
      <c r="D162" s="354" t="s">
        <v>190</v>
      </c>
      <c r="E162" s="355"/>
      <c r="F162" s="356">
        <v>2</v>
      </c>
      <c r="G162" s="357"/>
      <c r="H162" s="358"/>
      <c r="I162" s="359"/>
      <c r="J162" s="526"/>
    </row>
    <row r="163" spans="2:10" s="58" customFormat="1" ht="15.6" x14ac:dyDescent="0.3">
      <c r="B163" s="360"/>
      <c r="C163" s="361" t="s">
        <v>773</v>
      </c>
      <c r="D163" s="362" t="s">
        <v>190</v>
      </c>
      <c r="E163" s="363"/>
      <c r="F163" s="364">
        <f>F161-F162</f>
        <v>0</v>
      </c>
      <c r="G163" s="365"/>
      <c r="H163" s="366"/>
      <c r="I163" s="367"/>
      <c r="J163" s="527"/>
    </row>
    <row r="164" spans="2:10" ht="7.5" customHeight="1" x14ac:dyDescent="0.3">
      <c r="B164" s="338"/>
      <c r="C164" s="142"/>
      <c r="D164" s="143"/>
      <c r="E164" s="144"/>
      <c r="F164" s="345"/>
      <c r="G164" s="144"/>
      <c r="H164" s="144"/>
      <c r="I164" s="515"/>
      <c r="J164" s="524"/>
    </row>
    <row r="165" spans="2:10" ht="15.6" x14ac:dyDescent="0.3">
      <c r="B165" s="31" t="s">
        <v>1888</v>
      </c>
      <c r="C165" s="130" t="s">
        <v>356</v>
      </c>
      <c r="D165" s="43" t="s">
        <v>190</v>
      </c>
      <c r="E165" s="126" t="s">
        <v>510</v>
      </c>
      <c r="F165" s="482">
        <v>1</v>
      </c>
      <c r="G165" s="378" t="s">
        <v>1889</v>
      </c>
      <c r="H165" s="304">
        <v>45747</v>
      </c>
      <c r="I165" s="151" t="s">
        <v>934</v>
      </c>
      <c r="J165" s="494"/>
    </row>
    <row r="166" spans="2:10" ht="15.6" x14ac:dyDescent="0.3">
      <c r="B166" s="31" t="s">
        <v>1888</v>
      </c>
      <c r="C166" s="130" t="s">
        <v>356</v>
      </c>
      <c r="D166" s="43" t="s">
        <v>190</v>
      </c>
      <c r="E166" s="126" t="s">
        <v>515</v>
      </c>
      <c r="F166" s="482">
        <v>1</v>
      </c>
      <c r="G166" s="147" t="s">
        <v>1890</v>
      </c>
      <c r="H166" s="304">
        <v>45777</v>
      </c>
      <c r="I166" s="151" t="s">
        <v>1302</v>
      </c>
      <c r="J166" s="494"/>
    </row>
    <row r="167" spans="2:10" ht="15.6" x14ac:dyDescent="0.3">
      <c r="B167" s="31"/>
      <c r="C167" s="130"/>
      <c r="D167" s="43"/>
      <c r="E167" s="126"/>
      <c r="F167" s="351"/>
      <c r="G167" s="126"/>
      <c r="H167" s="304"/>
      <c r="I167" s="151"/>
      <c r="J167" s="494"/>
    </row>
    <row r="168" spans="2:10" s="58" customFormat="1" ht="15.6" x14ac:dyDescent="0.3">
      <c r="B168" s="352"/>
      <c r="C168" s="353" t="s">
        <v>771</v>
      </c>
      <c r="D168" s="354" t="s">
        <v>190</v>
      </c>
      <c r="E168" s="355"/>
      <c r="F168" s="356">
        <f>SUM(F165:F167)</f>
        <v>2</v>
      </c>
      <c r="G168" s="357"/>
      <c r="H168" s="358"/>
      <c r="I168" s="359"/>
      <c r="J168" s="526"/>
    </row>
    <row r="169" spans="2:10" s="58" customFormat="1" ht="15.6" x14ac:dyDescent="0.3">
      <c r="B169" s="352"/>
      <c r="C169" s="353" t="s">
        <v>772</v>
      </c>
      <c r="D169" s="354" t="s">
        <v>190</v>
      </c>
      <c r="E169" s="355"/>
      <c r="F169" s="356">
        <v>2</v>
      </c>
      <c r="G169" s="357"/>
      <c r="H169" s="358"/>
      <c r="I169" s="359"/>
      <c r="J169" s="526"/>
    </row>
    <row r="170" spans="2:10" s="58" customFormat="1" ht="15.6" x14ac:dyDescent="0.3">
      <c r="B170" s="360"/>
      <c r="C170" s="361" t="s">
        <v>773</v>
      </c>
      <c r="D170" s="362" t="s">
        <v>190</v>
      </c>
      <c r="E170" s="363"/>
      <c r="F170" s="364">
        <f>F168-F169</f>
        <v>0</v>
      </c>
      <c r="G170" s="365"/>
      <c r="H170" s="366"/>
      <c r="I170" s="367"/>
      <c r="J170" s="527"/>
    </row>
    <row r="171" spans="2:10" ht="7.5" customHeight="1" x14ac:dyDescent="0.3">
      <c r="B171" s="338"/>
      <c r="C171" s="142"/>
      <c r="D171" s="143"/>
      <c r="E171" s="144"/>
      <c r="F171" s="345"/>
      <c r="G171" s="144"/>
      <c r="H171" s="144"/>
      <c r="I171" s="515"/>
      <c r="J171" s="524"/>
    </row>
    <row r="172" spans="2:10" ht="15.6" x14ac:dyDescent="0.3">
      <c r="B172" s="148">
        <v>305</v>
      </c>
      <c r="C172" s="149" t="s">
        <v>358</v>
      </c>
      <c r="D172" s="138"/>
      <c r="E172" s="139"/>
      <c r="F172" s="346"/>
      <c r="G172" s="139"/>
      <c r="H172" s="139"/>
      <c r="I172" s="139"/>
      <c r="J172" s="500"/>
    </row>
    <row r="173" spans="2:10" ht="15.6" x14ac:dyDescent="0.3">
      <c r="B173" s="31" t="s">
        <v>1891</v>
      </c>
      <c r="C173" s="130" t="s">
        <v>359</v>
      </c>
      <c r="D173" s="43" t="s">
        <v>360</v>
      </c>
      <c r="E173" s="126"/>
      <c r="F173" s="482">
        <v>4</v>
      </c>
      <c r="G173" s="1427" t="s">
        <v>1881</v>
      </c>
      <c r="H173" s="1428"/>
      <c r="I173" s="151" t="s">
        <v>949</v>
      </c>
      <c r="J173" s="494"/>
    </row>
    <row r="174" spans="2:10" ht="15.6" x14ac:dyDescent="0.3">
      <c r="B174" s="31"/>
      <c r="C174" s="130"/>
      <c r="D174" s="43"/>
      <c r="E174" s="126"/>
      <c r="F174" s="351"/>
      <c r="G174" s="126"/>
      <c r="H174" s="304"/>
      <c r="I174" s="151"/>
      <c r="J174" s="494"/>
    </row>
    <row r="175" spans="2:10" s="58" customFormat="1" ht="15.6" x14ac:dyDescent="0.3">
      <c r="B175" s="352"/>
      <c r="C175" s="353" t="s">
        <v>771</v>
      </c>
      <c r="D175" s="354" t="s">
        <v>360</v>
      </c>
      <c r="E175" s="355"/>
      <c r="F175" s="356">
        <f>SUM(F173:F174)</f>
        <v>4</v>
      </c>
      <c r="G175" s="357"/>
      <c r="H175" s="358"/>
      <c r="I175" s="359"/>
      <c r="J175" s="526"/>
    </row>
    <row r="176" spans="2:10" s="58" customFormat="1" ht="15.6" x14ac:dyDescent="0.3">
      <c r="B176" s="352"/>
      <c r="C176" s="353" t="s">
        <v>772</v>
      </c>
      <c r="D176" s="354" t="s">
        <v>360</v>
      </c>
      <c r="E176" s="355"/>
      <c r="F176" s="356">
        <v>4</v>
      </c>
      <c r="G176" s="357"/>
      <c r="H176" s="358"/>
      <c r="I176" s="359"/>
      <c r="J176" s="526"/>
    </row>
    <row r="177" spans="2:10" s="58" customFormat="1" ht="15.6" x14ac:dyDescent="0.3">
      <c r="B177" s="360"/>
      <c r="C177" s="361" t="s">
        <v>773</v>
      </c>
      <c r="D177" s="362" t="s">
        <v>360</v>
      </c>
      <c r="E177" s="363"/>
      <c r="F177" s="364">
        <f>F175-F176</f>
        <v>0</v>
      </c>
      <c r="G177" s="365"/>
      <c r="H177" s="366"/>
      <c r="I177" s="367"/>
      <c r="J177" s="527"/>
    </row>
    <row r="178" spans="2:10" ht="7.5" customHeight="1" x14ac:dyDescent="0.3">
      <c r="B178" s="338"/>
      <c r="C178" s="142"/>
      <c r="D178" s="143"/>
      <c r="E178" s="144"/>
      <c r="F178" s="345"/>
      <c r="G178" s="144"/>
      <c r="H178" s="144"/>
      <c r="I178" s="515"/>
      <c r="J178" s="524"/>
    </row>
    <row r="179" spans="2:10" ht="15.6" x14ac:dyDescent="0.3">
      <c r="B179" s="148">
        <v>306</v>
      </c>
      <c r="C179" s="149" t="s">
        <v>362</v>
      </c>
      <c r="D179" s="138"/>
      <c r="E179" s="139"/>
      <c r="F179" s="346"/>
      <c r="G179" s="139"/>
      <c r="H179" s="139"/>
      <c r="I179" s="139"/>
      <c r="J179" s="500"/>
    </row>
    <row r="180" spans="2:10" ht="15.6" x14ac:dyDescent="0.3">
      <c r="B180" s="145" t="s">
        <v>1892</v>
      </c>
      <c r="C180" s="150" t="s">
        <v>363</v>
      </c>
      <c r="D180" s="43" t="s">
        <v>190</v>
      </c>
      <c r="E180" s="126" t="s">
        <v>510</v>
      </c>
      <c r="F180" s="482">
        <v>3</v>
      </c>
      <c r="G180" s="378" t="s">
        <v>1893</v>
      </c>
      <c r="H180" s="304">
        <v>45565</v>
      </c>
      <c r="I180" s="151" t="s">
        <v>797</v>
      </c>
      <c r="J180" s="494"/>
    </row>
    <row r="181" spans="2:10" ht="15.6" x14ac:dyDescent="0.3">
      <c r="B181" s="145" t="s">
        <v>1892</v>
      </c>
      <c r="C181" s="150" t="s">
        <v>363</v>
      </c>
      <c r="D181" s="43" t="s">
        <v>190</v>
      </c>
      <c r="E181" s="126" t="s">
        <v>510</v>
      </c>
      <c r="F181" s="482">
        <v>3</v>
      </c>
      <c r="G181" s="147" t="s">
        <v>1894</v>
      </c>
      <c r="H181" s="304">
        <v>45596</v>
      </c>
      <c r="I181" s="151" t="s">
        <v>871</v>
      </c>
      <c r="J181" s="494"/>
    </row>
    <row r="182" spans="2:10" ht="15.6" x14ac:dyDescent="0.3">
      <c r="B182" s="31"/>
      <c r="C182" s="130"/>
      <c r="D182" s="43"/>
      <c r="E182" s="126"/>
      <c r="F182" s="351"/>
      <c r="G182" s="126"/>
      <c r="H182" s="304"/>
      <c r="I182" s="151"/>
      <c r="J182" s="494"/>
    </row>
    <row r="183" spans="2:10" s="58" customFormat="1" ht="15.6" x14ac:dyDescent="0.3">
      <c r="B183" s="352"/>
      <c r="C183" s="353" t="s">
        <v>771</v>
      </c>
      <c r="D183" s="354" t="s">
        <v>190</v>
      </c>
      <c r="E183" s="355"/>
      <c r="F183" s="356">
        <f>SUM(F180:F182)</f>
        <v>6</v>
      </c>
      <c r="G183" s="357"/>
      <c r="H183" s="358"/>
      <c r="I183" s="359"/>
      <c r="J183" s="526"/>
    </row>
    <row r="184" spans="2:10" s="58" customFormat="1" ht="15.6" x14ac:dyDescent="0.3">
      <c r="B184" s="352"/>
      <c r="C184" s="353" t="s">
        <v>772</v>
      </c>
      <c r="D184" s="354" t="s">
        <v>190</v>
      </c>
      <c r="E184" s="355"/>
      <c r="F184" s="356">
        <v>6</v>
      </c>
      <c r="G184" s="357"/>
      <c r="H184" s="358"/>
      <c r="I184" s="359"/>
      <c r="J184" s="526"/>
    </row>
    <row r="185" spans="2:10" s="58" customFormat="1" ht="15.6" x14ac:dyDescent="0.3">
      <c r="B185" s="360"/>
      <c r="C185" s="361" t="s">
        <v>773</v>
      </c>
      <c r="D185" s="362" t="s">
        <v>190</v>
      </c>
      <c r="E185" s="363"/>
      <c r="F185" s="364">
        <f>F183-F184</f>
        <v>0</v>
      </c>
      <c r="G185" s="365"/>
      <c r="H185" s="366"/>
      <c r="I185" s="367"/>
      <c r="J185" s="527"/>
    </row>
    <row r="186" spans="2:10" ht="7.5" customHeight="1" x14ac:dyDescent="0.3">
      <c r="B186" s="338"/>
      <c r="C186" s="142"/>
      <c r="D186" s="143"/>
      <c r="E186" s="144"/>
      <c r="F186" s="345"/>
      <c r="G186" s="144"/>
      <c r="H186" s="144"/>
      <c r="I186" s="515"/>
      <c r="J186" s="524"/>
    </row>
    <row r="187" spans="2:10" ht="15.6" x14ac:dyDescent="0.3">
      <c r="B187" s="145" t="s">
        <v>1895</v>
      </c>
      <c r="C187" s="150" t="s">
        <v>364</v>
      </c>
      <c r="D187" s="43" t="s">
        <v>190</v>
      </c>
      <c r="E187" s="126" t="s">
        <v>510</v>
      </c>
      <c r="F187" s="482">
        <v>2</v>
      </c>
      <c r="G187" s="378" t="s">
        <v>1893</v>
      </c>
      <c r="H187" s="304">
        <v>45565</v>
      </c>
      <c r="I187" s="151" t="s">
        <v>797</v>
      </c>
      <c r="J187" s="494"/>
    </row>
    <row r="188" spans="2:10" ht="15.6" x14ac:dyDescent="0.3">
      <c r="B188" s="31"/>
      <c r="C188" s="130"/>
      <c r="D188" s="43"/>
      <c r="E188" s="126"/>
      <c r="F188" s="351"/>
      <c r="G188" s="126"/>
      <c r="H188" s="304"/>
      <c r="I188" s="151"/>
      <c r="J188" s="494"/>
    </row>
    <row r="189" spans="2:10" s="58" customFormat="1" ht="15.6" x14ac:dyDescent="0.3">
      <c r="B189" s="352"/>
      <c r="C189" s="353" t="s">
        <v>771</v>
      </c>
      <c r="D189" s="354" t="s">
        <v>190</v>
      </c>
      <c r="E189" s="355"/>
      <c r="F189" s="356">
        <f>SUM(F187:F188)</f>
        <v>2</v>
      </c>
      <c r="G189" s="357"/>
      <c r="H189" s="358"/>
      <c r="I189" s="359"/>
      <c r="J189" s="526"/>
    </row>
    <row r="190" spans="2:10" s="58" customFormat="1" ht="15.6" x14ac:dyDescent="0.3">
      <c r="B190" s="352"/>
      <c r="C190" s="353" t="s">
        <v>772</v>
      </c>
      <c r="D190" s="354" t="s">
        <v>190</v>
      </c>
      <c r="E190" s="355"/>
      <c r="F190" s="356">
        <v>2</v>
      </c>
      <c r="G190" s="357"/>
      <c r="H190" s="358"/>
      <c r="I190" s="359"/>
      <c r="J190" s="526"/>
    </row>
    <row r="191" spans="2:10" s="58" customFormat="1" ht="15.6" x14ac:dyDescent="0.3">
      <c r="B191" s="360"/>
      <c r="C191" s="361" t="s">
        <v>773</v>
      </c>
      <c r="D191" s="362" t="s">
        <v>190</v>
      </c>
      <c r="E191" s="363"/>
      <c r="F191" s="364">
        <f>F189-F190</f>
        <v>0</v>
      </c>
      <c r="G191" s="365"/>
      <c r="H191" s="366"/>
      <c r="I191" s="367"/>
      <c r="J191" s="527"/>
    </row>
    <row r="192" spans="2:10" ht="7.5" customHeight="1" x14ac:dyDescent="0.3">
      <c r="B192" s="338"/>
      <c r="C192" s="142"/>
      <c r="D192" s="143"/>
      <c r="E192" s="144"/>
      <c r="F192" s="345"/>
      <c r="G192" s="144"/>
      <c r="H192" s="144"/>
      <c r="I192" s="515"/>
      <c r="J192" s="524"/>
    </row>
  </sheetData>
  <autoFilter ref="B6:I192" xr:uid="{8C3B0666-1D24-4D85-8010-0069BE5FFFC5}"/>
  <conditionalFormatting sqref="D7:D192">
    <cfRule type="cellIs" dxfId="160" priority="1" operator="lessThan">
      <formula>0</formula>
    </cfRule>
  </conditionalFormatting>
  <printOptions horizontalCentered="1"/>
  <pageMargins left="0.39370078740157483" right="0.39370078740157483" top="0.55118110236220474" bottom="0.94488188976377963" header="0.31496062992125984" footer="0.31496062992125984"/>
  <pageSetup paperSize="9" scale="50" fitToHeight="0" orientation="portrait" r:id="rId1"/>
  <rowBreaks count="2" manualBreakCount="2">
    <brk id="94" min="1" max="9" man="1"/>
    <brk id="178" min="1" max="9" man="1"/>
  </rowBreaks>
  <ignoredErrors>
    <ignoredError sqref="I37" numberStoredAsText="1"/>
    <ignoredError sqref="F112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D536-AAA3-42C6-BE02-058617F97449}">
  <sheetPr codeName="Sheet19"/>
  <dimension ref="A1:AA121"/>
  <sheetViews>
    <sheetView view="pageBreakPreview" topLeftCell="A89" zoomScale="80" zoomScaleNormal="80" zoomScaleSheetLayoutView="80" workbookViewId="0">
      <selection activeCell="D121" sqref="D121"/>
    </sheetView>
  </sheetViews>
  <sheetFormatPr defaultColWidth="8.88671875" defaultRowHeight="14.4" x14ac:dyDescent="0.3"/>
  <cols>
    <col min="1" max="1" width="12.88671875" style="425" customWidth="1"/>
    <col min="2" max="2" width="9.88671875" style="919" customWidth="1"/>
    <col min="3" max="3" width="12.88671875" style="425" customWidth="1"/>
    <col min="4" max="4" width="9.88671875" style="919" customWidth="1"/>
    <col min="5" max="5" width="12.88671875" style="425" customWidth="1"/>
    <col min="6" max="6" width="9.88671875" style="919" customWidth="1"/>
    <col min="7" max="7" width="12.88671875" style="425" customWidth="1"/>
    <col min="8" max="8" width="9.88671875" style="919" customWidth="1"/>
    <col min="9" max="9" width="12.88671875" style="425" customWidth="1"/>
    <col min="10" max="10" width="9.88671875" style="919" customWidth="1"/>
    <col min="11" max="11" width="12.88671875" style="425" customWidth="1"/>
    <col min="12" max="12" width="9.88671875" style="919" customWidth="1"/>
    <col min="13" max="13" width="12.88671875" style="425" customWidth="1"/>
    <col min="14" max="14" width="9.88671875" style="919" customWidth="1"/>
    <col min="15" max="15" width="12.88671875" style="425" customWidth="1"/>
    <col min="16" max="16" width="9.88671875" style="919" customWidth="1"/>
    <col min="17" max="17" width="12.88671875" style="425" customWidth="1"/>
    <col min="18" max="18" width="9.88671875" style="919" customWidth="1"/>
    <col min="19" max="19" width="12.88671875" style="425" customWidth="1"/>
    <col min="20" max="20" width="9.88671875" style="919" customWidth="1"/>
    <col min="21" max="21" width="12.88671875" style="425" customWidth="1"/>
    <col min="22" max="22" width="9.88671875" style="919" customWidth="1"/>
    <col min="23" max="23" width="12.88671875" style="425" customWidth="1"/>
    <col min="24" max="24" width="9.88671875" style="919" customWidth="1"/>
    <col min="25" max="25" width="12.88671875" style="425" customWidth="1"/>
    <col min="26" max="26" width="9.88671875" style="919" customWidth="1"/>
    <col min="27" max="27" width="12.88671875" style="425" customWidth="1"/>
    <col min="28" max="16384" width="8.88671875" style="132"/>
  </cols>
  <sheetData>
    <row r="1" spans="1:27" s="906" customFormat="1" ht="18" x14ac:dyDescent="0.3">
      <c r="A1" s="599" t="s">
        <v>1896</v>
      </c>
      <c r="B1" s="904"/>
      <c r="C1" s="905"/>
      <c r="D1" s="904"/>
      <c r="E1" s="905"/>
      <c r="F1" s="904"/>
      <c r="G1" s="905"/>
      <c r="H1" s="904"/>
      <c r="I1" s="905"/>
      <c r="J1" s="904"/>
      <c r="K1" s="905"/>
      <c r="L1" s="904"/>
      <c r="M1" s="905"/>
      <c r="N1" s="904"/>
      <c r="O1" s="905"/>
      <c r="P1" s="904"/>
      <c r="Q1" s="905"/>
      <c r="R1" s="904"/>
      <c r="S1" s="905"/>
      <c r="T1" s="904"/>
      <c r="U1" s="905"/>
      <c r="V1" s="904"/>
      <c r="W1" s="905"/>
      <c r="X1" s="904"/>
      <c r="Y1" s="905"/>
      <c r="Z1" s="904"/>
      <c r="AA1" s="905"/>
    </row>
    <row r="2" spans="1:27" s="906" customFormat="1" ht="18" x14ac:dyDescent="0.3">
      <c r="A2" s="599"/>
      <c r="B2" s="904"/>
      <c r="C2" s="905"/>
      <c r="D2" s="904"/>
      <c r="E2" s="905"/>
      <c r="F2" s="904"/>
      <c r="G2" s="905"/>
      <c r="H2" s="904"/>
      <c r="I2" s="905"/>
      <c r="J2" s="904"/>
      <c r="K2" s="905"/>
      <c r="L2" s="904"/>
      <c r="M2" s="905"/>
      <c r="N2" s="904"/>
      <c r="O2" s="905"/>
      <c r="P2" s="904"/>
      <c r="Q2" s="905"/>
      <c r="R2" s="904"/>
      <c r="S2" s="905"/>
      <c r="T2" s="904"/>
      <c r="U2" s="905"/>
      <c r="V2" s="904"/>
      <c r="W2" s="905"/>
      <c r="X2" s="904"/>
      <c r="Y2" s="905"/>
      <c r="Z2" s="904"/>
      <c r="AA2" s="905"/>
    </row>
    <row r="3" spans="1:27" s="844" customFormat="1" x14ac:dyDescent="0.3">
      <c r="A3" s="1694" t="s">
        <v>1897</v>
      </c>
      <c r="B3" s="1695"/>
      <c r="C3" s="1694" t="s">
        <v>1898</v>
      </c>
      <c r="D3" s="1695"/>
      <c r="E3" s="1694" t="s">
        <v>1899</v>
      </c>
      <c r="F3" s="1695"/>
      <c r="G3" s="1694" t="s">
        <v>1900</v>
      </c>
      <c r="H3" s="1695"/>
      <c r="I3" s="1694" t="s">
        <v>1901</v>
      </c>
      <c r="J3" s="1695"/>
      <c r="K3" s="1694" t="s">
        <v>1902</v>
      </c>
      <c r="L3" s="1695"/>
      <c r="M3" s="1694" t="s">
        <v>1903</v>
      </c>
      <c r="N3" s="1695"/>
      <c r="O3" s="1694" t="s">
        <v>1904</v>
      </c>
      <c r="P3" s="1695"/>
      <c r="Q3" s="1694" t="s">
        <v>1905</v>
      </c>
      <c r="R3" s="1695"/>
      <c r="S3" s="1694" t="s">
        <v>1906</v>
      </c>
      <c r="T3" s="1695"/>
      <c r="U3" s="1694" t="s">
        <v>1907</v>
      </c>
      <c r="V3" s="1695"/>
      <c r="W3" s="1694" t="s">
        <v>1908</v>
      </c>
      <c r="X3" s="1695"/>
      <c r="Y3" s="1694" t="s">
        <v>1909</v>
      </c>
      <c r="Z3" s="1695"/>
    </row>
    <row r="4" spans="1:27" s="844" customFormat="1" x14ac:dyDescent="0.3">
      <c r="A4" s="950" t="s">
        <v>1910</v>
      </c>
      <c r="B4" s="951" t="s">
        <v>1911</v>
      </c>
      <c r="C4" s="950" t="s">
        <v>1910</v>
      </c>
      <c r="D4" s="951" t="s">
        <v>1911</v>
      </c>
      <c r="E4" s="950" t="s">
        <v>1910</v>
      </c>
      <c r="F4" s="951" t="s">
        <v>1911</v>
      </c>
      <c r="G4" s="950" t="s">
        <v>1910</v>
      </c>
      <c r="H4" s="951" t="s">
        <v>1911</v>
      </c>
      <c r="I4" s="950" t="s">
        <v>1910</v>
      </c>
      <c r="J4" s="951" t="s">
        <v>1911</v>
      </c>
      <c r="K4" s="950" t="s">
        <v>1910</v>
      </c>
      <c r="L4" s="951" t="s">
        <v>1911</v>
      </c>
      <c r="M4" s="950" t="s">
        <v>1910</v>
      </c>
      <c r="N4" s="951" t="s">
        <v>1911</v>
      </c>
      <c r="O4" s="950" t="s">
        <v>1910</v>
      </c>
      <c r="P4" s="951" t="s">
        <v>1911</v>
      </c>
      <c r="Q4" s="950" t="s">
        <v>1910</v>
      </c>
      <c r="R4" s="951" t="s">
        <v>1911</v>
      </c>
      <c r="S4" s="950" t="s">
        <v>1910</v>
      </c>
      <c r="T4" s="951" t="s">
        <v>1911</v>
      </c>
      <c r="U4" s="950" t="s">
        <v>1910</v>
      </c>
      <c r="V4" s="951" t="s">
        <v>1911</v>
      </c>
      <c r="W4" s="950" t="s">
        <v>1910</v>
      </c>
      <c r="X4" s="951" t="s">
        <v>1911</v>
      </c>
      <c r="Y4" s="950" t="s">
        <v>1910</v>
      </c>
      <c r="Z4" s="951" t="s">
        <v>1911</v>
      </c>
    </row>
    <row r="5" spans="1:27" x14ac:dyDescent="0.3">
      <c r="A5" s="948" t="s">
        <v>1912</v>
      </c>
      <c r="B5" s="949" t="e">
        <f>VLOOKUP(A5,'Segment Abs.'!$B:$C,2,0)</f>
        <v>#N/A</v>
      </c>
      <c r="C5" s="948" t="s">
        <v>1913</v>
      </c>
      <c r="D5" s="949" t="e">
        <f>VLOOKUP(C5,'Segment Abs.'!$B:$C,2,0)</f>
        <v>#N/A</v>
      </c>
      <c r="E5" s="948" t="s">
        <v>1914</v>
      </c>
      <c r="F5" s="949" t="e">
        <f>VLOOKUP(E5,'Segment Abs.'!$B:$C,2,0)</f>
        <v>#N/A</v>
      </c>
      <c r="G5" s="948" t="s">
        <v>1915</v>
      </c>
      <c r="H5" s="949" t="e">
        <f>VLOOKUP(G5,'Segment Abs.'!$B:$C,2,0)</f>
        <v>#N/A</v>
      </c>
      <c r="I5" s="948" t="s">
        <v>1916</v>
      </c>
      <c r="J5" s="949" t="e">
        <f>VLOOKUP(I5,'Segment Abs.'!$B:$C,2,0)</f>
        <v>#N/A</v>
      </c>
      <c r="K5" s="948" t="s">
        <v>1917</v>
      </c>
      <c r="L5" s="949" t="e">
        <f>VLOOKUP(K5,'Segment Abs.'!$B:$C,2,0)</f>
        <v>#N/A</v>
      </c>
      <c r="M5" s="948" t="s">
        <v>1918</v>
      </c>
      <c r="N5" s="949" t="e">
        <f>VLOOKUP(M5,'Segment Abs.'!$B:$C,2,0)</f>
        <v>#N/A</v>
      </c>
      <c r="O5" s="948" t="s">
        <v>1919</v>
      </c>
      <c r="P5" s="949" t="e">
        <f>VLOOKUP(O5,'Segment Abs.'!$B:$C,2,0)</f>
        <v>#N/A</v>
      </c>
      <c r="Q5" s="948" t="s">
        <v>1920</v>
      </c>
      <c r="R5" s="949" t="e">
        <f>VLOOKUP(Q5,'Segment Abs.'!$B:$C,2,0)</f>
        <v>#N/A</v>
      </c>
      <c r="S5" s="948" t="s">
        <v>1921</v>
      </c>
      <c r="T5" s="949" t="e">
        <f>VLOOKUP(S5,'Segment Abs.'!$B:$C,2,0)</f>
        <v>#N/A</v>
      </c>
      <c r="U5" s="948" t="s">
        <v>1922</v>
      </c>
      <c r="V5" s="949" t="e">
        <f>VLOOKUP(U5,'Segment Abs.'!$B:$C,2,0)</f>
        <v>#N/A</v>
      </c>
      <c r="W5" s="948" t="s">
        <v>1923</v>
      </c>
      <c r="X5" s="949" t="e">
        <f>VLOOKUP(W5,'Segment Abs.'!$B:$C,2,0)</f>
        <v>#N/A</v>
      </c>
      <c r="Y5" s="948" t="s">
        <v>1924</v>
      </c>
      <c r="Z5" s="949" t="e">
        <f>VLOOKUP(Y5,'Segment Abs.'!$B:$C,2,0)</f>
        <v>#N/A</v>
      </c>
    </row>
    <row r="6" spans="1:27" x14ac:dyDescent="0.3">
      <c r="A6" s="909" t="s">
        <v>1925</v>
      </c>
      <c r="B6" s="910" t="e">
        <f>VLOOKUP(A6,'Segment Abs.'!$B:$C,2,0)</f>
        <v>#N/A</v>
      </c>
      <c r="C6" s="909" t="s">
        <v>1926</v>
      </c>
      <c r="D6" s="910" t="e">
        <f>VLOOKUP(C6,'Segment Abs.'!$B:$C,2,0)</f>
        <v>#N/A</v>
      </c>
      <c r="E6" s="909" t="s">
        <v>1927</v>
      </c>
      <c r="F6" s="910" t="e">
        <f>VLOOKUP(E6,'Segment Abs.'!$B:$C,2,0)</f>
        <v>#N/A</v>
      </c>
      <c r="G6" s="909" t="s">
        <v>1928</v>
      </c>
      <c r="H6" s="910" t="e">
        <f>VLOOKUP(G6,'Segment Abs.'!$B:$C,2,0)</f>
        <v>#N/A</v>
      </c>
      <c r="I6" s="909" t="s">
        <v>1929</v>
      </c>
      <c r="J6" s="910" t="e">
        <f>VLOOKUP(I6,'Segment Abs.'!$B:$C,2,0)</f>
        <v>#N/A</v>
      </c>
      <c r="K6" s="909" t="s">
        <v>1930</v>
      </c>
      <c r="L6" s="910" t="e">
        <f>VLOOKUP(K6,'Segment Abs.'!$B:$C,2,0)</f>
        <v>#N/A</v>
      </c>
      <c r="M6" s="909" t="s">
        <v>1931</v>
      </c>
      <c r="N6" s="910" t="e">
        <f>VLOOKUP(M6,'Segment Abs.'!$B:$C,2,0)</f>
        <v>#N/A</v>
      </c>
      <c r="O6" s="909" t="s">
        <v>1932</v>
      </c>
      <c r="P6" s="910" t="e">
        <f>VLOOKUP(O6,'Segment Abs.'!$B:$C,2,0)</f>
        <v>#N/A</v>
      </c>
      <c r="Q6" s="909" t="s">
        <v>1933</v>
      </c>
      <c r="R6" s="910" t="e">
        <f>VLOOKUP(Q6,'Segment Abs.'!$B:$C,2,0)</f>
        <v>#N/A</v>
      </c>
      <c r="S6" s="909" t="s">
        <v>1934</v>
      </c>
      <c r="T6" s="910" t="e">
        <f>VLOOKUP(S6,'Segment Abs.'!$B:$C,2,0)</f>
        <v>#N/A</v>
      </c>
      <c r="U6" s="909" t="s">
        <v>1935</v>
      </c>
      <c r="V6" s="910" t="e">
        <f>VLOOKUP(U6,'Segment Abs.'!$B:$C,2,0)</f>
        <v>#N/A</v>
      </c>
      <c r="W6" s="909" t="s">
        <v>1936</v>
      </c>
      <c r="X6" s="910" t="e">
        <f>VLOOKUP(W6,'Segment Abs.'!$B:$C,2,0)</f>
        <v>#N/A</v>
      </c>
      <c r="Y6" s="909" t="s">
        <v>1937</v>
      </c>
      <c r="Z6" s="910" t="e">
        <f>VLOOKUP(Y6,'Segment Abs.'!$B:$C,2,0)</f>
        <v>#N/A</v>
      </c>
    </row>
    <row r="7" spans="1:27" x14ac:dyDescent="0.3">
      <c r="A7" s="909" t="s">
        <v>1938</v>
      </c>
      <c r="B7" s="910" t="e">
        <f>VLOOKUP(A7,'Segment Abs.'!$B:$C,2,0)</f>
        <v>#N/A</v>
      </c>
      <c r="C7" s="909" t="s">
        <v>1939</v>
      </c>
      <c r="D7" s="910" t="e">
        <f>VLOOKUP(C7,'Segment Abs.'!$B:$C,2,0)</f>
        <v>#N/A</v>
      </c>
      <c r="E7" s="909" t="s">
        <v>1940</v>
      </c>
      <c r="F7" s="910" t="e">
        <f>VLOOKUP(E7,'Segment Abs.'!$B:$C,2,0)</f>
        <v>#N/A</v>
      </c>
      <c r="G7" s="909" t="s">
        <v>1941</v>
      </c>
      <c r="H7" s="910" t="e">
        <f>VLOOKUP(G7,'Segment Abs.'!$B:$C,2,0)</f>
        <v>#N/A</v>
      </c>
      <c r="I7" s="909" t="s">
        <v>1942</v>
      </c>
      <c r="J7" s="910" t="e">
        <f>VLOOKUP(I7,'Segment Abs.'!$B:$C,2,0)</f>
        <v>#N/A</v>
      </c>
      <c r="K7" s="909" t="s">
        <v>1943</v>
      </c>
      <c r="L7" s="910" t="e">
        <f>VLOOKUP(K7,'Segment Abs.'!$B:$C,2,0)</f>
        <v>#N/A</v>
      </c>
      <c r="M7" s="909" t="s">
        <v>1944</v>
      </c>
      <c r="N7" s="910" t="e">
        <f>VLOOKUP(M7,'Segment Abs.'!$B:$C,2,0)</f>
        <v>#N/A</v>
      </c>
      <c r="O7" s="909" t="s">
        <v>1945</v>
      </c>
      <c r="P7" s="910" t="e">
        <f>VLOOKUP(O7,'Segment Abs.'!$B:$C,2,0)</f>
        <v>#N/A</v>
      </c>
      <c r="Q7" s="909" t="s">
        <v>1946</v>
      </c>
      <c r="R7" s="910" t="e">
        <f>VLOOKUP(Q7,'Segment Abs.'!$B:$C,2,0)</f>
        <v>#N/A</v>
      </c>
      <c r="S7" s="909" t="s">
        <v>1947</v>
      </c>
      <c r="T7" s="910" t="e">
        <f>VLOOKUP(S7,'Segment Abs.'!$B:$C,2,0)</f>
        <v>#N/A</v>
      </c>
      <c r="U7" s="909" t="s">
        <v>1948</v>
      </c>
      <c r="V7" s="910" t="e">
        <f>VLOOKUP(U7,'Segment Abs.'!$B:$C,2,0)</f>
        <v>#N/A</v>
      </c>
      <c r="W7" s="909" t="s">
        <v>1949</v>
      </c>
      <c r="X7" s="910" t="e">
        <f>VLOOKUP(W7,'Segment Abs.'!$B:$C,2,0)</f>
        <v>#N/A</v>
      </c>
      <c r="Y7" s="909" t="s">
        <v>1950</v>
      </c>
      <c r="Z7" s="910" t="e">
        <f>VLOOKUP(Y7,'Segment Abs.'!$B:$C,2,0)</f>
        <v>#N/A</v>
      </c>
    </row>
    <row r="8" spans="1:27" x14ac:dyDescent="0.3">
      <c r="A8" s="909" t="s">
        <v>1951</v>
      </c>
      <c r="B8" s="910" t="e">
        <f>VLOOKUP(A8,'Segment Abs.'!$B:$C,2,0)</f>
        <v>#N/A</v>
      </c>
      <c r="C8" s="909" t="s">
        <v>1952</v>
      </c>
      <c r="D8" s="910" t="e">
        <f>VLOOKUP(C8,'Segment Abs.'!$B:$C,2,0)</f>
        <v>#N/A</v>
      </c>
      <c r="E8" s="909" t="s">
        <v>1953</v>
      </c>
      <c r="F8" s="910" t="e">
        <f>VLOOKUP(E8,'Segment Abs.'!$B:$C,2,0)</f>
        <v>#N/A</v>
      </c>
      <c r="G8" s="909" t="s">
        <v>1954</v>
      </c>
      <c r="H8" s="910" t="e">
        <f>VLOOKUP(G8,'Segment Abs.'!$B:$C,2,0)</f>
        <v>#N/A</v>
      </c>
      <c r="I8" s="909" t="s">
        <v>1955</v>
      </c>
      <c r="J8" s="910" t="e">
        <f>VLOOKUP(I8,'Segment Abs.'!$B:$C,2,0)</f>
        <v>#N/A</v>
      </c>
      <c r="K8" s="909" t="s">
        <v>1956</v>
      </c>
      <c r="L8" s="910" t="e">
        <f>VLOOKUP(K8,'Segment Abs.'!$B:$C,2,0)</f>
        <v>#N/A</v>
      </c>
      <c r="M8" s="909" t="s">
        <v>1957</v>
      </c>
      <c r="N8" s="910" t="e">
        <f>VLOOKUP(M8,'Segment Abs.'!$B:$C,2,0)</f>
        <v>#N/A</v>
      </c>
      <c r="O8" s="909" t="s">
        <v>1958</v>
      </c>
      <c r="P8" s="910" t="e">
        <f>VLOOKUP(O8,'Segment Abs.'!$B:$C,2,0)</f>
        <v>#N/A</v>
      </c>
      <c r="Q8" s="909" t="s">
        <v>1959</v>
      </c>
      <c r="R8" s="910" t="e">
        <f>VLOOKUP(Q8,'Segment Abs.'!$B:$C,2,0)</f>
        <v>#N/A</v>
      </c>
      <c r="S8" s="909" t="s">
        <v>1960</v>
      </c>
      <c r="T8" s="910" t="e">
        <f>VLOOKUP(S8,'Segment Abs.'!$B:$C,2,0)</f>
        <v>#N/A</v>
      </c>
      <c r="U8" s="909" t="s">
        <v>1961</v>
      </c>
      <c r="V8" s="910" t="e">
        <f>VLOOKUP(U8,'Segment Abs.'!$B:$C,2,0)</f>
        <v>#N/A</v>
      </c>
      <c r="W8" s="909" t="s">
        <v>1962</v>
      </c>
      <c r="X8" s="910" t="e">
        <f>VLOOKUP(W8,'Segment Abs.'!$B:$C,2,0)</f>
        <v>#N/A</v>
      </c>
      <c r="Y8" s="909" t="s">
        <v>1963</v>
      </c>
      <c r="Z8" s="910" t="e">
        <f>VLOOKUP(Y8,'Segment Abs.'!$B:$C,2,0)</f>
        <v>#N/A</v>
      </c>
    </row>
    <row r="9" spans="1:27" x14ac:dyDescent="0.3">
      <c r="A9" s="909" t="s">
        <v>1964</v>
      </c>
      <c r="B9" s="910" t="e">
        <f>VLOOKUP(A9,'Segment Abs.'!$B:$C,2,0)</f>
        <v>#N/A</v>
      </c>
      <c r="C9" s="909" t="s">
        <v>1965</v>
      </c>
      <c r="D9" s="910" t="e">
        <f>VLOOKUP(C9,'Segment Abs.'!$B:$C,2,0)</f>
        <v>#N/A</v>
      </c>
      <c r="E9" s="909" t="s">
        <v>1966</v>
      </c>
      <c r="F9" s="910" t="e">
        <f>VLOOKUP(E9,'Segment Abs.'!$B:$C,2,0)</f>
        <v>#N/A</v>
      </c>
      <c r="G9" s="909" t="s">
        <v>1967</v>
      </c>
      <c r="H9" s="910" t="e">
        <f>VLOOKUP(G9,'Segment Abs.'!$B:$C,2,0)</f>
        <v>#N/A</v>
      </c>
      <c r="I9" s="909" t="s">
        <v>1968</v>
      </c>
      <c r="J9" s="910" t="e">
        <f>VLOOKUP(I9,'Segment Abs.'!$B:$C,2,0)</f>
        <v>#N/A</v>
      </c>
      <c r="K9" s="909" t="s">
        <v>1969</v>
      </c>
      <c r="L9" s="910" t="e">
        <f>VLOOKUP(K9,'Segment Abs.'!$B:$C,2,0)</f>
        <v>#N/A</v>
      </c>
      <c r="M9" s="909" t="s">
        <v>1970</v>
      </c>
      <c r="N9" s="910" t="e">
        <f>VLOOKUP(M9,'Segment Abs.'!$B:$C,2,0)</f>
        <v>#N/A</v>
      </c>
      <c r="O9" s="909" t="s">
        <v>1971</v>
      </c>
      <c r="P9" s="910" t="e">
        <f>VLOOKUP(O9,'Segment Abs.'!$B:$C,2,0)</f>
        <v>#N/A</v>
      </c>
      <c r="Q9" s="909" t="s">
        <v>1972</v>
      </c>
      <c r="R9" s="910" t="e">
        <f>VLOOKUP(Q9,'Segment Abs.'!$B:$C,2,0)</f>
        <v>#N/A</v>
      </c>
      <c r="S9" s="909" t="s">
        <v>1973</v>
      </c>
      <c r="T9" s="910" t="e">
        <f>VLOOKUP(S9,'Segment Abs.'!$B:$C,2,0)</f>
        <v>#N/A</v>
      </c>
      <c r="U9" s="909" t="s">
        <v>1974</v>
      </c>
      <c r="V9" s="910" t="e">
        <f>VLOOKUP(U9,'Segment Abs.'!$B:$C,2,0)</f>
        <v>#N/A</v>
      </c>
      <c r="W9" s="909" t="s">
        <v>1975</v>
      </c>
      <c r="X9" s="910" t="e">
        <f>VLOOKUP(W9,'Segment Abs.'!$B:$C,2,0)</f>
        <v>#N/A</v>
      </c>
      <c r="Y9" s="909" t="s">
        <v>1976</v>
      </c>
      <c r="Z9" s="910" t="e">
        <f>VLOOKUP(Y9,'Segment Abs.'!$B:$C,2,0)</f>
        <v>#N/A</v>
      </c>
    </row>
    <row r="10" spans="1:27" x14ac:dyDescent="0.3">
      <c r="A10" s="909" t="s">
        <v>1977</v>
      </c>
      <c r="B10" s="910" t="e">
        <f>VLOOKUP(A10,'Segment Abs.'!$B:$C,2,0)</f>
        <v>#N/A</v>
      </c>
      <c r="C10" s="909" t="s">
        <v>1978</v>
      </c>
      <c r="D10" s="910" t="e">
        <f>VLOOKUP(C10,'Segment Abs.'!$B:$C,2,0)</f>
        <v>#N/A</v>
      </c>
      <c r="E10" s="909" t="s">
        <v>1979</v>
      </c>
      <c r="F10" s="910" t="e">
        <f>VLOOKUP(E10,'Segment Abs.'!$B:$C,2,0)</f>
        <v>#N/A</v>
      </c>
      <c r="G10" s="909" t="s">
        <v>1980</v>
      </c>
      <c r="H10" s="910" t="e">
        <f>VLOOKUP(G10,'Segment Abs.'!$B:$C,2,0)</f>
        <v>#N/A</v>
      </c>
      <c r="I10" s="909" t="s">
        <v>1981</v>
      </c>
      <c r="J10" s="910" t="e">
        <f>VLOOKUP(I10,'Segment Abs.'!$B:$C,2,0)</f>
        <v>#N/A</v>
      </c>
      <c r="K10" s="909" t="s">
        <v>1982</v>
      </c>
      <c r="L10" s="910" t="e">
        <f>VLOOKUP(K10,'Segment Abs.'!$B:$C,2,0)</f>
        <v>#N/A</v>
      </c>
      <c r="M10" s="909" t="s">
        <v>1983</v>
      </c>
      <c r="N10" s="910" t="e">
        <f>VLOOKUP(M10,'Segment Abs.'!$B:$C,2,0)</f>
        <v>#N/A</v>
      </c>
      <c r="O10" s="909" t="s">
        <v>1984</v>
      </c>
      <c r="P10" s="910" t="e">
        <f>VLOOKUP(O10,'Segment Abs.'!$B:$C,2,0)</f>
        <v>#N/A</v>
      </c>
      <c r="Q10" s="909" t="s">
        <v>1985</v>
      </c>
      <c r="R10" s="910" t="e">
        <f>VLOOKUP(Q10,'Segment Abs.'!$B:$C,2,0)</f>
        <v>#N/A</v>
      </c>
      <c r="S10" s="909" t="s">
        <v>1986</v>
      </c>
      <c r="T10" s="910" t="e">
        <f>VLOOKUP(S10,'Segment Abs.'!$B:$C,2,0)</f>
        <v>#N/A</v>
      </c>
      <c r="U10" s="909" t="s">
        <v>1987</v>
      </c>
      <c r="V10" s="910" t="e">
        <f>VLOOKUP(U10,'Segment Abs.'!$B:$C,2,0)</f>
        <v>#N/A</v>
      </c>
      <c r="W10" s="909" t="s">
        <v>1988</v>
      </c>
      <c r="X10" s="910" t="e">
        <f>VLOOKUP(W10,'Segment Abs.'!$B:$C,2,0)</f>
        <v>#N/A</v>
      </c>
      <c r="Y10" s="909" t="s">
        <v>1989</v>
      </c>
      <c r="Z10" s="910" t="e">
        <f>VLOOKUP(Y10,'Segment Abs.'!$B:$C,2,0)</f>
        <v>#N/A</v>
      </c>
    </row>
    <row r="11" spans="1:27" x14ac:dyDescent="0.3">
      <c r="A11" s="909" t="s">
        <v>1990</v>
      </c>
      <c r="B11" s="910" t="e">
        <f>VLOOKUP(A11,'Segment Abs.'!$B:$C,2,0)</f>
        <v>#N/A</v>
      </c>
      <c r="C11" s="909" t="s">
        <v>1991</v>
      </c>
      <c r="D11" s="910" t="e">
        <f>VLOOKUP(C11,'Segment Abs.'!$B:$C,2,0)</f>
        <v>#N/A</v>
      </c>
      <c r="E11" s="909" t="s">
        <v>1992</v>
      </c>
      <c r="F11" s="910" t="e">
        <f>VLOOKUP(E11,'Segment Abs.'!$B:$C,2,0)</f>
        <v>#N/A</v>
      </c>
      <c r="G11" s="909" t="s">
        <v>1993</v>
      </c>
      <c r="H11" s="910" t="e">
        <f>VLOOKUP(G11,'Segment Abs.'!$B:$C,2,0)</f>
        <v>#N/A</v>
      </c>
      <c r="I11" s="909" t="s">
        <v>1994</v>
      </c>
      <c r="J11" s="910" t="e">
        <f>VLOOKUP(I11,'Segment Abs.'!$B:$C,2,0)</f>
        <v>#N/A</v>
      </c>
      <c r="K11" s="909" t="s">
        <v>1995</v>
      </c>
      <c r="L11" s="910" t="e">
        <f>VLOOKUP(K11,'Segment Abs.'!$B:$C,2,0)</f>
        <v>#N/A</v>
      </c>
      <c r="M11" s="909" t="s">
        <v>1996</v>
      </c>
      <c r="N11" s="910" t="e">
        <f>VLOOKUP(M11,'Segment Abs.'!$B:$C,2,0)</f>
        <v>#N/A</v>
      </c>
      <c r="O11" s="909" t="s">
        <v>1997</v>
      </c>
      <c r="P11" s="910" t="e">
        <f>VLOOKUP(O11,'Segment Abs.'!$B:$C,2,0)</f>
        <v>#N/A</v>
      </c>
      <c r="Q11" s="909" t="s">
        <v>1998</v>
      </c>
      <c r="R11" s="910" t="e">
        <f>VLOOKUP(Q11,'Segment Abs.'!$B:$C,2,0)</f>
        <v>#N/A</v>
      </c>
      <c r="S11" s="909" t="s">
        <v>1999</v>
      </c>
      <c r="T11" s="910" t="e">
        <f>VLOOKUP(S11,'Segment Abs.'!$B:$C,2,0)</f>
        <v>#N/A</v>
      </c>
      <c r="U11" s="909" t="s">
        <v>2000</v>
      </c>
      <c r="V11" s="910" t="e">
        <f>VLOOKUP(U11,'Segment Abs.'!$B:$C,2,0)</f>
        <v>#N/A</v>
      </c>
      <c r="W11" s="909" t="s">
        <v>2001</v>
      </c>
      <c r="X11" s="910" t="e">
        <f>VLOOKUP(W11,'Segment Abs.'!$B:$C,2,0)</f>
        <v>#N/A</v>
      </c>
      <c r="Y11" s="909" t="s">
        <v>2002</v>
      </c>
      <c r="Z11" s="910" t="e">
        <f>VLOOKUP(Y11,'Segment Abs.'!$B:$C,2,0)</f>
        <v>#N/A</v>
      </c>
    </row>
    <row r="12" spans="1:27" x14ac:dyDescent="0.3">
      <c r="A12" s="909" t="s">
        <v>2003</v>
      </c>
      <c r="B12" s="910" t="e">
        <f>VLOOKUP(A12,'Segment Abs.'!$B:$C,2,0)</f>
        <v>#N/A</v>
      </c>
      <c r="C12" s="909" t="s">
        <v>2004</v>
      </c>
      <c r="D12" s="910" t="e">
        <f>VLOOKUP(C12,'Segment Abs.'!$B:$C,2,0)</f>
        <v>#N/A</v>
      </c>
      <c r="E12" s="909" t="s">
        <v>2005</v>
      </c>
      <c r="F12" s="910" t="e">
        <f>VLOOKUP(E12,'Segment Abs.'!$B:$C,2,0)</f>
        <v>#N/A</v>
      </c>
      <c r="G12" s="909" t="s">
        <v>2006</v>
      </c>
      <c r="H12" s="910" t="e">
        <f>VLOOKUP(G12,'Segment Abs.'!$B:$C,2,0)</f>
        <v>#N/A</v>
      </c>
      <c r="I12" s="909" t="s">
        <v>2007</v>
      </c>
      <c r="J12" s="910" t="e">
        <f>VLOOKUP(I12,'Segment Abs.'!$B:$C,2,0)</f>
        <v>#N/A</v>
      </c>
      <c r="K12" s="909" t="s">
        <v>2008</v>
      </c>
      <c r="L12" s="910" t="e">
        <f>VLOOKUP(K12,'Segment Abs.'!$B:$C,2,0)</f>
        <v>#N/A</v>
      </c>
      <c r="M12" s="909" t="s">
        <v>2009</v>
      </c>
      <c r="N12" s="910" t="e">
        <f>VLOOKUP(M12,'Segment Abs.'!$B:$C,2,0)</f>
        <v>#N/A</v>
      </c>
      <c r="O12" s="909" t="s">
        <v>2010</v>
      </c>
      <c r="P12" s="910" t="e">
        <f>VLOOKUP(O12,'Segment Abs.'!$B:$C,2,0)</f>
        <v>#N/A</v>
      </c>
      <c r="Q12" s="909" t="s">
        <v>2011</v>
      </c>
      <c r="R12" s="910" t="e">
        <f>VLOOKUP(Q12,'Segment Abs.'!$B:$C,2,0)</f>
        <v>#N/A</v>
      </c>
      <c r="S12" s="909" t="s">
        <v>2012</v>
      </c>
      <c r="T12" s="910" t="e">
        <f>VLOOKUP(S12,'Segment Abs.'!$B:$C,2,0)</f>
        <v>#N/A</v>
      </c>
      <c r="U12" s="909" t="s">
        <v>2013</v>
      </c>
      <c r="V12" s="910" t="e">
        <f>VLOOKUP(U12,'Segment Abs.'!$B:$C,2,0)</f>
        <v>#N/A</v>
      </c>
      <c r="W12" s="909" t="s">
        <v>2014</v>
      </c>
      <c r="X12" s="910" t="e">
        <f>VLOOKUP(W12,'Segment Abs.'!$B:$C,2,0)</f>
        <v>#N/A</v>
      </c>
      <c r="Y12" s="909" t="s">
        <v>2015</v>
      </c>
      <c r="Z12" s="910" t="e">
        <f>VLOOKUP(Y12,'Segment Abs.'!$B:$C,2,0)</f>
        <v>#N/A</v>
      </c>
    </row>
    <row r="13" spans="1:27" x14ac:dyDescent="0.3">
      <c r="A13" s="909" t="s">
        <v>2016</v>
      </c>
      <c r="B13" s="910" t="e">
        <f>VLOOKUP(A13,'Segment Abs.'!$B:$C,2,0)</f>
        <v>#N/A</v>
      </c>
      <c r="C13" s="909" t="s">
        <v>2017</v>
      </c>
      <c r="D13" s="910" t="e">
        <f>VLOOKUP(C13,'Segment Abs.'!$B:$C,2,0)</f>
        <v>#N/A</v>
      </c>
      <c r="E13" s="909" t="s">
        <v>2018</v>
      </c>
      <c r="F13" s="910" t="e">
        <f>VLOOKUP(E13,'Segment Abs.'!$B:$C,2,0)</f>
        <v>#N/A</v>
      </c>
      <c r="G13" s="909" t="s">
        <v>2019</v>
      </c>
      <c r="H13" s="910" t="e">
        <f>VLOOKUP(G13,'Segment Abs.'!$B:$C,2,0)</f>
        <v>#N/A</v>
      </c>
      <c r="I13" s="909" t="s">
        <v>2020</v>
      </c>
      <c r="J13" s="910" t="e">
        <f>VLOOKUP(I13,'Segment Abs.'!$B:$C,2,0)</f>
        <v>#N/A</v>
      </c>
      <c r="K13" s="909" t="s">
        <v>2021</v>
      </c>
      <c r="L13" s="910" t="e">
        <f>VLOOKUP(K13,'Segment Abs.'!$B:$C,2,0)</f>
        <v>#N/A</v>
      </c>
      <c r="M13" s="909" t="s">
        <v>2022</v>
      </c>
      <c r="N13" s="910" t="e">
        <f>VLOOKUP(M13,'Segment Abs.'!$B:$C,2,0)</f>
        <v>#N/A</v>
      </c>
      <c r="O13" s="909" t="s">
        <v>2023</v>
      </c>
      <c r="P13" s="910" t="e">
        <f>VLOOKUP(O13,'Segment Abs.'!$B:$C,2,0)</f>
        <v>#N/A</v>
      </c>
      <c r="Q13" s="909" t="s">
        <v>2024</v>
      </c>
      <c r="R13" s="910" t="e">
        <f>VLOOKUP(Q13,'Segment Abs.'!$B:$C,2,0)</f>
        <v>#N/A</v>
      </c>
      <c r="S13" s="909" t="s">
        <v>2025</v>
      </c>
      <c r="T13" s="910" t="e">
        <f>VLOOKUP(S13,'Segment Abs.'!$B:$C,2,0)</f>
        <v>#N/A</v>
      </c>
      <c r="U13" s="909" t="s">
        <v>2026</v>
      </c>
      <c r="V13" s="910" t="e">
        <f>VLOOKUP(U13,'Segment Abs.'!$B:$C,2,0)</f>
        <v>#N/A</v>
      </c>
      <c r="W13" s="909" t="s">
        <v>2027</v>
      </c>
      <c r="X13" s="910" t="e">
        <f>VLOOKUP(W13,'Segment Abs.'!$B:$C,2,0)</f>
        <v>#N/A</v>
      </c>
      <c r="Y13" s="909" t="s">
        <v>2028</v>
      </c>
      <c r="Z13" s="910" t="e">
        <f>VLOOKUP(Y13,'Segment Abs.'!$B:$C,2,0)</f>
        <v>#N/A</v>
      </c>
    </row>
    <row r="14" spans="1:27" x14ac:dyDescent="0.3">
      <c r="A14" s="909" t="s">
        <v>2029</v>
      </c>
      <c r="B14" s="910" t="e">
        <f>VLOOKUP(A14,'Segment Abs.'!$B:$C,2,0)</f>
        <v>#N/A</v>
      </c>
      <c r="C14" s="909" t="s">
        <v>2030</v>
      </c>
      <c r="D14" s="910" t="e">
        <f>VLOOKUP(C14,'Segment Abs.'!$B:$C,2,0)</f>
        <v>#N/A</v>
      </c>
      <c r="E14" s="909" t="s">
        <v>2031</v>
      </c>
      <c r="F14" s="910" t="e">
        <f>VLOOKUP(E14,'Segment Abs.'!$B:$C,2,0)</f>
        <v>#N/A</v>
      </c>
      <c r="G14" s="909" t="s">
        <v>2032</v>
      </c>
      <c r="H14" s="910" t="e">
        <f>VLOOKUP(G14,'Segment Abs.'!$B:$C,2,0)</f>
        <v>#N/A</v>
      </c>
      <c r="I14" s="909" t="s">
        <v>2033</v>
      </c>
      <c r="J14" s="910" t="e">
        <f>VLOOKUP(I14,'Segment Abs.'!$B:$C,2,0)</f>
        <v>#N/A</v>
      </c>
      <c r="K14" s="909" t="s">
        <v>2034</v>
      </c>
      <c r="L14" s="910" t="e">
        <f>VLOOKUP(K14,'Segment Abs.'!$B:$C,2,0)</f>
        <v>#N/A</v>
      </c>
      <c r="M14" s="909" t="s">
        <v>2035</v>
      </c>
      <c r="N14" s="910" t="e">
        <f>VLOOKUP(M14,'Segment Abs.'!$B:$C,2,0)</f>
        <v>#N/A</v>
      </c>
      <c r="O14" s="909" t="s">
        <v>2036</v>
      </c>
      <c r="P14" s="910" t="e">
        <f>VLOOKUP(O14,'Segment Abs.'!$B:$C,2,0)</f>
        <v>#N/A</v>
      </c>
      <c r="Q14" s="909" t="s">
        <v>2037</v>
      </c>
      <c r="R14" s="910" t="e">
        <f>VLOOKUP(Q14,'Segment Abs.'!$B:$C,2,0)</f>
        <v>#N/A</v>
      </c>
      <c r="S14" s="909" t="s">
        <v>2038</v>
      </c>
      <c r="T14" s="910" t="e">
        <f>VLOOKUP(S14,'Segment Abs.'!$B:$C,2,0)</f>
        <v>#N/A</v>
      </c>
      <c r="U14" s="909" t="s">
        <v>2039</v>
      </c>
      <c r="V14" s="910" t="e">
        <f>VLOOKUP(U14,'Segment Abs.'!$B:$C,2,0)</f>
        <v>#N/A</v>
      </c>
      <c r="W14" s="909" t="s">
        <v>2040</v>
      </c>
      <c r="X14" s="910" t="e">
        <f>VLOOKUP(W14,'Segment Abs.'!$B:$C,2,0)</f>
        <v>#N/A</v>
      </c>
      <c r="Y14" s="909" t="s">
        <v>2041</v>
      </c>
      <c r="Z14" s="910" t="e">
        <f>VLOOKUP(Y14,'Segment Abs.'!$B:$C,2,0)</f>
        <v>#N/A</v>
      </c>
    </row>
    <row r="15" spans="1:27" x14ac:dyDescent="0.3">
      <c r="A15" s="909" t="s">
        <v>2042</v>
      </c>
      <c r="B15" s="910" t="e">
        <f>VLOOKUP(A15,'Segment Abs.'!$B:$C,2,0)</f>
        <v>#N/A</v>
      </c>
      <c r="C15" s="909" t="s">
        <v>2043</v>
      </c>
      <c r="D15" s="910" t="e">
        <f>VLOOKUP(C15,'Segment Abs.'!$B:$C,2,0)</f>
        <v>#N/A</v>
      </c>
      <c r="E15" s="909" t="s">
        <v>2044</v>
      </c>
      <c r="F15" s="910" t="e">
        <f>VLOOKUP(E15,'Segment Abs.'!$B:$C,2,0)</f>
        <v>#N/A</v>
      </c>
      <c r="G15" s="909" t="s">
        <v>2045</v>
      </c>
      <c r="H15" s="910" t="e">
        <f>VLOOKUP(G15,'Segment Abs.'!$B:$C,2,0)</f>
        <v>#N/A</v>
      </c>
      <c r="I15" s="909" t="s">
        <v>2046</v>
      </c>
      <c r="J15" s="910" t="e">
        <f>VLOOKUP(I15,'Segment Abs.'!$B:$C,2,0)</f>
        <v>#N/A</v>
      </c>
      <c r="K15" s="909" t="s">
        <v>2047</v>
      </c>
      <c r="L15" s="910" t="e">
        <f>VLOOKUP(K15,'Segment Abs.'!$B:$C,2,0)</f>
        <v>#N/A</v>
      </c>
      <c r="M15" s="909" t="s">
        <v>2048</v>
      </c>
      <c r="N15" s="910" t="e">
        <f>VLOOKUP(M15,'Segment Abs.'!$B:$C,2,0)</f>
        <v>#N/A</v>
      </c>
      <c r="O15" s="909" t="s">
        <v>2049</v>
      </c>
      <c r="P15" s="910" t="e">
        <f>VLOOKUP(O15,'Segment Abs.'!$B:$C,2,0)</f>
        <v>#N/A</v>
      </c>
      <c r="Q15" s="909" t="s">
        <v>2050</v>
      </c>
      <c r="R15" s="910" t="e">
        <f>VLOOKUP(Q15,'Segment Abs.'!$B:$C,2,0)</f>
        <v>#N/A</v>
      </c>
      <c r="S15" s="909" t="s">
        <v>2051</v>
      </c>
      <c r="T15" s="910" t="e">
        <f>VLOOKUP(S15,'Segment Abs.'!$B:$C,2,0)</f>
        <v>#N/A</v>
      </c>
      <c r="U15" s="909" t="s">
        <v>2052</v>
      </c>
      <c r="V15" s="910" t="e">
        <f>VLOOKUP(U15,'Segment Abs.'!$B:$C,2,0)</f>
        <v>#N/A</v>
      </c>
      <c r="W15" s="909" t="s">
        <v>2053</v>
      </c>
      <c r="X15" s="910" t="e">
        <f>VLOOKUP(W15,'Segment Abs.'!$B:$C,2,0)</f>
        <v>#N/A</v>
      </c>
      <c r="Y15" s="909" t="s">
        <v>2054</v>
      </c>
      <c r="Z15" s="910" t="e">
        <f>VLOOKUP(Y15,'Segment Abs.'!$B:$C,2,0)</f>
        <v>#N/A</v>
      </c>
    </row>
    <row r="16" spans="1:27" x14ac:dyDescent="0.3">
      <c r="A16" s="909" t="s">
        <v>2055</v>
      </c>
      <c r="B16" s="910" t="e">
        <f>VLOOKUP(A16,'Segment Abs.'!$B:$C,2,0)</f>
        <v>#N/A</v>
      </c>
      <c r="C16" s="909" t="s">
        <v>2056</v>
      </c>
      <c r="D16" s="910" t="e">
        <f>VLOOKUP(C16,'Segment Abs.'!$B:$C,2,0)</f>
        <v>#N/A</v>
      </c>
      <c r="E16" s="909" t="s">
        <v>2057</v>
      </c>
      <c r="F16" s="910" t="e">
        <f>VLOOKUP(E16,'Segment Abs.'!$B:$C,2,0)</f>
        <v>#N/A</v>
      </c>
      <c r="G16" s="909" t="s">
        <v>2058</v>
      </c>
      <c r="H16" s="910" t="e">
        <f>VLOOKUP(G16,'Segment Abs.'!$B:$C,2,0)</f>
        <v>#N/A</v>
      </c>
      <c r="I16" s="909" t="s">
        <v>2059</v>
      </c>
      <c r="J16" s="910" t="e">
        <f>VLOOKUP(I16,'Segment Abs.'!$B:$C,2,0)</f>
        <v>#N/A</v>
      </c>
      <c r="K16" s="909" t="s">
        <v>2060</v>
      </c>
      <c r="L16" s="910" t="e">
        <f>VLOOKUP(K16,'Segment Abs.'!$B:$C,2,0)</f>
        <v>#N/A</v>
      </c>
      <c r="M16" s="909" t="s">
        <v>2061</v>
      </c>
      <c r="N16" s="910" t="e">
        <f>VLOOKUP(M16,'Segment Abs.'!$B:$C,2,0)</f>
        <v>#N/A</v>
      </c>
      <c r="O16" s="909" t="s">
        <v>2062</v>
      </c>
      <c r="P16" s="910" t="e">
        <f>VLOOKUP(O16,'Segment Abs.'!$B:$C,2,0)</f>
        <v>#N/A</v>
      </c>
      <c r="Q16" s="909" t="s">
        <v>2063</v>
      </c>
      <c r="R16" s="910" t="e">
        <f>VLOOKUP(Q16,'Segment Abs.'!$B:$C,2,0)</f>
        <v>#N/A</v>
      </c>
      <c r="S16" s="909" t="s">
        <v>2064</v>
      </c>
      <c r="T16" s="910" t="e">
        <f>VLOOKUP(S16,'Segment Abs.'!$B:$C,2,0)</f>
        <v>#N/A</v>
      </c>
      <c r="U16" s="909" t="s">
        <v>2065</v>
      </c>
      <c r="V16" s="910" t="e">
        <f>VLOOKUP(U16,'Segment Abs.'!$B:$C,2,0)</f>
        <v>#N/A</v>
      </c>
      <c r="W16" s="909" t="s">
        <v>2066</v>
      </c>
      <c r="X16" s="910" t="e">
        <f>VLOOKUP(W16,'Segment Abs.'!$B:$C,2,0)</f>
        <v>#N/A</v>
      </c>
      <c r="Y16" s="909" t="s">
        <v>2067</v>
      </c>
      <c r="Z16" s="910" t="e">
        <f>VLOOKUP(Y16,'Segment Abs.'!$B:$C,2,0)</f>
        <v>#N/A</v>
      </c>
    </row>
    <row r="17" spans="1:26" x14ac:dyDescent="0.3">
      <c r="A17" s="909" t="s">
        <v>2068</v>
      </c>
      <c r="B17" s="910" t="e">
        <f>VLOOKUP(A17,'Segment Abs.'!$B:$C,2,0)</f>
        <v>#N/A</v>
      </c>
      <c r="C17" s="909" t="s">
        <v>2069</v>
      </c>
      <c r="D17" s="910" t="e">
        <f>VLOOKUP(C17,'Segment Abs.'!$B:$C,2,0)</f>
        <v>#N/A</v>
      </c>
      <c r="E17" s="909" t="s">
        <v>2070</v>
      </c>
      <c r="F17" s="910" t="e">
        <f>VLOOKUP(E17,'Segment Abs.'!$B:$C,2,0)</f>
        <v>#N/A</v>
      </c>
      <c r="G17" s="909" t="s">
        <v>2071</v>
      </c>
      <c r="H17" s="910" t="e">
        <f>VLOOKUP(G17,'Segment Abs.'!$B:$C,2,0)</f>
        <v>#N/A</v>
      </c>
      <c r="I17" s="909" t="s">
        <v>2072</v>
      </c>
      <c r="J17" s="910" t="e">
        <f>VLOOKUP(I17,'Segment Abs.'!$B:$C,2,0)</f>
        <v>#N/A</v>
      </c>
      <c r="K17" s="909" t="s">
        <v>2073</v>
      </c>
      <c r="L17" s="910" t="e">
        <f>VLOOKUP(K17,'Segment Abs.'!$B:$C,2,0)</f>
        <v>#N/A</v>
      </c>
      <c r="M17" s="909" t="s">
        <v>2074</v>
      </c>
      <c r="N17" s="910" t="e">
        <f>VLOOKUP(M17,'Segment Abs.'!$B:$C,2,0)</f>
        <v>#N/A</v>
      </c>
      <c r="O17" s="909" t="s">
        <v>2075</v>
      </c>
      <c r="P17" s="910" t="e">
        <f>VLOOKUP(O17,'Segment Abs.'!$B:$C,2,0)</f>
        <v>#N/A</v>
      </c>
      <c r="Q17" s="909" t="s">
        <v>2076</v>
      </c>
      <c r="R17" s="910" t="e">
        <f>VLOOKUP(Q17,'Segment Abs.'!$B:$C,2,0)</f>
        <v>#N/A</v>
      </c>
      <c r="S17" s="909" t="s">
        <v>2077</v>
      </c>
      <c r="T17" s="910" t="e">
        <f>VLOOKUP(S17,'Segment Abs.'!$B:$C,2,0)</f>
        <v>#N/A</v>
      </c>
      <c r="U17" s="909" t="s">
        <v>2078</v>
      </c>
      <c r="V17" s="910" t="e">
        <f>VLOOKUP(U17,'Segment Abs.'!$B:$C,2,0)</f>
        <v>#N/A</v>
      </c>
      <c r="W17" s="909" t="s">
        <v>2079</v>
      </c>
      <c r="X17" s="910" t="e">
        <f>VLOOKUP(W17,'Segment Abs.'!$B:$C,2,0)</f>
        <v>#N/A</v>
      </c>
      <c r="Y17" s="909" t="s">
        <v>2080</v>
      </c>
      <c r="Z17" s="910" t="e">
        <f>VLOOKUP(Y17,'Segment Abs.'!$B:$C,2,0)</f>
        <v>#N/A</v>
      </c>
    </row>
    <row r="18" spans="1:26" x14ac:dyDescent="0.3">
      <c r="A18" s="909" t="s">
        <v>2081</v>
      </c>
      <c r="B18" s="910" t="e">
        <f>VLOOKUP(A18,'Segment Abs.'!$B:$C,2,0)</f>
        <v>#N/A</v>
      </c>
      <c r="C18" s="909" t="s">
        <v>2082</v>
      </c>
      <c r="D18" s="910" t="e">
        <f>VLOOKUP(C18,'Segment Abs.'!$B:$C,2,0)</f>
        <v>#N/A</v>
      </c>
      <c r="E18" s="909" t="s">
        <v>2083</v>
      </c>
      <c r="F18" s="910" t="e">
        <f>VLOOKUP(E18,'Segment Abs.'!$B:$C,2,0)</f>
        <v>#N/A</v>
      </c>
      <c r="G18" s="909" t="s">
        <v>2084</v>
      </c>
      <c r="H18" s="910" t="e">
        <f>VLOOKUP(G18,'Segment Abs.'!$B:$C,2,0)</f>
        <v>#N/A</v>
      </c>
      <c r="I18" s="909" t="s">
        <v>2085</v>
      </c>
      <c r="J18" s="910" t="e">
        <f>VLOOKUP(I18,'Segment Abs.'!$B:$C,2,0)</f>
        <v>#N/A</v>
      </c>
      <c r="K18" s="909" t="s">
        <v>2086</v>
      </c>
      <c r="L18" s="910" t="e">
        <f>VLOOKUP(K18,'Segment Abs.'!$B:$C,2,0)</f>
        <v>#N/A</v>
      </c>
      <c r="M18" s="909" t="s">
        <v>2087</v>
      </c>
      <c r="N18" s="910" t="e">
        <f>VLOOKUP(M18,'Segment Abs.'!$B:$C,2,0)</f>
        <v>#N/A</v>
      </c>
      <c r="O18" s="909" t="s">
        <v>2088</v>
      </c>
      <c r="P18" s="910" t="e">
        <f>VLOOKUP(O18,'Segment Abs.'!$B:$C,2,0)</f>
        <v>#N/A</v>
      </c>
      <c r="Q18" s="909" t="s">
        <v>2089</v>
      </c>
      <c r="R18" s="910" t="e">
        <f>VLOOKUP(Q18,'Segment Abs.'!$B:$C,2,0)</f>
        <v>#N/A</v>
      </c>
      <c r="S18" s="909" t="s">
        <v>2090</v>
      </c>
      <c r="T18" s="910" t="e">
        <f>VLOOKUP(S18,'Segment Abs.'!$B:$C,2,0)</f>
        <v>#N/A</v>
      </c>
      <c r="U18" s="909" t="s">
        <v>2091</v>
      </c>
      <c r="V18" s="910" t="e">
        <f>VLOOKUP(U18,'Segment Abs.'!$B:$C,2,0)</f>
        <v>#N/A</v>
      </c>
      <c r="W18" s="909" t="s">
        <v>2092</v>
      </c>
      <c r="X18" s="910" t="e">
        <f>VLOOKUP(W18,'Segment Abs.'!$B:$C,2,0)</f>
        <v>#N/A</v>
      </c>
      <c r="Y18" s="909" t="s">
        <v>2093</v>
      </c>
      <c r="Z18" s="910" t="e">
        <f>VLOOKUP(Y18,'Segment Abs.'!$B:$C,2,0)</f>
        <v>#N/A</v>
      </c>
    </row>
    <row r="19" spans="1:26" x14ac:dyDescent="0.3">
      <c r="A19" s="909" t="s">
        <v>2094</v>
      </c>
      <c r="B19" s="910" t="e">
        <f>VLOOKUP(A19,'Segment Abs.'!$B:$C,2,0)</f>
        <v>#N/A</v>
      </c>
      <c r="C19" s="909" t="s">
        <v>2095</v>
      </c>
      <c r="D19" s="910" t="e">
        <f>VLOOKUP(C19,'Segment Abs.'!$B:$C,2,0)</f>
        <v>#N/A</v>
      </c>
      <c r="E19" s="909" t="s">
        <v>2096</v>
      </c>
      <c r="F19" s="910" t="e">
        <f>VLOOKUP(E19,'Segment Abs.'!$B:$C,2,0)</f>
        <v>#N/A</v>
      </c>
      <c r="G19" s="909" t="s">
        <v>2097</v>
      </c>
      <c r="H19" s="910" t="e">
        <f>VLOOKUP(G19,'Segment Abs.'!$B:$C,2,0)</f>
        <v>#N/A</v>
      </c>
      <c r="I19" s="909" t="s">
        <v>2098</v>
      </c>
      <c r="J19" s="910" t="e">
        <f>VLOOKUP(I19,'Segment Abs.'!$B:$C,2,0)</f>
        <v>#N/A</v>
      </c>
      <c r="K19" s="909" t="s">
        <v>2099</v>
      </c>
      <c r="L19" s="910" t="e">
        <f>VLOOKUP(K19,'Segment Abs.'!$B:$C,2,0)</f>
        <v>#N/A</v>
      </c>
      <c r="M19" s="909" t="s">
        <v>2100</v>
      </c>
      <c r="N19" s="910" t="e">
        <f>VLOOKUP(M19,'Segment Abs.'!$B:$C,2,0)</f>
        <v>#N/A</v>
      </c>
      <c r="O19" s="909" t="s">
        <v>2101</v>
      </c>
      <c r="P19" s="910" t="e">
        <f>VLOOKUP(O19,'Segment Abs.'!$B:$C,2,0)</f>
        <v>#N/A</v>
      </c>
      <c r="Q19" s="909" t="s">
        <v>2102</v>
      </c>
      <c r="R19" s="910" t="e">
        <f>VLOOKUP(Q19,'Segment Abs.'!$B:$C,2,0)</f>
        <v>#N/A</v>
      </c>
      <c r="S19" s="909" t="s">
        <v>2103</v>
      </c>
      <c r="T19" s="910" t="e">
        <f>VLOOKUP(S19,'Segment Abs.'!$B:$C,2,0)</f>
        <v>#N/A</v>
      </c>
      <c r="U19" s="909" t="s">
        <v>2104</v>
      </c>
      <c r="V19" s="910" t="e">
        <f>VLOOKUP(U19,'Segment Abs.'!$B:$C,2,0)</f>
        <v>#N/A</v>
      </c>
      <c r="W19" s="909" t="s">
        <v>2105</v>
      </c>
      <c r="X19" s="910" t="e">
        <f>VLOOKUP(W19,'Segment Abs.'!$B:$C,2,0)</f>
        <v>#N/A</v>
      </c>
      <c r="Y19" s="909" t="s">
        <v>2106</v>
      </c>
      <c r="Z19" s="910" t="e">
        <f>VLOOKUP(Y19,'Segment Abs.'!$B:$C,2,0)</f>
        <v>#N/A</v>
      </c>
    </row>
    <row r="20" spans="1:26" x14ac:dyDescent="0.3">
      <c r="A20" s="909" t="s">
        <v>2107</v>
      </c>
      <c r="B20" s="910" t="e">
        <f>VLOOKUP(A20,'Segment Abs.'!$B:$C,2,0)</f>
        <v>#N/A</v>
      </c>
      <c r="C20" s="909" t="s">
        <v>2108</v>
      </c>
      <c r="D20" s="910" t="e">
        <f>VLOOKUP(C20,'Segment Abs.'!$B:$C,2,0)</f>
        <v>#N/A</v>
      </c>
      <c r="E20" s="909" t="s">
        <v>2109</v>
      </c>
      <c r="F20" s="910" t="e">
        <f>VLOOKUP(E20,'Segment Abs.'!$B:$C,2,0)</f>
        <v>#N/A</v>
      </c>
      <c r="G20" s="909" t="s">
        <v>2110</v>
      </c>
      <c r="H20" s="910" t="e">
        <f>VLOOKUP(G20,'Segment Abs.'!$B:$C,2,0)</f>
        <v>#N/A</v>
      </c>
      <c r="I20" s="909" t="s">
        <v>2111</v>
      </c>
      <c r="J20" s="910" t="e">
        <f>VLOOKUP(I20,'Segment Abs.'!$B:$C,2,0)</f>
        <v>#N/A</v>
      </c>
      <c r="K20" s="909" t="s">
        <v>2112</v>
      </c>
      <c r="L20" s="910" t="e">
        <f>VLOOKUP(K20,'Segment Abs.'!$B:$C,2,0)</f>
        <v>#N/A</v>
      </c>
      <c r="M20" s="909" t="s">
        <v>2113</v>
      </c>
      <c r="N20" s="910" t="e">
        <f>VLOOKUP(M20,'Segment Abs.'!$B:$C,2,0)</f>
        <v>#N/A</v>
      </c>
      <c r="O20" s="909" t="s">
        <v>2114</v>
      </c>
      <c r="P20" s="910" t="e">
        <f>VLOOKUP(O20,'Segment Abs.'!$B:$C,2,0)</f>
        <v>#N/A</v>
      </c>
      <c r="Q20" s="909" t="s">
        <v>2115</v>
      </c>
      <c r="R20" s="910" t="e">
        <f>VLOOKUP(Q20,'Segment Abs.'!$B:$C,2,0)</f>
        <v>#N/A</v>
      </c>
      <c r="S20" s="909" t="s">
        <v>2116</v>
      </c>
      <c r="T20" s="910" t="e">
        <f>VLOOKUP(S20,'Segment Abs.'!$B:$C,2,0)</f>
        <v>#N/A</v>
      </c>
      <c r="U20" s="909" t="s">
        <v>2117</v>
      </c>
      <c r="V20" s="910" t="e">
        <f>VLOOKUP(U20,'Segment Abs.'!$B:$C,2,0)</f>
        <v>#N/A</v>
      </c>
      <c r="W20" s="909" t="s">
        <v>2118</v>
      </c>
      <c r="X20" s="910" t="e">
        <f>VLOOKUP(W20,'Segment Abs.'!$B:$C,2,0)</f>
        <v>#N/A</v>
      </c>
      <c r="Y20" s="909" t="s">
        <v>2119</v>
      </c>
      <c r="Z20" s="910" t="e">
        <f>VLOOKUP(Y20,'Segment Abs.'!$B:$C,2,0)</f>
        <v>#N/A</v>
      </c>
    </row>
    <row r="21" spans="1:26" x14ac:dyDescent="0.3">
      <c r="A21" s="909" t="s">
        <v>2120</v>
      </c>
      <c r="B21" s="910" t="e">
        <f>VLOOKUP(A21,'Segment Abs.'!$B:$C,2,0)</f>
        <v>#N/A</v>
      </c>
      <c r="C21" s="909" t="s">
        <v>2121</v>
      </c>
      <c r="D21" s="910" t="e">
        <f>VLOOKUP(C21,'Segment Abs.'!$B:$C,2,0)</f>
        <v>#N/A</v>
      </c>
      <c r="E21" s="909" t="s">
        <v>2122</v>
      </c>
      <c r="F21" s="910" t="e">
        <f>VLOOKUP(E21,'Segment Abs.'!$B:$C,2,0)</f>
        <v>#N/A</v>
      </c>
      <c r="G21" s="909" t="s">
        <v>2123</v>
      </c>
      <c r="H21" s="910" t="e">
        <f>VLOOKUP(G21,'Segment Abs.'!$B:$C,2,0)</f>
        <v>#N/A</v>
      </c>
      <c r="I21" s="909" t="s">
        <v>2124</v>
      </c>
      <c r="J21" s="910" t="e">
        <f>VLOOKUP(I21,'Segment Abs.'!$B:$C,2,0)</f>
        <v>#N/A</v>
      </c>
      <c r="K21" s="909" t="s">
        <v>2125</v>
      </c>
      <c r="L21" s="910" t="e">
        <f>VLOOKUP(K21,'Segment Abs.'!$B:$C,2,0)</f>
        <v>#N/A</v>
      </c>
      <c r="M21" s="909" t="s">
        <v>2126</v>
      </c>
      <c r="N21" s="910" t="e">
        <f>VLOOKUP(M21,'Segment Abs.'!$B:$C,2,0)</f>
        <v>#N/A</v>
      </c>
      <c r="O21" s="909" t="s">
        <v>2127</v>
      </c>
      <c r="P21" s="910" t="e">
        <f>VLOOKUP(O21,'Segment Abs.'!$B:$C,2,0)</f>
        <v>#N/A</v>
      </c>
      <c r="Q21" s="909" t="s">
        <v>2128</v>
      </c>
      <c r="R21" s="910" t="e">
        <f>VLOOKUP(Q21,'Segment Abs.'!$B:$C,2,0)</f>
        <v>#N/A</v>
      </c>
      <c r="S21" s="909" t="s">
        <v>2129</v>
      </c>
      <c r="T21" s="910" t="e">
        <f>VLOOKUP(S21,'Segment Abs.'!$B:$C,2,0)</f>
        <v>#N/A</v>
      </c>
      <c r="U21" s="909" t="s">
        <v>2130</v>
      </c>
      <c r="V21" s="910" t="e">
        <f>VLOOKUP(U21,'Segment Abs.'!$B:$C,2,0)</f>
        <v>#N/A</v>
      </c>
      <c r="W21" s="909" t="s">
        <v>2131</v>
      </c>
      <c r="X21" s="910" t="e">
        <f>VLOOKUP(W21,'Segment Abs.'!$B:$C,2,0)</f>
        <v>#N/A</v>
      </c>
      <c r="Y21" s="909" t="s">
        <v>2132</v>
      </c>
      <c r="Z21" s="910" t="e">
        <f>VLOOKUP(Y21,'Segment Abs.'!$B:$C,2,0)</f>
        <v>#N/A</v>
      </c>
    </row>
    <row r="22" spans="1:26" x14ac:dyDescent="0.3">
      <c r="A22" s="909" t="s">
        <v>2133</v>
      </c>
      <c r="B22" s="910" t="e">
        <f>VLOOKUP(A22,'Segment Abs.'!$B:$C,2,0)</f>
        <v>#N/A</v>
      </c>
      <c r="C22" s="909" t="s">
        <v>2134</v>
      </c>
      <c r="D22" s="910" t="e">
        <f>VLOOKUP(C22,'Segment Abs.'!$B:$C,2,0)</f>
        <v>#N/A</v>
      </c>
      <c r="E22" s="909" t="s">
        <v>2135</v>
      </c>
      <c r="F22" s="910" t="e">
        <f>VLOOKUP(E22,'Segment Abs.'!$B:$C,2,0)</f>
        <v>#N/A</v>
      </c>
      <c r="G22" s="909" t="s">
        <v>2136</v>
      </c>
      <c r="H22" s="910" t="e">
        <f>VLOOKUP(G22,'Segment Abs.'!$B:$C,2,0)</f>
        <v>#N/A</v>
      </c>
      <c r="I22" s="909" t="s">
        <v>2137</v>
      </c>
      <c r="J22" s="910" t="e">
        <f>VLOOKUP(I22,'Segment Abs.'!$B:$C,2,0)</f>
        <v>#N/A</v>
      </c>
      <c r="K22" s="909" t="s">
        <v>2138</v>
      </c>
      <c r="L22" s="910" t="e">
        <f>VLOOKUP(K22,'Segment Abs.'!$B:$C,2,0)</f>
        <v>#N/A</v>
      </c>
      <c r="M22" s="909" t="s">
        <v>2139</v>
      </c>
      <c r="N22" s="910" t="e">
        <f>VLOOKUP(M22,'Segment Abs.'!$B:$C,2,0)</f>
        <v>#N/A</v>
      </c>
      <c r="O22" s="909" t="s">
        <v>2140</v>
      </c>
      <c r="P22" s="910" t="e">
        <f>VLOOKUP(O22,'Segment Abs.'!$B:$C,2,0)</f>
        <v>#N/A</v>
      </c>
      <c r="Q22" s="909" t="s">
        <v>2141</v>
      </c>
      <c r="R22" s="910" t="e">
        <f>VLOOKUP(Q22,'Segment Abs.'!$B:$C,2,0)</f>
        <v>#N/A</v>
      </c>
      <c r="S22" s="909" t="s">
        <v>2142</v>
      </c>
      <c r="T22" s="910" t="e">
        <f>VLOOKUP(S22,'Segment Abs.'!$B:$C,2,0)</f>
        <v>#N/A</v>
      </c>
      <c r="U22" s="909" t="s">
        <v>2143</v>
      </c>
      <c r="V22" s="910" t="e">
        <f>VLOOKUP(U22,'Segment Abs.'!$B:$C,2,0)</f>
        <v>#N/A</v>
      </c>
      <c r="W22" s="909" t="s">
        <v>2144</v>
      </c>
      <c r="X22" s="910" t="e">
        <f>VLOOKUP(W22,'Segment Abs.'!$B:$C,2,0)</f>
        <v>#N/A</v>
      </c>
      <c r="Y22" s="909" t="s">
        <v>2145</v>
      </c>
      <c r="Z22" s="910" t="e">
        <f>VLOOKUP(Y22,'Segment Abs.'!$B:$C,2,0)</f>
        <v>#N/A</v>
      </c>
    </row>
    <row r="23" spans="1:26" x14ac:dyDescent="0.3">
      <c r="A23" s="909" t="s">
        <v>2146</v>
      </c>
      <c r="B23" s="910" t="e">
        <f>VLOOKUP(A23,'Segment Abs.'!$B:$C,2,0)</f>
        <v>#N/A</v>
      </c>
      <c r="C23" s="909" t="s">
        <v>2147</v>
      </c>
      <c r="D23" s="910" t="e">
        <f>VLOOKUP(C23,'Segment Abs.'!$B:$C,2,0)</f>
        <v>#N/A</v>
      </c>
      <c r="E23" s="909" t="s">
        <v>2148</v>
      </c>
      <c r="F23" s="910" t="e">
        <f>VLOOKUP(E23,'Segment Abs.'!$B:$C,2,0)</f>
        <v>#N/A</v>
      </c>
      <c r="G23" s="909" t="s">
        <v>2149</v>
      </c>
      <c r="H23" s="910" t="e">
        <f>VLOOKUP(G23,'Segment Abs.'!$B:$C,2,0)</f>
        <v>#N/A</v>
      </c>
      <c r="I23" s="909" t="s">
        <v>2150</v>
      </c>
      <c r="J23" s="910" t="e">
        <f>VLOOKUP(I23,'Segment Abs.'!$B:$C,2,0)</f>
        <v>#N/A</v>
      </c>
      <c r="K23" s="909" t="s">
        <v>2151</v>
      </c>
      <c r="L23" s="910" t="e">
        <f>VLOOKUP(K23,'Segment Abs.'!$B:$C,2,0)</f>
        <v>#N/A</v>
      </c>
      <c r="M23" s="909" t="s">
        <v>2152</v>
      </c>
      <c r="N23" s="910" t="e">
        <f>VLOOKUP(M23,'Segment Abs.'!$B:$C,2,0)</f>
        <v>#N/A</v>
      </c>
      <c r="O23" s="909" t="s">
        <v>2153</v>
      </c>
      <c r="P23" s="910" t="e">
        <f>VLOOKUP(O23,'Segment Abs.'!$B:$C,2,0)</f>
        <v>#N/A</v>
      </c>
      <c r="Q23" s="909" t="s">
        <v>2154</v>
      </c>
      <c r="R23" s="910" t="e">
        <f>VLOOKUP(Q23,'Segment Abs.'!$B:$C,2,0)</f>
        <v>#N/A</v>
      </c>
      <c r="S23" s="909" t="s">
        <v>2155</v>
      </c>
      <c r="T23" s="910" t="e">
        <f>VLOOKUP(S23,'Segment Abs.'!$B:$C,2,0)</f>
        <v>#N/A</v>
      </c>
      <c r="U23" s="909" t="s">
        <v>2156</v>
      </c>
      <c r="V23" s="910" t="e">
        <f>VLOOKUP(U23,'Segment Abs.'!$B:$C,2,0)</f>
        <v>#N/A</v>
      </c>
      <c r="W23" s="909" t="s">
        <v>2157</v>
      </c>
      <c r="X23" s="910" t="e">
        <f>VLOOKUP(W23,'Segment Abs.'!$B:$C,2,0)</f>
        <v>#N/A</v>
      </c>
      <c r="Y23" s="909" t="s">
        <v>2158</v>
      </c>
      <c r="Z23" s="910" t="e">
        <f>VLOOKUP(Y23,'Segment Abs.'!$B:$C,2,0)</f>
        <v>#N/A</v>
      </c>
    </row>
    <row r="24" spans="1:26" x14ac:dyDescent="0.3">
      <c r="A24" s="909" t="s">
        <v>2159</v>
      </c>
      <c r="B24" s="910" t="e">
        <f>VLOOKUP(A24,'Segment Abs.'!$B:$C,2,0)</f>
        <v>#N/A</v>
      </c>
      <c r="C24" s="909" t="s">
        <v>2160</v>
      </c>
      <c r="D24" s="910" t="e">
        <f>VLOOKUP(C24,'Segment Abs.'!$B:$C,2,0)</f>
        <v>#N/A</v>
      </c>
      <c r="E24" s="909" t="s">
        <v>2161</v>
      </c>
      <c r="F24" s="910" t="e">
        <f>VLOOKUP(E24,'Segment Abs.'!$B:$C,2,0)</f>
        <v>#N/A</v>
      </c>
      <c r="G24" s="909" t="s">
        <v>2162</v>
      </c>
      <c r="H24" s="910" t="e">
        <f>VLOOKUP(G24,'Segment Abs.'!$B:$C,2,0)</f>
        <v>#N/A</v>
      </c>
      <c r="I24" s="909" t="s">
        <v>2163</v>
      </c>
      <c r="J24" s="910" t="e">
        <f>VLOOKUP(I24,'Segment Abs.'!$B:$C,2,0)</f>
        <v>#N/A</v>
      </c>
      <c r="K24" s="909" t="s">
        <v>2164</v>
      </c>
      <c r="L24" s="910" t="e">
        <f>VLOOKUP(K24,'Segment Abs.'!$B:$C,2,0)</f>
        <v>#N/A</v>
      </c>
      <c r="M24" s="909" t="s">
        <v>2165</v>
      </c>
      <c r="N24" s="910" t="e">
        <f>VLOOKUP(M24,'Segment Abs.'!$B:$C,2,0)</f>
        <v>#N/A</v>
      </c>
      <c r="O24" s="909" t="s">
        <v>2166</v>
      </c>
      <c r="P24" s="910" t="e">
        <f>VLOOKUP(O24,'Segment Abs.'!$B:$C,2,0)</f>
        <v>#N/A</v>
      </c>
      <c r="Q24" s="909" t="s">
        <v>2167</v>
      </c>
      <c r="R24" s="910" t="e">
        <f>VLOOKUP(Q24,'Segment Abs.'!$B:$C,2,0)</f>
        <v>#N/A</v>
      </c>
      <c r="S24" s="909" t="s">
        <v>2168</v>
      </c>
      <c r="T24" s="910" t="e">
        <f>VLOOKUP(S24,'Segment Abs.'!$B:$C,2,0)</f>
        <v>#N/A</v>
      </c>
      <c r="U24" s="909" t="s">
        <v>2169</v>
      </c>
      <c r="V24" s="910" t="e">
        <f>VLOOKUP(U24,'Segment Abs.'!$B:$C,2,0)</f>
        <v>#N/A</v>
      </c>
      <c r="W24" s="909" t="s">
        <v>2170</v>
      </c>
      <c r="X24" s="910" t="e">
        <f>VLOOKUP(W24,'Segment Abs.'!$B:$C,2,0)</f>
        <v>#N/A</v>
      </c>
      <c r="Y24" s="909" t="s">
        <v>2171</v>
      </c>
      <c r="Z24" s="910" t="e">
        <f>VLOOKUP(Y24,'Segment Abs.'!$B:$C,2,0)</f>
        <v>#N/A</v>
      </c>
    </row>
    <row r="25" spans="1:26" x14ac:dyDescent="0.3">
      <c r="A25" s="909" t="s">
        <v>2172</v>
      </c>
      <c r="B25" s="910" t="e">
        <f>VLOOKUP(A25,'Segment Abs.'!$B:$C,2,0)</f>
        <v>#N/A</v>
      </c>
      <c r="C25" s="909" t="s">
        <v>2173</v>
      </c>
      <c r="D25" s="910" t="e">
        <f>VLOOKUP(C25,'Segment Abs.'!$B:$C,2,0)</f>
        <v>#N/A</v>
      </c>
      <c r="E25" s="909" t="s">
        <v>2174</v>
      </c>
      <c r="F25" s="910" t="e">
        <f>VLOOKUP(E25,'Segment Abs.'!$B:$C,2,0)</f>
        <v>#N/A</v>
      </c>
      <c r="G25" s="909" t="s">
        <v>2175</v>
      </c>
      <c r="H25" s="910" t="e">
        <f>VLOOKUP(G25,'Segment Abs.'!$B:$C,2,0)</f>
        <v>#N/A</v>
      </c>
      <c r="I25" s="909" t="s">
        <v>2176</v>
      </c>
      <c r="J25" s="910" t="e">
        <f>VLOOKUP(I25,'Segment Abs.'!$B:$C,2,0)</f>
        <v>#N/A</v>
      </c>
      <c r="K25" s="909" t="s">
        <v>2177</v>
      </c>
      <c r="L25" s="910" t="e">
        <f>VLOOKUP(K25,'Segment Abs.'!$B:$C,2,0)</f>
        <v>#N/A</v>
      </c>
      <c r="M25" s="909" t="s">
        <v>2178</v>
      </c>
      <c r="N25" s="910" t="e">
        <f>VLOOKUP(M25,'Segment Abs.'!$B:$C,2,0)</f>
        <v>#N/A</v>
      </c>
      <c r="O25" s="909" t="s">
        <v>2179</v>
      </c>
      <c r="P25" s="910" t="e">
        <f>VLOOKUP(O25,'Segment Abs.'!$B:$C,2,0)</f>
        <v>#N/A</v>
      </c>
      <c r="Q25" s="909" t="s">
        <v>2180</v>
      </c>
      <c r="R25" s="910" t="e">
        <f>VLOOKUP(Q25,'Segment Abs.'!$B:$C,2,0)</f>
        <v>#N/A</v>
      </c>
      <c r="S25" s="909" t="s">
        <v>2181</v>
      </c>
      <c r="T25" s="910" t="e">
        <f>VLOOKUP(S25,'Segment Abs.'!$B:$C,2,0)</f>
        <v>#N/A</v>
      </c>
      <c r="U25" s="909" t="s">
        <v>2182</v>
      </c>
      <c r="V25" s="910" t="e">
        <f>VLOOKUP(U25,'Segment Abs.'!$B:$C,2,0)</f>
        <v>#N/A</v>
      </c>
      <c r="W25" s="909" t="s">
        <v>2183</v>
      </c>
      <c r="X25" s="910" t="e">
        <f>VLOOKUP(W25,'Segment Abs.'!$B:$C,2,0)</f>
        <v>#N/A</v>
      </c>
      <c r="Y25" s="909" t="s">
        <v>2184</v>
      </c>
      <c r="Z25" s="910" t="e">
        <f>VLOOKUP(Y25,'Segment Abs.'!$B:$C,2,0)</f>
        <v>#N/A</v>
      </c>
    </row>
    <row r="26" spans="1:26" x14ac:dyDescent="0.3">
      <c r="A26" s="909" t="s">
        <v>2185</v>
      </c>
      <c r="B26" s="910" t="e">
        <f>VLOOKUP(A26,'Segment Abs.'!$B:$C,2,0)</f>
        <v>#N/A</v>
      </c>
      <c r="C26" s="909" t="s">
        <v>2186</v>
      </c>
      <c r="D26" s="910" t="e">
        <f>VLOOKUP(C26,'Segment Abs.'!$B:$C,2,0)</f>
        <v>#N/A</v>
      </c>
      <c r="E26" s="909" t="s">
        <v>2187</v>
      </c>
      <c r="F26" s="910" t="e">
        <f>VLOOKUP(E26,'Segment Abs.'!$B:$C,2,0)</f>
        <v>#N/A</v>
      </c>
      <c r="G26" s="909" t="s">
        <v>2188</v>
      </c>
      <c r="H26" s="910" t="e">
        <f>VLOOKUP(G26,'Segment Abs.'!$B:$C,2,0)</f>
        <v>#N/A</v>
      </c>
      <c r="I26" s="909" t="s">
        <v>2189</v>
      </c>
      <c r="J26" s="910" t="e">
        <f>VLOOKUP(I26,'Segment Abs.'!$B:$C,2,0)</f>
        <v>#N/A</v>
      </c>
      <c r="K26" s="909" t="s">
        <v>2190</v>
      </c>
      <c r="L26" s="910" t="e">
        <f>VLOOKUP(K26,'Segment Abs.'!$B:$C,2,0)</f>
        <v>#N/A</v>
      </c>
      <c r="M26" s="909" t="s">
        <v>2191</v>
      </c>
      <c r="N26" s="910" t="e">
        <f>VLOOKUP(M26,'Segment Abs.'!$B:$C,2,0)</f>
        <v>#N/A</v>
      </c>
      <c r="O26" s="909" t="s">
        <v>2192</v>
      </c>
      <c r="P26" s="910" t="e">
        <f>VLOOKUP(O26,'Segment Abs.'!$B:$C,2,0)</f>
        <v>#N/A</v>
      </c>
      <c r="Q26" s="909" t="s">
        <v>2193</v>
      </c>
      <c r="R26" s="910" t="e">
        <f>VLOOKUP(Q26,'Segment Abs.'!$B:$C,2,0)</f>
        <v>#N/A</v>
      </c>
      <c r="S26" s="909" t="s">
        <v>2194</v>
      </c>
      <c r="T26" s="910" t="e">
        <f>VLOOKUP(S26,'Segment Abs.'!$B:$C,2,0)</f>
        <v>#N/A</v>
      </c>
      <c r="U26" s="909" t="s">
        <v>2195</v>
      </c>
      <c r="V26" s="910" t="e">
        <f>VLOOKUP(U26,'Segment Abs.'!$B:$C,2,0)</f>
        <v>#N/A</v>
      </c>
      <c r="W26" s="909" t="s">
        <v>2196</v>
      </c>
      <c r="X26" s="910" t="e">
        <f>VLOOKUP(W26,'Segment Abs.'!$B:$C,2,0)</f>
        <v>#N/A</v>
      </c>
      <c r="Y26" s="909" t="s">
        <v>2197</v>
      </c>
      <c r="Z26" s="910" t="e">
        <f>VLOOKUP(Y26,'Segment Abs.'!$B:$C,2,0)</f>
        <v>#N/A</v>
      </c>
    </row>
    <row r="27" spans="1:26" x14ac:dyDescent="0.3">
      <c r="A27" s="909" t="s">
        <v>2198</v>
      </c>
      <c r="B27" s="910" t="e">
        <f>VLOOKUP(A27,'Segment Abs.'!$B:$C,2,0)</f>
        <v>#N/A</v>
      </c>
      <c r="C27" s="909" t="s">
        <v>2199</v>
      </c>
      <c r="D27" s="910" t="e">
        <f>VLOOKUP(C27,'Segment Abs.'!$B:$C,2,0)</f>
        <v>#N/A</v>
      </c>
      <c r="E27" s="909" t="s">
        <v>2200</v>
      </c>
      <c r="F27" s="910" t="e">
        <f>VLOOKUP(E27,'Segment Abs.'!$B:$C,2,0)</f>
        <v>#N/A</v>
      </c>
      <c r="G27" s="909" t="s">
        <v>2201</v>
      </c>
      <c r="H27" s="910" t="e">
        <f>VLOOKUP(G27,'Segment Abs.'!$B:$C,2,0)</f>
        <v>#N/A</v>
      </c>
      <c r="I27" s="909" t="s">
        <v>2202</v>
      </c>
      <c r="J27" s="910" t="e">
        <f>VLOOKUP(I27,'Segment Abs.'!$B:$C,2,0)</f>
        <v>#N/A</v>
      </c>
      <c r="K27" s="909" t="s">
        <v>2203</v>
      </c>
      <c r="L27" s="910" t="e">
        <f>VLOOKUP(K27,'Segment Abs.'!$B:$C,2,0)</f>
        <v>#N/A</v>
      </c>
      <c r="M27" s="909" t="s">
        <v>2204</v>
      </c>
      <c r="N27" s="910" t="e">
        <f>VLOOKUP(M27,'Segment Abs.'!$B:$C,2,0)</f>
        <v>#N/A</v>
      </c>
      <c r="O27" s="909" t="s">
        <v>2205</v>
      </c>
      <c r="P27" s="910" t="e">
        <f>VLOOKUP(O27,'Segment Abs.'!$B:$C,2,0)</f>
        <v>#N/A</v>
      </c>
      <c r="Q27" s="909" t="s">
        <v>2206</v>
      </c>
      <c r="R27" s="910" t="e">
        <f>VLOOKUP(Q27,'Segment Abs.'!$B:$C,2,0)</f>
        <v>#N/A</v>
      </c>
      <c r="S27" s="909" t="s">
        <v>2207</v>
      </c>
      <c r="T27" s="910" t="e">
        <f>VLOOKUP(S27,'Segment Abs.'!$B:$C,2,0)</f>
        <v>#N/A</v>
      </c>
      <c r="U27" s="909" t="s">
        <v>2208</v>
      </c>
      <c r="V27" s="910" t="e">
        <f>VLOOKUP(U27,'Segment Abs.'!$B:$C,2,0)</f>
        <v>#N/A</v>
      </c>
      <c r="W27" s="909" t="s">
        <v>2209</v>
      </c>
      <c r="X27" s="910" t="e">
        <f>VLOOKUP(W27,'Segment Abs.'!$B:$C,2,0)</f>
        <v>#N/A</v>
      </c>
      <c r="Y27" s="909" t="s">
        <v>2210</v>
      </c>
      <c r="Z27" s="910" t="e">
        <f>VLOOKUP(Y27,'Segment Abs.'!$B:$C,2,0)</f>
        <v>#N/A</v>
      </c>
    </row>
    <row r="28" spans="1:26" x14ac:dyDescent="0.3">
      <c r="A28" s="909" t="s">
        <v>2211</v>
      </c>
      <c r="B28" s="910" t="e">
        <f>VLOOKUP(A28,'Segment Abs.'!$B:$C,2,0)</f>
        <v>#N/A</v>
      </c>
      <c r="C28" s="909" t="s">
        <v>2212</v>
      </c>
      <c r="D28" s="910" t="e">
        <f>VLOOKUP(C28,'Segment Abs.'!$B:$C,2,0)</f>
        <v>#N/A</v>
      </c>
      <c r="E28" s="909" t="s">
        <v>2213</v>
      </c>
      <c r="F28" s="910" t="e">
        <f>VLOOKUP(E28,'Segment Abs.'!$B:$C,2,0)</f>
        <v>#N/A</v>
      </c>
      <c r="G28" s="909" t="s">
        <v>2214</v>
      </c>
      <c r="H28" s="910" t="e">
        <f>VLOOKUP(G28,'Segment Abs.'!$B:$C,2,0)</f>
        <v>#N/A</v>
      </c>
      <c r="I28" s="909" t="s">
        <v>2215</v>
      </c>
      <c r="J28" s="910" t="e">
        <f>VLOOKUP(I28,'Segment Abs.'!$B:$C,2,0)</f>
        <v>#N/A</v>
      </c>
      <c r="K28" s="909" t="s">
        <v>2216</v>
      </c>
      <c r="L28" s="910" t="e">
        <f>VLOOKUP(K28,'Segment Abs.'!$B:$C,2,0)</f>
        <v>#N/A</v>
      </c>
      <c r="M28" s="909" t="s">
        <v>2217</v>
      </c>
      <c r="N28" s="910" t="e">
        <f>VLOOKUP(M28,'Segment Abs.'!$B:$C,2,0)</f>
        <v>#N/A</v>
      </c>
      <c r="O28" s="909" t="s">
        <v>2218</v>
      </c>
      <c r="P28" s="910" t="e">
        <f>VLOOKUP(O28,'Segment Abs.'!$B:$C,2,0)</f>
        <v>#N/A</v>
      </c>
      <c r="Q28" s="909" t="s">
        <v>2219</v>
      </c>
      <c r="R28" s="910" t="e">
        <f>VLOOKUP(Q28,'Segment Abs.'!$B:$C,2,0)</f>
        <v>#N/A</v>
      </c>
      <c r="S28" s="909" t="s">
        <v>2220</v>
      </c>
      <c r="T28" s="910" t="e">
        <f>VLOOKUP(S28,'Segment Abs.'!$B:$C,2,0)</f>
        <v>#N/A</v>
      </c>
      <c r="U28" s="909" t="s">
        <v>2221</v>
      </c>
      <c r="V28" s="910" t="e">
        <f>VLOOKUP(U28,'Segment Abs.'!$B:$C,2,0)</f>
        <v>#N/A</v>
      </c>
      <c r="W28" s="909" t="s">
        <v>2222</v>
      </c>
      <c r="X28" s="910" t="e">
        <f>VLOOKUP(W28,'Segment Abs.'!$B:$C,2,0)</f>
        <v>#N/A</v>
      </c>
      <c r="Y28" s="909" t="s">
        <v>2223</v>
      </c>
      <c r="Z28" s="910" t="e">
        <f>VLOOKUP(Y28,'Segment Abs.'!$B:$C,2,0)</f>
        <v>#N/A</v>
      </c>
    </row>
    <row r="29" spans="1:26" x14ac:dyDescent="0.3">
      <c r="A29" s="909" t="s">
        <v>2224</v>
      </c>
      <c r="B29" s="910" t="e">
        <f>VLOOKUP(A29,'Segment Abs.'!$B:$C,2,0)</f>
        <v>#N/A</v>
      </c>
      <c r="C29" s="909" t="s">
        <v>2225</v>
      </c>
      <c r="D29" s="910" t="e">
        <f>VLOOKUP(C29,'Segment Abs.'!$B:$C,2,0)</f>
        <v>#N/A</v>
      </c>
      <c r="E29" s="909" t="s">
        <v>2226</v>
      </c>
      <c r="F29" s="910" t="e">
        <f>VLOOKUP(E29,'Segment Abs.'!$B:$C,2,0)</f>
        <v>#N/A</v>
      </c>
      <c r="G29" s="909" t="s">
        <v>2227</v>
      </c>
      <c r="H29" s="910" t="e">
        <f>VLOOKUP(G29,'Segment Abs.'!$B:$C,2,0)</f>
        <v>#N/A</v>
      </c>
      <c r="I29" s="909" t="s">
        <v>2228</v>
      </c>
      <c r="J29" s="910" t="e">
        <f>VLOOKUP(I29,'Segment Abs.'!$B:$C,2,0)</f>
        <v>#N/A</v>
      </c>
      <c r="K29" s="909" t="s">
        <v>2229</v>
      </c>
      <c r="L29" s="910" t="e">
        <f>VLOOKUP(K29,'Segment Abs.'!$B:$C,2,0)</f>
        <v>#N/A</v>
      </c>
      <c r="M29" s="909" t="s">
        <v>2230</v>
      </c>
      <c r="N29" s="910" t="e">
        <f>VLOOKUP(M29,'Segment Abs.'!$B:$C,2,0)</f>
        <v>#N/A</v>
      </c>
      <c r="O29" s="909" t="s">
        <v>2231</v>
      </c>
      <c r="P29" s="910" t="e">
        <f>VLOOKUP(O29,'Segment Abs.'!$B:$C,2,0)</f>
        <v>#N/A</v>
      </c>
      <c r="Q29" s="909" t="s">
        <v>2232</v>
      </c>
      <c r="R29" s="910" t="e">
        <f>VLOOKUP(Q29,'Segment Abs.'!$B:$C,2,0)</f>
        <v>#N/A</v>
      </c>
      <c r="S29" s="909" t="s">
        <v>2233</v>
      </c>
      <c r="T29" s="910" t="e">
        <f>VLOOKUP(S29,'Segment Abs.'!$B:$C,2,0)</f>
        <v>#N/A</v>
      </c>
      <c r="U29" s="909" t="s">
        <v>2234</v>
      </c>
      <c r="V29" s="910" t="e">
        <f>VLOOKUP(U29,'Segment Abs.'!$B:$C,2,0)</f>
        <v>#N/A</v>
      </c>
      <c r="W29" s="909" t="s">
        <v>2235</v>
      </c>
      <c r="X29" s="910" t="e">
        <f>VLOOKUP(W29,'Segment Abs.'!$B:$C,2,0)</f>
        <v>#N/A</v>
      </c>
      <c r="Y29" s="909" t="s">
        <v>2236</v>
      </c>
      <c r="Z29" s="910" t="e">
        <f>VLOOKUP(Y29,'Segment Abs.'!$B:$C,2,0)</f>
        <v>#N/A</v>
      </c>
    </row>
    <row r="30" spans="1:26" x14ac:dyDescent="0.3">
      <c r="A30" s="909" t="s">
        <v>2237</v>
      </c>
      <c r="B30" s="910" t="e">
        <f>VLOOKUP(A30,'Segment Abs.'!$B:$C,2,0)</f>
        <v>#N/A</v>
      </c>
      <c r="C30" s="909" t="s">
        <v>2238</v>
      </c>
      <c r="D30" s="910" t="e">
        <f>VLOOKUP(C30,'Segment Abs.'!$B:$C,2,0)</f>
        <v>#N/A</v>
      </c>
      <c r="E30" s="909" t="s">
        <v>2239</v>
      </c>
      <c r="F30" s="910" t="e">
        <f>VLOOKUP(E30,'Segment Abs.'!$B:$C,2,0)</f>
        <v>#N/A</v>
      </c>
      <c r="G30" s="909" t="s">
        <v>2240</v>
      </c>
      <c r="H30" s="910" t="e">
        <f>VLOOKUP(G30,'Segment Abs.'!$B:$C,2,0)</f>
        <v>#N/A</v>
      </c>
      <c r="I30" s="909" t="s">
        <v>2241</v>
      </c>
      <c r="J30" s="910" t="e">
        <f>VLOOKUP(I30,'Segment Abs.'!$B:$C,2,0)</f>
        <v>#N/A</v>
      </c>
      <c r="K30" s="909" t="s">
        <v>2242</v>
      </c>
      <c r="L30" s="910" t="e">
        <f>VLOOKUP(K30,'Segment Abs.'!$B:$C,2,0)</f>
        <v>#N/A</v>
      </c>
      <c r="M30" s="909" t="s">
        <v>2243</v>
      </c>
      <c r="N30" s="910" t="e">
        <f>VLOOKUP(M30,'Segment Abs.'!$B:$C,2,0)</f>
        <v>#N/A</v>
      </c>
      <c r="O30" s="909" t="s">
        <v>2244</v>
      </c>
      <c r="P30" s="910" t="e">
        <f>VLOOKUP(O30,'Segment Abs.'!$B:$C,2,0)</f>
        <v>#N/A</v>
      </c>
      <c r="Q30" s="909" t="s">
        <v>2245</v>
      </c>
      <c r="R30" s="910" t="e">
        <f>VLOOKUP(Q30,'Segment Abs.'!$B:$C,2,0)</f>
        <v>#N/A</v>
      </c>
      <c r="S30" s="909" t="s">
        <v>2246</v>
      </c>
      <c r="T30" s="910" t="e">
        <f>VLOOKUP(S30,'Segment Abs.'!$B:$C,2,0)</f>
        <v>#N/A</v>
      </c>
      <c r="U30" s="909" t="s">
        <v>2247</v>
      </c>
      <c r="V30" s="910" t="e">
        <f>VLOOKUP(U30,'Segment Abs.'!$B:$C,2,0)</f>
        <v>#N/A</v>
      </c>
      <c r="W30" s="909" t="s">
        <v>2248</v>
      </c>
      <c r="X30" s="910" t="e">
        <f>VLOOKUP(W30,'Segment Abs.'!$B:$C,2,0)</f>
        <v>#N/A</v>
      </c>
      <c r="Y30" s="909" t="s">
        <v>2249</v>
      </c>
      <c r="Z30" s="910" t="e">
        <f>VLOOKUP(Y30,'Segment Abs.'!$B:$C,2,0)</f>
        <v>#N/A</v>
      </c>
    </row>
    <row r="31" spans="1:26" x14ac:dyDescent="0.3">
      <c r="A31" s="909" t="s">
        <v>2250</v>
      </c>
      <c r="B31" s="910" t="e">
        <f>VLOOKUP(A31,'Segment Abs.'!$B:$C,2,0)</f>
        <v>#N/A</v>
      </c>
      <c r="C31" s="909" t="s">
        <v>2251</v>
      </c>
      <c r="D31" s="910" t="e">
        <f>VLOOKUP(C31,'Segment Abs.'!$B:$C,2,0)</f>
        <v>#N/A</v>
      </c>
      <c r="E31" s="909" t="s">
        <v>2252</v>
      </c>
      <c r="F31" s="910" t="e">
        <f>VLOOKUP(E31,'Segment Abs.'!$B:$C,2,0)</f>
        <v>#N/A</v>
      </c>
      <c r="G31" s="909" t="s">
        <v>2253</v>
      </c>
      <c r="H31" s="910" t="e">
        <f>VLOOKUP(G31,'Segment Abs.'!$B:$C,2,0)</f>
        <v>#N/A</v>
      </c>
      <c r="I31" s="909" t="s">
        <v>2254</v>
      </c>
      <c r="J31" s="910" t="e">
        <f>VLOOKUP(I31,'Segment Abs.'!$B:$C,2,0)</f>
        <v>#N/A</v>
      </c>
      <c r="K31" s="909" t="s">
        <v>2255</v>
      </c>
      <c r="L31" s="910" t="e">
        <f>VLOOKUP(K31,'Segment Abs.'!$B:$C,2,0)</f>
        <v>#N/A</v>
      </c>
      <c r="M31" s="909" t="s">
        <v>2256</v>
      </c>
      <c r="N31" s="910" t="e">
        <f>VLOOKUP(M31,'Segment Abs.'!$B:$C,2,0)</f>
        <v>#N/A</v>
      </c>
      <c r="O31" s="909" t="s">
        <v>2257</v>
      </c>
      <c r="P31" s="910" t="e">
        <f>VLOOKUP(O31,'Segment Abs.'!$B:$C,2,0)</f>
        <v>#N/A</v>
      </c>
      <c r="Q31" s="909" t="s">
        <v>2258</v>
      </c>
      <c r="R31" s="910" t="e">
        <f>VLOOKUP(Q31,'Segment Abs.'!$B:$C,2,0)</f>
        <v>#N/A</v>
      </c>
      <c r="S31" s="909" t="s">
        <v>2259</v>
      </c>
      <c r="T31" s="910" t="e">
        <f>VLOOKUP(S31,'Segment Abs.'!$B:$C,2,0)</f>
        <v>#N/A</v>
      </c>
      <c r="U31" s="909" t="s">
        <v>2260</v>
      </c>
      <c r="V31" s="910" t="e">
        <f>VLOOKUP(U31,'Segment Abs.'!$B:$C,2,0)</f>
        <v>#N/A</v>
      </c>
      <c r="W31" s="909" t="s">
        <v>2261</v>
      </c>
      <c r="X31" s="910" t="e">
        <f>VLOOKUP(W31,'Segment Abs.'!$B:$C,2,0)</f>
        <v>#N/A</v>
      </c>
      <c r="Y31" s="909" t="s">
        <v>2262</v>
      </c>
      <c r="Z31" s="910" t="e">
        <f>VLOOKUP(Y31,'Segment Abs.'!$B:$C,2,0)</f>
        <v>#N/A</v>
      </c>
    </row>
    <row r="32" spans="1:26" x14ac:dyDescent="0.3">
      <c r="A32" s="909" t="s">
        <v>2263</v>
      </c>
      <c r="B32" s="910" t="e">
        <f>VLOOKUP(A32,'Segment Abs.'!$B:$C,2,0)</f>
        <v>#N/A</v>
      </c>
      <c r="C32" s="909" t="s">
        <v>2264</v>
      </c>
      <c r="D32" s="910" t="e">
        <f>VLOOKUP(C32,'Segment Abs.'!$B:$C,2,0)</f>
        <v>#N/A</v>
      </c>
      <c r="E32" s="909" t="s">
        <v>2265</v>
      </c>
      <c r="F32" s="910" t="e">
        <f>VLOOKUP(E32,'Segment Abs.'!$B:$C,2,0)</f>
        <v>#N/A</v>
      </c>
      <c r="G32" s="909" t="s">
        <v>2266</v>
      </c>
      <c r="H32" s="910" t="e">
        <f>VLOOKUP(G32,'Segment Abs.'!$B:$C,2,0)</f>
        <v>#N/A</v>
      </c>
      <c r="I32" s="909" t="s">
        <v>2267</v>
      </c>
      <c r="J32" s="910" t="e">
        <f>VLOOKUP(I32,'Segment Abs.'!$B:$C,2,0)</f>
        <v>#N/A</v>
      </c>
      <c r="K32" s="909" t="s">
        <v>2268</v>
      </c>
      <c r="L32" s="910" t="e">
        <f>VLOOKUP(K32,'Segment Abs.'!$B:$C,2,0)</f>
        <v>#N/A</v>
      </c>
      <c r="M32" s="909" t="s">
        <v>2269</v>
      </c>
      <c r="N32" s="910" t="e">
        <f>VLOOKUP(M32,'Segment Abs.'!$B:$C,2,0)</f>
        <v>#N/A</v>
      </c>
      <c r="O32" s="909" t="s">
        <v>2270</v>
      </c>
      <c r="P32" s="910" t="e">
        <f>VLOOKUP(O32,'Segment Abs.'!$B:$C,2,0)</f>
        <v>#N/A</v>
      </c>
      <c r="Q32" s="909" t="s">
        <v>2271</v>
      </c>
      <c r="R32" s="910" t="e">
        <f>VLOOKUP(Q32,'Segment Abs.'!$B:$C,2,0)</f>
        <v>#N/A</v>
      </c>
      <c r="S32" s="909" t="s">
        <v>2272</v>
      </c>
      <c r="T32" s="910" t="e">
        <f>VLOOKUP(S32,'Segment Abs.'!$B:$C,2,0)</f>
        <v>#N/A</v>
      </c>
      <c r="U32" s="909" t="s">
        <v>2273</v>
      </c>
      <c r="V32" s="910" t="e">
        <f>VLOOKUP(U32,'Segment Abs.'!$B:$C,2,0)</f>
        <v>#N/A</v>
      </c>
      <c r="W32" s="909" t="s">
        <v>2274</v>
      </c>
      <c r="X32" s="910" t="e">
        <f>VLOOKUP(W32,'Segment Abs.'!$B:$C,2,0)</f>
        <v>#N/A</v>
      </c>
      <c r="Y32" s="909" t="s">
        <v>2275</v>
      </c>
      <c r="Z32" s="910" t="e">
        <f>VLOOKUP(Y32,'Segment Abs.'!$B:$C,2,0)</f>
        <v>#N/A</v>
      </c>
    </row>
    <row r="33" spans="1:26" x14ac:dyDescent="0.3">
      <c r="A33" s="909" t="s">
        <v>2276</v>
      </c>
      <c r="B33" s="910" t="e">
        <f>VLOOKUP(A33,'Segment Abs.'!$B:$C,2,0)</f>
        <v>#N/A</v>
      </c>
      <c r="C33" s="909" t="s">
        <v>2277</v>
      </c>
      <c r="D33" s="910" t="e">
        <f>VLOOKUP(C33,'Segment Abs.'!$B:$C,2,0)</f>
        <v>#N/A</v>
      </c>
      <c r="E33" s="909" t="s">
        <v>2278</v>
      </c>
      <c r="F33" s="910" t="e">
        <f>VLOOKUP(E33,'Segment Abs.'!$B:$C,2,0)</f>
        <v>#N/A</v>
      </c>
      <c r="G33" s="909" t="s">
        <v>2279</v>
      </c>
      <c r="H33" s="910" t="e">
        <f>VLOOKUP(G33,'Segment Abs.'!$B:$C,2,0)</f>
        <v>#N/A</v>
      </c>
      <c r="I33" s="909" t="s">
        <v>2280</v>
      </c>
      <c r="J33" s="910" t="e">
        <f>VLOOKUP(I33,'Segment Abs.'!$B:$C,2,0)</f>
        <v>#N/A</v>
      </c>
      <c r="K33" s="909" t="s">
        <v>2281</v>
      </c>
      <c r="L33" s="910" t="e">
        <f>VLOOKUP(K33,'Segment Abs.'!$B:$C,2,0)</f>
        <v>#N/A</v>
      </c>
      <c r="M33" s="909" t="s">
        <v>2282</v>
      </c>
      <c r="N33" s="910" t="e">
        <f>VLOOKUP(M33,'Segment Abs.'!$B:$C,2,0)</f>
        <v>#N/A</v>
      </c>
      <c r="O33" s="909" t="s">
        <v>2283</v>
      </c>
      <c r="P33" s="910" t="e">
        <f>VLOOKUP(O33,'Segment Abs.'!$B:$C,2,0)</f>
        <v>#N/A</v>
      </c>
      <c r="Q33" s="909" t="s">
        <v>2284</v>
      </c>
      <c r="R33" s="910" t="e">
        <f>VLOOKUP(Q33,'Segment Abs.'!$B:$C,2,0)</f>
        <v>#N/A</v>
      </c>
      <c r="S33" s="909" t="s">
        <v>2285</v>
      </c>
      <c r="T33" s="910" t="e">
        <f>VLOOKUP(S33,'Segment Abs.'!$B:$C,2,0)</f>
        <v>#N/A</v>
      </c>
      <c r="U33" s="909" t="s">
        <v>2286</v>
      </c>
      <c r="V33" s="910" t="e">
        <f>VLOOKUP(U33,'Segment Abs.'!$B:$C,2,0)</f>
        <v>#N/A</v>
      </c>
      <c r="W33" s="909" t="s">
        <v>2287</v>
      </c>
      <c r="X33" s="910" t="e">
        <f>VLOOKUP(W33,'Segment Abs.'!$B:$C,2,0)</f>
        <v>#N/A</v>
      </c>
      <c r="Y33" s="909" t="s">
        <v>2288</v>
      </c>
      <c r="Z33" s="910" t="e">
        <f>VLOOKUP(Y33,'Segment Abs.'!$B:$C,2,0)</f>
        <v>#N/A</v>
      </c>
    </row>
    <row r="34" spans="1:26" x14ac:dyDescent="0.3">
      <c r="A34" s="909" t="s">
        <v>2289</v>
      </c>
      <c r="B34" s="910" t="e">
        <f>VLOOKUP(A34,'Segment Abs.'!$B:$C,2,0)</f>
        <v>#N/A</v>
      </c>
      <c r="C34" s="909" t="s">
        <v>2290</v>
      </c>
      <c r="D34" s="910" t="e">
        <f>VLOOKUP(C34,'Segment Abs.'!$B:$C,2,0)</f>
        <v>#N/A</v>
      </c>
      <c r="E34" s="909" t="s">
        <v>2291</v>
      </c>
      <c r="F34" s="910" t="e">
        <f>VLOOKUP(E34,'Segment Abs.'!$B:$C,2,0)</f>
        <v>#N/A</v>
      </c>
      <c r="G34" s="909" t="s">
        <v>2292</v>
      </c>
      <c r="H34" s="910" t="e">
        <f>VLOOKUP(G34,'Segment Abs.'!$B:$C,2,0)</f>
        <v>#N/A</v>
      </c>
      <c r="I34" s="909" t="s">
        <v>2293</v>
      </c>
      <c r="J34" s="910" t="e">
        <f>VLOOKUP(I34,'Segment Abs.'!$B:$C,2,0)</f>
        <v>#N/A</v>
      </c>
      <c r="K34" s="909" t="s">
        <v>2294</v>
      </c>
      <c r="L34" s="910" t="e">
        <f>VLOOKUP(K34,'Segment Abs.'!$B:$C,2,0)</f>
        <v>#N/A</v>
      </c>
      <c r="M34" s="909" t="s">
        <v>2295</v>
      </c>
      <c r="N34" s="910" t="e">
        <f>VLOOKUP(M34,'Segment Abs.'!$B:$C,2,0)</f>
        <v>#N/A</v>
      </c>
      <c r="O34" s="909" t="s">
        <v>2296</v>
      </c>
      <c r="P34" s="910" t="e">
        <f>VLOOKUP(O34,'Segment Abs.'!$B:$C,2,0)</f>
        <v>#N/A</v>
      </c>
      <c r="Q34" s="909" t="s">
        <v>2297</v>
      </c>
      <c r="R34" s="910" t="e">
        <f>VLOOKUP(Q34,'Segment Abs.'!$B:$C,2,0)</f>
        <v>#N/A</v>
      </c>
      <c r="S34" s="909" t="s">
        <v>2298</v>
      </c>
      <c r="T34" s="910" t="e">
        <f>VLOOKUP(S34,'Segment Abs.'!$B:$C,2,0)</f>
        <v>#N/A</v>
      </c>
      <c r="U34" s="909" t="s">
        <v>2299</v>
      </c>
      <c r="V34" s="910" t="e">
        <f>VLOOKUP(U34,'Segment Abs.'!$B:$C,2,0)</f>
        <v>#N/A</v>
      </c>
      <c r="W34" s="909" t="s">
        <v>2300</v>
      </c>
      <c r="X34" s="910" t="e">
        <f>VLOOKUP(W34,'Segment Abs.'!$B:$C,2,0)</f>
        <v>#N/A</v>
      </c>
      <c r="Y34" s="909" t="s">
        <v>2301</v>
      </c>
      <c r="Z34" s="910" t="e">
        <f>VLOOKUP(Y34,'Segment Abs.'!$B:$C,2,0)</f>
        <v>#N/A</v>
      </c>
    </row>
    <row r="35" spans="1:26" x14ac:dyDescent="0.3">
      <c r="A35" s="909" t="s">
        <v>2302</v>
      </c>
      <c r="B35" s="910" t="e">
        <f>VLOOKUP(A35,'Segment Abs.'!$B:$C,2,0)</f>
        <v>#N/A</v>
      </c>
      <c r="C35" s="909" t="s">
        <v>2303</v>
      </c>
      <c r="D35" s="910" t="e">
        <f>VLOOKUP(C35,'Segment Abs.'!$B:$C,2,0)</f>
        <v>#N/A</v>
      </c>
      <c r="E35" s="909" t="s">
        <v>2304</v>
      </c>
      <c r="F35" s="910" t="e">
        <f>VLOOKUP(E35,'Segment Abs.'!$B:$C,2,0)</f>
        <v>#N/A</v>
      </c>
      <c r="G35" s="909" t="s">
        <v>2305</v>
      </c>
      <c r="H35" s="910" t="e">
        <f>VLOOKUP(G35,'Segment Abs.'!$B:$C,2,0)</f>
        <v>#N/A</v>
      </c>
      <c r="I35" s="909" t="s">
        <v>2306</v>
      </c>
      <c r="J35" s="910" t="e">
        <f>VLOOKUP(I35,'Segment Abs.'!$B:$C,2,0)</f>
        <v>#N/A</v>
      </c>
      <c r="K35" s="909" t="s">
        <v>2307</v>
      </c>
      <c r="L35" s="910" t="e">
        <f>VLOOKUP(K35,'Segment Abs.'!$B:$C,2,0)</f>
        <v>#N/A</v>
      </c>
      <c r="M35" s="909" t="s">
        <v>2308</v>
      </c>
      <c r="N35" s="910" t="e">
        <f>VLOOKUP(M35,'Segment Abs.'!$B:$C,2,0)</f>
        <v>#N/A</v>
      </c>
      <c r="O35" s="909" t="s">
        <v>2309</v>
      </c>
      <c r="P35" s="910" t="e">
        <f>VLOOKUP(O35,'Segment Abs.'!$B:$C,2,0)</f>
        <v>#N/A</v>
      </c>
      <c r="Q35" s="909" t="s">
        <v>2310</v>
      </c>
      <c r="R35" s="910" t="e">
        <f>VLOOKUP(Q35,'Segment Abs.'!$B:$C,2,0)</f>
        <v>#N/A</v>
      </c>
      <c r="S35" s="909" t="s">
        <v>2311</v>
      </c>
      <c r="T35" s="910" t="e">
        <f>VLOOKUP(S35,'Segment Abs.'!$B:$C,2,0)</f>
        <v>#N/A</v>
      </c>
      <c r="U35" s="909" t="s">
        <v>2312</v>
      </c>
      <c r="V35" s="910" t="e">
        <f>VLOOKUP(U35,'Segment Abs.'!$B:$C,2,0)</f>
        <v>#N/A</v>
      </c>
      <c r="W35" s="909" t="s">
        <v>2313</v>
      </c>
      <c r="X35" s="910" t="e">
        <f>VLOOKUP(W35,'Segment Abs.'!$B:$C,2,0)</f>
        <v>#N/A</v>
      </c>
      <c r="Y35" s="909" t="s">
        <v>2314</v>
      </c>
      <c r="Z35" s="910" t="e">
        <f>VLOOKUP(Y35,'Segment Abs.'!$B:$C,2,0)</f>
        <v>#N/A</v>
      </c>
    </row>
    <row r="36" spans="1:26" x14ac:dyDescent="0.3">
      <c r="A36" s="909" t="s">
        <v>2315</v>
      </c>
      <c r="B36" s="910" t="e">
        <f>VLOOKUP(A36,'Segment Abs.'!$B:$C,2,0)</f>
        <v>#N/A</v>
      </c>
      <c r="C36" s="909" t="s">
        <v>2316</v>
      </c>
      <c r="D36" s="910" t="e">
        <f>VLOOKUP(C36,'Segment Abs.'!$B:$C,2,0)</f>
        <v>#N/A</v>
      </c>
      <c r="E36" s="909" t="s">
        <v>2317</v>
      </c>
      <c r="F36" s="910" t="e">
        <f>VLOOKUP(E36,'Segment Abs.'!$B:$C,2,0)</f>
        <v>#N/A</v>
      </c>
      <c r="G36" s="909" t="s">
        <v>2318</v>
      </c>
      <c r="H36" s="910" t="e">
        <f>VLOOKUP(G36,'Segment Abs.'!$B:$C,2,0)</f>
        <v>#N/A</v>
      </c>
      <c r="I36" s="909" t="s">
        <v>2319</v>
      </c>
      <c r="J36" s="910" t="e">
        <f>VLOOKUP(I36,'Segment Abs.'!$B:$C,2,0)</f>
        <v>#N/A</v>
      </c>
      <c r="K36" s="909" t="s">
        <v>2320</v>
      </c>
      <c r="L36" s="910" t="e">
        <f>VLOOKUP(K36,'Segment Abs.'!$B:$C,2,0)</f>
        <v>#N/A</v>
      </c>
      <c r="M36" s="909" t="s">
        <v>2321</v>
      </c>
      <c r="N36" s="910" t="e">
        <f>VLOOKUP(M36,'Segment Abs.'!$B:$C,2,0)</f>
        <v>#N/A</v>
      </c>
      <c r="O36" s="909" t="s">
        <v>2322</v>
      </c>
      <c r="P36" s="910" t="e">
        <f>VLOOKUP(O36,'Segment Abs.'!$B:$C,2,0)</f>
        <v>#N/A</v>
      </c>
      <c r="Q36" s="909" t="s">
        <v>2323</v>
      </c>
      <c r="R36" s="910" t="e">
        <f>VLOOKUP(Q36,'Segment Abs.'!$B:$C,2,0)</f>
        <v>#N/A</v>
      </c>
      <c r="S36" s="909" t="s">
        <v>2324</v>
      </c>
      <c r="T36" s="910" t="e">
        <f>VLOOKUP(S36,'Segment Abs.'!$B:$C,2,0)</f>
        <v>#N/A</v>
      </c>
      <c r="U36" s="909" t="s">
        <v>2325</v>
      </c>
      <c r="V36" s="910" t="e">
        <f>VLOOKUP(U36,'Segment Abs.'!$B:$C,2,0)</f>
        <v>#N/A</v>
      </c>
      <c r="W36" s="909" t="s">
        <v>2326</v>
      </c>
      <c r="X36" s="910" t="e">
        <f>VLOOKUP(W36,'Segment Abs.'!$B:$C,2,0)</f>
        <v>#N/A</v>
      </c>
      <c r="Y36" s="909" t="s">
        <v>2327</v>
      </c>
      <c r="Z36" s="910" t="e">
        <f>VLOOKUP(Y36,'Segment Abs.'!$B:$C,2,0)</f>
        <v>#N/A</v>
      </c>
    </row>
    <row r="37" spans="1:26" x14ac:dyDescent="0.3">
      <c r="A37" s="909" t="s">
        <v>2328</v>
      </c>
      <c r="B37" s="910" t="e">
        <f>VLOOKUP(A37,'Segment Abs.'!$B:$C,2,0)</f>
        <v>#N/A</v>
      </c>
      <c r="C37" s="909" t="s">
        <v>2329</v>
      </c>
      <c r="D37" s="910" t="e">
        <f>VLOOKUP(C37,'Segment Abs.'!$B:$C,2,0)</f>
        <v>#N/A</v>
      </c>
      <c r="E37" s="909" t="s">
        <v>2330</v>
      </c>
      <c r="F37" s="910" t="e">
        <f>VLOOKUP(E37,'Segment Abs.'!$B:$C,2,0)</f>
        <v>#N/A</v>
      </c>
      <c r="G37" s="909" t="s">
        <v>2331</v>
      </c>
      <c r="H37" s="910" t="e">
        <f>VLOOKUP(G37,'Segment Abs.'!$B:$C,2,0)</f>
        <v>#N/A</v>
      </c>
      <c r="I37" s="909" t="s">
        <v>2332</v>
      </c>
      <c r="J37" s="910" t="e">
        <f>VLOOKUP(I37,'Segment Abs.'!$B:$C,2,0)</f>
        <v>#N/A</v>
      </c>
      <c r="K37" s="909" t="s">
        <v>2333</v>
      </c>
      <c r="L37" s="910" t="e">
        <f>VLOOKUP(K37,'Segment Abs.'!$B:$C,2,0)</f>
        <v>#N/A</v>
      </c>
      <c r="M37" s="909" t="s">
        <v>2334</v>
      </c>
      <c r="N37" s="910" t="e">
        <f>VLOOKUP(M37,'Segment Abs.'!$B:$C,2,0)</f>
        <v>#N/A</v>
      </c>
      <c r="O37" s="909" t="s">
        <v>2335</v>
      </c>
      <c r="P37" s="910" t="e">
        <f>VLOOKUP(O37,'Segment Abs.'!$B:$C,2,0)</f>
        <v>#N/A</v>
      </c>
      <c r="Q37" s="909" t="s">
        <v>2336</v>
      </c>
      <c r="R37" s="910" t="e">
        <f>VLOOKUP(Q37,'Segment Abs.'!$B:$C,2,0)</f>
        <v>#N/A</v>
      </c>
      <c r="S37" s="909" t="s">
        <v>2337</v>
      </c>
      <c r="T37" s="910" t="e">
        <f>VLOOKUP(S37,'Segment Abs.'!$B:$C,2,0)</f>
        <v>#N/A</v>
      </c>
      <c r="U37" s="909" t="s">
        <v>2338</v>
      </c>
      <c r="V37" s="910" t="e">
        <f>VLOOKUP(U37,'Segment Abs.'!$B:$C,2,0)</f>
        <v>#N/A</v>
      </c>
      <c r="W37" s="909" t="s">
        <v>2339</v>
      </c>
      <c r="X37" s="910" t="e">
        <f>VLOOKUP(W37,'Segment Abs.'!$B:$C,2,0)</f>
        <v>#N/A</v>
      </c>
      <c r="Y37" s="909" t="s">
        <v>2340</v>
      </c>
      <c r="Z37" s="910" t="e">
        <f>VLOOKUP(Y37,'Segment Abs.'!$B:$C,2,0)</f>
        <v>#N/A</v>
      </c>
    </row>
    <row r="38" spans="1:26" x14ac:dyDescent="0.3">
      <c r="A38" s="909" t="s">
        <v>2341</v>
      </c>
      <c r="B38" s="910" t="e">
        <f>VLOOKUP(A38,'Segment Abs.'!$B:$C,2,0)</f>
        <v>#N/A</v>
      </c>
      <c r="C38" s="909" t="s">
        <v>2342</v>
      </c>
      <c r="D38" s="910" t="e">
        <f>VLOOKUP(C38,'Segment Abs.'!$B:$C,2,0)</f>
        <v>#N/A</v>
      </c>
      <c r="E38" s="909" t="s">
        <v>2343</v>
      </c>
      <c r="F38" s="910" t="e">
        <f>VLOOKUP(E38,'Segment Abs.'!$B:$C,2,0)</f>
        <v>#N/A</v>
      </c>
      <c r="G38" s="909" t="s">
        <v>2344</v>
      </c>
      <c r="H38" s="910" t="e">
        <f>VLOOKUP(G38,'Segment Abs.'!$B:$C,2,0)</f>
        <v>#N/A</v>
      </c>
      <c r="I38" s="909" t="s">
        <v>2345</v>
      </c>
      <c r="J38" s="910" t="e">
        <f>VLOOKUP(I38,'Segment Abs.'!$B:$C,2,0)</f>
        <v>#N/A</v>
      </c>
      <c r="K38" s="909" t="s">
        <v>2346</v>
      </c>
      <c r="L38" s="910" t="e">
        <f>VLOOKUP(K38,'Segment Abs.'!$B:$C,2,0)</f>
        <v>#N/A</v>
      </c>
      <c r="M38" s="909" t="s">
        <v>2347</v>
      </c>
      <c r="N38" s="910" t="e">
        <f>VLOOKUP(M38,'Segment Abs.'!$B:$C,2,0)</f>
        <v>#N/A</v>
      </c>
      <c r="O38" s="909" t="s">
        <v>2348</v>
      </c>
      <c r="P38" s="910" t="e">
        <f>VLOOKUP(O38,'Segment Abs.'!$B:$C,2,0)</f>
        <v>#N/A</v>
      </c>
      <c r="Q38" s="909" t="s">
        <v>2349</v>
      </c>
      <c r="R38" s="910" t="e">
        <f>VLOOKUP(Q38,'Segment Abs.'!$B:$C,2,0)</f>
        <v>#N/A</v>
      </c>
      <c r="S38" s="909" t="s">
        <v>2350</v>
      </c>
      <c r="T38" s="910" t="e">
        <f>VLOOKUP(S38,'Segment Abs.'!$B:$C,2,0)</f>
        <v>#N/A</v>
      </c>
      <c r="U38" s="909" t="s">
        <v>2351</v>
      </c>
      <c r="V38" s="910" t="e">
        <f>VLOOKUP(U38,'Segment Abs.'!$B:$C,2,0)</f>
        <v>#N/A</v>
      </c>
      <c r="W38" s="909" t="s">
        <v>2352</v>
      </c>
      <c r="X38" s="910" t="e">
        <f>VLOOKUP(W38,'Segment Abs.'!$B:$C,2,0)</f>
        <v>#N/A</v>
      </c>
      <c r="Y38" s="909" t="s">
        <v>2353</v>
      </c>
      <c r="Z38" s="910" t="e">
        <f>VLOOKUP(Y38,'Segment Abs.'!$B:$C,2,0)</f>
        <v>#N/A</v>
      </c>
    </row>
    <row r="39" spans="1:26" x14ac:dyDescent="0.3">
      <c r="A39" s="909" t="s">
        <v>2354</v>
      </c>
      <c r="B39" s="910" t="e">
        <f>VLOOKUP(A39,'Segment Abs.'!$B:$C,2,0)</f>
        <v>#N/A</v>
      </c>
      <c r="C39" s="909" t="s">
        <v>2355</v>
      </c>
      <c r="D39" s="910" t="e">
        <f>VLOOKUP(C39,'Segment Abs.'!$B:$C,2,0)</f>
        <v>#N/A</v>
      </c>
      <c r="E39" s="909" t="s">
        <v>2356</v>
      </c>
      <c r="F39" s="910" t="e">
        <f>VLOOKUP(E39,'Segment Abs.'!$B:$C,2,0)</f>
        <v>#N/A</v>
      </c>
      <c r="G39" s="909" t="s">
        <v>2357</v>
      </c>
      <c r="H39" s="910" t="e">
        <f>VLOOKUP(G39,'Segment Abs.'!$B:$C,2,0)</f>
        <v>#N/A</v>
      </c>
      <c r="I39" s="909" t="s">
        <v>2358</v>
      </c>
      <c r="J39" s="910" t="e">
        <f>VLOOKUP(I39,'Segment Abs.'!$B:$C,2,0)</f>
        <v>#N/A</v>
      </c>
      <c r="K39" s="909" t="s">
        <v>2359</v>
      </c>
      <c r="L39" s="910" t="e">
        <f>VLOOKUP(K39,'Segment Abs.'!$B:$C,2,0)</f>
        <v>#N/A</v>
      </c>
      <c r="M39" s="909" t="s">
        <v>2360</v>
      </c>
      <c r="N39" s="910" t="e">
        <f>VLOOKUP(M39,'Segment Abs.'!$B:$C,2,0)</f>
        <v>#N/A</v>
      </c>
      <c r="O39" s="909" t="s">
        <v>2361</v>
      </c>
      <c r="P39" s="910" t="e">
        <f>VLOOKUP(O39,'Segment Abs.'!$B:$C,2,0)</f>
        <v>#N/A</v>
      </c>
      <c r="Q39" s="909" t="s">
        <v>2362</v>
      </c>
      <c r="R39" s="910" t="e">
        <f>VLOOKUP(Q39,'Segment Abs.'!$B:$C,2,0)</f>
        <v>#N/A</v>
      </c>
      <c r="S39" s="909" t="s">
        <v>2363</v>
      </c>
      <c r="T39" s="910" t="e">
        <f>VLOOKUP(S39,'Segment Abs.'!$B:$C,2,0)</f>
        <v>#N/A</v>
      </c>
      <c r="U39" s="909" t="s">
        <v>2364</v>
      </c>
      <c r="V39" s="910" t="e">
        <f>VLOOKUP(U39,'Segment Abs.'!$B:$C,2,0)</f>
        <v>#N/A</v>
      </c>
      <c r="W39" s="909" t="s">
        <v>2365</v>
      </c>
      <c r="X39" s="910" t="e">
        <f>VLOOKUP(W39,'Segment Abs.'!$B:$C,2,0)</f>
        <v>#N/A</v>
      </c>
      <c r="Y39" s="909" t="s">
        <v>2366</v>
      </c>
      <c r="Z39" s="910" t="e">
        <f>VLOOKUP(Y39,'Segment Abs.'!$B:$C,2,0)</f>
        <v>#N/A</v>
      </c>
    </row>
    <row r="40" spans="1:26" x14ac:dyDescent="0.3">
      <c r="A40" s="909" t="s">
        <v>2367</v>
      </c>
      <c r="B40" s="910" t="e">
        <f>VLOOKUP(A40,'Segment Abs.'!$B:$C,2,0)</f>
        <v>#N/A</v>
      </c>
      <c r="C40" s="909" t="s">
        <v>2368</v>
      </c>
      <c r="D40" s="910" t="e">
        <f>VLOOKUP(C40,'Segment Abs.'!$B:$C,2,0)</f>
        <v>#N/A</v>
      </c>
      <c r="E40" s="909" t="s">
        <v>2369</v>
      </c>
      <c r="F40" s="910" t="e">
        <f>VLOOKUP(E40,'Segment Abs.'!$B:$C,2,0)</f>
        <v>#N/A</v>
      </c>
      <c r="G40" s="909" t="s">
        <v>2370</v>
      </c>
      <c r="H40" s="910" t="e">
        <f>VLOOKUP(G40,'Segment Abs.'!$B:$C,2,0)</f>
        <v>#N/A</v>
      </c>
      <c r="I40" s="909" t="s">
        <v>2371</v>
      </c>
      <c r="J40" s="910" t="e">
        <f>VLOOKUP(I40,'Segment Abs.'!$B:$C,2,0)</f>
        <v>#N/A</v>
      </c>
      <c r="K40" s="909" t="s">
        <v>2372</v>
      </c>
      <c r="L40" s="910" t="e">
        <f>VLOOKUP(K40,'Segment Abs.'!$B:$C,2,0)</f>
        <v>#N/A</v>
      </c>
      <c r="M40" s="909" t="s">
        <v>2373</v>
      </c>
      <c r="N40" s="910" t="e">
        <f>VLOOKUP(M40,'Segment Abs.'!$B:$C,2,0)</f>
        <v>#N/A</v>
      </c>
      <c r="O40" s="909" t="s">
        <v>2374</v>
      </c>
      <c r="P40" s="910" t="e">
        <f>VLOOKUP(O40,'Segment Abs.'!$B:$C,2,0)</f>
        <v>#N/A</v>
      </c>
      <c r="Q40" s="909" t="s">
        <v>2375</v>
      </c>
      <c r="R40" s="910" t="e">
        <f>VLOOKUP(Q40,'Segment Abs.'!$B:$C,2,0)</f>
        <v>#N/A</v>
      </c>
      <c r="S40" s="909" t="s">
        <v>2376</v>
      </c>
      <c r="T40" s="910" t="e">
        <f>VLOOKUP(S40,'Segment Abs.'!$B:$C,2,0)</f>
        <v>#N/A</v>
      </c>
      <c r="U40" s="909" t="s">
        <v>2377</v>
      </c>
      <c r="V40" s="910" t="e">
        <f>VLOOKUP(U40,'Segment Abs.'!$B:$C,2,0)</f>
        <v>#N/A</v>
      </c>
      <c r="W40" s="909" t="s">
        <v>2378</v>
      </c>
      <c r="X40" s="910" t="e">
        <f>VLOOKUP(W40,'Segment Abs.'!$B:$C,2,0)</f>
        <v>#N/A</v>
      </c>
      <c r="Y40" s="909" t="s">
        <v>2379</v>
      </c>
      <c r="Z40" s="910" t="e">
        <f>VLOOKUP(Y40,'Segment Abs.'!$B:$C,2,0)</f>
        <v>#N/A</v>
      </c>
    </row>
    <row r="41" spans="1:26" x14ac:dyDescent="0.3">
      <c r="A41" s="909" t="s">
        <v>2380</v>
      </c>
      <c r="B41" s="910" t="e">
        <f>VLOOKUP(A41,'Segment Abs.'!$B:$C,2,0)</f>
        <v>#N/A</v>
      </c>
      <c r="C41" s="909" t="s">
        <v>2381</v>
      </c>
      <c r="D41" s="910" t="e">
        <f>VLOOKUP(C41,'Segment Abs.'!$B:$C,2,0)</f>
        <v>#N/A</v>
      </c>
      <c r="E41" s="909" t="s">
        <v>2382</v>
      </c>
      <c r="F41" s="910" t="e">
        <f>VLOOKUP(E41,'Segment Abs.'!$B:$C,2,0)</f>
        <v>#N/A</v>
      </c>
      <c r="G41" s="909" t="s">
        <v>2383</v>
      </c>
      <c r="H41" s="910" t="e">
        <f>VLOOKUP(G41,'Segment Abs.'!$B:$C,2,0)</f>
        <v>#N/A</v>
      </c>
      <c r="I41" s="909" t="s">
        <v>2384</v>
      </c>
      <c r="J41" s="910" t="e">
        <f>VLOOKUP(I41,'Segment Abs.'!$B:$C,2,0)</f>
        <v>#N/A</v>
      </c>
      <c r="K41" s="909" t="s">
        <v>2385</v>
      </c>
      <c r="L41" s="910" t="e">
        <f>VLOOKUP(K41,'Segment Abs.'!$B:$C,2,0)</f>
        <v>#N/A</v>
      </c>
      <c r="M41" s="909" t="s">
        <v>2386</v>
      </c>
      <c r="N41" s="910" t="e">
        <f>VLOOKUP(M41,'Segment Abs.'!$B:$C,2,0)</f>
        <v>#N/A</v>
      </c>
      <c r="O41" s="909" t="s">
        <v>2387</v>
      </c>
      <c r="P41" s="910" t="e">
        <f>VLOOKUP(O41,'Segment Abs.'!$B:$C,2,0)</f>
        <v>#N/A</v>
      </c>
      <c r="Q41" s="909" t="s">
        <v>2388</v>
      </c>
      <c r="R41" s="910" t="e">
        <f>VLOOKUP(Q41,'Segment Abs.'!$B:$C,2,0)</f>
        <v>#N/A</v>
      </c>
      <c r="S41" s="909" t="s">
        <v>2389</v>
      </c>
      <c r="T41" s="910" t="e">
        <f>VLOOKUP(S41,'Segment Abs.'!$B:$C,2,0)</f>
        <v>#N/A</v>
      </c>
      <c r="U41" s="909" t="s">
        <v>2390</v>
      </c>
      <c r="V41" s="910" t="e">
        <f>VLOOKUP(U41,'Segment Abs.'!$B:$C,2,0)</f>
        <v>#N/A</v>
      </c>
      <c r="W41" s="909" t="s">
        <v>2391</v>
      </c>
      <c r="X41" s="910" t="e">
        <f>VLOOKUP(W41,'Segment Abs.'!$B:$C,2,0)</f>
        <v>#N/A</v>
      </c>
      <c r="Y41" s="909" t="s">
        <v>2392</v>
      </c>
      <c r="Z41" s="910" t="e">
        <f>VLOOKUP(Y41,'Segment Abs.'!$B:$C,2,0)</f>
        <v>#N/A</v>
      </c>
    </row>
    <row r="42" spans="1:26" x14ac:dyDescent="0.3">
      <c r="A42" s="909" t="s">
        <v>2393</v>
      </c>
      <c r="B42" s="910" t="e">
        <f>VLOOKUP(A42,'Segment Abs.'!$B:$C,2,0)</f>
        <v>#N/A</v>
      </c>
      <c r="C42" s="909" t="s">
        <v>2394</v>
      </c>
      <c r="D42" s="910" t="e">
        <f>VLOOKUP(C42,'Segment Abs.'!$B:$C,2,0)</f>
        <v>#N/A</v>
      </c>
      <c r="E42" s="909" t="s">
        <v>2395</v>
      </c>
      <c r="F42" s="910" t="e">
        <f>VLOOKUP(E42,'Segment Abs.'!$B:$C,2,0)</f>
        <v>#N/A</v>
      </c>
      <c r="G42" s="909" t="s">
        <v>2396</v>
      </c>
      <c r="H42" s="910" t="e">
        <f>VLOOKUP(G42,'Segment Abs.'!$B:$C,2,0)</f>
        <v>#N/A</v>
      </c>
      <c r="I42" s="909" t="s">
        <v>2397</v>
      </c>
      <c r="J42" s="910" t="e">
        <f>VLOOKUP(I42,'Segment Abs.'!$B:$C,2,0)</f>
        <v>#N/A</v>
      </c>
      <c r="K42" s="909" t="s">
        <v>2398</v>
      </c>
      <c r="L42" s="910" t="e">
        <f>VLOOKUP(K42,'Segment Abs.'!$B:$C,2,0)</f>
        <v>#N/A</v>
      </c>
      <c r="M42" s="909" t="s">
        <v>2399</v>
      </c>
      <c r="N42" s="910" t="e">
        <f>VLOOKUP(M42,'Segment Abs.'!$B:$C,2,0)</f>
        <v>#N/A</v>
      </c>
      <c r="O42" s="909" t="s">
        <v>2400</v>
      </c>
      <c r="P42" s="910" t="e">
        <f>VLOOKUP(O42,'Segment Abs.'!$B:$C,2,0)</f>
        <v>#N/A</v>
      </c>
      <c r="Q42" s="909" t="s">
        <v>2401</v>
      </c>
      <c r="R42" s="910" t="e">
        <f>VLOOKUP(Q42,'Segment Abs.'!$B:$C,2,0)</f>
        <v>#N/A</v>
      </c>
      <c r="S42" s="909" t="s">
        <v>2402</v>
      </c>
      <c r="T42" s="910" t="e">
        <f>VLOOKUP(S42,'Segment Abs.'!$B:$C,2,0)</f>
        <v>#N/A</v>
      </c>
      <c r="U42" s="909" t="s">
        <v>2403</v>
      </c>
      <c r="V42" s="910" t="e">
        <f>VLOOKUP(U42,'Segment Abs.'!$B:$C,2,0)</f>
        <v>#N/A</v>
      </c>
      <c r="W42" s="909" t="s">
        <v>2404</v>
      </c>
      <c r="X42" s="910" t="e">
        <f>VLOOKUP(W42,'Segment Abs.'!$B:$C,2,0)</f>
        <v>#N/A</v>
      </c>
      <c r="Y42" s="909" t="s">
        <v>2405</v>
      </c>
      <c r="Z42" s="910" t="e">
        <f>VLOOKUP(Y42,'Segment Abs.'!$B:$C,2,0)</f>
        <v>#N/A</v>
      </c>
    </row>
    <row r="43" spans="1:26" x14ac:dyDescent="0.3">
      <c r="A43" s="909" t="s">
        <v>2406</v>
      </c>
      <c r="B43" s="910" t="e">
        <f>VLOOKUP(A43,'Segment Abs.'!$B:$C,2,0)</f>
        <v>#N/A</v>
      </c>
      <c r="C43" s="909" t="s">
        <v>2407</v>
      </c>
      <c r="D43" s="910" t="e">
        <f>VLOOKUP(C43,'Segment Abs.'!$B:$C,2,0)</f>
        <v>#N/A</v>
      </c>
      <c r="E43" s="909" t="s">
        <v>2408</v>
      </c>
      <c r="F43" s="910" t="e">
        <f>VLOOKUP(E43,'Segment Abs.'!$B:$C,2,0)</f>
        <v>#N/A</v>
      </c>
      <c r="G43" s="909" t="s">
        <v>2409</v>
      </c>
      <c r="H43" s="910" t="e">
        <f>VLOOKUP(G43,'Segment Abs.'!$B:$C,2,0)</f>
        <v>#N/A</v>
      </c>
      <c r="I43" s="909" t="s">
        <v>2410</v>
      </c>
      <c r="J43" s="910" t="e">
        <f>VLOOKUP(I43,'Segment Abs.'!$B:$C,2,0)</f>
        <v>#N/A</v>
      </c>
      <c r="K43" s="909" t="s">
        <v>2411</v>
      </c>
      <c r="L43" s="910" t="e">
        <f>VLOOKUP(K43,'Segment Abs.'!$B:$C,2,0)</f>
        <v>#N/A</v>
      </c>
      <c r="M43" s="909" t="s">
        <v>2412</v>
      </c>
      <c r="N43" s="910" t="e">
        <f>VLOOKUP(M43,'Segment Abs.'!$B:$C,2,0)</f>
        <v>#N/A</v>
      </c>
      <c r="O43" s="909" t="s">
        <v>2413</v>
      </c>
      <c r="P43" s="910" t="e">
        <f>VLOOKUP(O43,'Segment Abs.'!$B:$C,2,0)</f>
        <v>#N/A</v>
      </c>
      <c r="Q43" s="909" t="s">
        <v>2414</v>
      </c>
      <c r="R43" s="910" t="e">
        <f>VLOOKUP(Q43,'Segment Abs.'!$B:$C,2,0)</f>
        <v>#N/A</v>
      </c>
      <c r="S43" s="909" t="s">
        <v>2415</v>
      </c>
      <c r="T43" s="910" t="e">
        <f>VLOOKUP(S43,'Segment Abs.'!$B:$C,2,0)</f>
        <v>#N/A</v>
      </c>
      <c r="U43" s="909" t="s">
        <v>2416</v>
      </c>
      <c r="V43" s="910" t="e">
        <f>VLOOKUP(U43,'Segment Abs.'!$B:$C,2,0)</f>
        <v>#N/A</v>
      </c>
      <c r="W43" s="909" t="s">
        <v>2417</v>
      </c>
      <c r="X43" s="910" t="e">
        <f>VLOOKUP(W43,'Segment Abs.'!$B:$C,2,0)</f>
        <v>#N/A</v>
      </c>
      <c r="Y43" s="909" t="s">
        <v>2418</v>
      </c>
      <c r="Z43" s="910" t="e">
        <f>VLOOKUP(Y43,'Segment Abs.'!$B:$C,2,0)</f>
        <v>#N/A</v>
      </c>
    </row>
    <row r="44" spans="1:26" x14ac:dyDescent="0.3">
      <c r="A44" s="909" t="s">
        <v>2419</v>
      </c>
      <c r="B44" s="910" t="e">
        <f>VLOOKUP(A44,'Segment Abs.'!$B:$C,2,0)</f>
        <v>#N/A</v>
      </c>
      <c r="C44" s="909" t="s">
        <v>2420</v>
      </c>
      <c r="D44" s="910" t="e">
        <f>VLOOKUP(C44,'Segment Abs.'!$B:$C,2,0)</f>
        <v>#N/A</v>
      </c>
      <c r="E44" s="909" t="s">
        <v>2421</v>
      </c>
      <c r="F44" s="910" t="e">
        <f>VLOOKUP(E44,'Segment Abs.'!$B:$C,2,0)</f>
        <v>#N/A</v>
      </c>
      <c r="G44" s="909" t="s">
        <v>2422</v>
      </c>
      <c r="H44" s="910" t="e">
        <f>VLOOKUP(G44,'Segment Abs.'!$B:$C,2,0)</f>
        <v>#N/A</v>
      </c>
      <c r="I44" s="909" t="s">
        <v>2423</v>
      </c>
      <c r="J44" s="910" t="e">
        <f>VLOOKUP(I44,'Segment Abs.'!$B:$C,2,0)</f>
        <v>#N/A</v>
      </c>
      <c r="K44" s="909" t="s">
        <v>2424</v>
      </c>
      <c r="L44" s="910" t="e">
        <f>VLOOKUP(K44,'Segment Abs.'!$B:$C,2,0)</f>
        <v>#N/A</v>
      </c>
      <c r="M44" s="909" t="s">
        <v>2425</v>
      </c>
      <c r="N44" s="910" t="e">
        <f>VLOOKUP(M44,'Segment Abs.'!$B:$C,2,0)</f>
        <v>#N/A</v>
      </c>
      <c r="O44" s="909" t="s">
        <v>2426</v>
      </c>
      <c r="P44" s="910" t="e">
        <f>VLOOKUP(O44,'Segment Abs.'!$B:$C,2,0)</f>
        <v>#N/A</v>
      </c>
      <c r="Q44" s="909" t="s">
        <v>2427</v>
      </c>
      <c r="R44" s="910" t="e">
        <f>VLOOKUP(Q44,'Segment Abs.'!$B:$C,2,0)</f>
        <v>#N/A</v>
      </c>
      <c r="S44" s="909" t="s">
        <v>2428</v>
      </c>
      <c r="T44" s="910" t="e">
        <f>VLOOKUP(S44,'Segment Abs.'!$B:$C,2,0)</f>
        <v>#N/A</v>
      </c>
      <c r="U44" s="909" t="s">
        <v>2429</v>
      </c>
      <c r="V44" s="910" t="e">
        <f>VLOOKUP(U44,'Segment Abs.'!$B:$C,2,0)</f>
        <v>#N/A</v>
      </c>
      <c r="W44" s="909" t="s">
        <v>2430</v>
      </c>
      <c r="X44" s="910" t="e">
        <f>VLOOKUP(W44,'Segment Abs.'!$B:$C,2,0)</f>
        <v>#N/A</v>
      </c>
      <c r="Y44" s="909" t="s">
        <v>2431</v>
      </c>
      <c r="Z44" s="910" t="e">
        <f>VLOOKUP(Y44,'Segment Abs.'!$B:$C,2,0)</f>
        <v>#N/A</v>
      </c>
    </row>
    <row r="45" spans="1:26" x14ac:dyDescent="0.3">
      <c r="A45" s="909" t="s">
        <v>2432</v>
      </c>
      <c r="B45" s="910" t="e">
        <f>VLOOKUP(A45,'Segment Abs.'!$B:$C,2,0)</f>
        <v>#N/A</v>
      </c>
      <c r="C45" s="909" t="s">
        <v>2433</v>
      </c>
      <c r="D45" s="910" t="e">
        <f>VLOOKUP(C45,'Segment Abs.'!$B:$C,2,0)</f>
        <v>#N/A</v>
      </c>
      <c r="E45" s="909" t="s">
        <v>2434</v>
      </c>
      <c r="F45" s="910" t="e">
        <f>VLOOKUP(E45,'Segment Abs.'!$B:$C,2,0)</f>
        <v>#N/A</v>
      </c>
      <c r="G45" s="909" t="s">
        <v>2435</v>
      </c>
      <c r="H45" s="910" t="e">
        <f>VLOOKUP(G45,'Segment Abs.'!$B:$C,2,0)</f>
        <v>#N/A</v>
      </c>
      <c r="I45" s="909" t="s">
        <v>2436</v>
      </c>
      <c r="J45" s="910" t="e">
        <f>VLOOKUP(I45,'Segment Abs.'!$B:$C,2,0)</f>
        <v>#N/A</v>
      </c>
      <c r="K45" s="909" t="s">
        <v>2437</v>
      </c>
      <c r="L45" s="910" t="e">
        <f>VLOOKUP(K45,'Segment Abs.'!$B:$C,2,0)</f>
        <v>#N/A</v>
      </c>
      <c r="M45" s="909" t="s">
        <v>2438</v>
      </c>
      <c r="N45" s="910" t="e">
        <f>VLOOKUP(M45,'Segment Abs.'!$B:$C,2,0)</f>
        <v>#N/A</v>
      </c>
      <c r="O45" s="909" t="s">
        <v>2439</v>
      </c>
      <c r="P45" s="910" t="e">
        <f>VLOOKUP(O45,'Segment Abs.'!$B:$C,2,0)</f>
        <v>#N/A</v>
      </c>
      <c r="Q45" s="909" t="s">
        <v>2440</v>
      </c>
      <c r="R45" s="910" t="e">
        <f>VLOOKUP(Q45,'Segment Abs.'!$B:$C,2,0)</f>
        <v>#N/A</v>
      </c>
      <c r="S45" s="909" t="s">
        <v>2441</v>
      </c>
      <c r="T45" s="910" t="e">
        <f>VLOOKUP(S45,'Segment Abs.'!$B:$C,2,0)</f>
        <v>#N/A</v>
      </c>
      <c r="U45" s="909" t="s">
        <v>2442</v>
      </c>
      <c r="V45" s="910" t="e">
        <f>VLOOKUP(U45,'Segment Abs.'!$B:$C,2,0)</f>
        <v>#N/A</v>
      </c>
      <c r="W45" s="909" t="s">
        <v>2443</v>
      </c>
      <c r="X45" s="910" t="e">
        <f>VLOOKUP(W45,'Segment Abs.'!$B:$C,2,0)</f>
        <v>#N/A</v>
      </c>
      <c r="Y45" s="909" t="s">
        <v>2444</v>
      </c>
      <c r="Z45" s="910" t="e">
        <f>VLOOKUP(Y45,'Segment Abs.'!$B:$C,2,0)</f>
        <v>#N/A</v>
      </c>
    </row>
    <row r="46" spans="1:26" x14ac:dyDescent="0.3">
      <c r="A46" s="909"/>
      <c r="B46" s="910"/>
      <c r="C46" s="909" t="s">
        <v>2445</v>
      </c>
      <c r="D46" s="910" t="e">
        <f>VLOOKUP(C46,'Segment Abs.'!$B:$C,2,0)</f>
        <v>#N/A</v>
      </c>
      <c r="E46" s="909" t="s">
        <v>2446</v>
      </c>
      <c r="F46" s="910" t="e">
        <f>VLOOKUP(E46,'Segment Abs.'!$B:$C,2,0)</f>
        <v>#N/A</v>
      </c>
      <c r="G46" s="909"/>
      <c r="H46" s="910"/>
      <c r="I46" s="909"/>
      <c r="J46" s="910"/>
      <c r="K46" s="909" t="s">
        <v>2447</v>
      </c>
      <c r="L46" s="910" t="e">
        <f>VLOOKUP(K46,'Segment Abs.'!$B:$C,2,0)</f>
        <v>#N/A</v>
      </c>
      <c r="M46" s="909" t="s">
        <v>2448</v>
      </c>
      <c r="N46" s="910" t="e">
        <f>VLOOKUP(M46,'Segment Abs.'!$B:$C,2,0)</f>
        <v>#N/A</v>
      </c>
      <c r="O46" s="909"/>
      <c r="P46" s="910"/>
      <c r="Q46" s="909"/>
      <c r="R46" s="910"/>
      <c r="S46" s="909" t="s">
        <v>2449</v>
      </c>
      <c r="T46" s="910" t="e">
        <f>VLOOKUP(S46,'Segment Abs.'!$B:$C,2,0)</f>
        <v>#N/A</v>
      </c>
      <c r="U46" s="909" t="s">
        <v>2450</v>
      </c>
      <c r="V46" s="910" t="e">
        <f>VLOOKUP(U46,'Segment Abs.'!$B:$C,2,0)</f>
        <v>#N/A</v>
      </c>
      <c r="W46" s="909"/>
      <c r="X46" s="910"/>
      <c r="Y46" s="909"/>
      <c r="Z46" s="910"/>
    </row>
    <row r="47" spans="1:26" x14ac:dyDescent="0.3">
      <c r="A47" s="909"/>
      <c r="B47" s="910"/>
      <c r="C47" s="909" t="s">
        <v>2451</v>
      </c>
      <c r="D47" s="910" t="e">
        <f>VLOOKUP(C47,'Segment Abs.'!$B:$C,2,0)</f>
        <v>#N/A</v>
      </c>
      <c r="E47" s="909" t="s">
        <v>2452</v>
      </c>
      <c r="F47" s="910" t="e">
        <f>VLOOKUP(E47,'Segment Abs.'!$B:$C,2,0)</f>
        <v>#N/A</v>
      </c>
      <c r="G47" s="909"/>
      <c r="H47" s="910"/>
      <c r="I47" s="909"/>
      <c r="J47" s="910"/>
      <c r="K47" s="909" t="s">
        <v>2453</v>
      </c>
      <c r="L47" s="910" t="e">
        <f>VLOOKUP(K47,'Segment Abs.'!$B:$C,2,0)</f>
        <v>#N/A</v>
      </c>
      <c r="M47" s="909" t="s">
        <v>2454</v>
      </c>
      <c r="N47" s="910" t="e">
        <f>VLOOKUP(M47,'Segment Abs.'!$B:$C,2,0)</f>
        <v>#N/A</v>
      </c>
      <c r="O47" s="909"/>
      <c r="P47" s="910"/>
      <c r="Q47" s="909"/>
      <c r="R47" s="910"/>
      <c r="S47" s="909" t="s">
        <v>2455</v>
      </c>
      <c r="T47" s="910" t="e">
        <f>VLOOKUP(S47,'Segment Abs.'!$B:$C,2,0)</f>
        <v>#N/A</v>
      </c>
      <c r="U47" s="909" t="s">
        <v>2456</v>
      </c>
      <c r="V47" s="910" t="e">
        <f>VLOOKUP(U47,'Segment Abs.'!$B:$C,2,0)</f>
        <v>#N/A</v>
      </c>
      <c r="W47" s="909"/>
      <c r="X47" s="910"/>
      <c r="Y47" s="909"/>
      <c r="Z47" s="910"/>
    </row>
    <row r="48" spans="1:26" x14ac:dyDescent="0.3">
      <c r="A48" s="909"/>
      <c r="B48" s="910"/>
      <c r="C48" s="909" t="s">
        <v>2457</v>
      </c>
      <c r="D48" s="910" t="e">
        <f>VLOOKUP(C48,'Segment Abs.'!$B:$C,2,0)</f>
        <v>#N/A</v>
      </c>
      <c r="E48" s="909" t="s">
        <v>2458</v>
      </c>
      <c r="F48" s="910" t="e">
        <f>VLOOKUP(E48,'Segment Abs.'!$B:$C,2,0)</f>
        <v>#N/A</v>
      </c>
      <c r="G48" s="909"/>
      <c r="H48" s="910"/>
      <c r="I48" s="909"/>
      <c r="J48" s="910"/>
      <c r="K48" s="909" t="s">
        <v>2459</v>
      </c>
      <c r="L48" s="910" t="e">
        <f>VLOOKUP(K48,'Segment Abs.'!$B:$C,2,0)</f>
        <v>#N/A</v>
      </c>
      <c r="M48" s="909" t="s">
        <v>2460</v>
      </c>
      <c r="N48" s="910" t="e">
        <f>VLOOKUP(M48,'Segment Abs.'!$B:$C,2,0)</f>
        <v>#N/A</v>
      </c>
      <c r="O48" s="909"/>
      <c r="P48" s="910"/>
      <c r="Q48" s="909"/>
      <c r="R48" s="910"/>
      <c r="S48" s="909" t="s">
        <v>2461</v>
      </c>
      <c r="T48" s="910" t="e">
        <f>VLOOKUP(S48,'Segment Abs.'!$B:$C,2,0)</f>
        <v>#N/A</v>
      </c>
      <c r="U48" s="909" t="s">
        <v>2462</v>
      </c>
      <c r="V48" s="910" t="e">
        <f>VLOOKUP(U48,'Segment Abs.'!$B:$C,2,0)</f>
        <v>#N/A</v>
      </c>
      <c r="W48" s="909"/>
      <c r="X48" s="910"/>
      <c r="Y48" s="909"/>
      <c r="Z48" s="910"/>
    </row>
    <row r="49" spans="1:27" x14ac:dyDescent="0.3">
      <c r="A49" s="909"/>
      <c r="B49" s="910"/>
      <c r="C49" s="909" t="s">
        <v>2463</v>
      </c>
      <c r="D49" s="910" t="e">
        <f>VLOOKUP(C49,'Segment Abs.'!$B:$C,2,0)</f>
        <v>#N/A</v>
      </c>
      <c r="E49" s="909" t="s">
        <v>2464</v>
      </c>
      <c r="F49" s="910" t="e">
        <f>VLOOKUP(E49,'Segment Abs.'!$B:$C,2,0)</f>
        <v>#N/A</v>
      </c>
      <c r="G49" s="909"/>
      <c r="H49" s="910"/>
      <c r="I49" s="909"/>
      <c r="J49" s="910"/>
      <c r="K49" s="909" t="s">
        <v>2465</v>
      </c>
      <c r="L49" s="910" t="e">
        <f>VLOOKUP(K49,'Segment Abs.'!$B:$C,2,0)</f>
        <v>#N/A</v>
      </c>
      <c r="M49" s="909" t="s">
        <v>2466</v>
      </c>
      <c r="N49" s="910" t="e">
        <f>VLOOKUP(M49,'Segment Abs.'!$B:$C,2,0)</f>
        <v>#N/A</v>
      </c>
      <c r="O49" s="909"/>
      <c r="P49" s="910"/>
      <c r="Q49" s="909"/>
      <c r="R49" s="910"/>
      <c r="S49" s="909" t="s">
        <v>2467</v>
      </c>
      <c r="T49" s="910" t="e">
        <f>VLOOKUP(S49,'Segment Abs.'!$B:$C,2,0)</f>
        <v>#N/A</v>
      </c>
      <c r="U49" s="909" t="s">
        <v>2468</v>
      </c>
      <c r="V49" s="910" t="e">
        <f>VLOOKUP(U49,'Segment Abs.'!$B:$C,2,0)</f>
        <v>#N/A</v>
      </c>
      <c r="W49" s="909"/>
      <c r="X49" s="910"/>
      <c r="Y49" s="909"/>
      <c r="Z49" s="910"/>
    </row>
    <row r="50" spans="1:27" x14ac:dyDescent="0.3">
      <c r="A50" s="909"/>
      <c r="B50" s="910"/>
      <c r="C50" s="909" t="s">
        <v>2469</v>
      </c>
      <c r="D50" s="910" t="e">
        <f>VLOOKUP(C50,'Segment Abs.'!$B:$C,2,0)</f>
        <v>#N/A</v>
      </c>
      <c r="E50" s="909" t="s">
        <v>2470</v>
      </c>
      <c r="F50" s="910" t="e">
        <f>VLOOKUP(E50,'Segment Abs.'!$B:$C,2,0)</f>
        <v>#N/A</v>
      </c>
      <c r="G50" s="909"/>
      <c r="H50" s="910"/>
      <c r="I50" s="909"/>
      <c r="J50" s="910"/>
      <c r="K50" s="909" t="s">
        <v>2471</v>
      </c>
      <c r="L50" s="910" t="e">
        <f>VLOOKUP(K50,'Segment Abs.'!$B:$C,2,0)</f>
        <v>#N/A</v>
      </c>
      <c r="M50" s="909" t="s">
        <v>2472</v>
      </c>
      <c r="N50" s="910" t="e">
        <f>VLOOKUP(M50,'Segment Abs.'!$B:$C,2,0)</f>
        <v>#N/A</v>
      </c>
      <c r="O50" s="909"/>
      <c r="P50" s="910"/>
      <c r="Q50" s="909"/>
      <c r="R50" s="910"/>
      <c r="S50" s="909" t="s">
        <v>2473</v>
      </c>
      <c r="T50" s="910" t="e">
        <f>VLOOKUP(S50,'Segment Abs.'!$B:$C,2,0)</f>
        <v>#N/A</v>
      </c>
      <c r="U50" s="909" t="s">
        <v>2474</v>
      </c>
      <c r="V50" s="910" t="e">
        <f>VLOOKUP(U50,'Segment Abs.'!$B:$C,2,0)</f>
        <v>#N/A</v>
      </c>
      <c r="W50" s="909"/>
      <c r="X50" s="910"/>
      <c r="Y50" s="909"/>
      <c r="Z50" s="910"/>
    </row>
    <row r="51" spans="1:27" x14ac:dyDescent="0.3">
      <c r="A51" s="909"/>
      <c r="B51" s="910"/>
      <c r="C51" s="909" t="s">
        <v>2475</v>
      </c>
      <c r="D51" s="910" t="e">
        <f>VLOOKUP(C51,'Segment Abs.'!$B:$C,2,0)</f>
        <v>#N/A</v>
      </c>
      <c r="E51" s="909" t="s">
        <v>2476</v>
      </c>
      <c r="F51" s="910" t="e">
        <f>VLOOKUP(E51,'Segment Abs.'!$B:$C,2,0)</f>
        <v>#N/A</v>
      </c>
      <c r="G51" s="909"/>
      <c r="H51" s="910"/>
      <c r="I51" s="909"/>
      <c r="J51" s="910"/>
      <c r="K51" s="909" t="s">
        <v>2477</v>
      </c>
      <c r="L51" s="910" t="e">
        <f>VLOOKUP(K51,'Segment Abs.'!$B:$C,2,0)</f>
        <v>#N/A</v>
      </c>
      <c r="M51" s="909" t="s">
        <v>2478</v>
      </c>
      <c r="N51" s="910" t="e">
        <f>VLOOKUP(M51,'Segment Abs.'!$B:$C,2,0)</f>
        <v>#N/A</v>
      </c>
      <c r="O51" s="909"/>
      <c r="P51" s="910"/>
      <c r="Q51" s="909"/>
      <c r="R51" s="910"/>
      <c r="S51" s="909" t="s">
        <v>2479</v>
      </c>
      <c r="T51" s="910" t="e">
        <f>VLOOKUP(S51,'Segment Abs.'!$B:$C,2,0)</f>
        <v>#N/A</v>
      </c>
      <c r="U51" s="909" t="s">
        <v>2480</v>
      </c>
      <c r="V51" s="910" t="e">
        <f>VLOOKUP(U51,'Segment Abs.'!$B:$C,2,0)</f>
        <v>#N/A</v>
      </c>
      <c r="W51" s="909"/>
      <c r="X51" s="910"/>
      <c r="Y51" s="909"/>
      <c r="Z51" s="910"/>
    </row>
    <row r="52" spans="1:27" x14ac:dyDescent="0.3">
      <c r="A52" s="909"/>
      <c r="B52" s="910"/>
      <c r="C52" s="909" t="s">
        <v>2481</v>
      </c>
      <c r="D52" s="910" t="e">
        <f>VLOOKUP(C52,'Segment Abs.'!$B:$C,2,0)</f>
        <v>#N/A</v>
      </c>
      <c r="E52" s="909" t="s">
        <v>2482</v>
      </c>
      <c r="F52" s="910" t="e">
        <f>VLOOKUP(E52,'Segment Abs.'!$B:$C,2,0)</f>
        <v>#N/A</v>
      </c>
      <c r="G52" s="909"/>
      <c r="H52" s="910"/>
      <c r="I52" s="909"/>
      <c r="J52" s="910"/>
      <c r="K52" s="909" t="s">
        <v>2483</v>
      </c>
      <c r="L52" s="910" t="e">
        <f>VLOOKUP(K52,'Segment Abs.'!$B:$C,2,0)</f>
        <v>#N/A</v>
      </c>
      <c r="M52" s="909" t="s">
        <v>2484</v>
      </c>
      <c r="N52" s="910" t="e">
        <f>VLOOKUP(M52,'Segment Abs.'!$B:$C,2,0)</f>
        <v>#N/A</v>
      </c>
      <c r="O52" s="909"/>
      <c r="P52" s="910"/>
      <c r="Q52" s="909"/>
      <c r="R52" s="910"/>
      <c r="S52" s="909" t="s">
        <v>2485</v>
      </c>
      <c r="T52" s="910" t="e">
        <f>VLOOKUP(S52,'Segment Abs.'!$B:$C,2,0)</f>
        <v>#N/A</v>
      </c>
      <c r="U52" s="909" t="s">
        <v>2486</v>
      </c>
      <c r="V52" s="910" t="e">
        <f>VLOOKUP(U52,'Segment Abs.'!$B:$C,2,0)</f>
        <v>#N/A</v>
      </c>
      <c r="W52" s="909"/>
      <c r="X52" s="910"/>
      <c r="Y52" s="909"/>
      <c r="Z52" s="910"/>
    </row>
    <row r="53" spans="1:27" x14ac:dyDescent="0.3">
      <c r="A53" s="909"/>
      <c r="B53" s="910"/>
      <c r="C53" s="909" t="s">
        <v>2487</v>
      </c>
      <c r="D53" s="910" t="e">
        <f>VLOOKUP(C53,'Segment Abs.'!$B:$C,2,0)</f>
        <v>#N/A</v>
      </c>
      <c r="E53" s="909" t="s">
        <v>2488</v>
      </c>
      <c r="F53" s="910" t="e">
        <f>VLOOKUP(E53,'Segment Abs.'!$B:$C,2,0)</f>
        <v>#N/A</v>
      </c>
      <c r="G53" s="909"/>
      <c r="H53" s="910"/>
      <c r="I53" s="909"/>
      <c r="J53" s="910"/>
      <c r="K53" s="909" t="s">
        <v>2489</v>
      </c>
      <c r="L53" s="910" t="e">
        <f>VLOOKUP(K53,'Segment Abs.'!$B:$C,2,0)</f>
        <v>#N/A</v>
      </c>
      <c r="M53" s="909" t="s">
        <v>2490</v>
      </c>
      <c r="N53" s="910" t="e">
        <f>VLOOKUP(M53,'Segment Abs.'!$B:$C,2,0)</f>
        <v>#N/A</v>
      </c>
      <c r="O53" s="909"/>
      <c r="P53" s="910"/>
      <c r="Q53" s="909"/>
      <c r="R53" s="910"/>
      <c r="S53" s="909" t="s">
        <v>2491</v>
      </c>
      <c r="T53" s="910" t="e">
        <f>VLOOKUP(S53,'Segment Abs.'!$B:$C,2,0)</f>
        <v>#N/A</v>
      </c>
      <c r="U53" s="909" t="s">
        <v>2492</v>
      </c>
      <c r="V53" s="910" t="e">
        <f>VLOOKUP(U53,'Segment Abs.'!$B:$C,2,0)</f>
        <v>#N/A</v>
      </c>
      <c r="W53" s="909"/>
      <c r="X53" s="910"/>
      <c r="Y53" s="909"/>
      <c r="Z53" s="910"/>
    </row>
    <row r="54" spans="1:27" x14ac:dyDescent="0.3">
      <c r="A54" s="909"/>
      <c r="B54" s="910"/>
      <c r="C54" s="909" t="s">
        <v>2493</v>
      </c>
      <c r="D54" s="910" t="e">
        <f>VLOOKUP(C54,'Segment Abs.'!$B:$C,2,0)</f>
        <v>#N/A</v>
      </c>
      <c r="E54" s="909" t="s">
        <v>2494</v>
      </c>
      <c r="F54" s="910" t="e">
        <f>VLOOKUP(E54,'Segment Abs.'!$B:$C,2,0)</f>
        <v>#N/A</v>
      </c>
      <c r="G54" s="909"/>
      <c r="H54" s="910"/>
      <c r="I54" s="909"/>
      <c r="J54" s="910"/>
      <c r="K54" s="909" t="s">
        <v>2495</v>
      </c>
      <c r="L54" s="910" t="e">
        <f>VLOOKUP(K54,'Segment Abs.'!$B:$C,2,0)</f>
        <v>#N/A</v>
      </c>
      <c r="M54" s="909" t="s">
        <v>2496</v>
      </c>
      <c r="N54" s="910" t="e">
        <f>VLOOKUP(M54,'Segment Abs.'!$B:$C,2,0)</f>
        <v>#N/A</v>
      </c>
      <c r="O54" s="909"/>
      <c r="P54" s="910"/>
      <c r="Q54" s="909"/>
      <c r="R54" s="910"/>
      <c r="S54" s="909" t="s">
        <v>2497</v>
      </c>
      <c r="T54" s="910" t="e">
        <f>VLOOKUP(S54,'Segment Abs.'!$B:$C,2,0)</f>
        <v>#N/A</v>
      </c>
      <c r="U54" s="909" t="s">
        <v>2498</v>
      </c>
      <c r="V54" s="910" t="e">
        <f>VLOOKUP(U54,'Segment Abs.'!$B:$C,2,0)</f>
        <v>#N/A</v>
      </c>
      <c r="W54" s="909"/>
      <c r="X54" s="910"/>
      <c r="Y54" s="909"/>
      <c r="Z54" s="910"/>
    </row>
    <row r="55" spans="1:27" x14ac:dyDescent="0.3">
      <c r="A55" s="909"/>
      <c r="B55" s="910"/>
      <c r="C55" s="909" t="s">
        <v>2499</v>
      </c>
      <c r="D55" s="910" t="e">
        <f>VLOOKUP(C55,'Segment Abs.'!$B:$C,2,0)</f>
        <v>#N/A</v>
      </c>
      <c r="E55" s="909" t="s">
        <v>2500</v>
      </c>
      <c r="F55" s="910" t="e">
        <f>VLOOKUP(E55,'Segment Abs.'!$B:$C,2,0)</f>
        <v>#N/A</v>
      </c>
      <c r="G55" s="909"/>
      <c r="H55" s="910"/>
      <c r="I55" s="909"/>
      <c r="J55" s="910"/>
      <c r="K55" s="909" t="s">
        <v>2501</v>
      </c>
      <c r="L55" s="910" t="e">
        <f>VLOOKUP(K55,'Segment Abs.'!$B:$C,2,0)</f>
        <v>#N/A</v>
      </c>
      <c r="M55" s="909" t="s">
        <v>2502</v>
      </c>
      <c r="N55" s="910" t="e">
        <f>VLOOKUP(M55,'Segment Abs.'!$B:$C,2,0)</f>
        <v>#N/A</v>
      </c>
      <c r="O55" s="909"/>
      <c r="P55" s="910"/>
      <c r="Q55" s="909"/>
      <c r="R55" s="910"/>
      <c r="S55" s="909" t="s">
        <v>2503</v>
      </c>
      <c r="T55" s="910" t="e">
        <f>VLOOKUP(S55,'Segment Abs.'!$B:$C,2,0)</f>
        <v>#N/A</v>
      </c>
      <c r="U55" s="909" t="s">
        <v>2504</v>
      </c>
      <c r="V55" s="910" t="e">
        <f>VLOOKUP(U55,'Segment Abs.'!$B:$C,2,0)</f>
        <v>#N/A</v>
      </c>
      <c r="W55" s="909"/>
      <c r="X55" s="910"/>
      <c r="Y55" s="909"/>
      <c r="Z55" s="910"/>
    </row>
    <row r="56" spans="1:27" x14ac:dyDescent="0.3">
      <c r="A56" s="909"/>
      <c r="B56" s="910"/>
      <c r="C56" s="909" t="s">
        <v>2505</v>
      </c>
      <c r="D56" s="910" t="e">
        <f>VLOOKUP(C56,'Segment Abs.'!$B:$C,2,0)</f>
        <v>#N/A</v>
      </c>
      <c r="E56" s="909" t="s">
        <v>2506</v>
      </c>
      <c r="F56" s="910" t="e">
        <f>VLOOKUP(E56,'Segment Abs.'!$B:$C,2,0)</f>
        <v>#N/A</v>
      </c>
      <c r="G56" s="909"/>
      <c r="H56" s="910"/>
      <c r="I56" s="909"/>
      <c r="J56" s="910"/>
      <c r="K56" s="909" t="s">
        <v>2507</v>
      </c>
      <c r="L56" s="910" t="e">
        <f>VLOOKUP(K56,'Segment Abs.'!$B:$C,2,0)</f>
        <v>#N/A</v>
      </c>
      <c r="M56" s="909" t="s">
        <v>2508</v>
      </c>
      <c r="N56" s="910" t="e">
        <f>VLOOKUP(M56,'Segment Abs.'!$B:$C,2,0)</f>
        <v>#N/A</v>
      </c>
      <c r="O56" s="909"/>
      <c r="P56" s="910"/>
      <c r="Q56" s="909"/>
      <c r="R56" s="910"/>
      <c r="S56" s="909" t="s">
        <v>2509</v>
      </c>
      <c r="T56" s="910" t="e">
        <f>VLOOKUP(S56,'Segment Abs.'!$B:$C,2,0)</f>
        <v>#N/A</v>
      </c>
      <c r="U56" s="909" t="s">
        <v>2510</v>
      </c>
      <c r="V56" s="910" t="e">
        <f>VLOOKUP(U56,'Segment Abs.'!$B:$C,2,0)</f>
        <v>#N/A</v>
      </c>
      <c r="W56" s="909"/>
      <c r="X56" s="910"/>
      <c r="Y56" s="909"/>
      <c r="Z56" s="910"/>
    </row>
    <row r="57" spans="1:27" s="58" customFormat="1" x14ac:dyDescent="0.3">
      <c r="A57" s="911">
        <f>COUNTA(A$5:A$56)</f>
        <v>41</v>
      </c>
      <c r="B57" s="912">
        <f>COUNTIF(B$5:B$56,"&gt;0")</f>
        <v>0</v>
      </c>
      <c r="C57" s="911">
        <f>COUNTA(C$5:C$56)</f>
        <v>52</v>
      </c>
      <c r="D57" s="912">
        <f>COUNTIF(D$5:D$56,"&gt;0")</f>
        <v>0</v>
      </c>
      <c r="E57" s="911">
        <f>COUNTA(E$5:E$56)</f>
        <v>52</v>
      </c>
      <c r="F57" s="912">
        <f>COUNTIF(F$5:F$56,"&gt;0")</f>
        <v>0</v>
      </c>
      <c r="G57" s="911">
        <f>COUNTA(G$5:G$56)</f>
        <v>41</v>
      </c>
      <c r="H57" s="912">
        <f>COUNTIF(H$5:H$56,"&gt;0")</f>
        <v>0</v>
      </c>
      <c r="I57" s="911">
        <f>COUNTA(I$5:I$56)</f>
        <v>41</v>
      </c>
      <c r="J57" s="912">
        <f>COUNTIF(J$5:J$56,"&gt;0")</f>
        <v>0</v>
      </c>
      <c r="K57" s="911">
        <f>COUNTA(K$5:K$56)</f>
        <v>52</v>
      </c>
      <c r="L57" s="912">
        <f>COUNTIF(L$5:L$56,"&gt;0")</f>
        <v>0</v>
      </c>
      <c r="M57" s="911">
        <f>COUNTA(M$5:M$56)</f>
        <v>52</v>
      </c>
      <c r="N57" s="912">
        <f>COUNTIF(N$5:N$56,"&gt;0")</f>
        <v>0</v>
      </c>
      <c r="O57" s="911">
        <f>COUNTA(O$5:O$56)</f>
        <v>41</v>
      </c>
      <c r="P57" s="912">
        <f>COUNTIF(P$5:P$56,"&gt;0")</f>
        <v>0</v>
      </c>
      <c r="Q57" s="911">
        <f>COUNTA(Q$5:Q$56)</f>
        <v>41</v>
      </c>
      <c r="R57" s="912">
        <f>COUNTIF(R$5:R$56,"&gt;0")</f>
        <v>0</v>
      </c>
      <c r="S57" s="911">
        <f>COUNTA(S$5:S$56)</f>
        <v>52</v>
      </c>
      <c r="T57" s="912">
        <f>COUNTIF(T$5:T$56,"&gt;0")</f>
        <v>0</v>
      </c>
      <c r="U57" s="911">
        <f>COUNTA(U$5:U$56)</f>
        <v>52</v>
      </c>
      <c r="V57" s="912">
        <f>COUNTIF(V$5:V$56,"&gt;0")</f>
        <v>0</v>
      </c>
      <c r="W57" s="911">
        <f>COUNTA(W$5:W$56)</f>
        <v>41</v>
      </c>
      <c r="X57" s="912">
        <f>COUNTIF(X$5:X$56,"&gt;0")</f>
        <v>0</v>
      </c>
      <c r="Y57" s="911">
        <f>COUNTA(Y$5:Y$56)</f>
        <v>41</v>
      </c>
      <c r="Z57" s="912">
        <f>COUNTIF(Z$5:Z$56,"&gt;0")</f>
        <v>0</v>
      </c>
    </row>
    <row r="58" spans="1:27" s="58" customFormat="1" x14ac:dyDescent="0.3">
      <c r="A58" s="911">
        <f>COUNTIF(A$5:A$56,"*©*")</f>
        <v>13</v>
      </c>
      <c r="B58" s="912">
        <f>COUNTIFS(A$5:A$56,"*©*",B$5:B$56,"&gt;10")</f>
        <v>0</v>
      </c>
      <c r="C58" s="911">
        <f>COUNTIF(C$5:C$56,"*©*")</f>
        <v>18</v>
      </c>
      <c r="D58" s="912">
        <f>COUNTIFS(C$5:C$56,"*©*",D$5:D$56,"&gt;10")</f>
        <v>0</v>
      </c>
      <c r="E58" s="911">
        <f>COUNTIF(E$5:E$56,"*©*")</f>
        <v>18</v>
      </c>
      <c r="F58" s="912">
        <f>COUNTIFS(E$5:E$56,"*©*",F$5:F$56,"&gt;10")</f>
        <v>0</v>
      </c>
      <c r="G58" s="911">
        <f>COUNTIF(G$5:G$56,"*©*")</f>
        <v>13</v>
      </c>
      <c r="H58" s="912">
        <f>COUNTIFS(G$5:G$56,"*©*",H$5:H$56,"&gt;10")</f>
        <v>0</v>
      </c>
      <c r="I58" s="911">
        <f>COUNTIF(I$5:I$56,"*©*")</f>
        <v>13</v>
      </c>
      <c r="J58" s="912">
        <f>COUNTIFS(I$5:I$56,"*©*",J$5:J$56,"&gt;10")</f>
        <v>0</v>
      </c>
      <c r="K58" s="911">
        <f>COUNTIF(K$5:K$56,"*©*")</f>
        <v>18</v>
      </c>
      <c r="L58" s="912">
        <f>COUNTIFS(K$5:K$56,"*©*",L$5:L$56,"&gt;10")</f>
        <v>0</v>
      </c>
      <c r="M58" s="911">
        <f>COUNTIF(M$5:M$56,"*©*")</f>
        <v>18</v>
      </c>
      <c r="N58" s="912">
        <f>COUNTIFS(M$5:M$56,"*©*",N$5:N$56,"&gt;10")</f>
        <v>0</v>
      </c>
      <c r="O58" s="911">
        <f>COUNTIF(O$5:O$56,"*©*")</f>
        <v>13</v>
      </c>
      <c r="P58" s="912">
        <f>COUNTIFS(O$5:O$56,"*©*",P$5:P$56,"&gt;10")</f>
        <v>0</v>
      </c>
      <c r="Q58" s="911">
        <f>COUNTIF(Q$5:Q$56,"*©*")</f>
        <v>13</v>
      </c>
      <c r="R58" s="912">
        <f>COUNTIFS(Q$5:Q$56,"*©*",R$5:R$56,"&gt;10")</f>
        <v>0</v>
      </c>
      <c r="S58" s="911">
        <f>COUNTIF(S$5:S$56,"*©*")</f>
        <v>18</v>
      </c>
      <c r="T58" s="912">
        <f>COUNTIFS(S$5:S$56,"*©*",T$5:T$56,"&gt;10")</f>
        <v>0</v>
      </c>
      <c r="U58" s="911">
        <f>COUNTIF(U$5:U$56,"*©*")</f>
        <v>18</v>
      </c>
      <c r="V58" s="912">
        <f>COUNTIFS(U$5:U$56,"*©*",V$5:V$56,"&gt;10")</f>
        <v>0</v>
      </c>
      <c r="W58" s="911">
        <f>COUNTIF(W$5:W$56,"*©*")</f>
        <v>13</v>
      </c>
      <c r="X58" s="912">
        <f>COUNTIFS(W$5:W$56,"*©*",X$5:X$56,"&gt;10")</f>
        <v>0</v>
      </c>
      <c r="Y58" s="911">
        <f>COUNTIF(Y$5:Y$56,"*©*")</f>
        <v>13</v>
      </c>
      <c r="Z58" s="912">
        <f>COUNTIFS(Y$5:Y$56,"*©*",Z$5:Z$56,"&gt;10")</f>
        <v>0</v>
      </c>
    </row>
    <row r="59" spans="1:27" s="58" customFormat="1" x14ac:dyDescent="0.3">
      <c r="A59" s="913"/>
      <c r="B59" s="913"/>
      <c r="C59" s="913"/>
      <c r="D59" s="913"/>
      <c r="E59" s="913"/>
      <c r="F59" s="913"/>
      <c r="G59" s="913"/>
      <c r="H59" s="913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Y59" s="913"/>
      <c r="Z59" s="913"/>
    </row>
    <row r="60" spans="1:27" s="906" customFormat="1" ht="18" x14ac:dyDescent="0.3">
      <c r="A60" s="599" t="s">
        <v>1896</v>
      </c>
      <c r="B60" s="904"/>
      <c r="C60" s="905"/>
      <c r="D60" s="904"/>
      <c r="E60" s="905"/>
      <c r="F60" s="904"/>
      <c r="G60" s="905"/>
      <c r="H60" s="904"/>
      <c r="I60" s="905"/>
      <c r="J60" s="904"/>
      <c r="K60" s="905"/>
      <c r="L60" s="904"/>
      <c r="M60" s="905"/>
      <c r="N60" s="904"/>
      <c r="O60" s="905"/>
      <c r="P60" s="904"/>
      <c r="Q60" s="905"/>
      <c r="R60" s="904"/>
      <c r="S60" s="905"/>
      <c r="T60" s="904"/>
      <c r="U60" s="905"/>
      <c r="V60" s="904"/>
      <c r="W60" s="905"/>
      <c r="X60" s="904"/>
      <c r="Y60" s="905"/>
      <c r="Z60" s="904"/>
      <c r="AA60" s="905"/>
    </row>
    <row r="61" spans="1:27" s="906" customFormat="1" ht="18" x14ac:dyDescent="0.3">
      <c r="A61" s="599"/>
      <c r="B61" s="904"/>
      <c r="C61" s="905"/>
      <c r="D61" s="904"/>
      <c r="E61" s="905"/>
      <c r="F61" s="904"/>
      <c r="G61" s="905"/>
      <c r="H61" s="904"/>
      <c r="I61" s="905"/>
      <c r="J61" s="904"/>
      <c r="K61" s="905"/>
      <c r="L61" s="904"/>
      <c r="M61" s="905"/>
      <c r="N61" s="904"/>
      <c r="O61" s="905"/>
      <c r="P61" s="904"/>
      <c r="Q61" s="905"/>
      <c r="R61" s="904"/>
      <c r="S61" s="905"/>
      <c r="T61" s="904"/>
      <c r="U61" s="905"/>
      <c r="V61" s="904"/>
      <c r="W61" s="905"/>
      <c r="X61" s="904"/>
      <c r="Y61" s="905"/>
      <c r="Z61" s="904"/>
      <c r="AA61" s="905"/>
    </row>
    <row r="62" spans="1:27" x14ac:dyDescent="0.3">
      <c r="A62" s="907" t="s">
        <v>2511</v>
      </c>
      <c r="B62" s="908"/>
      <c r="C62" s="907" t="s">
        <v>2512</v>
      </c>
      <c r="D62" s="908"/>
      <c r="E62" s="907" t="s">
        <v>2513</v>
      </c>
      <c r="F62" s="908"/>
      <c r="G62" s="907" t="s">
        <v>2514</v>
      </c>
      <c r="H62" s="908"/>
      <c r="I62" s="907" t="s">
        <v>2515</v>
      </c>
      <c r="J62" s="908"/>
      <c r="K62" s="907" t="s">
        <v>2516</v>
      </c>
      <c r="L62" s="908"/>
      <c r="M62" s="907" t="s">
        <v>2517</v>
      </c>
      <c r="N62" s="908"/>
      <c r="O62" s="907" t="s">
        <v>2518</v>
      </c>
      <c r="P62" s="908"/>
      <c r="Q62" s="907" t="s">
        <v>2519</v>
      </c>
      <c r="R62" s="908"/>
      <c r="S62" s="907" t="s">
        <v>2520</v>
      </c>
      <c r="T62" s="908"/>
      <c r="U62" s="907" t="s">
        <v>2521</v>
      </c>
      <c r="V62" s="908"/>
      <c r="W62" s="1696" t="s">
        <v>165</v>
      </c>
      <c r="X62" s="1697"/>
      <c r="Y62" s="132"/>
      <c r="Z62" s="132"/>
    </row>
    <row r="63" spans="1:27" x14ac:dyDescent="0.3">
      <c r="A63" s="950" t="s">
        <v>1910</v>
      </c>
      <c r="B63" s="951" t="s">
        <v>1911</v>
      </c>
      <c r="C63" s="950" t="s">
        <v>1910</v>
      </c>
      <c r="D63" s="951" t="s">
        <v>1911</v>
      </c>
      <c r="E63" s="950" t="s">
        <v>1910</v>
      </c>
      <c r="F63" s="951" t="s">
        <v>1911</v>
      </c>
      <c r="G63" s="950" t="s">
        <v>1910</v>
      </c>
      <c r="H63" s="951" t="s">
        <v>1911</v>
      </c>
      <c r="I63" s="950" t="s">
        <v>1910</v>
      </c>
      <c r="J63" s="951" t="s">
        <v>1911</v>
      </c>
      <c r="K63" s="950" t="s">
        <v>1910</v>
      </c>
      <c r="L63" s="951" t="s">
        <v>1911</v>
      </c>
      <c r="M63" s="950" t="s">
        <v>1910</v>
      </c>
      <c r="N63" s="951" t="s">
        <v>1911</v>
      </c>
      <c r="O63" s="950" t="s">
        <v>1910</v>
      </c>
      <c r="P63" s="951" t="s">
        <v>1911</v>
      </c>
      <c r="Q63" s="950" t="s">
        <v>1910</v>
      </c>
      <c r="R63" s="951" t="s">
        <v>1911</v>
      </c>
      <c r="S63" s="950" t="s">
        <v>1910</v>
      </c>
      <c r="T63" s="951" t="s">
        <v>1911</v>
      </c>
      <c r="U63" s="950" t="s">
        <v>1910</v>
      </c>
      <c r="V63" s="951" t="s">
        <v>1911</v>
      </c>
      <c r="W63" s="950" t="s">
        <v>2522</v>
      </c>
      <c r="X63" s="951" t="s">
        <v>2523</v>
      </c>
      <c r="Y63" s="132"/>
      <c r="Z63" s="132"/>
    </row>
    <row r="64" spans="1:27" x14ac:dyDescent="0.3">
      <c r="A64" s="948" t="s">
        <v>2524</v>
      </c>
      <c r="B64" s="949" t="e">
        <f>VLOOKUP(A64,'Segment Abs.'!$B:$C,2,0)</f>
        <v>#N/A</v>
      </c>
      <c r="C64" s="948" t="s">
        <v>2525</v>
      </c>
      <c r="D64" s="949" t="e">
        <f>VLOOKUP(C64,'Segment Abs.'!$B:$C,2,0)</f>
        <v>#N/A</v>
      </c>
      <c r="E64" s="948" t="s">
        <v>2526</v>
      </c>
      <c r="F64" s="949" t="e">
        <f>VLOOKUP(E64,'Segment Abs.'!$B:$C,2,0)</f>
        <v>#N/A</v>
      </c>
      <c r="G64" s="948" t="s">
        <v>2527</v>
      </c>
      <c r="H64" s="949" t="e">
        <f>VLOOKUP(G64,'Segment Abs.'!$B:$C,2,0)</f>
        <v>#N/A</v>
      </c>
      <c r="I64" s="948" t="s">
        <v>2528</v>
      </c>
      <c r="J64" s="949" t="e">
        <f>VLOOKUP(I64,'Segment Abs.'!$B:$C,2,0)</f>
        <v>#N/A</v>
      </c>
      <c r="K64" s="948" t="s">
        <v>2529</v>
      </c>
      <c r="L64" s="949" t="e">
        <f>VLOOKUP(K64,'Segment Abs.'!$B:$C,2,0)</f>
        <v>#N/A</v>
      </c>
      <c r="M64" s="948" t="s">
        <v>2530</v>
      </c>
      <c r="N64" s="949" t="e">
        <f>VLOOKUP(M64,'Segment Abs.'!$B:$C,2,0)</f>
        <v>#N/A</v>
      </c>
      <c r="O64" s="948" t="s">
        <v>2531</v>
      </c>
      <c r="P64" s="949" t="e">
        <f>VLOOKUP(O64,'Segment Abs.'!$B:$C,2,0)</f>
        <v>#N/A</v>
      </c>
      <c r="Q64" s="948" t="s">
        <v>2532</v>
      </c>
      <c r="R64" s="949" t="e">
        <f>VLOOKUP(Q64,'Segment Abs.'!$B:$C,2,0)</f>
        <v>#N/A</v>
      </c>
      <c r="S64" s="948" t="s">
        <v>2533</v>
      </c>
      <c r="T64" s="949" t="e">
        <f>VLOOKUP(S64,'Segment Abs.'!$B:$C,2,0)</f>
        <v>#N/A</v>
      </c>
      <c r="U64" s="948" t="s">
        <v>2534</v>
      </c>
      <c r="V64" s="949" t="e">
        <f>VLOOKUP(U64,'Segment Abs.'!$B:$C,2,0)</f>
        <v>#N/A</v>
      </c>
      <c r="W64" s="952">
        <f t="shared" ref="W64:W115" si="0">COUNTA(A5,C5,E5,G5,I5,K5,M5,O5,Q5,S5,U5,W5,Y5,A64,C64,E64,G64,I64,K64,M64,O64,Q64,S64,U64)</f>
        <v>24</v>
      </c>
      <c r="X64" s="953">
        <f t="shared" ref="X64:X95" si="1">COUNT(V64,T64,R64,P64,N64,L64,J64,H64,F64,D64,B64,Z5,X5,V5,T5,R5,P5,L5,J5,H5,F5,D5,B5)</f>
        <v>0</v>
      </c>
      <c r="Y64" s="132"/>
      <c r="Z64" s="132"/>
    </row>
    <row r="65" spans="1:26" x14ac:dyDescent="0.3">
      <c r="A65" s="909" t="s">
        <v>2535</v>
      </c>
      <c r="B65" s="910" t="e">
        <f>VLOOKUP(A65,'Segment Abs.'!$B:$C,2,0)</f>
        <v>#N/A</v>
      </c>
      <c r="C65" s="909" t="s">
        <v>2536</v>
      </c>
      <c r="D65" s="910" t="e">
        <f>VLOOKUP(C65,'Segment Abs.'!$B:$C,2,0)</f>
        <v>#N/A</v>
      </c>
      <c r="E65" s="909" t="s">
        <v>2537</v>
      </c>
      <c r="F65" s="910" t="e">
        <f>VLOOKUP(E65,'Segment Abs.'!$B:$C,2,0)</f>
        <v>#N/A</v>
      </c>
      <c r="G65" s="909" t="s">
        <v>2538</v>
      </c>
      <c r="H65" s="910" t="e">
        <f>VLOOKUP(G65,'Segment Abs.'!$B:$C,2,0)</f>
        <v>#N/A</v>
      </c>
      <c r="I65" s="909" t="s">
        <v>2539</v>
      </c>
      <c r="J65" s="910" t="e">
        <f>VLOOKUP(I65,'Segment Abs.'!$B:$C,2,0)</f>
        <v>#N/A</v>
      </c>
      <c r="K65" s="909" t="s">
        <v>2540</v>
      </c>
      <c r="L65" s="910" t="e">
        <f>VLOOKUP(K65,'Segment Abs.'!$B:$C,2,0)</f>
        <v>#N/A</v>
      </c>
      <c r="M65" s="909" t="s">
        <v>2541</v>
      </c>
      <c r="N65" s="910" t="e">
        <f>VLOOKUP(M65,'Segment Abs.'!$B:$C,2,0)</f>
        <v>#N/A</v>
      </c>
      <c r="O65" s="909" t="s">
        <v>2542</v>
      </c>
      <c r="P65" s="910" t="e">
        <f>VLOOKUP(O65,'Segment Abs.'!$B:$C,2,0)</f>
        <v>#N/A</v>
      </c>
      <c r="Q65" s="909" t="s">
        <v>2543</v>
      </c>
      <c r="R65" s="910" t="e">
        <f>VLOOKUP(Q65,'Segment Abs.'!$B:$C,2,0)</f>
        <v>#N/A</v>
      </c>
      <c r="S65" s="909" t="s">
        <v>2544</v>
      </c>
      <c r="T65" s="910" t="e">
        <f>VLOOKUP(S65,'Segment Abs.'!$B:$C,2,0)</f>
        <v>#N/A</v>
      </c>
      <c r="U65" s="909" t="s">
        <v>2545</v>
      </c>
      <c r="V65" s="910" t="e">
        <f>VLOOKUP(U65,'Segment Abs.'!$B:$C,2,0)</f>
        <v>#N/A</v>
      </c>
      <c r="W65" s="914">
        <f t="shared" si="0"/>
        <v>24</v>
      </c>
      <c r="X65" s="915">
        <f t="shared" si="1"/>
        <v>0</v>
      </c>
      <c r="Y65" s="132"/>
      <c r="Z65" s="132"/>
    </row>
    <row r="66" spans="1:26" x14ac:dyDescent="0.3">
      <c r="A66" s="909" t="s">
        <v>2546</v>
      </c>
      <c r="B66" s="910" t="e">
        <f>VLOOKUP(A66,'Segment Abs.'!$B:$C,2,0)</f>
        <v>#N/A</v>
      </c>
      <c r="C66" s="909" t="s">
        <v>2547</v>
      </c>
      <c r="D66" s="910" t="e">
        <f>VLOOKUP(C66,'Segment Abs.'!$B:$C,2,0)</f>
        <v>#N/A</v>
      </c>
      <c r="E66" s="909" t="s">
        <v>2548</v>
      </c>
      <c r="F66" s="910" t="e">
        <f>VLOOKUP(E66,'Segment Abs.'!$B:$C,2,0)</f>
        <v>#N/A</v>
      </c>
      <c r="G66" s="909" t="s">
        <v>2549</v>
      </c>
      <c r="H66" s="910" t="e">
        <f>VLOOKUP(G66,'Segment Abs.'!$B:$C,2,0)</f>
        <v>#N/A</v>
      </c>
      <c r="I66" s="909" t="s">
        <v>2550</v>
      </c>
      <c r="J66" s="910" t="e">
        <f>VLOOKUP(I66,'Segment Abs.'!$B:$C,2,0)</f>
        <v>#N/A</v>
      </c>
      <c r="K66" s="909" t="s">
        <v>2551</v>
      </c>
      <c r="L66" s="910" t="e">
        <f>VLOOKUP(K66,'Segment Abs.'!$B:$C,2,0)</f>
        <v>#N/A</v>
      </c>
      <c r="M66" s="909" t="s">
        <v>2552</v>
      </c>
      <c r="N66" s="910" t="e">
        <f>VLOOKUP(M66,'Segment Abs.'!$B:$C,2,0)</f>
        <v>#N/A</v>
      </c>
      <c r="O66" s="909" t="s">
        <v>2553</v>
      </c>
      <c r="P66" s="910" t="e">
        <f>VLOOKUP(O66,'Segment Abs.'!$B:$C,2,0)</f>
        <v>#N/A</v>
      </c>
      <c r="Q66" s="909" t="s">
        <v>2554</v>
      </c>
      <c r="R66" s="910" t="e">
        <f>VLOOKUP(Q66,'Segment Abs.'!$B:$C,2,0)</f>
        <v>#N/A</v>
      </c>
      <c r="S66" s="909" t="s">
        <v>2555</v>
      </c>
      <c r="T66" s="910" t="e">
        <f>VLOOKUP(S66,'Segment Abs.'!$B:$C,2,0)</f>
        <v>#N/A</v>
      </c>
      <c r="U66" s="909" t="s">
        <v>2556</v>
      </c>
      <c r="V66" s="910" t="e">
        <f>VLOOKUP(U66,'Segment Abs.'!$B:$C,2,0)</f>
        <v>#N/A</v>
      </c>
      <c r="W66" s="914">
        <f t="shared" si="0"/>
        <v>24</v>
      </c>
      <c r="X66" s="915">
        <f t="shared" si="1"/>
        <v>0</v>
      </c>
      <c r="Y66" s="132"/>
      <c r="Z66" s="132"/>
    </row>
    <row r="67" spans="1:26" x14ac:dyDescent="0.3">
      <c r="A67" s="909" t="s">
        <v>2557</v>
      </c>
      <c r="B67" s="910" t="e">
        <f>VLOOKUP(A67,'Segment Abs.'!$B:$C,2,0)</f>
        <v>#N/A</v>
      </c>
      <c r="C67" s="909" t="s">
        <v>2558</v>
      </c>
      <c r="D67" s="910" t="e">
        <f>VLOOKUP(C67,'Segment Abs.'!$B:$C,2,0)</f>
        <v>#N/A</v>
      </c>
      <c r="E67" s="909" t="s">
        <v>2559</v>
      </c>
      <c r="F67" s="910" t="e">
        <f>VLOOKUP(E67,'Segment Abs.'!$B:$C,2,0)</f>
        <v>#N/A</v>
      </c>
      <c r="G67" s="909" t="s">
        <v>2560</v>
      </c>
      <c r="H67" s="910" t="e">
        <f>VLOOKUP(G67,'Segment Abs.'!$B:$C,2,0)</f>
        <v>#N/A</v>
      </c>
      <c r="I67" s="909" t="s">
        <v>2561</v>
      </c>
      <c r="J67" s="910" t="e">
        <f>VLOOKUP(I67,'Segment Abs.'!$B:$C,2,0)</f>
        <v>#N/A</v>
      </c>
      <c r="K67" s="909" t="s">
        <v>2562</v>
      </c>
      <c r="L67" s="910" t="e">
        <f>VLOOKUP(K67,'Segment Abs.'!$B:$C,2,0)</f>
        <v>#N/A</v>
      </c>
      <c r="M67" s="909" t="s">
        <v>2563</v>
      </c>
      <c r="N67" s="910" t="e">
        <f>VLOOKUP(M67,'Segment Abs.'!$B:$C,2,0)</f>
        <v>#N/A</v>
      </c>
      <c r="O67" s="909" t="s">
        <v>2564</v>
      </c>
      <c r="P67" s="910" t="e">
        <f>VLOOKUP(O67,'Segment Abs.'!$B:$C,2,0)</f>
        <v>#N/A</v>
      </c>
      <c r="Q67" s="909" t="s">
        <v>2565</v>
      </c>
      <c r="R67" s="910" t="e">
        <f>VLOOKUP(Q67,'Segment Abs.'!$B:$C,2,0)</f>
        <v>#N/A</v>
      </c>
      <c r="S67" s="909" t="s">
        <v>2566</v>
      </c>
      <c r="T67" s="910" t="e">
        <f>VLOOKUP(S67,'Segment Abs.'!$B:$C,2,0)</f>
        <v>#N/A</v>
      </c>
      <c r="U67" s="909" t="s">
        <v>2567</v>
      </c>
      <c r="V67" s="910" t="e">
        <f>VLOOKUP(U67,'Segment Abs.'!$B:$C,2,0)</f>
        <v>#N/A</v>
      </c>
      <c r="W67" s="914">
        <f t="shared" si="0"/>
        <v>24</v>
      </c>
      <c r="X67" s="915">
        <f t="shared" si="1"/>
        <v>0</v>
      </c>
      <c r="Y67" s="132"/>
      <c r="Z67" s="132"/>
    </row>
    <row r="68" spans="1:26" x14ac:dyDescent="0.3">
      <c r="A68" s="909" t="s">
        <v>2568</v>
      </c>
      <c r="B68" s="910" t="e">
        <f>VLOOKUP(A68,'Segment Abs.'!$B:$C,2,0)</f>
        <v>#N/A</v>
      </c>
      <c r="C68" s="909" t="s">
        <v>2569</v>
      </c>
      <c r="D68" s="910" t="e">
        <f>VLOOKUP(C68,'Segment Abs.'!$B:$C,2,0)</f>
        <v>#N/A</v>
      </c>
      <c r="E68" s="909" t="s">
        <v>2570</v>
      </c>
      <c r="F68" s="910" t="e">
        <f>VLOOKUP(E68,'Segment Abs.'!$B:$C,2,0)</f>
        <v>#N/A</v>
      </c>
      <c r="G68" s="909" t="s">
        <v>2571</v>
      </c>
      <c r="H68" s="910" t="e">
        <f>VLOOKUP(G68,'Segment Abs.'!$B:$C,2,0)</f>
        <v>#N/A</v>
      </c>
      <c r="I68" s="909" t="s">
        <v>2572</v>
      </c>
      <c r="J68" s="910" t="e">
        <f>VLOOKUP(I68,'Segment Abs.'!$B:$C,2,0)</f>
        <v>#N/A</v>
      </c>
      <c r="K68" s="909" t="s">
        <v>2573</v>
      </c>
      <c r="L68" s="910" t="e">
        <f>VLOOKUP(K68,'Segment Abs.'!$B:$C,2,0)</f>
        <v>#N/A</v>
      </c>
      <c r="M68" s="909" t="s">
        <v>2574</v>
      </c>
      <c r="N68" s="910" t="e">
        <f>VLOOKUP(M68,'Segment Abs.'!$B:$C,2,0)</f>
        <v>#N/A</v>
      </c>
      <c r="O68" s="909" t="s">
        <v>2575</v>
      </c>
      <c r="P68" s="910" t="e">
        <f>VLOOKUP(O68,'Segment Abs.'!$B:$C,2,0)</f>
        <v>#N/A</v>
      </c>
      <c r="Q68" s="909" t="s">
        <v>2576</v>
      </c>
      <c r="R68" s="910" t="e">
        <f>VLOOKUP(Q68,'Segment Abs.'!$B:$C,2,0)</f>
        <v>#N/A</v>
      </c>
      <c r="S68" s="909" t="s">
        <v>2577</v>
      </c>
      <c r="T68" s="910" t="e">
        <f>VLOOKUP(S68,'Segment Abs.'!$B:$C,2,0)</f>
        <v>#N/A</v>
      </c>
      <c r="U68" s="909" t="s">
        <v>2578</v>
      </c>
      <c r="V68" s="910" t="e">
        <f>VLOOKUP(U68,'Segment Abs.'!$B:$C,2,0)</f>
        <v>#N/A</v>
      </c>
      <c r="W68" s="914">
        <f t="shared" si="0"/>
        <v>24</v>
      </c>
      <c r="X68" s="915">
        <f t="shared" si="1"/>
        <v>0</v>
      </c>
      <c r="Y68" s="132"/>
      <c r="Z68" s="132"/>
    </row>
    <row r="69" spans="1:26" x14ac:dyDescent="0.3">
      <c r="A69" s="909" t="s">
        <v>2579</v>
      </c>
      <c r="B69" s="910" t="e">
        <f>VLOOKUP(A69,'Segment Abs.'!$B:$C,2,0)</f>
        <v>#N/A</v>
      </c>
      <c r="C69" s="909" t="s">
        <v>2580</v>
      </c>
      <c r="D69" s="910" t="e">
        <f>VLOOKUP(C69,'Segment Abs.'!$B:$C,2,0)</f>
        <v>#N/A</v>
      </c>
      <c r="E69" s="909" t="s">
        <v>2581</v>
      </c>
      <c r="F69" s="910" t="e">
        <f>VLOOKUP(E69,'Segment Abs.'!$B:$C,2,0)</f>
        <v>#N/A</v>
      </c>
      <c r="G69" s="909" t="s">
        <v>2582</v>
      </c>
      <c r="H69" s="910" t="e">
        <f>VLOOKUP(G69,'Segment Abs.'!$B:$C,2,0)</f>
        <v>#N/A</v>
      </c>
      <c r="I69" s="909" t="s">
        <v>2583</v>
      </c>
      <c r="J69" s="910" t="e">
        <f>VLOOKUP(I69,'Segment Abs.'!$B:$C,2,0)</f>
        <v>#N/A</v>
      </c>
      <c r="K69" s="909" t="s">
        <v>2584</v>
      </c>
      <c r="L69" s="910" t="e">
        <f>VLOOKUP(K69,'Segment Abs.'!$B:$C,2,0)</f>
        <v>#N/A</v>
      </c>
      <c r="M69" s="909" t="s">
        <v>2585</v>
      </c>
      <c r="N69" s="910" t="e">
        <f>VLOOKUP(M69,'Segment Abs.'!$B:$C,2,0)</f>
        <v>#N/A</v>
      </c>
      <c r="O69" s="909" t="s">
        <v>2586</v>
      </c>
      <c r="P69" s="910" t="e">
        <f>VLOOKUP(O69,'Segment Abs.'!$B:$C,2,0)</f>
        <v>#N/A</v>
      </c>
      <c r="Q69" s="909" t="s">
        <v>2587</v>
      </c>
      <c r="R69" s="910" t="e">
        <f>VLOOKUP(Q69,'Segment Abs.'!$B:$C,2,0)</f>
        <v>#N/A</v>
      </c>
      <c r="S69" s="909" t="s">
        <v>2588</v>
      </c>
      <c r="T69" s="910" t="e">
        <f>VLOOKUP(S69,'Segment Abs.'!$B:$C,2,0)</f>
        <v>#N/A</v>
      </c>
      <c r="U69" s="909" t="s">
        <v>2589</v>
      </c>
      <c r="V69" s="910" t="e">
        <f>VLOOKUP(U69,'Segment Abs.'!$B:$C,2,0)</f>
        <v>#N/A</v>
      </c>
      <c r="W69" s="914">
        <f t="shared" si="0"/>
        <v>24</v>
      </c>
      <c r="X69" s="915">
        <f t="shared" si="1"/>
        <v>0</v>
      </c>
      <c r="Y69" s="132"/>
      <c r="Z69" s="132"/>
    </row>
    <row r="70" spans="1:26" x14ac:dyDescent="0.3">
      <c r="A70" s="909" t="s">
        <v>2590</v>
      </c>
      <c r="B70" s="910" t="e">
        <f>VLOOKUP(A70,'Segment Abs.'!$B:$C,2,0)</f>
        <v>#N/A</v>
      </c>
      <c r="C70" s="909" t="s">
        <v>2591</v>
      </c>
      <c r="D70" s="910" t="e">
        <f>VLOOKUP(C70,'Segment Abs.'!$B:$C,2,0)</f>
        <v>#N/A</v>
      </c>
      <c r="E70" s="909" t="s">
        <v>2592</v>
      </c>
      <c r="F70" s="910" t="e">
        <f>VLOOKUP(E70,'Segment Abs.'!$B:$C,2,0)</f>
        <v>#N/A</v>
      </c>
      <c r="G70" s="909" t="s">
        <v>2593</v>
      </c>
      <c r="H70" s="910" t="e">
        <f>VLOOKUP(G70,'Segment Abs.'!$B:$C,2,0)</f>
        <v>#N/A</v>
      </c>
      <c r="I70" s="909" t="s">
        <v>2594</v>
      </c>
      <c r="J70" s="910" t="e">
        <f>VLOOKUP(I70,'Segment Abs.'!$B:$C,2,0)</f>
        <v>#N/A</v>
      </c>
      <c r="K70" s="909" t="s">
        <v>2595</v>
      </c>
      <c r="L70" s="910" t="e">
        <f>VLOOKUP(K70,'Segment Abs.'!$B:$C,2,0)</f>
        <v>#N/A</v>
      </c>
      <c r="M70" s="909" t="s">
        <v>2596</v>
      </c>
      <c r="N70" s="910" t="e">
        <f>VLOOKUP(M70,'Segment Abs.'!$B:$C,2,0)</f>
        <v>#N/A</v>
      </c>
      <c r="O70" s="909" t="s">
        <v>2597</v>
      </c>
      <c r="P70" s="910" t="e">
        <f>VLOOKUP(O70,'Segment Abs.'!$B:$C,2,0)</f>
        <v>#N/A</v>
      </c>
      <c r="Q70" s="909" t="s">
        <v>2598</v>
      </c>
      <c r="R70" s="910" t="e">
        <f>VLOOKUP(Q70,'Segment Abs.'!$B:$C,2,0)</f>
        <v>#N/A</v>
      </c>
      <c r="S70" s="909" t="s">
        <v>2599</v>
      </c>
      <c r="T70" s="910" t="e">
        <f>VLOOKUP(S70,'Segment Abs.'!$B:$C,2,0)</f>
        <v>#N/A</v>
      </c>
      <c r="U70" s="909" t="s">
        <v>2600</v>
      </c>
      <c r="V70" s="910" t="e">
        <f>VLOOKUP(U70,'Segment Abs.'!$B:$C,2,0)</f>
        <v>#N/A</v>
      </c>
      <c r="W70" s="914">
        <f t="shared" si="0"/>
        <v>24</v>
      </c>
      <c r="X70" s="915">
        <f t="shared" si="1"/>
        <v>0</v>
      </c>
      <c r="Y70" s="132"/>
      <c r="Z70" s="132"/>
    </row>
    <row r="71" spans="1:26" x14ac:dyDescent="0.3">
      <c r="A71" s="909" t="s">
        <v>2601</v>
      </c>
      <c r="B71" s="910" t="e">
        <f>VLOOKUP(A71,'Segment Abs.'!$B:$C,2,0)</f>
        <v>#N/A</v>
      </c>
      <c r="C71" s="909" t="s">
        <v>2602</v>
      </c>
      <c r="D71" s="910" t="e">
        <f>VLOOKUP(C71,'Segment Abs.'!$B:$C,2,0)</f>
        <v>#N/A</v>
      </c>
      <c r="E71" s="909" t="s">
        <v>2603</v>
      </c>
      <c r="F71" s="910" t="e">
        <f>VLOOKUP(E71,'Segment Abs.'!$B:$C,2,0)</f>
        <v>#N/A</v>
      </c>
      <c r="G71" s="909" t="s">
        <v>2604</v>
      </c>
      <c r="H71" s="910" t="e">
        <f>VLOOKUP(G71,'Segment Abs.'!$B:$C,2,0)</f>
        <v>#N/A</v>
      </c>
      <c r="I71" s="909" t="s">
        <v>2605</v>
      </c>
      <c r="J71" s="910" t="e">
        <f>VLOOKUP(I71,'Segment Abs.'!$B:$C,2,0)</f>
        <v>#N/A</v>
      </c>
      <c r="K71" s="909" t="s">
        <v>2606</v>
      </c>
      <c r="L71" s="910" t="e">
        <f>VLOOKUP(K71,'Segment Abs.'!$B:$C,2,0)</f>
        <v>#N/A</v>
      </c>
      <c r="M71" s="909" t="s">
        <v>2607</v>
      </c>
      <c r="N71" s="910" t="e">
        <f>VLOOKUP(M71,'Segment Abs.'!$B:$C,2,0)</f>
        <v>#N/A</v>
      </c>
      <c r="O71" s="909" t="s">
        <v>2608</v>
      </c>
      <c r="P71" s="910" t="e">
        <f>VLOOKUP(O71,'Segment Abs.'!$B:$C,2,0)</f>
        <v>#N/A</v>
      </c>
      <c r="Q71" s="909" t="s">
        <v>2609</v>
      </c>
      <c r="R71" s="910" t="e">
        <f>VLOOKUP(Q71,'Segment Abs.'!$B:$C,2,0)</f>
        <v>#N/A</v>
      </c>
      <c r="S71" s="909" t="s">
        <v>2610</v>
      </c>
      <c r="T71" s="910" t="e">
        <f>VLOOKUP(S71,'Segment Abs.'!$B:$C,2,0)</f>
        <v>#N/A</v>
      </c>
      <c r="U71" s="909" t="s">
        <v>2611</v>
      </c>
      <c r="V71" s="910" t="e">
        <f>VLOOKUP(U71,'Segment Abs.'!$B:$C,2,0)</f>
        <v>#N/A</v>
      </c>
      <c r="W71" s="914">
        <f t="shared" si="0"/>
        <v>24</v>
      </c>
      <c r="X71" s="915">
        <f t="shared" si="1"/>
        <v>0</v>
      </c>
      <c r="Y71" s="132"/>
      <c r="Z71" s="132"/>
    </row>
    <row r="72" spans="1:26" x14ac:dyDescent="0.3">
      <c r="A72" s="909" t="s">
        <v>2612</v>
      </c>
      <c r="B72" s="910" t="e">
        <f>VLOOKUP(A72,'Segment Abs.'!$B:$C,2,0)</f>
        <v>#N/A</v>
      </c>
      <c r="C72" s="909" t="s">
        <v>2613</v>
      </c>
      <c r="D72" s="910" t="e">
        <f>VLOOKUP(C72,'Segment Abs.'!$B:$C,2,0)</f>
        <v>#N/A</v>
      </c>
      <c r="E72" s="909" t="s">
        <v>2614</v>
      </c>
      <c r="F72" s="910" t="e">
        <f>VLOOKUP(E72,'Segment Abs.'!$B:$C,2,0)</f>
        <v>#N/A</v>
      </c>
      <c r="G72" s="909" t="s">
        <v>2615</v>
      </c>
      <c r="H72" s="910" t="e">
        <f>VLOOKUP(G72,'Segment Abs.'!$B:$C,2,0)</f>
        <v>#N/A</v>
      </c>
      <c r="I72" s="909" t="s">
        <v>2616</v>
      </c>
      <c r="J72" s="910" t="e">
        <f>VLOOKUP(I72,'Segment Abs.'!$B:$C,2,0)</f>
        <v>#N/A</v>
      </c>
      <c r="K72" s="909" t="s">
        <v>2617</v>
      </c>
      <c r="L72" s="910" t="e">
        <f>VLOOKUP(K72,'Segment Abs.'!$B:$C,2,0)</f>
        <v>#N/A</v>
      </c>
      <c r="M72" s="909" t="s">
        <v>2618</v>
      </c>
      <c r="N72" s="910" t="e">
        <f>VLOOKUP(M72,'Segment Abs.'!$B:$C,2,0)</f>
        <v>#N/A</v>
      </c>
      <c r="O72" s="909" t="s">
        <v>2619</v>
      </c>
      <c r="P72" s="910" t="e">
        <f>VLOOKUP(O72,'Segment Abs.'!$B:$C,2,0)</f>
        <v>#N/A</v>
      </c>
      <c r="Q72" s="909" t="s">
        <v>2620</v>
      </c>
      <c r="R72" s="910" t="e">
        <f>VLOOKUP(Q72,'Segment Abs.'!$B:$C,2,0)</f>
        <v>#N/A</v>
      </c>
      <c r="S72" s="909" t="s">
        <v>2621</v>
      </c>
      <c r="T72" s="910" t="e">
        <f>VLOOKUP(S72,'Segment Abs.'!$B:$C,2,0)</f>
        <v>#N/A</v>
      </c>
      <c r="U72" s="909" t="s">
        <v>2622</v>
      </c>
      <c r="V72" s="910" t="e">
        <f>VLOOKUP(U72,'Segment Abs.'!$B:$C,2,0)</f>
        <v>#N/A</v>
      </c>
      <c r="W72" s="914">
        <f t="shared" si="0"/>
        <v>24</v>
      </c>
      <c r="X72" s="915">
        <f t="shared" si="1"/>
        <v>0</v>
      </c>
      <c r="Y72" s="132"/>
      <c r="Z72" s="132"/>
    </row>
    <row r="73" spans="1:26" x14ac:dyDescent="0.3">
      <c r="A73" s="909" t="s">
        <v>2623</v>
      </c>
      <c r="B73" s="910" t="e">
        <f>VLOOKUP(A73,'Segment Abs.'!$B:$C,2,0)</f>
        <v>#N/A</v>
      </c>
      <c r="C73" s="909" t="s">
        <v>2624</v>
      </c>
      <c r="D73" s="910" t="e">
        <f>VLOOKUP(C73,'Segment Abs.'!$B:$C,2,0)</f>
        <v>#N/A</v>
      </c>
      <c r="E73" s="909" t="s">
        <v>2625</v>
      </c>
      <c r="F73" s="910" t="e">
        <f>VLOOKUP(E73,'Segment Abs.'!$B:$C,2,0)</f>
        <v>#N/A</v>
      </c>
      <c r="G73" s="909" t="s">
        <v>2626</v>
      </c>
      <c r="H73" s="910" t="e">
        <f>VLOOKUP(G73,'Segment Abs.'!$B:$C,2,0)</f>
        <v>#N/A</v>
      </c>
      <c r="I73" s="909" t="s">
        <v>2627</v>
      </c>
      <c r="J73" s="910" t="e">
        <f>VLOOKUP(I73,'Segment Abs.'!$B:$C,2,0)</f>
        <v>#N/A</v>
      </c>
      <c r="K73" s="909" t="s">
        <v>2628</v>
      </c>
      <c r="L73" s="910" t="e">
        <f>VLOOKUP(K73,'Segment Abs.'!$B:$C,2,0)</f>
        <v>#N/A</v>
      </c>
      <c r="M73" s="909" t="s">
        <v>2629</v>
      </c>
      <c r="N73" s="910" t="e">
        <f>VLOOKUP(M73,'Segment Abs.'!$B:$C,2,0)</f>
        <v>#N/A</v>
      </c>
      <c r="O73" s="909" t="s">
        <v>2630</v>
      </c>
      <c r="P73" s="910" t="e">
        <f>VLOOKUP(O73,'Segment Abs.'!$B:$C,2,0)</f>
        <v>#N/A</v>
      </c>
      <c r="Q73" s="909" t="s">
        <v>2631</v>
      </c>
      <c r="R73" s="910" t="e">
        <f>VLOOKUP(Q73,'Segment Abs.'!$B:$C,2,0)</f>
        <v>#N/A</v>
      </c>
      <c r="S73" s="909" t="s">
        <v>2632</v>
      </c>
      <c r="T73" s="910" t="e">
        <f>VLOOKUP(S73,'Segment Abs.'!$B:$C,2,0)</f>
        <v>#N/A</v>
      </c>
      <c r="U73" s="909" t="s">
        <v>2633</v>
      </c>
      <c r="V73" s="910" t="e">
        <f>VLOOKUP(U73,'Segment Abs.'!$B:$C,2,0)</f>
        <v>#N/A</v>
      </c>
      <c r="W73" s="914">
        <f t="shared" si="0"/>
        <v>24</v>
      </c>
      <c r="X73" s="915">
        <f t="shared" si="1"/>
        <v>0</v>
      </c>
      <c r="Y73" s="132"/>
      <c r="Z73" s="132"/>
    </row>
    <row r="74" spans="1:26" x14ac:dyDescent="0.3">
      <c r="A74" s="909" t="s">
        <v>2634</v>
      </c>
      <c r="B74" s="910" t="e">
        <f>VLOOKUP(A74,'Segment Abs.'!$B:$C,2,0)</f>
        <v>#N/A</v>
      </c>
      <c r="C74" s="909" t="s">
        <v>2635</v>
      </c>
      <c r="D74" s="910" t="e">
        <f>VLOOKUP(C74,'Segment Abs.'!$B:$C,2,0)</f>
        <v>#N/A</v>
      </c>
      <c r="E74" s="909" t="s">
        <v>2636</v>
      </c>
      <c r="F74" s="910" t="e">
        <f>VLOOKUP(E74,'Segment Abs.'!$B:$C,2,0)</f>
        <v>#N/A</v>
      </c>
      <c r="G74" s="909" t="s">
        <v>2637</v>
      </c>
      <c r="H74" s="910" t="e">
        <f>VLOOKUP(G74,'Segment Abs.'!$B:$C,2,0)</f>
        <v>#N/A</v>
      </c>
      <c r="I74" s="909" t="s">
        <v>2638</v>
      </c>
      <c r="J74" s="910" t="e">
        <f>VLOOKUP(I74,'Segment Abs.'!$B:$C,2,0)</f>
        <v>#N/A</v>
      </c>
      <c r="K74" s="909" t="s">
        <v>2639</v>
      </c>
      <c r="L74" s="910" t="e">
        <f>VLOOKUP(K74,'Segment Abs.'!$B:$C,2,0)</f>
        <v>#N/A</v>
      </c>
      <c r="M74" s="909" t="s">
        <v>2640</v>
      </c>
      <c r="N74" s="910" t="e">
        <f>VLOOKUP(M74,'Segment Abs.'!$B:$C,2,0)</f>
        <v>#N/A</v>
      </c>
      <c r="O74" s="909" t="s">
        <v>2641</v>
      </c>
      <c r="P74" s="910" t="e">
        <f>VLOOKUP(O74,'Segment Abs.'!$B:$C,2,0)</f>
        <v>#N/A</v>
      </c>
      <c r="Q74" s="909" t="s">
        <v>2642</v>
      </c>
      <c r="R74" s="910" t="e">
        <f>VLOOKUP(Q74,'Segment Abs.'!$B:$C,2,0)</f>
        <v>#N/A</v>
      </c>
      <c r="S74" s="909" t="s">
        <v>2643</v>
      </c>
      <c r="T74" s="910" t="e">
        <f>VLOOKUP(S74,'Segment Abs.'!$B:$C,2,0)</f>
        <v>#N/A</v>
      </c>
      <c r="U74" s="909" t="s">
        <v>2644</v>
      </c>
      <c r="V74" s="910" t="e">
        <f>VLOOKUP(U74,'Segment Abs.'!$B:$C,2,0)</f>
        <v>#N/A</v>
      </c>
      <c r="W74" s="914">
        <f t="shared" si="0"/>
        <v>24</v>
      </c>
      <c r="X74" s="915">
        <f t="shared" si="1"/>
        <v>0</v>
      </c>
      <c r="Y74" s="132"/>
      <c r="Z74" s="132"/>
    </row>
    <row r="75" spans="1:26" x14ac:dyDescent="0.3">
      <c r="A75" s="909" t="s">
        <v>2645</v>
      </c>
      <c r="B75" s="910" t="e">
        <f>VLOOKUP(A75,'Segment Abs.'!$B:$C,2,0)</f>
        <v>#N/A</v>
      </c>
      <c r="C75" s="909" t="s">
        <v>2646</v>
      </c>
      <c r="D75" s="910" t="e">
        <f>VLOOKUP(C75,'Segment Abs.'!$B:$C,2,0)</f>
        <v>#N/A</v>
      </c>
      <c r="E75" s="909" t="s">
        <v>2647</v>
      </c>
      <c r="F75" s="910" t="e">
        <f>VLOOKUP(E75,'Segment Abs.'!$B:$C,2,0)</f>
        <v>#N/A</v>
      </c>
      <c r="G75" s="909" t="s">
        <v>2648</v>
      </c>
      <c r="H75" s="910" t="e">
        <f>VLOOKUP(G75,'Segment Abs.'!$B:$C,2,0)</f>
        <v>#N/A</v>
      </c>
      <c r="I75" s="909" t="s">
        <v>2649</v>
      </c>
      <c r="J75" s="910" t="e">
        <f>VLOOKUP(I75,'Segment Abs.'!$B:$C,2,0)</f>
        <v>#N/A</v>
      </c>
      <c r="K75" s="909" t="s">
        <v>2650</v>
      </c>
      <c r="L75" s="910" t="e">
        <f>VLOOKUP(K75,'Segment Abs.'!$B:$C,2,0)</f>
        <v>#N/A</v>
      </c>
      <c r="M75" s="909" t="s">
        <v>2651</v>
      </c>
      <c r="N75" s="910" t="e">
        <f>VLOOKUP(M75,'Segment Abs.'!$B:$C,2,0)</f>
        <v>#N/A</v>
      </c>
      <c r="O75" s="909" t="s">
        <v>2652</v>
      </c>
      <c r="P75" s="910" t="e">
        <f>VLOOKUP(O75,'Segment Abs.'!$B:$C,2,0)</f>
        <v>#N/A</v>
      </c>
      <c r="Q75" s="909" t="s">
        <v>2653</v>
      </c>
      <c r="R75" s="910" t="e">
        <f>VLOOKUP(Q75,'Segment Abs.'!$B:$C,2,0)</f>
        <v>#N/A</v>
      </c>
      <c r="S75" s="909" t="s">
        <v>2654</v>
      </c>
      <c r="T75" s="910" t="e">
        <f>VLOOKUP(S75,'Segment Abs.'!$B:$C,2,0)</f>
        <v>#N/A</v>
      </c>
      <c r="U75" s="909" t="s">
        <v>2655</v>
      </c>
      <c r="V75" s="910" t="e">
        <f>VLOOKUP(U75,'Segment Abs.'!$B:$C,2,0)</f>
        <v>#N/A</v>
      </c>
      <c r="W75" s="914">
        <f t="shared" si="0"/>
        <v>24</v>
      </c>
      <c r="X75" s="915">
        <f t="shared" si="1"/>
        <v>0</v>
      </c>
      <c r="Y75" s="132"/>
      <c r="Z75" s="132"/>
    </row>
    <row r="76" spans="1:26" x14ac:dyDescent="0.3">
      <c r="A76" s="909" t="s">
        <v>2656</v>
      </c>
      <c r="B76" s="910" t="e">
        <f>VLOOKUP(A76,'Segment Abs.'!$B:$C,2,0)</f>
        <v>#N/A</v>
      </c>
      <c r="C76" s="909" t="s">
        <v>2657</v>
      </c>
      <c r="D76" s="910" t="e">
        <f>VLOOKUP(C76,'Segment Abs.'!$B:$C,2,0)</f>
        <v>#N/A</v>
      </c>
      <c r="E76" s="909" t="s">
        <v>2658</v>
      </c>
      <c r="F76" s="910" t="e">
        <f>VLOOKUP(E76,'Segment Abs.'!$B:$C,2,0)</f>
        <v>#N/A</v>
      </c>
      <c r="G76" s="909" t="s">
        <v>2659</v>
      </c>
      <c r="H76" s="910" t="e">
        <f>VLOOKUP(G76,'Segment Abs.'!$B:$C,2,0)</f>
        <v>#N/A</v>
      </c>
      <c r="I76" s="909" t="s">
        <v>2660</v>
      </c>
      <c r="J76" s="910" t="e">
        <f>VLOOKUP(I76,'Segment Abs.'!$B:$C,2,0)</f>
        <v>#N/A</v>
      </c>
      <c r="K76" s="909" t="s">
        <v>2661</v>
      </c>
      <c r="L76" s="910" t="e">
        <f>VLOOKUP(K76,'Segment Abs.'!$B:$C,2,0)</f>
        <v>#N/A</v>
      </c>
      <c r="M76" s="909" t="s">
        <v>2662</v>
      </c>
      <c r="N76" s="910" t="e">
        <f>VLOOKUP(M76,'Segment Abs.'!$B:$C,2,0)</f>
        <v>#N/A</v>
      </c>
      <c r="O76" s="909" t="s">
        <v>2663</v>
      </c>
      <c r="P76" s="910" t="e">
        <f>VLOOKUP(O76,'Segment Abs.'!$B:$C,2,0)</f>
        <v>#N/A</v>
      </c>
      <c r="Q76" s="909" t="s">
        <v>2664</v>
      </c>
      <c r="R76" s="910" t="e">
        <f>VLOOKUP(Q76,'Segment Abs.'!$B:$C,2,0)</f>
        <v>#N/A</v>
      </c>
      <c r="S76" s="909" t="s">
        <v>2665</v>
      </c>
      <c r="T76" s="910" t="e">
        <f>VLOOKUP(S76,'Segment Abs.'!$B:$C,2,0)</f>
        <v>#N/A</v>
      </c>
      <c r="U76" s="909" t="s">
        <v>2666</v>
      </c>
      <c r="V76" s="910" t="e">
        <f>VLOOKUP(U76,'Segment Abs.'!$B:$C,2,0)</f>
        <v>#N/A</v>
      </c>
      <c r="W76" s="914">
        <f t="shared" si="0"/>
        <v>24</v>
      </c>
      <c r="X76" s="915">
        <f t="shared" si="1"/>
        <v>0</v>
      </c>
      <c r="Y76" s="132"/>
      <c r="Z76" s="132"/>
    </row>
    <row r="77" spans="1:26" x14ac:dyDescent="0.3">
      <c r="A77" s="909" t="s">
        <v>2667</v>
      </c>
      <c r="B77" s="910" t="e">
        <f>VLOOKUP(A77,'Segment Abs.'!$B:$C,2,0)</f>
        <v>#N/A</v>
      </c>
      <c r="C77" s="909" t="s">
        <v>2668</v>
      </c>
      <c r="D77" s="910" t="e">
        <f>VLOOKUP(C77,'Segment Abs.'!$B:$C,2,0)</f>
        <v>#N/A</v>
      </c>
      <c r="E77" s="909" t="s">
        <v>2669</v>
      </c>
      <c r="F77" s="910" t="e">
        <f>VLOOKUP(E77,'Segment Abs.'!$B:$C,2,0)</f>
        <v>#N/A</v>
      </c>
      <c r="G77" s="909" t="s">
        <v>2670</v>
      </c>
      <c r="H77" s="910" t="e">
        <f>VLOOKUP(G77,'Segment Abs.'!$B:$C,2,0)</f>
        <v>#N/A</v>
      </c>
      <c r="I77" s="909" t="s">
        <v>2671</v>
      </c>
      <c r="J77" s="910" t="e">
        <f>VLOOKUP(I77,'Segment Abs.'!$B:$C,2,0)</f>
        <v>#N/A</v>
      </c>
      <c r="K77" s="909" t="s">
        <v>2672</v>
      </c>
      <c r="L77" s="910" t="e">
        <f>VLOOKUP(K77,'Segment Abs.'!$B:$C,2,0)</f>
        <v>#N/A</v>
      </c>
      <c r="M77" s="909" t="s">
        <v>2673</v>
      </c>
      <c r="N77" s="910" t="e">
        <f>VLOOKUP(M77,'Segment Abs.'!$B:$C,2,0)</f>
        <v>#N/A</v>
      </c>
      <c r="O77" s="909" t="s">
        <v>2674</v>
      </c>
      <c r="P77" s="910" t="e">
        <f>VLOOKUP(O77,'Segment Abs.'!$B:$C,2,0)</f>
        <v>#N/A</v>
      </c>
      <c r="Q77" s="909" t="s">
        <v>2675</v>
      </c>
      <c r="R77" s="910" t="e">
        <f>VLOOKUP(Q77,'Segment Abs.'!$B:$C,2,0)</f>
        <v>#N/A</v>
      </c>
      <c r="S77" s="909" t="s">
        <v>2676</v>
      </c>
      <c r="T77" s="910" t="e">
        <f>VLOOKUP(S77,'Segment Abs.'!$B:$C,2,0)</f>
        <v>#N/A</v>
      </c>
      <c r="U77" s="909" t="s">
        <v>2677</v>
      </c>
      <c r="V77" s="910" t="e">
        <f>VLOOKUP(U77,'Segment Abs.'!$B:$C,2,0)</f>
        <v>#N/A</v>
      </c>
      <c r="W77" s="914">
        <f t="shared" si="0"/>
        <v>24</v>
      </c>
      <c r="X77" s="915">
        <f t="shared" si="1"/>
        <v>0</v>
      </c>
      <c r="Y77" s="132"/>
      <c r="Z77" s="132"/>
    </row>
    <row r="78" spans="1:26" x14ac:dyDescent="0.3">
      <c r="A78" s="909" t="s">
        <v>2678</v>
      </c>
      <c r="B78" s="910" t="e">
        <f>VLOOKUP(A78,'Segment Abs.'!$B:$C,2,0)</f>
        <v>#N/A</v>
      </c>
      <c r="C78" s="909" t="s">
        <v>2679</v>
      </c>
      <c r="D78" s="910" t="e">
        <f>VLOOKUP(C78,'Segment Abs.'!$B:$C,2,0)</f>
        <v>#N/A</v>
      </c>
      <c r="E78" s="909" t="s">
        <v>2680</v>
      </c>
      <c r="F78" s="910" t="e">
        <f>VLOOKUP(E78,'Segment Abs.'!$B:$C,2,0)</f>
        <v>#N/A</v>
      </c>
      <c r="G78" s="909" t="s">
        <v>2681</v>
      </c>
      <c r="H78" s="910" t="e">
        <f>VLOOKUP(G78,'Segment Abs.'!$B:$C,2,0)</f>
        <v>#N/A</v>
      </c>
      <c r="I78" s="909" t="s">
        <v>2682</v>
      </c>
      <c r="J78" s="910" t="e">
        <f>VLOOKUP(I78,'Segment Abs.'!$B:$C,2,0)</f>
        <v>#N/A</v>
      </c>
      <c r="K78" s="909" t="s">
        <v>2683</v>
      </c>
      <c r="L78" s="910" t="e">
        <f>VLOOKUP(K78,'Segment Abs.'!$B:$C,2,0)</f>
        <v>#N/A</v>
      </c>
      <c r="M78" s="909" t="s">
        <v>2684</v>
      </c>
      <c r="N78" s="910" t="e">
        <f>VLOOKUP(M78,'Segment Abs.'!$B:$C,2,0)</f>
        <v>#N/A</v>
      </c>
      <c r="O78" s="909" t="s">
        <v>2685</v>
      </c>
      <c r="P78" s="910" t="e">
        <f>VLOOKUP(O78,'Segment Abs.'!$B:$C,2,0)</f>
        <v>#N/A</v>
      </c>
      <c r="Q78" s="909" t="s">
        <v>2686</v>
      </c>
      <c r="R78" s="910" t="e">
        <f>VLOOKUP(Q78,'Segment Abs.'!$B:$C,2,0)</f>
        <v>#N/A</v>
      </c>
      <c r="S78" s="909" t="s">
        <v>2687</v>
      </c>
      <c r="T78" s="910" t="e">
        <f>VLOOKUP(S78,'Segment Abs.'!$B:$C,2,0)</f>
        <v>#N/A</v>
      </c>
      <c r="U78" s="909" t="s">
        <v>2688</v>
      </c>
      <c r="V78" s="910" t="e">
        <f>VLOOKUP(U78,'Segment Abs.'!$B:$C,2,0)</f>
        <v>#N/A</v>
      </c>
      <c r="W78" s="914">
        <f t="shared" si="0"/>
        <v>24</v>
      </c>
      <c r="X78" s="915">
        <f t="shared" si="1"/>
        <v>0</v>
      </c>
      <c r="Y78" s="132"/>
      <c r="Z78" s="132"/>
    </row>
    <row r="79" spans="1:26" x14ac:dyDescent="0.3">
      <c r="A79" s="909" t="s">
        <v>2689</v>
      </c>
      <c r="B79" s="910" t="e">
        <f>VLOOKUP(A79,'Segment Abs.'!$B:$C,2,0)</f>
        <v>#N/A</v>
      </c>
      <c r="C79" s="909" t="s">
        <v>2690</v>
      </c>
      <c r="D79" s="910" t="e">
        <f>VLOOKUP(C79,'Segment Abs.'!$B:$C,2,0)</f>
        <v>#N/A</v>
      </c>
      <c r="E79" s="909" t="s">
        <v>2691</v>
      </c>
      <c r="F79" s="910" t="e">
        <f>VLOOKUP(E79,'Segment Abs.'!$B:$C,2,0)</f>
        <v>#N/A</v>
      </c>
      <c r="G79" s="909" t="s">
        <v>2692</v>
      </c>
      <c r="H79" s="910" t="e">
        <f>VLOOKUP(G79,'Segment Abs.'!$B:$C,2,0)</f>
        <v>#N/A</v>
      </c>
      <c r="I79" s="909" t="s">
        <v>2693</v>
      </c>
      <c r="J79" s="910" t="e">
        <f>VLOOKUP(I79,'Segment Abs.'!$B:$C,2,0)</f>
        <v>#N/A</v>
      </c>
      <c r="K79" s="909" t="s">
        <v>2694</v>
      </c>
      <c r="L79" s="910" t="e">
        <f>VLOOKUP(K79,'Segment Abs.'!$B:$C,2,0)</f>
        <v>#N/A</v>
      </c>
      <c r="M79" s="909" t="s">
        <v>2695</v>
      </c>
      <c r="N79" s="910" t="e">
        <f>VLOOKUP(M79,'Segment Abs.'!$B:$C,2,0)</f>
        <v>#N/A</v>
      </c>
      <c r="O79" s="909" t="s">
        <v>2696</v>
      </c>
      <c r="P79" s="910" t="e">
        <f>VLOOKUP(O79,'Segment Abs.'!$B:$C,2,0)</f>
        <v>#N/A</v>
      </c>
      <c r="Q79" s="909" t="s">
        <v>2697</v>
      </c>
      <c r="R79" s="910" t="e">
        <f>VLOOKUP(Q79,'Segment Abs.'!$B:$C,2,0)</f>
        <v>#N/A</v>
      </c>
      <c r="S79" s="909" t="s">
        <v>2698</v>
      </c>
      <c r="T79" s="910" t="e">
        <f>VLOOKUP(S79,'Segment Abs.'!$B:$C,2,0)</f>
        <v>#N/A</v>
      </c>
      <c r="U79" s="909" t="s">
        <v>2699</v>
      </c>
      <c r="V79" s="910" t="e">
        <f>VLOOKUP(U79,'Segment Abs.'!$B:$C,2,0)</f>
        <v>#N/A</v>
      </c>
      <c r="W79" s="914">
        <f t="shared" si="0"/>
        <v>24</v>
      </c>
      <c r="X79" s="915">
        <f t="shared" si="1"/>
        <v>0</v>
      </c>
      <c r="Y79" s="132"/>
      <c r="Z79" s="132"/>
    </row>
    <row r="80" spans="1:26" x14ac:dyDescent="0.3">
      <c r="A80" s="909" t="s">
        <v>2700</v>
      </c>
      <c r="B80" s="910" t="e">
        <f>VLOOKUP(A80,'Segment Abs.'!$B:$C,2,0)</f>
        <v>#N/A</v>
      </c>
      <c r="C80" s="909" t="s">
        <v>2701</v>
      </c>
      <c r="D80" s="910" t="e">
        <f>VLOOKUP(C80,'Segment Abs.'!$B:$C,2,0)</f>
        <v>#N/A</v>
      </c>
      <c r="E80" s="909" t="s">
        <v>2702</v>
      </c>
      <c r="F80" s="910" t="e">
        <f>VLOOKUP(E80,'Segment Abs.'!$B:$C,2,0)</f>
        <v>#N/A</v>
      </c>
      <c r="G80" s="909" t="s">
        <v>2703</v>
      </c>
      <c r="H80" s="910" t="e">
        <f>VLOOKUP(G80,'Segment Abs.'!$B:$C,2,0)</f>
        <v>#N/A</v>
      </c>
      <c r="I80" s="909" t="s">
        <v>2704</v>
      </c>
      <c r="J80" s="910" t="e">
        <f>VLOOKUP(I80,'Segment Abs.'!$B:$C,2,0)</f>
        <v>#N/A</v>
      </c>
      <c r="K80" s="909" t="s">
        <v>2705</v>
      </c>
      <c r="L80" s="910" t="e">
        <f>VLOOKUP(K80,'Segment Abs.'!$B:$C,2,0)</f>
        <v>#N/A</v>
      </c>
      <c r="M80" s="909" t="s">
        <v>2706</v>
      </c>
      <c r="N80" s="910" t="e">
        <f>VLOOKUP(M80,'Segment Abs.'!$B:$C,2,0)</f>
        <v>#N/A</v>
      </c>
      <c r="O80" s="909" t="s">
        <v>2707</v>
      </c>
      <c r="P80" s="910" t="e">
        <f>VLOOKUP(O80,'Segment Abs.'!$B:$C,2,0)</f>
        <v>#N/A</v>
      </c>
      <c r="Q80" s="909" t="s">
        <v>2708</v>
      </c>
      <c r="R80" s="910" t="e">
        <f>VLOOKUP(Q80,'Segment Abs.'!$B:$C,2,0)</f>
        <v>#N/A</v>
      </c>
      <c r="S80" s="909" t="s">
        <v>2709</v>
      </c>
      <c r="T80" s="910" t="e">
        <f>VLOOKUP(S80,'Segment Abs.'!$B:$C,2,0)</f>
        <v>#N/A</v>
      </c>
      <c r="U80" s="909" t="s">
        <v>2710</v>
      </c>
      <c r="V80" s="910" t="e">
        <f>VLOOKUP(U80,'Segment Abs.'!$B:$C,2,0)</f>
        <v>#N/A</v>
      </c>
      <c r="W80" s="914">
        <f t="shared" si="0"/>
        <v>24</v>
      </c>
      <c r="X80" s="915">
        <f t="shared" si="1"/>
        <v>0</v>
      </c>
      <c r="Y80" s="132"/>
      <c r="Z80" s="132"/>
    </row>
    <row r="81" spans="1:26" x14ac:dyDescent="0.3">
      <c r="A81" s="909" t="s">
        <v>2711</v>
      </c>
      <c r="B81" s="910" t="e">
        <f>VLOOKUP(A81,'Segment Abs.'!$B:$C,2,0)</f>
        <v>#N/A</v>
      </c>
      <c r="C81" s="909" t="s">
        <v>2712</v>
      </c>
      <c r="D81" s="910" t="e">
        <f>VLOOKUP(C81,'Segment Abs.'!$B:$C,2,0)</f>
        <v>#N/A</v>
      </c>
      <c r="E81" s="909" t="s">
        <v>2713</v>
      </c>
      <c r="F81" s="910" t="e">
        <f>VLOOKUP(E81,'Segment Abs.'!$B:$C,2,0)</f>
        <v>#N/A</v>
      </c>
      <c r="G81" s="909" t="s">
        <v>2714</v>
      </c>
      <c r="H81" s="910" t="e">
        <f>VLOOKUP(G81,'Segment Abs.'!$B:$C,2,0)</f>
        <v>#N/A</v>
      </c>
      <c r="I81" s="909" t="s">
        <v>2715</v>
      </c>
      <c r="J81" s="910" t="e">
        <f>VLOOKUP(I81,'Segment Abs.'!$B:$C,2,0)</f>
        <v>#N/A</v>
      </c>
      <c r="K81" s="909" t="s">
        <v>2716</v>
      </c>
      <c r="L81" s="910" t="e">
        <f>VLOOKUP(K81,'Segment Abs.'!$B:$C,2,0)</f>
        <v>#N/A</v>
      </c>
      <c r="M81" s="909" t="s">
        <v>2717</v>
      </c>
      <c r="N81" s="910" t="e">
        <f>VLOOKUP(M81,'Segment Abs.'!$B:$C,2,0)</f>
        <v>#N/A</v>
      </c>
      <c r="O81" s="909" t="s">
        <v>2718</v>
      </c>
      <c r="P81" s="910" t="e">
        <f>VLOOKUP(O81,'Segment Abs.'!$B:$C,2,0)</f>
        <v>#N/A</v>
      </c>
      <c r="Q81" s="909" t="s">
        <v>2719</v>
      </c>
      <c r="R81" s="910" t="e">
        <f>VLOOKUP(Q81,'Segment Abs.'!$B:$C,2,0)</f>
        <v>#N/A</v>
      </c>
      <c r="S81" s="909" t="s">
        <v>2720</v>
      </c>
      <c r="T81" s="910" t="e">
        <f>VLOOKUP(S81,'Segment Abs.'!$B:$C,2,0)</f>
        <v>#N/A</v>
      </c>
      <c r="U81" s="909" t="s">
        <v>2721</v>
      </c>
      <c r="V81" s="910" t="e">
        <f>VLOOKUP(U81,'Segment Abs.'!$B:$C,2,0)</f>
        <v>#N/A</v>
      </c>
      <c r="W81" s="914">
        <f t="shared" si="0"/>
        <v>24</v>
      </c>
      <c r="X81" s="915">
        <f t="shared" si="1"/>
        <v>0</v>
      </c>
      <c r="Y81" s="132"/>
      <c r="Z81" s="132"/>
    </row>
    <row r="82" spans="1:26" x14ac:dyDescent="0.3">
      <c r="A82" s="909" t="s">
        <v>2722</v>
      </c>
      <c r="B82" s="910" t="e">
        <f>VLOOKUP(A82,'Segment Abs.'!$B:$C,2,0)</f>
        <v>#N/A</v>
      </c>
      <c r="C82" s="909" t="s">
        <v>2723</v>
      </c>
      <c r="D82" s="910" t="e">
        <f>VLOOKUP(C82,'Segment Abs.'!$B:$C,2,0)</f>
        <v>#N/A</v>
      </c>
      <c r="E82" s="909" t="s">
        <v>2724</v>
      </c>
      <c r="F82" s="910" t="e">
        <f>VLOOKUP(E82,'Segment Abs.'!$B:$C,2,0)</f>
        <v>#N/A</v>
      </c>
      <c r="G82" s="909" t="s">
        <v>2725</v>
      </c>
      <c r="H82" s="910" t="e">
        <f>VLOOKUP(G82,'Segment Abs.'!$B:$C,2,0)</f>
        <v>#N/A</v>
      </c>
      <c r="I82" s="909" t="s">
        <v>2726</v>
      </c>
      <c r="J82" s="910" t="e">
        <f>VLOOKUP(I82,'Segment Abs.'!$B:$C,2,0)</f>
        <v>#N/A</v>
      </c>
      <c r="K82" s="909" t="s">
        <v>2727</v>
      </c>
      <c r="L82" s="910" t="e">
        <f>VLOOKUP(K82,'Segment Abs.'!$B:$C,2,0)</f>
        <v>#N/A</v>
      </c>
      <c r="M82" s="909" t="s">
        <v>2728</v>
      </c>
      <c r="N82" s="910" t="e">
        <f>VLOOKUP(M82,'Segment Abs.'!$B:$C,2,0)</f>
        <v>#N/A</v>
      </c>
      <c r="O82" s="909" t="s">
        <v>2729</v>
      </c>
      <c r="P82" s="910" t="e">
        <f>VLOOKUP(O82,'Segment Abs.'!$B:$C,2,0)</f>
        <v>#N/A</v>
      </c>
      <c r="Q82" s="909" t="s">
        <v>2730</v>
      </c>
      <c r="R82" s="910" t="e">
        <f>VLOOKUP(Q82,'Segment Abs.'!$B:$C,2,0)</f>
        <v>#N/A</v>
      </c>
      <c r="S82" s="909" t="s">
        <v>2731</v>
      </c>
      <c r="T82" s="910" t="e">
        <f>VLOOKUP(S82,'Segment Abs.'!$B:$C,2,0)</f>
        <v>#N/A</v>
      </c>
      <c r="U82" s="909" t="s">
        <v>2732</v>
      </c>
      <c r="V82" s="910" t="e">
        <f>VLOOKUP(U82,'Segment Abs.'!$B:$C,2,0)</f>
        <v>#N/A</v>
      </c>
      <c r="W82" s="914">
        <f t="shared" si="0"/>
        <v>24</v>
      </c>
      <c r="X82" s="915">
        <f t="shared" si="1"/>
        <v>0</v>
      </c>
      <c r="Y82" s="132"/>
      <c r="Z82" s="132"/>
    </row>
    <row r="83" spans="1:26" x14ac:dyDescent="0.3">
      <c r="A83" s="909" t="s">
        <v>2733</v>
      </c>
      <c r="B83" s="910" t="e">
        <f>VLOOKUP(A83,'Segment Abs.'!$B:$C,2,0)</f>
        <v>#N/A</v>
      </c>
      <c r="C83" s="909" t="s">
        <v>2734</v>
      </c>
      <c r="D83" s="910" t="e">
        <f>VLOOKUP(C83,'Segment Abs.'!$B:$C,2,0)</f>
        <v>#N/A</v>
      </c>
      <c r="E83" s="909" t="s">
        <v>2735</v>
      </c>
      <c r="F83" s="910" t="e">
        <f>VLOOKUP(E83,'Segment Abs.'!$B:$C,2,0)</f>
        <v>#N/A</v>
      </c>
      <c r="G83" s="909" t="s">
        <v>2736</v>
      </c>
      <c r="H83" s="910" t="e">
        <f>VLOOKUP(G83,'Segment Abs.'!$B:$C,2,0)</f>
        <v>#N/A</v>
      </c>
      <c r="I83" s="909" t="s">
        <v>2737</v>
      </c>
      <c r="J83" s="910" t="e">
        <f>VLOOKUP(I83,'Segment Abs.'!$B:$C,2,0)</f>
        <v>#N/A</v>
      </c>
      <c r="K83" s="909" t="s">
        <v>2738</v>
      </c>
      <c r="L83" s="910" t="e">
        <f>VLOOKUP(K83,'Segment Abs.'!$B:$C,2,0)</f>
        <v>#N/A</v>
      </c>
      <c r="M83" s="909" t="s">
        <v>2739</v>
      </c>
      <c r="N83" s="910" t="e">
        <f>VLOOKUP(M83,'Segment Abs.'!$B:$C,2,0)</f>
        <v>#N/A</v>
      </c>
      <c r="O83" s="909" t="s">
        <v>2740</v>
      </c>
      <c r="P83" s="910" t="e">
        <f>VLOOKUP(O83,'Segment Abs.'!$B:$C,2,0)</f>
        <v>#N/A</v>
      </c>
      <c r="Q83" s="909" t="s">
        <v>2741</v>
      </c>
      <c r="R83" s="910" t="e">
        <f>VLOOKUP(Q83,'Segment Abs.'!$B:$C,2,0)</f>
        <v>#N/A</v>
      </c>
      <c r="S83" s="909" t="s">
        <v>2742</v>
      </c>
      <c r="T83" s="910" t="e">
        <f>VLOOKUP(S83,'Segment Abs.'!$B:$C,2,0)</f>
        <v>#N/A</v>
      </c>
      <c r="U83" s="909" t="s">
        <v>2743</v>
      </c>
      <c r="V83" s="910" t="e">
        <f>VLOOKUP(U83,'Segment Abs.'!$B:$C,2,0)</f>
        <v>#N/A</v>
      </c>
      <c r="W83" s="914">
        <f t="shared" si="0"/>
        <v>24</v>
      </c>
      <c r="X83" s="915">
        <f t="shared" si="1"/>
        <v>0</v>
      </c>
      <c r="Y83" s="132"/>
      <c r="Z83" s="132"/>
    </row>
    <row r="84" spans="1:26" x14ac:dyDescent="0.3">
      <c r="A84" s="909" t="s">
        <v>2744</v>
      </c>
      <c r="B84" s="910" t="e">
        <f>VLOOKUP(A84,'Segment Abs.'!$B:$C,2,0)</f>
        <v>#N/A</v>
      </c>
      <c r="C84" s="909" t="s">
        <v>2745</v>
      </c>
      <c r="D84" s="910" t="e">
        <f>VLOOKUP(C84,'Segment Abs.'!$B:$C,2,0)</f>
        <v>#N/A</v>
      </c>
      <c r="E84" s="909" t="s">
        <v>2746</v>
      </c>
      <c r="F84" s="910" t="e">
        <f>VLOOKUP(E84,'Segment Abs.'!$B:$C,2,0)</f>
        <v>#N/A</v>
      </c>
      <c r="G84" s="909" t="s">
        <v>2747</v>
      </c>
      <c r="H84" s="910" t="e">
        <f>VLOOKUP(G84,'Segment Abs.'!$B:$C,2,0)</f>
        <v>#N/A</v>
      </c>
      <c r="I84" s="909" t="s">
        <v>2748</v>
      </c>
      <c r="J84" s="910" t="e">
        <f>VLOOKUP(I84,'Segment Abs.'!$B:$C,2,0)</f>
        <v>#N/A</v>
      </c>
      <c r="K84" s="909" t="s">
        <v>2749</v>
      </c>
      <c r="L84" s="910" t="e">
        <f>VLOOKUP(K84,'Segment Abs.'!$B:$C,2,0)</f>
        <v>#N/A</v>
      </c>
      <c r="M84" s="909" t="s">
        <v>2750</v>
      </c>
      <c r="N84" s="910" t="e">
        <f>VLOOKUP(M84,'Segment Abs.'!$B:$C,2,0)</f>
        <v>#N/A</v>
      </c>
      <c r="O84" s="909" t="s">
        <v>2751</v>
      </c>
      <c r="P84" s="910" t="e">
        <f>VLOOKUP(O84,'Segment Abs.'!$B:$C,2,0)</f>
        <v>#N/A</v>
      </c>
      <c r="Q84" s="909" t="s">
        <v>2752</v>
      </c>
      <c r="R84" s="910" t="e">
        <f>VLOOKUP(Q84,'Segment Abs.'!$B:$C,2,0)</f>
        <v>#N/A</v>
      </c>
      <c r="S84" s="909" t="s">
        <v>2753</v>
      </c>
      <c r="T84" s="910" t="e">
        <f>VLOOKUP(S84,'Segment Abs.'!$B:$C,2,0)</f>
        <v>#N/A</v>
      </c>
      <c r="U84" s="909" t="s">
        <v>2754</v>
      </c>
      <c r="V84" s="910" t="e">
        <f>VLOOKUP(U84,'Segment Abs.'!$B:$C,2,0)</f>
        <v>#N/A</v>
      </c>
      <c r="W84" s="914">
        <f t="shared" si="0"/>
        <v>24</v>
      </c>
      <c r="X84" s="915">
        <f t="shared" si="1"/>
        <v>0</v>
      </c>
      <c r="Y84" s="132"/>
      <c r="Z84" s="132"/>
    </row>
    <row r="85" spans="1:26" x14ac:dyDescent="0.3">
      <c r="A85" s="909" t="s">
        <v>2755</v>
      </c>
      <c r="B85" s="910" t="e">
        <f>VLOOKUP(A85,'Segment Abs.'!$B:$C,2,0)</f>
        <v>#N/A</v>
      </c>
      <c r="C85" s="909" t="s">
        <v>2756</v>
      </c>
      <c r="D85" s="910" t="e">
        <f>VLOOKUP(C85,'Segment Abs.'!$B:$C,2,0)</f>
        <v>#N/A</v>
      </c>
      <c r="E85" s="909" t="s">
        <v>2757</v>
      </c>
      <c r="F85" s="910" t="e">
        <f>VLOOKUP(E85,'Segment Abs.'!$B:$C,2,0)</f>
        <v>#N/A</v>
      </c>
      <c r="G85" s="909" t="s">
        <v>2758</v>
      </c>
      <c r="H85" s="910" t="e">
        <f>VLOOKUP(G85,'Segment Abs.'!$B:$C,2,0)</f>
        <v>#N/A</v>
      </c>
      <c r="I85" s="909" t="s">
        <v>2759</v>
      </c>
      <c r="J85" s="910" t="e">
        <f>VLOOKUP(I85,'Segment Abs.'!$B:$C,2,0)</f>
        <v>#N/A</v>
      </c>
      <c r="K85" s="909" t="s">
        <v>2760</v>
      </c>
      <c r="L85" s="910" t="e">
        <f>VLOOKUP(K85,'Segment Abs.'!$B:$C,2,0)</f>
        <v>#N/A</v>
      </c>
      <c r="M85" s="909" t="s">
        <v>2761</v>
      </c>
      <c r="N85" s="910" t="e">
        <f>VLOOKUP(M85,'Segment Abs.'!$B:$C,2,0)</f>
        <v>#N/A</v>
      </c>
      <c r="O85" s="909" t="s">
        <v>2762</v>
      </c>
      <c r="P85" s="910" t="e">
        <f>VLOOKUP(O85,'Segment Abs.'!$B:$C,2,0)</f>
        <v>#N/A</v>
      </c>
      <c r="Q85" s="909" t="s">
        <v>2763</v>
      </c>
      <c r="R85" s="910" t="e">
        <f>VLOOKUP(Q85,'Segment Abs.'!$B:$C,2,0)</f>
        <v>#N/A</v>
      </c>
      <c r="S85" s="909" t="s">
        <v>2764</v>
      </c>
      <c r="T85" s="910" t="e">
        <f>VLOOKUP(S85,'Segment Abs.'!$B:$C,2,0)</f>
        <v>#N/A</v>
      </c>
      <c r="U85" s="909" t="s">
        <v>2765</v>
      </c>
      <c r="V85" s="910" t="e">
        <f>VLOOKUP(U85,'Segment Abs.'!$B:$C,2,0)</f>
        <v>#N/A</v>
      </c>
      <c r="W85" s="914">
        <f t="shared" si="0"/>
        <v>24</v>
      </c>
      <c r="X85" s="915">
        <f t="shared" si="1"/>
        <v>0</v>
      </c>
      <c r="Y85" s="132"/>
      <c r="Z85" s="132"/>
    </row>
    <row r="86" spans="1:26" x14ac:dyDescent="0.3">
      <c r="A86" s="909" t="s">
        <v>2766</v>
      </c>
      <c r="B86" s="910" t="e">
        <f>VLOOKUP(A86,'Segment Abs.'!$B:$C,2,0)</f>
        <v>#N/A</v>
      </c>
      <c r="C86" s="909" t="s">
        <v>2767</v>
      </c>
      <c r="D86" s="910" t="e">
        <f>VLOOKUP(C86,'Segment Abs.'!$B:$C,2,0)</f>
        <v>#N/A</v>
      </c>
      <c r="E86" s="909" t="s">
        <v>2768</v>
      </c>
      <c r="F86" s="910" t="e">
        <f>VLOOKUP(E86,'Segment Abs.'!$B:$C,2,0)</f>
        <v>#N/A</v>
      </c>
      <c r="G86" s="909" t="s">
        <v>2769</v>
      </c>
      <c r="H86" s="910" t="e">
        <f>VLOOKUP(G86,'Segment Abs.'!$B:$C,2,0)</f>
        <v>#N/A</v>
      </c>
      <c r="I86" s="909" t="s">
        <v>2770</v>
      </c>
      <c r="J86" s="910" t="e">
        <f>VLOOKUP(I86,'Segment Abs.'!$B:$C,2,0)</f>
        <v>#N/A</v>
      </c>
      <c r="K86" s="909" t="s">
        <v>2771</v>
      </c>
      <c r="L86" s="910" t="e">
        <f>VLOOKUP(K86,'Segment Abs.'!$B:$C,2,0)</f>
        <v>#N/A</v>
      </c>
      <c r="M86" s="909" t="s">
        <v>2772</v>
      </c>
      <c r="N86" s="910" t="e">
        <f>VLOOKUP(M86,'Segment Abs.'!$B:$C,2,0)</f>
        <v>#N/A</v>
      </c>
      <c r="O86" s="909" t="s">
        <v>2773</v>
      </c>
      <c r="P86" s="910" t="e">
        <f>VLOOKUP(O86,'Segment Abs.'!$B:$C,2,0)</f>
        <v>#N/A</v>
      </c>
      <c r="Q86" s="909" t="s">
        <v>2774</v>
      </c>
      <c r="R86" s="910" t="e">
        <f>VLOOKUP(Q86,'Segment Abs.'!$B:$C,2,0)</f>
        <v>#N/A</v>
      </c>
      <c r="S86" s="909" t="s">
        <v>2775</v>
      </c>
      <c r="T86" s="910" t="e">
        <f>VLOOKUP(S86,'Segment Abs.'!$B:$C,2,0)</f>
        <v>#N/A</v>
      </c>
      <c r="U86" s="909" t="s">
        <v>2776</v>
      </c>
      <c r="V86" s="910" t="e">
        <f>VLOOKUP(U86,'Segment Abs.'!$B:$C,2,0)</f>
        <v>#N/A</v>
      </c>
      <c r="W86" s="914">
        <f t="shared" si="0"/>
        <v>24</v>
      </c>
      <c r="X86" s="915">
        <f t="shared" si="1"/>
        <v>0</v>
      </c>
      <c r="Y86" s="132"/>
      <c r="Z86" s="132"/>
    </row>
    <row r="87" spans="1:26" x14ac:dyDescent="0.3">
      <c r="A87" s="909" t="s">
        <v>2777</v>
      </c>
      <c r="B87" s="910" t="e">
        <f>VLOOKUP(A87,'Segment Abs.'!$B:$C,2,0)</f>
        <v>#N/A</v>
      </c>
      <c r="C87" s="909" t="s">
        <v>2778</v>
      </c>
      <c r="D87" s="910" t="e">
        <f>VLOOKUP(C87,'Segment Abs.'!$B:$C,2,0)</f>
        <v>#N/A</v>
      </c>
      <c r="E87" s="909" t="s">
        <v>2779</v>
      </c>
      <c r="F87" s="910" t="e">
        <f>VLOOKUP(E87,'Segment Abs.'!$B:$C,2,0)</f>
        <v>#N/A</v>
      </c>
      <c r="G87" s="909" t="s">
        <v>2780</v>
      </c>
      <c r="H87" s="910" t="e">
        <f>VLOOKUP(G87,'Segment Abs.'!$B:$C,2,0)</f>
        <v>#N/A</v>
      </c>
      <c r="I87" s="909" t="s">
        <v>2781</v>
      </c>
      <c r="J87" s="910" t="e">
        <f>VLOOKUP(I87,'Segment Abs.'!$B:$C,2,0)</f>
        <v>#N/A</v>
      </c>
      <c r="K87" s="909" t="s">
        <v>2782</v>
      </c>
      <c r="L87" s="910" t="e">
        <f>VLOOKUP(K87,'Segment Abs.'!$B:$C,2,0)</f>
        <v>#N/A</v>
      </c>
      <c r="M87" s="909" t="s">
        <v>2783</v>
      </c>
      <c r="N87" s="910" t="e">
        <f>VLOOKUP(M87,'Segment Abs.'!$B:$C,2,0)</f>
        <v>#N/A</v>
      </c>
      <c r="O87" s="909" t="s">
        <v>2784</v>
      </c>
      <c r="P87" s="910" t="e">
        <f>VLOOKUP(O87,'Segment Abs.'!$B:$C,2,0)</f>
        <v>#N/A</v>
      </c>
      <c r="Q87" s="909" t="s">
        <v>2785</v>
      </c>
      <c r="R87" s="910" t="e">
        <f>VLOOKUP(Q87,'Segment Abs.'!$B:$C,2,0)</f>
        <v>#N/A</v>
      </c>
      <c r="S87" s="909" t="s">
        <v>2786</v>
      </c>
      <c r="T87" s="910" t="e">
        <f>VLOOKUP(S87,'Segment Abs.'!$B:$C,2,0)</f>
        <v>#N/A</v>
      </c>
      <c r="U87" s="909" t="s">
        <v>2787</v>
      </c>
      <c r="V87" s="910" t="e">
        <f>VLOOKUP(U87,'Segment Abs.'!$B:$C,2,0)</f>
        <v>#N/A</v>
      </c>
      <c r="W87" s="914">
        <f t="shared" si="0"/>
        <v>24</v>
      </c>
      <c r="X87" s="915">
        <f t="shared" si="1"/>
        <v>0</v>
      </c>
      <c r="Y87" s="132"/>
      <c r="Z87" s="132"/>
    </row>
    <row r="88" spans="1:26" x14ac:dyDescent="0.3">
      <c r="A88" s="909" t="s">
        <v>2788</v>
      </c>
      <c r="B88" s="910" t="e">
        <f>VLOOKUP(A88,'Segment Abs.'!$B:$C,2,0)</f>
        <v>#N/A</v>
      </c>
      <c r="C88" s="909" t="s">
        <v>2789</v>
      </c>
      <c r="D88" s="910" t="e">
        <f>VLOOKUP(C88,'Segment Abs.'!$B:$C,2,0)</f>
        <v>#N/A</v>
      </c>
      <c r="E88" s="909" t="s">
        <v>2790</v>
      </c>
      <c r="F88" s="910" t="e">
        <f>VLOOKUP(E88,'Segment Abs.'!$B:$C,2,0)</f>
        <v>#N/A</v>
      </c>
      <c r="G88" s="909" t="s">
        <v>2791</v>
      </c>
      <c r="H88" s="910" t="e">
        <f>VLOOKUP(G88,'Segment Abs.'!$B:$C,2,0)</f>
        <v>#N/A</v>
      </c>
      <c r="I88" s="909" t="s">
        <v>2792</v>
      </c>
      <c r="J88" s="910" t="e">
        <f>VLOOKUP(I88,'Segment Abs.'!$B:$C,2,0)</f>
        <v>#N/A</v>
      </c>
      <c r="K88" s="909" t="s">
        <v>2793</v>
      </c>
      <c r="L88" s="910" t="e">
        <f>VLOOKUP(K88,'Segment Abs.'!$B:$C,2,0)</f>
        <v>#N/A</v>
      </c>
      <c r="M88" s="909" t="s">
        <v>2794</v>
      </c>
      <c r="N88" s="910" t="e">
        <f>VLOOKUP(M88,'Segment Abs.'!$B:$C,2,0)</f>
        <v>#N/A</v>
      </c>
      <c r="O88" s="909" t="s">
        <v>2795</v>
      </c>
      <c r="P88" s="910" t="e">
        <f>VLOOKUP(O88,'Segment Abs.'!$B:$C,2,0)</f>
        <v>#N/A</v>
      </c>
      <c r="Q88" s="909" t="s">
        <v>2796</v>
      </c>
      <c r="R88" s="910" t="e">
        <f>VLOOKUP(Q88,'Segment Abs.'!$B:$C,2,0)</f>
        <v>#N/A</v>
      </c>
      <c r="S88" s="909" t="s">
        <v>2797</v>
      </c>
      <c r="T88" s="910" t="e">
        <f>VLOOKUP(S88,'Segment Abs.'!$B:$C,2,0)</f>
        <v>#N/A</v>
      </c>
      <c r="U88" s="909" t="s">
        <v>2798</v>
      </c>
      <c r="V88" s="910" t="e">
        <f>VLOOKUP(U88,'Segment Abs.'!$B:$C,2,0)</f>
        <v>#N/A</v>
      </c>
      <c r="W88" s="914">
        <f t="shared" si="0"/>
        <v>24</v>
      </c>
      <c r="X88" s="915">
        <f t="shared" si="1"/>
        <v>0</v>
      </c>
      <c r="Y88" s="132"/>
      <c r="Z88" s="132"/>
    </row>
    <row r="89" spans="1:26" x14ac:dyDescent="0.3">
      <c r="A89" s="909" t="s">
        <v>2799</v>
      </c>
      <c r="B89" s="910" t="e">
        <f>VLOOKUP(A89,'Segment Abs.'!$B:$C,2,0)</f>
        <v>#N/A</v>
      </c>
      <c r="C89" s="909" t="s">
        <v>2800</v>
      </c>
      <c r="D89" s="910" t="e">
        <f>VLOOKUP(C89,'Segment Abs.'!$B:$C,2,0)</f>
        <v>#N/A</v>
      </c>
      <c r="E89" s="909" t="s">
        <v>2801</v>
      </c>
      <c r="F89" s="910" t="e">
        <f>VLOOKUP(E89,'Segment Abs.'!$B:$C,2,0)</f>
        <v>#N/A</v>
      </c>
      <c r="G89" s="909" t="s">
        <v>2802</v>
      </c>
      <c r="H89" s="910" t="e">
        <f>VLOOKUP(G89,'Segment Abs.'!$B:$C,2,0)</f>
        <v>#N/A</v>
      </c>
      <c r="I89" s="909" t="s">
        <v>2803</v>
      </c>
      <c r="J89" s="910" t="e">
        <f>VLOOKUP(I89,'Segment Abs.'!$B:$C,2,0)</f>
        <v>#N/A</v>
      </c>
      <c r="K89" s="909" t="s">
        <v>2804</v>
      </c>
      <c r="L89" s="910" t="e">
        <f>VLOOKUP(K89,'Segment Abs.'!$B:$C,2,0)</f>
        <v>#N/A</v>
      </c>
      <c r="M89" s="909" t="s">
        <v>2805</v>
      </c>
      <c r="N89" s="910" t="e">
        <f>VLOOKUP(M89,'Segment Abs.'!$B:$C,2,0)</f>
        <v>#N/A</v>
      </c>
      <c r="O89" s="909" t="s">
        <v>2806</v>
      </c>
      <c r="P89" s="910" t="e">
        <f>VLOOKUP(O89,'Segment Abs.'!$B:$C,2,0)</f>
        <v>#N/A</v>
      </c>
      <c r="Q89" s="909" t="s">
        <v>2807</v>
      </c>
      <c r="R89" s="910" t="e">
        <f>VLOOKUP(Q89,'Segment Abs.'!$B:$C,2,0)</f>
        <v>#N/A</v>
      </c>
      <c r="S89" s="909" t="s">
        <v>2808</v>
      </c>
      <c r="T89" s="910" t="e">
        <f>VLOOKUP(S89,'Segment Abs.'!$B:$C,2,0)</f>
        <v>#N/A</v>
      </c>
      <c r="U89" s="909" t="s">
        <v>2809</v>
      </c>
      <c r="V89" s="910" t="e">
        <f>VLOOKUP(U89,'Segment Abs.'!$B:$C,2,0)</f>
        <v>#N/A</v>
      </c>
      <c r="W89" s="914">
        <f t="shared" si="0"/>
        <v>24</v>
      </c>
      <c r="X89" s="915">
        <f t="shared" si="1"/>
        <v>0</v>
      </c>
      <c r="Y89" s="132"/>
      <c r="Z89" s="132"/>
    </row>
    <row r="90" spans="1:26" x14ac:dyDescent="0.3">
      <c r="A90" s="909" t="s">
        <v>2810</v>
      </c>
      <c r="B90" s="910" t="e">
        <f>VLOOKUP(A90,'Segment Abs.'!$B:$C,2,0)</f>
        <v>#N/A</v>
      </c>
      <c r="C90" s="909" t="s">
        <v>2811</v>
      </c>
      <c r="D90" s="910" t="e">
        <f>VLOOKUP(C90,'Segment Abs.'!$B:$C,2,0)</f>
        <v>#N/A</v>
      </c>
      <c r="E90" s="909" t="s">
        <v>2812</v>
      </c>
      <c r="F90" s="910" t="e">
        <f>VLOOKUP(E90,'Segment Abs.'!$B:$C,2,0)</f>
        <v>#N/A</v>
      </c>
      <c r="G90" s="909" t="s">
        <v>2813</v>
      </c>
      <c r="H90" s="910" t="e">
        <f>VLOOKUP(G90,'Segment Abs.'!$B:$C,2,0)</f>
        <v>#N/A</v>
      </c>
      <c r="I90" s="909" t="s">
        <v>2814</v>
      </c>
      <c r="J90" s="910" t="e">
        <f>VLOOKUP(I90,'Segment Abs.'!$B:$C,2,0)</f>
        <v>#N/A</v>
      </c>
      <c r="K90" s="909" t="s">
        <v>2815</v>
      </c>
      <c r="L90" s="910" t="e">
        <f>VLOOKUP(K90,'Segment Abs.'!$B:$C,2,0)</f>
        <v>#N/A</v>
      </c>
      <c r="M90" s="909" t="s">
        <v>2816</v>
      </c>
      <c r="N90" s="910" t="e">
        <f>VLOOKUP(M90,'Segment Abs.'!$B:$C,2,0)</f>
        <v>#N/A</v>
      </c>
      <c r="O90" s="909" t="s">
        <v>2817</v>
      </c>
      <c r="P90" s="910" t="e">
        <f>VLOOKUP(O90,'Segment Abs.'!$B:$C,2,0)</f>
        <v>#N/A</v>
      </c>
      <c r="Q90" s="909" t="s">
        <v>2818</v>
      </c>
      <c r="R90" s="910" t="e">
        <f>VLOOKUP(Q90,'Segment Abs.'!$B:$C,2,0)</f>
        <v>#N/A</v>
      </c>
      <c r="S90" s="909" t="s">
        <v>2819</v>
      </c>
      <c r="T90" s="910" t="e">
        <f>VLOOKUP(S90,'Segment Abs.'!$B:$C,2,0)</f>
        <v>#N/A</v>
      </c>
      <c r="U90" s="909" t="s">
        <v>2820</v>
      </c>
      <c r="V90" s="910" t="e">
        <f>VLOOKUP(U90,'Segment Abs.'!$B:$C,2,0)</f>
        <v>#N/A</v>
      </c>
      <c r="W90" s="914">
        <f t="shared" si="0"/>
        <v>24</v>
      </c>
      <c r="X90" s="915">
        <f t="shared" si="1"/>
        <v>0</v>
      </c>
      <c r="Y90" s="132"/>
      <c r="Z90" s="132"/>
    </row>
    <row r="91" spans="1:26" x14ac:dyDescent="0.3">
      <c r="A91" s="909" t="s">
        <v>2821</v>
      </c>
      <c r="B91" s="910" t="e">
        <f>VLOOKUP(A91,'Segment Abs.'!$B:$C,2,0)</f>
        <v>#N/A</v>
      </c>
      <c r="C91" s="909" t="s">
        <v>2822</v>
      </c>
      <c r="D91" s="910" t="e">
        <f>VLOOKUP(C91,'Segment Abs.'!$B:$C,2,0)</f>
        <v>#N/A</v>
      </c>
      <c r="E91" s="909" t="s">
        <v>2823</v>
      </c>
      <c r="F91" s="910" t="e">
        <f>VLOOKUP(E91,'Segment Abs.'!$B:$C,2,0)</f>
        <v>#N/A</v>
      </c>
      <c r="G91" s="909" t="s">
        <v>2824</v>
      </c>
      <c r="H91" s="910" t="e">
        <f>VLOOKUP(G91,'Segment Abs.'!$B:$C,2,0)</f>
        <v>#N/A</v>
      </c>
      <c r="I91" s="909" t="s">
        <v>2825</v>
      </c>
      <c r="J91" s="910" t="e">
        <f>VLOOKUP(I91,'Segment Abs.'!$B:$C,2,0)</f>
        <v>#N/A</v>
      </c>
      <c r="K91" s="909" t="s">
        <v>2826</v>
      </c>
      <c r="L91" s="910" t="e">
        <f>VLOOKUP(K91,'Segment Abs.'!$B:$C,2,0)</f>
        <v>#N/A</v>
      </c>
      <c r="M91" s="909" t="s">
        <v>2827</v>
      </c>
      <c r="N91" s="910" t="e">
        <f>VLOOKUP(M91,'Segment Abs.'!$B:$C,2,0)</f>
        <v>#N/A</v>
      </c>
      <c r="O91" s="909" t="s">
        <v>2828</v>
      </c>
      <c r="P91" s="910" t="e">
        <f>VLOOKUP(O91,'Segment Abs.'!$B:$C,2,0)</f>
        <v>#N/A</v>
      </c>
      <c r="Q91" s="909" t="s">
        <v>2829</v>
      </c>
      <c r="R91" s="910" t="e">
        <f>VLOOKUP(Q91,'Segment Abs.'!$B:$C,2,0)</f>
        <v>#N/A</v>
      </c>
      <c r="S91" s="909" t="s">
        <v>2830</v>
      </c>
      <c r="T91" s="910" t="e">
        <f>VLOOKUP(S91,'Segment Abs.'!$B:$C,2,0)</f>
        <v>#N/A</v>
      </c>
      <c r="U91" s="909" t="s">
        <v>2831</v>
      </c>
      <c r="V91" s="910" t="e">
        <f>VLOOKUP(U91,'Segment Abs.'!$B:$C,2,0)</f>
        <v>#N/A</v>
      </c>
      <c r="W91" s="914">
        <f t="shared" si="0"/>
        <v>24</v>
      </c>
      <c r="X91" s="915">
        <f t="shared" si="1"/>
        <v>0</v>
      </c>
      <c r="Y91" s="132"/>
      <c r="Z91" s="132"/>
    </row>
    <row r="92" spans="1:26" x14ac:dyDescent="0.3">
      <c r="A92" s="909" t="s">
        <v>2832</v>
      </c>
      <c r="B92" s="910" t="e">
        <f>VLOOKUP(A92,'Segment Abs.'!$B:$C,2,0)</f>
        <v>#N/A</v>
      </c>
      <c r="C92" s="909" t="s">
        <v>2833</v>
      </c>
      <c r="D92" s="910" t="e">
        <f>VLOOKUP(C92,'Segment Abs.'!$B:$C,2,0)</f>
        <v>#N/A</v>
      </c>
      <c r="E92" s="909" t="s">
        <v>2834</v>
      </c>
      <c r="F92" s="910" t="e">
        <f>VLOOKUP(E92,'Segment Abs.'!$B:$C,2,0)</f>
        <v>#N/A</v>
      </c>
      <c r="G92" s="909" t="s">
        <v>2835</v>
      </c>
      <c r="H92" s="910" t="e">
        <f>VLOOKUP(G92,'Segment Abs.'!$B:$C,2,0)</f>
        <v>#N/A</v>
      </c>
      <c r="I92" s="909" t="s">
        <v>2836</v>
      </c>
      <c r="J92" s="910" t="e">
        <f>VLOOKUP(I92,'Segment Abs.'!$B:$C,2,0)</f>
        <v>#N/A</v>
      </c>
      <c r="K92" s="909" t="s">
        <v>2837</v>
      </c>
      <c r="L92" s="910" t="e">
        <f>VLOOKUP(K92,'Segment Abs.'!$B:$C,2,0)</f>
        <v>#N/A</v>
      </c>
      <c r="M92" s="909" t="s">
        <v>2838</v>
      </c>
      <c r="N92" s="910" t="e">
        <f>VLOOKUP(M92,'Segment Abs.'!$B:$C,2,0)</f>
        <v>#N/A</v>
      </c>
      <c r="O92" s="909" t="s">
        <v>2839</v>
      </c>
      <c r="P92" s="910" t="e">
        <f>VLOOKUP(O92,'Segment Abs.'!$B:$C,2,0)</f>
        <v>#N/A</v>
      </c>
      <c r="Q92" s="909" t="s">
        <v>2840</v>
      </c>
      <c r="R92" s="910" t="e">
        <f>VLOOKUP(Q92,'Segment Abs.'!$B:$C,2,0)</f>
        <v>#N/A</v>
      </c>
      <c r="S92" s="909" t="s">
        <v>2841</v>
      </c>
      <c r="T92" s="910" t="e">
        <f>VLOOKUP(S92,'Segment Abs.'!$B:$C,2,0)</f>
        <v>#N/A</v>
      </c>
      <c r="U92" s="909" t="s">
        <v>2842</v>
      </c>
      <c r="V92" s="910" t="e">
        <f>VLOOKUP(U92,'Segment Abs.'!$B:$C,2,0)</f>
        <v>#N/A</v>
      </c>
      <c r="W92" s="914">
        <f t="shared" si="0"/>
        <v>24</v>
      </c>
      <c r="X92" s="915">
        <f t="shared" si="1"/>
        <v>0</v>
      </c>
      <c r="Y92" s="132"/>
      <c r="Z92" s="132"/>
    </row>
    <row r="93" spans="1:26" x14ac:dyDescent="0.3">
      <c r="A93" s="909" t="s">
        <v>2843</v>
      </c>
      <c r="B93" s="910" t="e">
        <f>VLOOKUP(A93,'Segment Abs.'!$B:$C,2,0)</f>
        <v>#N/A</v>
      </c>
      <c r="C93" s="909" t="s">
        <v>2844</v>
      </c>
      <c r="D93" s="910" t="e">
        <f>VLOOKUP(C93,'Segment Abs.'!$B:$C,2,0)</f>
        <v>#N/A</v>
      </c>
      <c r="E93" s="909" t="s">
        <v>2845</v>
      </c>
      <c r="F93" s="910" t="e">
        <f>VLOOKUP(E93,'Segment Abs.'!$B:$C,2,0)</f>
        <v>#N/A</v>
      </c>
      <c r="G93" s="909" t="s">
        <v>2846</v>
      </c>
      <c r="H93" s="910" t="e">
        <f>VLOOKUP(G93,'Segment Abs.'!$B:$C,2,0)</f>
        <v>#N/A</v>
      </c>
      <c r="I93" s="909" t="s">
        <v>2847</v>
      </c>
      <c r="J93" s="910" t="e">
        <f>VLOOKUP(I93,'Segment Abs.'!$B:$C,2,0)</f>
        <v>#N/A</v>
      </c>
      <c r="K93" s="909" t="s">
        <v>2848</v>
      </c>
      <c r="L93" s="910" t="e">
        <f>VLOOKUP(K93,'Segment Abs.'!$B:$C,2,0)</f>
        <v>#N/A</v>
      </c>
      <c r="M93" s="909" t="s">
        <v>2849</v>
      </c>
      <c r="N93" s="910" t="e">
        <f>VLOOKUP(M93,'Segment Abs.'!$B:$C,2,0)</f>
        <v>#N/A</v>
      </c>
      <c r="O93" s="909" t="s">
        <v>2850</v>
      </c>
      <c r="P93" s="910" t="e">
        <f>VLOOKUP(O93,'Segment Abs.'!$B:$C,2,0)</f>
        <v>#N/A</v>
      </c>
      <c r="Q93" s="909" t="s">
        <v>2851</v>
      </c>
      <c r="R93" s="910" t="e">
        <f>VLOOKUP(Q93,'Segment Abs.'!$B:$C,2,0)</f>
        <v>#N/A</v>
      </c>
      <c r="S93" s="909" t="s">
        <v>2852</v>
      </c>
      <c r="T93" s="910" t="e">
        <f>VLOOKUP(S93,'Segment Abs.'!$B:$C,2,0)</f>
        <v>#N/A</v>
      </c>
      <c r="U93" s="909" t="s">
        <v>2853</v>
      </c>
      <c r="V93" s="910" t="e">
        <f>VLOOKUP(U93,'Segment Abs.'!$B:$C,2,0)</f>
        <v>#N/A</v>
      </c>
      <c r="W93" s="914">
        <f t="shared" si="0"/>
        <v>24</v>
      </c>
      <c r="X93" s="915">
        <f t="shared" si="1"/>
        <v>0</v>
      </c>
      <c r="Y93" s="132"/>
      <c r="Z93" s="132"/>
    </row>
    <row r="94" spans="1:26" x14ac:dyDescent="0.3">
      <c r="A94" s="909" t="s">
        <v>2854</v>
      </c>
      <c r="B94" s="910" t="e">
        <f>VLOOKUP(A94,'Segment Abs.'!$B:$C,2,0)</f>
        <v>#N/A</v>
      </c>
      <c r="C94" s="909" t="s">
        <v>2855</v>
      </c>
      <c r="D94" s="910" t="e">
        <f>VLOOKUP(C94,'Segment Abs.'!$B:$C,2,0)</f>
        <v>#N/A</v>
      </c>
      <c r="E94" s="909" t="s">
        <v>2856</v>
      </c>
      <c r="F94" s="910" t="e">
        <f>VLOOKUP(E94,'Segment Abs.'!$B:$C,2,0)</f>
        <v>#N/A</v>
      </c>
      <c r="G94" s="909" t="s">
        <v>2857</v>
      </c>
      <c r="H94" s="910" t="e">
        <f>VLOOKUP(G94,'Segment Abs.'!$B:$C,2,0)</f>
        <v>#N/A</v>
      </c>
      <c r="I94" s="909" t="s">
        <v>2858</v>
      </c>
      <c r="J94" s="910" t="e">
        <f>VLOOKUP(I94,'Segment Abs.'!$B:$C,2,0)</f>
        <v>#N/A</v>
      </c>
      <c r="K94" s="909" t="s">
        <v>2859</v>
      </c>
      <c r="L94" s="910" t="e">
        <f>VLOOKUP(K94,'Segment Abs.'!$B:$C,2,0)</f>
        <v>#N/A</v>
      </c>
      <c r="M94" s="909" t="s">
        <v>2860</v>
      </c>
      <c r="N94" s="910" t="e">
        <f>VLOOKUP(M94,'Segment Abs.'!$B:$C,2,0)</f>
        <v>#N/A</v>
      </c>
      <c r="O94" s="909" t="s">
        <v>2861</v>
      </c>
      <c r="P94" s="910" t="e">
        <f>VLOOKUP(O94,'Segment Abs.'!$B:$C,2,0)</f>
        <v>#N/A</v>
      </c>
      <c r="Q94" s="909" t="s">
        <v>2862</v>
      </c>
      <c r="R94" s="910" t="e">
        <f>VLOOKUP(Q94,'Segment Abs.'!$B:$C,2,0)</f>
        <v>#N/A</v>
      </c>
      <c r="S94" s="909" t="s">
        <v>2863</v>
      </c>
      <c r="T94" s="910" t="e">
        <f>VLOOKUP(S94,'Segment Abs.'!$B:$C,2,0)</f>
        <v>#N/A</v>
      </c>
      <c r="U94" s="909" t="s">
        <v>2864</v>
      </c>
      <c r="V94" s="910" t="e">
        <f>VLOOKUP(U94,'Segment Abs.'!$B:$C,2,0)</f>
        <v>#N/A</v>
      </c>
      <c r="W94" s="914">
        <f t="shared" si="0"/>
        <v>24</v>
      </c>
      <c r="X94" s="915">
        <f t="shared" si="1"/>
        <v>0</v>
      </c>
      <c r="Y94" s="132"/>
      <c r="Z94" s="132"/>
    </row>
    <row r="95" spans="1:26" x14ac:dyDescent="0.3">
      <c r="A95" s="909" t="s">
        <v>2865</v>
      </c>
      <c r="B95" s="910" t="e">
        <f>VLOOKUP(A95,'Segment Abs.'!$B:$C,2,0)</f>
        <v>#N/A</v>
      </c>
      <c r="C95" s="909" t="s">
        <v>2866</v>
      </c>
      <c r="D95" s="910" t="e">
        <f>VLOOKUP(C95,'Segment Abs.'!$B:$C,2,0)</f>
        <v>#N/A</v>
      </c>
      <c r="E95" s="909" t="s">
        <v>2867</v>
      </c>
      <c r="F95" s="910" t="e">
        <f>VLOOKUP(E95,'Segment Abs.'!$B:$C,2,0)</f>
        <v>#N/A</v>
      </c>
      <c r="G95" s="909" t="s">
        <v>2868</v>
      </c>
      <c r="H95" s="910" t="e">
        <f>VLOOKUP(G95,'Segment Abs.'!$B:$C,2,0)</f>
        <v>#N/A</v>
      </c>
      <c r="I95" s="909" t="s">
        <v>2869</v>
      </c>
      <c r="J95" s="910" t="e">
        <f>VLOOKUP(I95,'Segment Abs.'!$B:$C,2,0)</f>
        <v>#N/A</v>
      </c>
      <c r="K95" s="909" t="s">
        <v>2870</v>
      </c>
      <c r="L95" s="910" t="e">
        <f>VLOOKUP(K95,'Segment Abs.'!$B:$C,2,0)</f>
        <v>#N/A</v>
      </c>
      <c r="M95" s="909" t="s">
        <v>2871</v>
      </c>
      <c r="N95" s="910" t="e">
        <f>VLOOKUP(M95,'Segment Abs.'!$B:$C,2,0)</f>
        <v>#N/A</v>
      </c>
      <c r="O95" s="909" t="s">
        <v>2872</v>
      </c>
      <c r="P95" s="910" t="e">
        <f>VLOOKUP(O95,'Segment Abs.'!$B:$C,2,0)</f>
        <v>#N/A</v>
      </c>
      <c r="Q95" s="909" t="s">
        <v>2873</v>
      </c>
      <c r="R95" s="910" t="e">
        <f>VLOOKUP(Q95,'Segment Abs.'!$B:$C,2,0)</f>
        <v>#N/A</v>
      </c>
      <c r="S95" s="909" t="s">
        <v>2874</v>
      </c>
      <c r="T95" s="910" t="e">
        <f>VLOOKUP(S95,'Segment Abs.'!$B:$C,2,0)</f>
        <v>#N/A</v>
      </c>
      <c r="U95" s="909" t="s">
        <v>2875</v>
      </c>
      <c r="V95" s="910" t="e">
        <f>VLOOKUP(U95,'Segment Abs.'!$B:$C,2,0)</f>
        <v>#N/A</v>
      </c>
      <c r="W95" s="914">
        <f t="shared" si="0"/>
        <v>24</v>
      </c>
      <c r="X95" s="915">
        <f t="shared" si="1"/>
        <v>0</v>
      </c>
      <c r="Y95" s="132"/>
      <c r="Z95" s="132"/>
    </row>
    <row r="96" spans="1:26" x14ac:dyDescent="0.3">
      <c r="A96" s="909" t="s">
        <v>2876</v>
      </c>
      <c r="B96" s="910" t="e">
        <f>VLOOKUP(A96,'Segment Abs.'!$B:$C,2,0)</f>
        <v>#N/A</v>
      </c>
      <c r="C96" s="909" t="s">
        <v>2877</v>
      </c>
      <c r="D96" s="910" t="e">
        <f>VLOOKUP(C96,'Segment Abs.'!$B:$C,2,0)</f>
        <v>#N/A</v>
      </c>
      <c r="E96" s="909" t="s">
        <v>2878</v>
      </c>
      <c r="F96" s="910" t="e">
        <f>VLOOKUP(E96,'Segment Abs.'!$B:$C,2,0)</f>
        <v>#N/A</v>
      </c>
      <c r="G96" s="909" t="s">
        <v>2879</v>
      </c>
      <c r="H96" s="910" t="e">
        <f>VLOOKUP(G96,'Segment Abs.'!$B:$C,2,0)</f>
        <v>#N/A</v>
      </c>
      <c r="I96" s="909" t="s">
        <v>2880</v>
      </c>
      <c r="J96" s="910" t="e">
        <f>VLOOKUP(I96,'Segment Abs.'!$B:$C,2,0)</f>
        <v>#N/A</v>
      </c>
      <c r="K96" s="909" t="s">
        <v>2881</v>
      </c>
      <c r="L96" s="910" t="e">
        <f>VLOOKUP(K96,'Segment Abs.'!$B:$C,2,0)</f>
        <v>#N/A</v>
      </c>
      <c r="M96" s="909" t="s">
        <v>2882</v>
      </c>
      <c r="N96" s="910" t="e">
        <f>VLOOKUP(M96,'Segment Abs.'!$B:$C,2,0)</f>
        <v>#N/A</v>
      </c>
      <c r="O96" s="909" t="s">
        <v>2883</v>
      </c>
      <c r="P96" s="910" t="e">
        <f>VLOOKUP(O96,'Segment Abs.'!$B:$C,2,0)</f>
        <v>#N/A</v>
      </c>
      <c r="Q96" s="909" t="s">
        <v>2884</v>
      </c>
      <c r="R96" s="910" t="e">
        <f>VLOOKUP(Q96,'Segment Abs.'!$B:$C,2,0)</f>
        <v>#N/A</v>
      </c>
      <c r="S96" s="909" t="s">
        <v>2885</v>
      </c>
      <c r="T96" s="910" t="e">
        <f>VLOOKUP(S96,'Segment Abs.'!$B:$C,2,0)</f>
        <v>#N/A</v>
      </c>
      <c r="U96" s="909" t="s">
        <v>2886</v>
      </c>
      <c r="V96" s="910" t="e">
        <f>VLOOKUP(U96,'Segment Abs.'!$B:$C,2,0)</f>
        <v>#N/A</v>
      </c>
      <c r="W96" s="914">
        <f t="shared" si="0"/>
        <v>24</v>
      </c>
      <c r="X96" s="915">
        <f t="shared" ref="X96:X115" si="2">COUNT(V96,T96,R96,P96,N96,L96,J96,H96,F96,D96,B96,Z37,X37,V37,T37,R37,P37,L37,J37,H37,F37,D37,B37)</f>
        <v>0</v>
      </c>
      <c r="Y96" s="132"/>
      <c r="Z96" s="132"/>
    </row>
    <row r="97" spans="1:26" x14ac:dyDescent="0.3">
      <c r="A97" s="909" t="s">
        <v>2887</v>
      </c>
      <c r="B97" s="910" t="e">
        <f>VLOOKUP(A97,'Segment Abs.'!$B:$C,2,0)</f>
        <v>#N/A</v>
      </c>
      <c r="C97" s="909" t="s">
        <v>2888</v>
      </c>
      <c r="D97" s="910" t="e">
        <f>VLOOKUP(C97,'Segment Abs.'!$B:$C,2,0)</f>
        <v>#N/A</v>
      </c>
      <c r="E97" s="909" t="s">
        <v>2889</v>
      </c>
      <c r="F97" s="910" t="e">
        <f>VLOOKUP(E97,'Segment Abs.'!$B:$C,2,0)</f>
        <v>#N/A</v>
      </c>
      <c r="G97" s="909" t="s">
        <v>2890</v>
      </c>
      <c r="H97" s="910" t="e">
        <f>VLOOKUP(G97,'Segment Abs.'!$B:$C,2,0)</f>
        <v>#N/A</v>
      </c>
      <c r="I97" s="909" t="s">
        <v>2891</v>
      </c>
      <c r="J97" s="910" t="e">
        <f>VLOOKUP(I97,'Segment Abs.'!$B:$C,2,0)</f>
        <v>#N/A</v>
      </c>
      <c r="K97" s="909" t="s">
        <v>2892</v>
      </c>
      <c r="L97" s="910" t="e">
        <f>VLOOKUP(K97,'Segment Abs.'!$B:$C,2,0)</f>
        <v>#N/A</v>
      </c>
      <c r="M97" s="909" t="s">
        <v>2893</v>
      </c>
      <c r="N97" s="910" t="e">
        <f>VLOOKUP(M97,'Segment Abs.'!$B:$C,2,0)</f>
        <v>#N/A</v>
      </c>
      <c r="O97" s="909" t="s">
        <v>2894</v>
      </c>
      <c r="P97" s="910" t="e">
        <f>VLOOKUP(O97,'Segment Abs.'!$B:$C,2,0)</f>
        <v>#N/A</v>
      </c>
      <c r="Q97" s="909" t="s">
        <v>2895</v>
      </c>
      <c r="R97" s="910" t="e">
        <f>VLOOKUP(Q97,'Segment Abs.'!$B:$C,2,0)</f>
        <v>#N/A</v>
      </c>
      <c r="S97" s="909" t="s">
        <v>2896</v>
      </c>
      <c r="T97" s="910" t="e">
        <f>VLOOKUP(S97,'Segment Abs.'!$B:$C,2,0)</f>
        <v>#N/A</v>
      </c>
      <c r="U97" s="909" t="s">
        <v>2897</v>
      </c>
      <c r="V97" s="910" t="e">
        <f>VLOOKUP(U97,'Segment Abs.'!$B:$C,2,0)</f>
        <v>#N/A</v>
      </c>
      <c r="W97" s="914">
        <f t="shared" si="0"/>
        <v>24</v>
      </c>
      <c r="X97" s="915">
        <f t="shared" si="2"/>
        <v>0</v>
      </c>
      <c r="Y97" s="132"/>
      <c r="Z97" s="132"/>
    </row>
    <row r="98" spans="1:26" x14ac:dyDescent="0.3">
      <c r="A98" s="909" t="s">
        <v>2898</v>
      </c>
      <c r="B98" s="910" t="e">
        <f>VLOOKUP(A98,'Segment Abs.'!$B:$C,2,0)</f>
        <v>#N/A</v>
      </c>
      <c r="C98" s="909" t="s">
        <v>2899</v>
      </c>
      <c r="D98" s="910" t="e">
        <f>VLOOKUP(C98,'Segment Abs.'!$B:$C,2,0)</f>
        <v>#N/A</v>
      </c>
      <c r="E98" s="909" t="s">
        <v>2900</v>
      </c>
      <c r="F98" s="910" t="e">
        <f>VLOOKUP(E98,'Segment Abs.'!$B:$C,2,0)</f>
        <v>#N/A</v>
      </c>
      <c r="G98" s="909" t="s">
        <v>2901</v>
      </c>
      <c r="H98" s="910" t="e">
        <f>VLOOKUP(G98,'Segment Abs.'!$B:$C,2,0)</f>
        <v>#N/A</v>
      </c>
      <c r="I98" s="909" t="s">
        <v>2902</v>
      </c>
      <c r="J98" s="910" t="e">
        <f>VLOOKUP(I98,'Segment Abs.'!$B:$C,2,0)</f>
        <v>#N/A</v>
      </c>
      <c r="K98" s="909" t="s">
        <v>2903</v>
      </c>
      <c r="L98" s="910" t="e">
        <f>VLOOKUP(K98,'Segment Abs.'!$B:$C,2,0)</f>
        <v>#N/A</v>
      </c>
      <c r="M98" s="909" t="s">
        <v>2904</v>
      </c>
      <c r="N98" s="910" t="e">
        <f>VLOOKUP(M98,'Segment Abs.'!$B:$C,2,0)</f>
        <v>#N/A</v>
      </c>
      <c r="O98" s="909" t="s">
        <v>2905</v>
      </c>
      <c r="P98" s="910" t="e">
        <f>VLOOKUP(O98,'Segment Abs.'!$B:$C,2,0)</f>
        <v>#N/A</v>
      </c>
      <c r="Q98" s="909" t="s">
        <v>2906</v>
      </c>
      <c r="R98" s="910" t="e">
        <f>VLOOKUP(Q98,'Segment Abs.'!$B:$C,2,0)</f>
        <v>#N/A</v>
      </c>
      <c r="S98" s="909" t="s">
        <v>2907</v>
      </c>
      <c r="T98" s="910" t="e">
        <f>VLOOKUP(S98,'Segment Abs.'!$B:$C,2,0)</f>
        <v>#N/A</v>
      </c>
      <c r="U98" s="909" t="s">
        <v>2908</v>
      </c>
      <c r="V98" s="910" t="e">
        <f>VLOOKUP(U98,'Segment Abs.'!$B:$C,2,0)</f>
        <v>#N/A</v>
      </c>
      <c r="W98" s="914">
        <f t="shared" si="0"/>
        <v>24</v>
      </c>
      <c r="X98" s="915">
        <f t="shared" si="2"/>
        <v>0</v>
      </c>
      <c r="Y98" s="132"/>
      <c r="Z98" s="132"/>
    </row>
    <row r="99" spans="1:26" x14ac:dyDescent="0.3">
      <c r="A99" s="909" t="s">
        <v>2909</v>
      </c>
      <c r="B99" s="910" t="e">
        <f>VLOOKUP(A99,'Segment Abs.'!$B:$C,2,0)</f>
        <v>#N/A</v>
      </c>
      <c r="C99" s="909" t="s">
        <v>2910</v>
      </c>
      <c r="D99" s="910" t="e">
        <f>VLOOKUP(C99,'Segment Abs.'!$B:$C,2,0)</f>
        <v>#N/A</v>
      </c>
      <c r="E99" s="909" t="s">
        <v>2911</v>
      </c>
      <c r="F99" s="910" t="e">
        <f>VLOOKUP(E99,'Segment Abs.'!$B:$C,2,0)</f>
        <v>#N/A</v>
      </c>
      <c r="G99" s="909" t="s">
        <v>2912</v>
      </c>
      <c r="H99" s="910" t="e">
        <f>VLOOKUP(G99,'Segment Abs.'!$B:$C,2,0)</f>
        <v>#N/A</v>
      </c>
      <c r="I99" s="909" t="s">
        <v>2913</v>
      </c>
      <c r="J99" s="910" t="e">
        <f>VLOOKUP(I99,'Segment Abs.'!$B:$C,2,0)</f>
        <v>#N/A</v>
      </c>
      <c r="K99" s="909" t="s">
        <v>2914</v>
      </c>
      <c r="L99" s="910" t="e">
        <f>VLOOKUP(K99,'Segment Abs.'!$B:$C,2,0)</f>
        <v>#N/A</v>
      </c>
      <c r="M99" s="909" t="s">
        <v>2915</v>
      </c>
      <c r="N99" s="910" t="e">
        <f>VLOOKUP(M99,'Segment Abs.'!$B:$C,2,0)</f>
        <v>#N/A</v>
      </c>
      <c r="O99" s="909" t="s">
        <v>2916</v>
      </c>
      <c r="P99" s="910" t="e">
        <f>VLOOKUP(O99,'Segment Abs.'!$B:$C,2,0)</f>
        <v>#N/A</v>
      </c>
      <c r="Q99" s="909" t="s">
        <v>2917</v>
      </c>
      <c r="R99" s="910" t="e">
        <f>VLOOKUP(Q99,'Segment Abs.'!$B:$C,2,0)</f>
        <v>#N/A</v>
      </c>
      <c r="S99" s="909" t="s">
        <v>2918</v>
      </c>
      <c r="T99" s="910" t="e">
        <f>VLOOKUP(S99,'Segment Abs.'!$B:$C,2,0)</f>
        <v>#N/A</v>
      </c>
      <c r="U99" s="909" t="s">
        <v>2919</v>
      </c>
      <c r="V99" s="910" t="e">
        <f>VLOOKUP(U99,'Segment Abs.'!$B:$C,2,0)</f>
        <v>#N/A</v>
      </c>
      <c r="W99" s="914">
        <f t="shared" si="0"/>
        <v>24</v>
      </c>
      <c r="X99" s="915">
        <f t="shared" si="2"/>
        <v>0</v>
      </c>
      <c r="Y99" s="132"/>
      <c r="Z99" s="132"/>
    </row>
    <row r="100" spans="1:26" x14ac:dyDescent="0.3">
      <c r="A100" s="909" t="s">
        <v>2920</v>
      </c>
      <c r="B100" s="910" t="e">
        <f>VLOOKUP(A100,'Segment Abs.'!$B:$C,2,0)</f>
        <v>#N/A</v>
      </c>
      <c r="C100" s="909" t="s">
        <v>2921</v>
      </c>
      <c r="D100" s="910" t="e">
        <f>VLOOKUP(C100,'Segment Abs.'!$B:$C,2,0)</f>
        <v>#N/A</v>
      </c>
      <c r="E100" s="909" t="s">
        <v>2922</v>
      </c>
      <c r="F100" s="910" t="e">
        <f>VLOOKUP(E100,'Segment Abs.'!$B:$C,2,0)</f>
        <v>#N/A</v>
      </c>
      <c r="G100" s="909" t="s">
        <v>2923</v>
      </c>
      <c r="H100" s="910" t="e">
        <f>VLOOKUP(G100,'Segment Abs.'!$B:$C,2,0)</f>
        <v>#N/A</v>
      </c>
      <c r="I100" s="909" t="s">
        <v>2924</v>
      </c>
      <c r="J100" s="910" t="e">
        <f>VLOOKUP(I100,'Segment Abs.'!$B:$C,2,0)</f>
        <v>#N/A</v>
      </c>
      <c r="K100" s="909" t="s">
        <v>2925</v>
      </c>
      <c r="L100" s="910" t="e">
        <f>VLOOKUP(K100,'Segment Abs.'!$B:$C,2,0)</f>
        <v>#N/A</v>
      </c>
      <c r="M100" s="909" t="s">
        <v>2926</v>
      </c>
      <c r="N100" s="910" t="e">
        <f>VLOOKUP(M100,'Segment Abs.'!$B:$C,2,0)</f>
        <v>#N/A</v>
      </c>
      <c r="O100" s="909" t="s">
        <v>2927</v>
      </c>
      <c r="P100" s="910" t="e">
        <f>VLOOKUP(O100,'Segment Abs.'!$B:$C,2,0)</f>
        <v>#N/A</v>
      </c>
      <c r="Q100" s="909" t="s">
        <v>2928</v>
      </c>
      <c r="R100" s="910" t="e">
        <f>VLOOKUP(Q100,'Segment Abs.'!$B:$C,2,0)</f>
        <v>#N/A</v>
      </c>
      <c r="S100" s="909" t="s">
        <v>2929</v>
      </c>
      <c r="T100" s="910" t="e">
        <f>VLOOKUP(S100,'Segment Abs.'!$B:$C,2,0)</f>
        <v>#N/A</v>
      </c>
      <c r="U100" s="909" t="s">
        <v>2930</v>
      </c>
      <c r="V100" s="910" t="e">
        <f>VLOOKUP(U100,'Segment Abs.'!$B:$C,2,0)</f>
        <v>#N/A</v>
      </c>
      <c r="W100" s="914">
        <f t="shared" si="0"/>
        <v>24</v>
      </c>
      <c r="X100" s="915">
        <f t="shared" si="2"/>
        <v>0</v>
      </c>
      <c r="Y100" s="132"/>
      <c r="Z100" s="132"/>
    </row>
    <row r="101" spans="1:26" x14ac:dyDescent="0.3">
      <c r="A101" s="909" t="s">
        <v>2931</v>
      </c>
      <c r="B101" s="910" t="e">
        <f>VLOOKUP(A101,'Segment Abs.'!$B:$C,2,0)</f>
        <v>#N/A</v>
      </c>
      <c r="C101" s="909" t="s">
        <v>2932</v>
      </c>
      <c r="D101" s="910" t="e">
        <f>VLOOKUP(C101,'Segment Abs.'!$B:$C,2,0)</f>
        <v>#N/A</v>
      </c>
      <c r="E101" s="909" t="s">
        <v>2933</v>
      </c>
      <c r="F101" s="910" t="e">
        <f>VLOOKUP(E101,'Segment Abs.'!$B:$C,2,0)</f>
        <v>#N/A</v>
      </c>
      <c r="G101" s="909" t="s">
        <v>2934</v>
      </c>
      <c r="H101" s="910" t="e">
        <f>VLOOKUP(G101,'Segment Abs.'!$B:$C,2,0)</f>
        <v>#N/A</v>
      </c>
      <c r="I101" s="909" t="s">
        <v>2935</v>
      </c>
      <c r="J101" s="910" t="e">
        <f>VLOOKUP(I101,'Segment Abs.'!$B:$C,2,0)</f>
        <v>#N/A</v>
      </c>
      <c r="K101" s="909" t="s">
        <v>2936</v>
      </c>
      <c r="L101" s="910" t="e">
        <f>VLOOKUP(K101,'Segment Abs.'!$B:$C,2,0)</f>
        <v>#N/A</v>
      </c>
      <c r="M101" s="909" t="s">
        <v>2937</v>
      </c>
      <c r="N101" s="910" t="e">
        <f>VLOOKUP(M101,'Segment Abs.'!$B:$C,2,0)</f>
        <v>#N/A</v>
      </c>
      <c r="O101" s="909" t="s">
        <v>2938</v>
      </c>
      <c r="P101" s="910" t="e">
        <f>VLOOKUP(O101,'Segment Abs.'!$B:$C,2,0)</f>
        <v>#N/A</v>
      </c>
      <c r="Q101" s="909" t="s">
        <v>2939</v>
      </c>
      <c r="R101" s="910" t="e">
        <f>VLOOKUP(Q101,'Segment Abs.'!$B:$C,2,0)</f>
        <v>#N/A</v>
      </c>
      <c r="S101" s="909" t="s">
        <v>2940</v>
      </c>
      <c r="T101" s="910" t="e">
        <f>VLOOKUP(S101,'Segment Abs.'!$B:$C,2,0)</f>
        <v>#N/A</v>
      </c>
      <c r="U101" s="909" t="s">
        <v>2941</v>
      </c>
      <c r="V101" s="910" t="e">
        <f>VLOOKUP(U101,'Segment Abs.'!$B:$C,2,0)</f>
        <v>#N/A</v>
      </c>
      <c r="W101" s="914">
        <f t="shared" si="0"/>
        <v>24</v>
      </c>
      <c r="X101" s="915">
        <f t="shared" si="2"/>
        <v>0</v>
      </c>
      <c r="Y101" s="132"/>
      <c r="Z101" s="132"/>
    </row>
    <row r="102" spans="1:26" x14ac:dyDescent="0.3">
      <c r="A102" s="909" t="s">
        <v>2942</v>
      </c>
      <c r="B102" s="910" t="e">
        <f>VLOOKUP(A102,'Segment Abs.'!$B:$C,2,0)</f>
        <v>#N/A</v>
      </c>
      <c r="C102" s="909" t="s">
        <v>2943</v>
      </c>
      <c r="D102" s="910" t="e">
        <f>VLOOKUP(C102,'Segment Abs.'!$B:$C,2,0)</f>
        <v>#N/A</v>
      </c>
      <c r="E102" s="909" t="s">
        <v>2944</v>
      </c>
      <c r="F102" s="910" t="e">
        <f>VLOOKUP(E102,'Segment Abs.'!$B:$C,2,0)</f>
        <v>#N/A</v>
      </c>
      <c r="G102" s="909" t="s">
        <v>2945</v>
      </c>
      <c r="H102" s="910" t="e">
        <f>VLOOKUP(G102,'Segment Abs.'!$B:$C,2,0)</f>
        <v>#N/A</v>
      </c>
      <c r="I102" s="909" t="s">
        <v>2946</v>
      </c>
      <c r="J102" s="910" t="e">
        <f>VLOOKUP(I102,'Segment Abs.'!$B:$C,2,0)</f>
        <v>#N/A</v>
      </c>
      <c r="K102" s="909" t="s">
        <v>2947</v>
      </c>
      <c r="L102" s="910" t="e">
        <f>VLOOKUP(K102,'Segment Abs.'!$B:$C,2,0)</f>
        <v>#N/A</v>
      </c>
      <c r="M102" s="909" t="s">
        <v>2948</v>
      </c>
      <c r="N102" s="910" t="e">
        <f>VLOOKUP(M102,'Segment Abs.'!$B:$C,2,0)</f>
        <v>#N/A</v>
      </c>
      <c r="O102" s="909" t="s">
        <v>2949</v>
      </c>
      <c r="P102" s="910" t="e">
        <f>VLOOKUP(O102,'Segment Abs.'!$B:$C,2,0)</f>
        <v>#N/A</v>
      </c>
      <c r="Q102" s="909" t="s">
        <v>2950</v>
      </c>
      <c r="R102" s="910" t="e">
        <f>VLOOKUP(Q102,'Segment Abs.'!$B:$C,2,0)</f>
        <v>#N/A</v>
      </c>
      <c r="S102" s="909" t="s">
        <v>2951</v>
      </c>
      <c r="T102" s="910" t="e">
        <f>VLOOKUP(S102,'Segment Abs.'!$B:$C,2,0)</f>
        <v>#N/A</v>
      </c>
      <c r="U102" s="909" t="s">
        <v>2952</v>
      </c>
      <c r="V102" s="910" t="e">
        <f>VLOOKUP(U102,'Segment Abs.'!$B:$C,2,0)</f>
        <v>#N/A</v>
      </c>
      <c r="W102" s="914">
        <f t="shared" si="0"/>
        <v>24</v>
      </c>
      <c r="X102" s="915">
        <f t="shared" si="2"/>
        <v>0</v>
      </c>
      <c r="Y102" s="132"/>
      <c r="Z102" s="132"/>
    </row>
    <row r="103" spans="1:26" x14ac:dyDescent="0.3">
      <c r="A103" s="909" t="s">
        <v>2953</v>
      </c>
      <c r="B103" s="910" t="e">
        <f>VLOOKUP(A103,'Segment Abs.'!$B:$C,2,0)</f>
        <v>#N/A</v>
      </c>
      <c r="C103" s="909" t="s">
        <v>2954</v>
      </c>
      <c r="D103" s="910" t="e">
        <f>VLOOKUP(C103,'Segment Abs.'!$B:$C,2,0)</f>
        <v>#N/A</v>
      </c>
      <c r="E103" s="909" t="s">
        <v>2955</v>
      </c>
      <c r="F103" s="910" t="e">
        <f>VLOOKUP(E103,'Segment Abs.'!$B:$C,2,0)</f>
        <v>#N/A</v>
      </c>
      <c r="G103" s="909" t="s">
        <v>2956</v>
      </c>
      <c r="H103" s="910" t="e">
        <f>VLOOKUP(G103,'Segment Abs.'!$B:$C,2,0)</f>
        <v>#N/A</v>
      </c>
      <c r="I103" s="909" t="s">
        <v>2957</v>
      </c>
      <c r="J103" s="910" t="e">
        <f>VLOOKUP(I103,'Segment Abs.'!$B:$C,2,0)</f>
        <v>#N/A</v>
      </c>
      <c r="K103" s="909" t="s">
        <v>2958</v>
      </c>
      <c r="L103" s="910" t="e">
        <f>VLOOKUP(K103,'Segment Abs.'!$B:$C,2,0)</f>
        <v>#N/A</v>
      </c>
      <c r="M103" s="909" t="s">
        <v>2959</v>
      </c>
      <c r="N103" s="910" t="e">
        <f>VLOOKUP(M103,'Segment Abs.'!$B:$C,2,0)</f>
        <v>#N/A</v>
      </c>
      <c r="O103" s="909" t="s">
        <v>2960</v>
      </c>
      <c r="P103" s="910" t="e">
        <f>VLOOKUP(O103,'Segment Abs.'!$B:$C,2,0)</f>
        <v>#N/A</v>
      </c>
      <c r="Q103" s="909" t="s">
        <v>2961</v>
      </c>
      <c r="R103" s="910" t="e">
        <f>VLOOKUP(Q103,'Segment Abs.'!$B:$C,2,0)</f>
        <v>#N/A</v>
      </c>
      <c r="S103" s="909" t="s">
        <v>2962</v>
      </c>
      <c r="T103" s="910" t="e">
        <f>VLOOKUP(S103,'Segment Abs.'!$B:$C,2,0)</f>
        <v>#N/A</v>
      </c>
      <c r="U103" s="909" t="s">
        <v>2963</v>
      </c>
      <c r="V103" s="910" t="e">
        <f>VLOOKUP(U103,'Segment Abs.'!$B:$C,2,0)</f>
        <v>#N/A</v>
      </c>
      <c r="W103" s="914">
        <f t="shared" si="0"/>
        <v>24</v>
      </c>
      <c r="X103" s="915">
        <f t="shared" si="2"/>
        <v>0</v>
      </c>
      <c r="Y103" s="132"/>
      <c r="Z103" s="132"/>
    </row>
    <row r="104" spans="1:26" x14ac:dyDescent="0.3">
      <c r="A104" s="909" t="s">
        <v>2964</v>
      </c>
      <c r="B104" s="910" t="e">
        <f>VLOOKUP(A104,'Segment Abs.'!$B:$C,2,0)</f>
        <v>#N/A</v>
      </c>
      <c r="C104" s="909" t="s">
        <v>2965</v>
      </c>
      <c r="D104" s="910" t="e">
        <f>VLOOKUP(C104,'Segment Abs.'!$B:$C,2,0)</f>
        <v>#N/A</v>
      </c>
      <c r="E104" s="909" t="s">
        <v>2966</v>
      </c>
      <c r="F104" s="910" t="e">
        <f>VLOOKUP(E104,'Segment Abs.'!$B:$C,2,0)</f>
        <v>#N/A</v>
      </c>
      <c r="G104" s="909" t="s">
        <v>2967</v>
      </c>
      <c r="H104" s="910" t="e">
        <f>VLOOKUP(G104,'Segment Abs.'!$B:$C,2,0)</f>
        <v>#N/A</v>
      </c>
      <c r="I104" s="909" t="s">
        <v>2968</v>
      </c>
      <c r="J104" s="910" t="e">
        <f>VLOOKUP(I104,'Segment Abs.'!$B:$C,2,0)</f>
        <v>#N/A</v>
      </c>
      <c r="K104" s="909" t="s">
        <v>2969</v>
      </c>
      <c r="L104" s="910" t="e">
        <f>VLOOKUP(K104,'Segment Abs.'!$B:$C,2,0)</f>
        <v>#N/A</v>
      </c>
      <c r="M104" s="909" t="s">
        <v>2970</v>
      </c>
      <c r="N104" s="910" t="e">
        <f>VLOOKUP(M104,'Segment Abs.'!$B:$C,2,0)</f>
        <v>#N/A</v>
      </c>
      <c r="O104" s="909" t="s">
        <v>2971</v>
      </c>
      <c r="P104" s="910" t="e">
        <f>VLOOKUP(O104,'Segment Abs.'!$B:$C,2,0)</f>
        <v>#N/A</v>
      </c>
      <c r="Q104" s="909" t="s">
        <v>2972</v>
      </c>
      <c r="R104" s="910" t="e">
        <f>VLOOKUP(Q104,'Segment Abs.'!$B:$C,2,0)</f>
        <v>#N/A</v>
      </c>
      <c r="S104" s="909" t="s">
        <v>2973</v>
      </c>
      <c r="T104" s="910" t="e">
        <f>VLOOKUP(S104,'Segment Abs.'!$B:$C,2,0)</f>
        <v>#N/A</v>
      </c>
      <c r="U104" s="909" t="s">
        <v>2974</v>
      </c>
      <c r="V104" s="910" t="e">
        <f>VLOOKUP(U104,'Segment Abs.'!$B:$C,2,0)</f>
        <v>#N/A</v>
      </c>
      <c r="W104" s="914">
        <f t="shared" si="0"/>
        <v>24</v>
      </c>
      <c r="X104" s="915">
        <f t="shared" si="2"/>
        <v>0</v>
      </c>
      <c r="Y104" s="132"/>
      <c r="Z104" s="132"/>
    </row>
    <row r="105" spans="1:26" x14ac:dyDescent="0.3">
      <c r="A105" s="909" t="s">
        <v>2975</v>
      </c>
      <c r="B105" s="910" t="e">
        <f>VLOOKUP(A105,'Segment Abs.'!$B:$C,2,0)</f>
        <v>#N/A</v>
      </c>
      <c r="C105" s="909" t="s">
        <v>2976</v>
      </c>
      <c r="D105" s="910" t="e">
        <f>VLOOKUP(C105,'Segment Abs.'!$B:$C,2,0)</f>
        <v>#N/A</v>
      </c>
      <c r="E105" s="909"/>
      <c r="F105" s="910"/>
      <c r="G105" s="909"/>
      <c r="H105" s="910"/>
      <c r="I105" s="909" t="s">
        <v>2977</v>
      </c>
      <c r="J105" s="910" t="e">
        <f>VLOOKUP(I105,'Segment Abs.'!$B:$C,2,0)</f>
        <v>#N/A</v>
      </c>
      <c r="K105" s="909" t="s">
        <v>2978</v>
      </c>
      <c r="L105" s="910" t="e">
        <f>VLOOKUP(K105,'Segment Abs.'!$B:$C,2,0)</f>
        <v>#N/A</v>
      </c>
      <c r="M105" s="909"/>
      <c r="N105" s="910"/>
      <c r="O105" s="909"/>
      <c r="P105" s="910"/>
      <c r="Q105" s="909" t="s">
        <v>2979</v>
      </c>
      <c r="R105" s="910" t="e">
        <f>VLOOKUP(Q105,'Segment Abs.'!$B:$C,2,0)</f>
        <v>#N/A</v>
      </c>
      <c r="S105" s="909" t="s">
        <v>2980</v>
      </c>
      <c r="T105" s="910" t="e">
        <f>VLOOKUP(S105,'Segment Abs.'!$B:$C,2,0)</f>
        <v>#N/A</v>
      </c>
      <c r="U105" s="909"/>
      <c r="V105" s="910"/>
      <c r="W105" s="914">
        <f t="shared" si="0"/>
        <v>12</v>
      </c>
      <c r="X105" s="915">
        <f t="shared" si="2"/>
        <v>0</v>
      </c>
      <c r="Y105" s="132"/>
      <c r="Z105" s="132"/>
    </row>
    <row r="106" spans="1:26" x14ac:dyDescent="0.3">
      <c r="A106" s="909" t="s">
        <v>2981</v>
      </c>
      <c r="B106" s="910" t="e">
        <f>VLOOKUP(A106,'Segment Abs.'!$B:$C,2,0)</f>
        <v>#N/A</v>
      </c>
      <c r="C106" s="909" t="s">
        <v>2982</v>
      </c>
      <c r="D106" s="910" t="e">
        <f>VLOOKUP(C106,'Segment Abs.'!$B:$C,2,0)</f>
        <v>#N/A</v>
      </c>
      <c r="E106" s="909"/>
      <c r="F106" s="910"/>
      <c r="G106" s="909"/>
      <c r="H106" s="910"/>
      <c r="I106" s="909" t="s">
        <v>2983</v>
      </c>
      <c r="J106" s="910" t="e">
        <f>VLOOKUP(I106,'Segment Abs.'!$B:$C,2,0)</f>
        <v>#N/A</v>
      </c>
      <c r="K106" s="909" t="s">
        <v>2984</v>
      </c>
      <c r="L106" s="910" t="e">
        <f>VLOOKUP(K106,'Segment Abs.'!$B:$C,2,0)</f>
        <v>#N/A</v>
      </c>
      <c r="M106" s="909"/>
      <c r="N106" s="910"/>
      <c r="O106" s="909"/>
      <c r="P106" s="910"/>
      <c r="Q106" s="909" t="s">
        <v>2985</v>
      </c>
      <c r="R106" s="910" t="e">
        <f>VLOOKUP(Q106,'Segment Abs.'!$B:$C,2,0)</f>
        <v>#N/A</v>
      </c>
      <c r="S106" s="909" t="s">
        <v>2986</v>
      </c>
      <c r="T106" s="910" t="e">
        <f>VLOOKUP(S106,'Segment Abs.'!$B:$C,2,0)</f>
        <v>#N/A</v>
      </c>
      <c r="U106" s="909"/>
      <c r="V106" s="910"/>
      <c r="W106" s="914">
        <f t="shared" si="0"/>
        <v>12</v>
      </c>
      <c r="X106" s="915">
        <f t="shared" si="2"/>
        <v>0</v>
      </c>
      <c r="Y106" s="132"/>
      <c r="Z106" s="132"/>
    </row>
    <row r="107" spans="1:26" x14ac:dyDescent="0.3">
      <c r="A107" s="909" t="s">
        <v>2987</v>
      </c>
      <c r="B107" s="910" t="e">
        <f>VLOOKUP(A107,'Segment Abs.'!$B:$C,2,0)</f>
        <v>#N/A</v>
      </c>
      <c r="C107" s="909" t="s">
        <v>2988</v>
      </c>
      <c r="D107" s="910" t="e">
        <f>VLOOKUP(C107,'Segment Abs.'!$B:$C,2,0)</f>
        <v>#N/A</v>
      </c>
      <c r="E107" s="909"/>
      <c r="F107" s="910"/>
      <c r="G107" s="909"/>
      <c r="H107" s="910"/>
      <c r="I107" s="909" t="s">
        <v>2989</v>
      </c>
      <c r="J107" s="910" t="e">
        <f>VLOOKUP(I107,'Segment Abs.'!$B:$C,2,0)</f>
        <v>#N/A</v>
      </c>
      <c r="K107" s="909" t="s">
        <v>2990</v>
      </c>
      <c r="L107" s="910" t="e">
        <f>VLOOKUP(K107,'Segment Abs.'!$B:$C,2,0)</f>
        <v>#N/A</v>
      </c>
      <c r="M107" s="909"/>
      <c r="N107" s="910"/>
      <c r="O107" s="909"/>
      <c r="P107" s="910"/>
      <c r="Q107" s="909" t="s">
        <v>2991</v>
      </c>
      <c r="R107" s="910" t="e">
        <f>VLOOKUP(Q107,'Segment Abs.'!$B:$C,2,0)</f>
        <v>#N/A</v>
      </c>
      <c r="S107" s="909" t="s">
        <v>2992</v>
      </c>
      <c r="T107" s="910" t="e">
        <f>VLOOKUP(S107,'Segment Abs.'!$B:$C,2,0)</f>
        <v>#N/A</v>
      </c>
      <c r="U107" s="909"/>
      <c r="V107" s="910"/>
      <c r="W107" s="914">
        <f t="shared" si="0"/>
        <v>12</v>
      </c>
      <c r="X107" s="915">
        <f t="shared" si="2"/>
        <v>0</v>
      </c>
      <c r="Y107" s="132"/>
      <c r="Z107" s="132"/>
    </row>
    <row r="108" spans="1:26" x14ac:dyDescent="0.3">
      <c r="A108" s="909" t="s">
        <v>2993</v>
      </c>
      <c r="B108" s="910" t="e">
        <f>VLOOKUP(A108,'Segment Abs.'!$B:$C,2,0)</f>
        <v>#N/A</v>
      </c>
      <c r="C108" s="909" t="s">
        <v>2994</v>
      </c>
      <c r="D108" s="910" t="e">
        <f>VLOOKUP(C108,'Segment Abs.'!$B:$C,2,0)</f>
        <v>#N/A</v>
      </c>
      <c r="E108" s="909"/>
      <c r="F108" s="910"/>
      <c r="G108" s="909"/>
      <c r="H108" s="910"/>
      <c r="I108" s="909" t="s">
        <v>2995</v>
      </c>
      <c r="J108" s="910" t="e">
        <f>VLOOKUP(I108,'Segment Abs.'!$B:$C,2,0)</f>
        <v>#N/A</v>
      </c>
      <c r="K108" s="909" t="s">
        <v>2996</v>
      </c>
      <c r="L108" s="910" t="e">
        <f>VLOOKUP(K108,'Segment Abs.'!$B:$C,2,0)</f>
        <v>#N/A</v>
      </c>
      <c r="M108" s="909"/>
      <c r="N108" s="910"/>
      <c r="O108" s="909"/>
      <c r="P108" s="910"/>
      <c r="Q108" s="909" t="s">
        <v>2997</v>
      </c>
      <c r="R108" s="910" t="e">
        <f>VLOOKUP(Q108,'Segment Abs.'!$B:$C,2,0)</f>
        <v>#N/A</v>
      </c>
      <c r="S108" s="909" t="s">
        <v>2998</v>
      </c>
      <c r="T108" s="910" t="e">
        <f>VLOOKUP(S108,'Segment Abs.'!$B:$C,2,0)</f>
        <v>#N/A</v>
      </c>
      <c r="U108" s="909"/>
      <c r="V108" s="910"/>
      <c r="W108" s="914">
        <f t="shared" si="0"/>
        <v>12</v>
      </c>
      <c r="X108" s="915">
        <f t="shared" si="2"/>
        <v>0</v>
      </c>
      <c r="Y108" s="132"/>
      <c r="Z108" s="132"/>
    </row>
    <row r="109" spans="1:26" x14ac:dyDescent="0.3">
      <c r="A109" s="909" t="s">
        <v>2999</v>
      </c>
      <c r="B109" s="910" t="e">
        <f>VLOOKUP(A109,'Segment Abs.'!$B:$C,2,0)</f>
        <v>#N/A</v>
      </c>
      <c r="C109" s="909" t="s">
        <v>3000</v>
      </c>
      <c r="D109" s="910" t="e">
        <f>VLOOKUP(C109,'Segment Abs.'!$B:$C,2,0)</f>
        <v>#N/A</v>
      </c>
      <c r="E109" s="909"/>
      <c r="F109" s="910"/>
      <c r="G109" s="909"/>
      <c r="H109" s="910"/>
      <c r="I109" s="909" t="s">
        <v>3001</v>
      </c>
      <c r="J109" s="910" t="e">
        <f>VLOOKUP(I109,'Segment Abs.'!$B:$C,2,0)</f>
        <v>#N/A</v>
      </c>
      <c r="K109" s="909" t="s">
        <v>3002</v>
      </c>
      <c r="L109" s="910" t="e">
        <f>VLOOKUP(K109,'Segment Abs.'!$B:$C,2,0)</f>
        <v>#N/A</v>
      </c>
      <c r="M109" s="909"/>
      <c r="N109" s="910"/>
      <c r="O109" s="909"/>
      <c r="P109" s="910"/>
      <c r="Q109" s="909" t="s">
        <v>3003</v>
      </c>
      <c r="R109" s="910" t="e">
        <f>VLOOKUP(Q109,'Segment Abs.'!$B:$C,2,0)</f>
        <v>#N/A</v>
      </c>
      <c r="S109" s="909" t="s">
        <v>3004</v>
      </c>
      <c r="T109" s="910" t="e">
        <f>VLOOKUP(S109,'Segment Abs.'!$B:$C,2,0)</f>
        <v>#N/A</v>
      </c>
      <c r="U109" s="909"/>
      <c r="V109" s="910"/>
      <c r="W109" s="914">
        <f t="shared" si="0"/>
        <v>12</v>
      </c>
      <c r="X109" s="915">
        <f t="shared" si="2"/>
        <v>0</v>
      </c>
      <c r="Y109" s="132"/>
      <c r="Z109" s="132"/>
    </row>
    <row r="110" spans="1:26" x14ac:dyDescent="0.3">
      <c r="A110" s="909" t="s">
        <v>3005</v>
      </c>
      <c r="B110" s="910" t="e">
        <f>VLOOKUP(A110,'Segment Abs.'!$B:$C,2,0)</f>
        <v>#N/A</v>
      </c>
      <c r="C110" s="909" t="s">
        <v>3006</v>
      </c>
      <c r="D110" s="910" t="e">
        <f>VLOOKUP(C110,'Segment Abs.'!$B:$C,2,0)</f>
        <v>#N/A</v>
      </c>
      <c r="E110" s="909"/>
      <c r="F110" s="910"/>
      <c r="G110" s="909"/>
      <c r="H110" s="910"/>
      <c r="I110" s="909" t="s">
        <v>3007</v>
      </c>
      <c r="J110" s="910" t="e">
        <f>VLOOKUP(I110,'Segment Abs.'!$B:$C,2,0)</f>
        <v>#N/A</v>
      </c>
      <c r="K110" s="909" t="s">
        <v>3008</v>
      </c>
      <c r="L110" s="910" t="e">
        <f>VLOOKUP(K110,'Segment Abs.'!$B:$C,2,0)</f>
        <v>#N/A</v>
      </c>
      <c r="M110" s="909"/>
      <c r="N110" s="910"/>
      <c r="O110" s="909"/>
      <c r="P110" s="910"/>
      <c r="Q110" s="909" t="s">
        <v>3009</v>
      </c>
      <c r="R110" s="910" t="e">
        <f>VLOOKUP(Q110,'Segment Abs.'!$B:$C,2,0)</f>
        <v>#N/A</v>
      </c>
      <c r="S110" s="909" t="s">
        <v>3010</v>
      </c>
      <c r="T110" s="910" t="e">
        <f>VLOOKUP(S110,'Segment Abs.'!$B:$C,2,0)</f>
        <v>#N/A</v>
      </c>
      <c r="U110" s="909"/>
      <c r="V110" s="910"/>
      <c r="W110" s="914">
        <f t="shared" si="0"/>
        <v>12</v>
      </c>
      <c r="X110" s="915">
        <f t="shared" si="2"/>
        <v>0</v>
      </c>
      <c r="Y110" s="132"/>
      <c r="Z110" s="132"/>
    </row>
    <row r="111" spans="1:26" x14ac:dyDescent="0.3">
      <c r="A111" s="909" t="s">
        <v>3011</v>
      </c>
      <c r="B111" s="910" t="e">
        <f>VLOOKUP(A111,'Segment Abs.'!$B:$C,2,0)</f>
        <v>#N/A</v>
      </c>
      <c r="C111" s="909" t="s">
        <v>3012</v>
      </c>
      <c r="D111" s="910" t="e">
        <f>VLOOKUP(C111,'Segment Abs.'!$B:$C,2,0)</f>
        <v>#N/A</v>
      </c>
      <c r="E111" s="909"/>
      <c r="F111" s="910"/>
      <c r="G111" s="909"/>
      <c r="H111" s="910"/>
      <c r="I111" s="909" t="s">
        <v>3013</v>
      </c>
      <c r="J111" s="910" t="e">
        <f>VLOOKUP(I111,'Segment Abs.'!$B:$C,2,0)</f>
        <v>#N/A</v>
      </c>
      <c r="K111" s="909" t="s">
        <v>3014</v>
      </c>
      <c r="L111" s="910" t="e">
        <f>VLOOKUP(K111,'Segment Abs.'!$B:$C,2,0)</f>
        <v>#N/A</v>
      </c>
      <c r="M111" s="909"/>
      <c r="N111" s="910"/>
      <c r="O111" s="909"/>
      <c r="P111" s="910"/>
      <c r="Q111" s="909" t="s">
        <v>3015</v>
      </c>
      <c r="R111" s="910" t="e">
        <f>VLOOKUP(Q111,'Segment Abs.'!$B:$C,2,0)</f>
        <v>#N/A</v>
      </c>
      <c r="S111" s="909" t="s">
        <v>3016</v>
      </c>
      <c r="T111" s="910" t="e">
        <f>VLOOKUP(S111,'Segment Abs.'!$B:$C,2,0)</f>
        <v>#N/A</v>
      </c>
      <c r="U111" s="909"/>
      <c r="V111" s="910"/>
      <c r="W111" s="914">
        <f t="shared" si="0"/>
        <v>12</v>
      </c>
      <c r="X111" s="915">
        <f t="shared" si="2"/>
        <v>0</v>
      </c>
      <c r="Y111" s="132"/>
      <c r="Z111" s="132"/>
    </row>
    <row r="112" spans="1:26" x14ac:dyDescent="0.3">
      <c r="A112" s="909" t="s">
        <v>3017</v>
      </c>
      <c r="B112" s="910" t="e">
        <f>VLOOKUP(A112,'Segment Abs.'!$B:$C,2,0)</f>
        <v>#N/A</v>
      </c>
      <c r="C112" s="909" t="s">
        <v>3018</v>
      </c>
      <c r="D112" s="910" t="e">
        <f>VLOOKUP(C112,'Segment Abs.'!$B:$C,2,0)</f>
        <v>#N/A</v>
      </c>
      <c r="E112" s="909"/>
      <c r="F112" s="910"/>
      <c r="G112" s="909"/>
      <c r="H112" s="910"/>
      <c r="I112" s="909" t="s">
        <v>3019</v>
      </c>
      <c r="J112" s="910" t="e">
        <f>VLOOKUP(I112,'Segment Abs.'!$B:$C,2,0)</f>
        <v>#N/A</v>
      </c>
      <c r="K112" s="909" t="s">
        <v>3020</v>
      </c>
      <c r="L112" s="910" t="e">
        <f>VLOOKUP(K112,'Segment Abs.'!$B:$C,2,0)</f>
        <v>#N/A</v>
      </c>
      <c r="M112" s="909"/>
      <c r="N112" s="910"/>
      <c r="O112" s="909"/>
      <c r="P112" s="910"/>
      <c r="Q112" s="909" t="s">
        <v>3021</v>
      </c>
      <c r="R112" s="910" t="e">
        <f>VLOOKUP(Q112,'Segment Abs.'!$B:$C,2,0)</f>
        <v>#N/A</v>
      </c>
      <c r="S112" s="909" t="s">
        <v>3022</v>
      </c>
      <c r="T112" s="910" t="e">
        <f>VLOOKUP(S112,'Segment Abs.'!$B:$C,2,0)</f>
        <v>#N/A</v>
      </c>
      <c r="U112" s="909"/>
      <c r="V112" s="910"/>
      <c r="W112" s="914">
        <f t="shared" si="0"/>
        <v>12</v>
      </c>
      <c r="X112" s="915">
        <f t="shared" si="2"/>
        <v>0</v>
      </c>
      <c r="Y112" s="132"/>
      <c r="Z112" s="132"/>
    </row>
    <row r="113" spans="1:26" x14ac:dyDescent="0.3">
      <c r="A113" s="909" t="s">
        <v>3023</v>
      </c>
      <c r="B113" s="910" t="e">
        <f>VLOOKUP(A113,'Segment Abs.'!$B:$C,2,0)</f>
        <v>#N/A</v>
      </c>
      <c r="C113" s="909" t="s">
        <v>3024</v>
      </c>
      <c r="D113" s="910" t="e">
        <f>VLOOKUP(C113,'Segment Abs.'!$B:$C,2,0)</f>
        <v>#N/A</v>
      </c>
      <c r="E113" s="909"/>
      <c r="F113" s="910"/>
      <c r="G113" s="909"/>
      <c r="H113" s="910"/>
      <c r="I113" s="909" t="s">
        <v>3025</v>
      </c>
      <c r="J113" s="910" t="e">
        <f>VLOOKUP(I113,'Segment Abs.'!$B:$C,2,0)</f>
        <v>#N/A</v>
      </c>
      <c r="K113" s="909" t="s">
        <v>3026</v>
      </c>
      <c r="L113" s="910" t="e">
        <f>VLOOKUP(K113,'Segment Abs.'!$B:$C,2,0)</f>
        <v>#N/A</v>
      </c>
      <c r="M113" s="909"/>
      <c r="N113" s="910"/>
      <c r="O113" s="909"/>
      <c r="P113" s="910"/>
      <c r="Q113" s="909" t="s">
        <v>3027</v>
      </c>
      <c r="R113" s="910" t="e">
        <f>VLOOKUP(Q113,'Segment Abs.'!$B:$C,2,0)</f>
        <v>#N/A</v>
      </c>
      <c r="S113" s="909" t="s">
        <v>3028</v>
      </c>
      <c r="T113" s="910" t="e">
        <f>VLOOKUP(S113,'Segment Abs.'!$B:$C,2,0)</f>
        <v>#N/A</v>
      </c>
      <c r="U113" s="909"/>
      <c r="V113" s="910"/>
      <c r="W113" s="914">
        <f t="shared" si="0"/>
        <v>12</v>
      </c>
      <c r="X113" s="915">
        <f t="shared" si="2"/>
        <v>0</v>
      </c>
      <c r="Y113" s="132"/>
      <c r="Z113" s="132"/>
    </row>
    <row r="114" spans="1:26" x14ac:dyDescent="0.3">
      <c r="A114" s="909" t="s">
        <v>3029</v>
      </c>
      <c r="B114" s="910" t="e">
        <f>VLOOKUP(A114,'Segment Abs.'!$B:$C,2,0)</f>
        <v>#N/A</v>
      </c>
      <c r="C114" s="909" t="s">
        <v>3030</v>
      </c>
      <c r="D114" s="910" t="e">
        <f>VLOOKUP(C114,'Segment Abs.'!$B:$C,2,0)</f>
        <v>#N/A</v>
      </c>
      <c r="E114" s="909"/>
      <c r="F114" s="910"/>
      <c r="G114" s="909"/>
      <c r="H114" s="910"/>
      <c r="I114" s="909" t="s">
        <v>3031</v>
      </c>
      <c r="J114" s="910" t="e">
        <f>VLOOKUP(I114,'Segment Abs.'!$B:$C,2,0)</f>
        <v>#N/A</v>
      </c>
      <c r="K114" s="909" t="s">
        <v>3032</v>
      </c>
      <c r="L114" s="910" t="e">
        <f>VLOOKUP(K114,'Segment Abs.'!$B:$C,2,0)</f>
        <v>#N/A</v>
      </c>
      <c r="M114" s="909"/>
      <c r="N114" s="910"/>
      <c r="O114" s="909"/>
      <c r="P114" s="910"/>
      <c r="Q114" s="909" t="s">
        <v>3033</v>
      </c>
      <c r="R114" s="910" t="e">
        <f>VLOOKUP(Q114,'Segment Abs.'!$B:$C,2,0)</f>
        <v>#N/A</v>
      </c>
      <c r="S114" s="909" t="s">
        <v>3034</v>
      </c>
      <c r="T114" s="910" t="e">
        <f>VLOOKUP(S114,'Segment Abs.'!$B:$C,2,0)</f>
        <v>#N/A</v>
      </c>
      <c r="U114" s="909"/>
      <c r="V114" s="910"/>
      <c r="W114" s="914">
        <f t="shared" si="0"/>
        <v>12</v>
      </c>
      <c r="X114" s="915">
        <f t="shared" si="2"/>
        <v>0</v>
      </c>
      <c r="Y114" s="132"/>
      <c r="Z114" s="132"/>
    </row>
    <row r="115" spans="1:26" x14ac:dyDescent="0.3">
      <c r="A115" s="909" t="s">
        <v>3035</v>
      </c>
      <c r="B115" s="910" t="e">
        <f>VLOOKUP(A115,'Segment Abs.'!$B:$C,2,0)</f>
        <v>#N/A</v>
      </c>
      <c r="C115" s="909" t="s">
        <v>3036</v>
      </c>
      <c r="D115" s="910" t="e">
        <f>VLOOKUP(C115,'Segment Abs.'!$B:$C,2,0)</f>
        <v>#N/A</v>
      </c>
      <c r="E115" s="909"/>
      <c r="F115" s="910"/>
      <c r="G115" s="909"/>
      <c r="H115" s="910"/>
      <c r="I115" s="909" t="s">
        <v>3037</v>
      </c>
      <c r="J115" s="910" t="e">
        <f>VLOOKUP(I115,'Segment Abs.'!$B:$C,2,0)</f>
        <v>#N/A</v>
      </c>
      <c r="K115" s="909" t="s">
        <v>3038</v>
      </c>
      <c r="L115" s="910" t="e">
        <f>VLOOKUP(K115,'Segment Abs.'!$B:$C,2,0)</f>
        <v>#N/A</v>
      </c>
      <c r="M115" s="909"/>
      <c r="N115" s="910"/>
      <c r="O115" s="909"/>
      <c r="P115" s="910"/>
      <c r="Q115" s="909" t="s">
        <v>3039</v>
      </c>
      <c r="R115" s="910" t="e">
        <f>VLOOKUP(Q115,'Segment Abs.'!$B:$C,2,0)</f>
        <v>#N/A</v>
      </c>
      <c r="S115" s="909" t="s">
        <v>3040</v>
      </c>
      <c r="T115" s="910" t="e">
        <f>VLOOKUP(S115,'Segment Abs.'!$B:$C,2,0)</f>
        <v>#N/A</v>
      </c>
      <c r="U115" s="909"/>
      <c r="V115" s="910"/>
      <c r="W115" s="914">
        <f t="shared" si="0"/>
        <v>12</v>
      </c>
      <c r="X115" s="915">
        <f t="shared" si="2"/>
        <v>0</v>
      </c>
      <c r="Y115" s="132"/>
      <c r="Z115" s="132"/>
    </row>
    <row r="116" spans="1:26" x14ac:dyDescent="0.3">
      <c r="A116" s="911">
        <f>COUNTA(A$64:A$115)</f>
        <v>52</v>
      </c>
      <c r="B116" s="912">
        <f>COUNTIF(B$64:B$115,"&gt;0")</f>
        <v>0</v>
      </c>
      <c r="C116" s="911">
        <f>COUNTA(C$64:C$115)</f>
        <v>52</v>
      </c>
      <c r="D116" s="912">
        <f>COUNTIF(D$64:D$115,"&gt;0")</f>
        <v>0</v>
      </c>
      <c r="E116" s="911">
        <f>COUNTA(E$64:E$115)</f>
        <v>41</v>
      </c>
      <c r="F116" s="912">
        <f>COUNTIF(F$64:F$115,"&gt;0")</f>
        <v>0</v>
      </c>
      <c r="G116" s="911">
        <f>COUNTA(G$64:G$115)</f>
        <v>41</v>
      </c>
      <c r="H116" s="912">
        <f>COUNTIF(H$64:H$115,"&gt;0")</f>
        <v>0</v>
      </c>
      <c r="I116" s="911">
        <f>COUNTA(I$64:I$115)</f>
        <v>52</v>
      </c>
      <c r="J116" s="912">
        <f>COUNTIF(J$64:J$115,"&gt;0")</f>
        <v>0</v>
      </c>
      <c r="K116" s="911">
        <f>COUNTA(K$64:K$115)</f>
        <v>52</v>
      </c>
      <c r="L116" s="912">
        <f>COUNTIF(L$64:L$115,"&gt;0")</f>
        <v>0</v>
      </c>
      <c r="M116" s="911">
        <f>COUNTA(M$64:M$115)</f>
        <v>41</v>
      </c>
      <c r="N116" s="912">
        <f>COUNTIF(N$64:N$115,"&gt;0")</f>
        <v>0</v>
      </c>
      <c r="O116" s="911">
        <f>COUNTA(O$64:O$115)</f>
        <v>41</v>
      </c>
      <c r="P116" s="912">
        <f>COUNTIF(P$64:P$115,"&gt;0")</f>
        <v>0</v>
      </c>
      <c r="Q116" s="911">
        <f>COUNTA(Q$64:Q$115)</f>
        <v>52</v>
      </c>
      <c r="R116" s="912">
        <f>COUNTIF(R$64:R$115,"&gt;0")</f>
        <v>0</v>
      </c>
      <c r="S116" s="911">
        <f>COUNTA(S$64:S$115)</f>
        <v>52</v>
      </c>
      <c r="T116" s="912">
        <f>COUNTIF(T$64:T$115,"&gt;0")</f>
        <v>0</v>
      </c>
      <c r="U116" s="911">
        <f>COUNTA(U$64:U$115)</f>
        <v>41</v>
      </c>
      <c r="V116" s="912">
        <f>COUNTIF(V$64:V$115,"&gt;0")</f>
        <v>0</v>
      </c>
      <c r="W116" s="911">
        <f>SUM(A57,C57,E57,G57,I57,K57,M57,O57,Q57,S57,U57,W57,Y57,A116,C116,E116,G116,I116,K116,M116,O116,Q116,S116,U116)</f>
        <v>1116</v>
      </c>
      <c r="X116" s="912">
        <f>SUM(V116,T116,R116,P116,N116,L116,J116,H116,F116,D116,B116,Z57,X57,V57,T57,R57,P57,L57,J57,H57,F57,D57,B57,N57)</f>
        <v>0</v>
      </c>
      <c r="Y116" s="132"/>
      <c r="Z116" s="132"/>
    </row>
    <row r="117" spans="1:26" x14ac:dyDescent="0.3">
      <c r="A117" s="911">
        <f>COUNTIF(A$64:A$115,"*©*")</f>
        <v>18</v>
      </c>
      <c r="B117" s="912">
        <f>COUNTIFS(A$64:A$115,"*©*",B$64:B$115,"&gt;10")</f>
        <v>0</v>
      </c>
      <c r="C117" s="911">
        <f>COUNTIF(C$64:C$115,"*©*")</f>
        <v>18</v>
      </c>
      <c r="D117" s="912">
        <f>COUNTIFS(C$64:C$115,"*©*",D$64:D$115,"&gt;10")</f>
        <v>0</v>
      </c>
      <c r="E117" s="911">
        <f>COUNTIF(E$64:E$115,"*©*")</f>
        <v>13</v>
      </c>
      <c r="F117" s="912">
        <f>COUNTIFS(E$64:E$115,"*©*",F$64:F$115,"&gt;10")</f>
        <v>0</v>
      </c>
      <c r="G117" s="911">
        <f>COUNTIF(G$64:G$115,"*©*")</f>
        <v>13</v>
      </c>
      <c r="H117" s="912">
        <f>COUNTIFS(G$64:G$115,"*©*",H$64:H$115,"&gt;10")</f>
        <v>0</v>
      </c>
      <c r="I117" s="911">
        <f>COUNTIF(I$64:I$115,"*©*")</f>
        <v>18</v>
      </c>
      <c r="J117" s="912">
        <f>COUNTIFS(I$64:I$115,"*©*",J$64:J$115,"&gt;10")</f>
        <v>0</v>
      </c>
      <c r="K117" s="911">
        <f>COUNTIF(K$64:K$115,"*©*")</f>
        <v>18</v>
      </c>
      <c r="L117" s="912">
        <f>COUNTIFS(K$64:K$115,"*©*",L$64:L$115,"&gt;10")</f>
        <v>0</v>
      </c>
      <c r="M117" s="911">
        <f>COUNTIF(M$64:M$115,"*©*")</f>
        <v>13</v>
      </c>
      <c r="N117" s="912">
        <f>COUNTIFS(M$64:M$115,"*©*",N$64:N$115,"&gt;10")</f>
        <v>0</v>
      </c>
      <c r="O117" s="911">
        <f>COUNTIF(O$64:O$115,"*©*")</f>
        <v>13</v>
      </c>
      <c r="P117" s="912">
        <f>COUNTIFS(O$64:O$115,"*©*",P$64:P$115,"&gt;10")</f>
        <v>0</v>
      </c>
      <c r="Q117" s="911">
        <f>COUNTIF(Q$64:Q$115,"*©*")</f>
        <v>18</v>
      </c>
      <c r="R117" s="912">
        <f>COUNTIFS(Q$64:Q$115,"*©*",R$64:R$115,"&gt;10")</f>
        <v>0</v>
      </c>
      <c r="S117" s="911">
        <f>COUNTIF(S$64:S$115,"*©*")</f>
        <v>18</v>
      </c>
      <c r="T117" s="912">
        <f>COUNTIFS(S$64:S$115,"*©*",T$64:T$115,"&gt;10")</f>
        <v>0</v>
      </c>
      <c r="U117" s="911">
        <f>COUNTIF(U$64:U$115,"*©*")</f>
        <v>13</v>
      </c>
      <c r="V117" s="912">
        <f>COUNTIFS(U$64:U$115,"*©*",V$64:V$115,"&gt;10")</f>
        <v>0</v>
      </c>
      <c r="W117" s="911">
        <f>SUM(A58,C58,E58,G58,I58,K58,M58,O58,Q58,S58,U58,W58,Y58,A117,C117,E117,G117,I117,K117,M117,O117,Q117,S117,U117)</f>
        <v>372</v>
      </c>
      <c r="X117" s="912">
        <f>SUM(V117,T117,R117,P117,N117,L117,J117,H117,F117,D117,B117,Z58,X58,V58,T58,R58,P58,L58,J58,H58,F58,D58,B58,N58)</f>
        <v>0</v>
      </c>
      <c r="Y117" s="132"/>
      <c r="Z117" s="132"/>
    </row>
    <row r="119" spans="1:26" s="58" customFormat="1" x14ac:dyDescent="0.3">
      <c r="A119" s="1698" t="s">
        <v>24</v>
      </c>
      <c r="B119" s="1699"/>
      <c r="C119" s="1700"/>
      <c r="D119" s="916">
        <v>45809</v>
      </c>
      <c r="E119" s="916">
        <v>45839</v>
      </c>
      <c r="F119" s="916">
        <v>45870</v>
      </c>
      <c r="G119" s="916">
        <v>45901</v>
      </c>
      <c r="H119" s="916">
        <v>45931</v>
      </c>
      <c r="I119" s="916">
        <v>45962</v>
      </c>
      <c r="J119" s="916">
        <v>45992</v>
      </c>
      <c r="K119" s="916">
        <v>46023</v>
      </c>
      <c r="L119" s="916">
        <v>46054</v>
      </c>
      <c r="M119" s="916">
        <v>46082</v>
      </c>
      <c r="N119" s="916">
        <v>46113</v>
      </c>
      <c r="O119" s="916">
        <v>46143</v>
      </c>
      <c r="P119" s="916">
        <v>46174</v>
      </c>
      <c r="Q119" s="916">
        <v>46204</v>
      </c>
      <c r="R119" s="916">
        <v>46235</v>
      </c>
      <c r="S119" s="916">
        <v>46266</v>
      </c>
      <c r="T119" s="916">
        <v>46296</v>
      </c>
      <c r="U119" s="916">
        <v>46327</v>
      </c>
      <c r="V119" s="916">
        <v>46357</v>
      </c>
      <c r="W119" s="916">
        <v>46388</v>
      </c>
      <c r="X119" s="916">
        <v>46419</v>
      </c>
      <c r="Y119" s="916">
        <v>46447</v>
      </c>
      <c r="Z119" s="916" t="s">
        <v>165</v>
      </c>
    </row>
    <row r="120" spans="1:26" s="58" customFormat="1" x14ac:dyDescent="0.3">
      <c r="A120" s="1701" t="s">
        <v>3041</v>
      </c>
      <c r="B120" s="1702"/>
      <c r="C120" s="1703"/>
      <c r="D120" s="917">
        <f t="shared" ref="D120:Y120" si="3">COUNTIF($A$5:$Z$56,D119)+COUNTIF($A$64:$X$115,D119)</f>
        <v>0</v>
      </c>
      <c r="E120" s="917">
        <f t="shared" si="3"/>
        <v>0</v>
      </c>
      <c r="F120" s="917">
        <f t="shared" si="3"/>
        <v>0</v>
      </c>
      <c r="G120" s="917">
        <f t="shared" si="3"/>
        <v>0</v>
      </c>
      <c r="H120" s="917">
        <f t="shared" si="3"/>
        <v>0</v>
      </c>
      <c r="I120" s="917">
        <f t="shared" si="3"/>
        <v>0</v>
      </c>
      <c r="J120" s="917">
        <f t="shared" si="3"/>
        <v>0</v>
      </c>
      <c r="K120" s="917">
        <f t="shared" si="3"/>
        <v>0</v>
      </c>
      <c r="L120" s="917">
        <f t="shared" si="3"/>
        <v>0</v>
      </c>
      <c r="M120" s="917">
        <f t="shared" si="3"/>
        <v>0</v>
      </c>
      <c r="N120" s="917">
        <f t="shared" si="3"/>
        <v>0</v>
      </c>
      <c r="O120" s="917">
        <f t="shared" si="3"/>
        <v>0</v>
      </c>
      <c r="P120" s="917">
        <f t="shared" si="3"/>
        <v>0</v>
      </c>
      <c r="Q120" s="917">
        <f t="shared" si="3"/>
        <v>0</v>
      </c>
      <c r="R120" s="917">
        <f t="shared" si="3"/>
        <v>0</v>
      </c>
      <c r="S120" s="917">
        <f t="shared" si="3"/>
        <v>0</v>
      </c>
      <c r="T120" s="917">
        <f t="shared" si="3"/>
        <v>0</v>
      </c>
      <c r="U120" s="917">
        <f t="shared" si="3"/>
        <v>0</v>
      </c>
      <c r="V120" s="917">
        <f t="shared" si="3"/>
        <v>0</v>
      </c>
      <c r="W120" s="917">
        <f t="shared" si="3"/>
        <v>0</v>
      </c>
      <c r="X120" s="917">
        <f t="shared" si="3"/>
        <v>0</v>
      </c>
      <c r="Y120" s="917">
        <f t="shared" si="3"/>
        <v>0</v>
      </c>
      <c r="Z120" s="917">
        <f>SUM(D120:Y120)</f>
        <v>0</v>
      </c>
    </row>
    <row r="121" spans="1:26" s="58" customFormat="1" x14ac:dyDescent="0.3">
      <c r="A121" s="1704" t="s">
        <v>3042</v>
      </c>
      <c r="B121" s="1705"/>
      <c r="C121" s="1706"/>
      <c r="D121" s="918">
        <f>COUNTIFS('Segment Abs.'!$B:$B,"*©*",'Segment Abs.'!$C:$C,'Segment Summary'!D$119,'Segment Abs.'!$C:$C,"&gt;10")</f>
        <v>0</v>
      </c>
      <c r="E121" s="918">
        <f>COUNTIFS('Segment Abs.'!$B:$B,"*©*",'Segment Abs.'!$C:$C,'Segment Summary'!E$119,'Segment Abs.'!$C:$C,"&gt;10")</f>
        <v>0</v>
      </c>
      <c r="F121" s="918">
        <f>COUNTIFS('Segment Abs.'!$B:$B,"*©*",'Segment Abs.'!$C:$C,'Segment Summary'!F$119,'Segment Abs.'!$C:$C,"&gt;10")</f>
        <v>0</v>
      </c>
      <c r="G121" s="918">
        <f>COUNTIFS('Segment Abs.'!$B:$B,"*©*",'Segment Abs.'!$C:$C,'Segment Summary'!G$119,'Segment Abs.'!$C:$C,"&gt;10")</f>
        <v>0</v>
      </c>
      <c r="H121" s="918">
        <f>COUNTIFS('Segment Abs.'!$B:$B,"*©*",'Segment Abs.'!$C:$C,'Segment Summary'!H$119,'Segment Abs.'!$C:$C,"&gt;10")</f>
        <v>0</v>
      </c>
      <c r="I121" s="918">
        <f>COUNTIFS('Segment Abs.'!$B:$B,"*©*",'Segment Abs.'!$C:$C,'Segment Summary'!I$119,'Segment Abs.'!$C:$C,"&gt;10")</f>
        <v>0</v>
      </c>
      <c r="J121" s="918">
        <f>COUNTIFS('Segment Abs.'!$B:$B,"*©*",'Segment Abs.'!$C:$C,'Segment Summary'!J$119,'Segment Abs.'!$C:$C,"&gt;10")</f>
        <v>0</v>
      </c>
      <c r="K121" s="918">
        <f>COUNTIFS('Segment Abs.'!$B:$B,"*©*",'Segment Abs.'!$C:$C,'Segment Summary'!K$119,'Segment Abs.'!$C:$C,"&gt;10")</f>
        <v>0</v>
      </c>
      <c r="L121" s="918">
        <f>COUNTIFS('Segment Abs.'!$B:$B,"*©*",'Segment Abs.'!$C:$C,'Segment Summary'!L$119,'Segment Abs.'!$C:$C,"&gt;10")</f>
        <v>0</v>
      </c>
      <c r="M121" s="918">
        <f>COUNTIFS('Segment Abs.'!$B:$B,"*©*",'Segment Abs.'!$C:$C,'Segment Summary'!M$119,'Segment Abs.'!$C:$C,"&gt;10")</f>
        <v>0</v>
      </c>
      <c r="N121" s="918">
        <f>COUNTIFS('Segment Abs.'!$B:$B,"*©*",'Segment Abs.'!$C:$C,'Segment Summary'!N$119,'Segment Abs.'!$C:$C,"&gt;10")</f>
        <v>0</v>
      </c>
      <c r="O121" s="918">
        <f>COUNTIFS('Segment Abs.'!$B:$B,"*©*",'Segment Abs.'!$C:$C,'Segment Summary'!O$119,'Segment Abs.'!$C:$C,"&gt;10")</f>
        <v>0</v>
      </c>
      <c r="P121" s="918">
        <f>COUNTIFS('Segment Abs.'!$B:$B,"*©*",'Segment Abs.'!$C:$C,'Segment Summary'!P$119,'Segment Abs.'!$C:$C,"&gt;10")</f>
        <v>0</v>
      </c>
      <c r="Q121" s="918">
        <f>COUNTIFS('Segment Abs.'!$B:$B,"*©*",'Segment Abs.'!$C:$C,'Segment Summary'!Q$119,'Segment Abs.'!$C:$C,"&gt;10")</f>
        <v>0</v>
      </c>
      <c r="R121" s="918">
        <f>COUNTIFS('Segment Abs.'!$B:$B,"*©*",'Segment Abs.'!$C:$C,'Segment Summary'!R$119,'Segment Abs.'!$C:$C,"&gt;10")</f>
        <v>0</v>
      </c>
      <c r="S121" s="918">
        <f>COUNTIFS('Segment Abs.'!$B:$B,"*©*",'Segment Abs.'!$C:$C,'Segment Summary'!S$119,'Segment Abs.'!$C:$C,"&gt;10")</f>
        <v>0</v>
      </c>
      <c r="T121" s="918">
        <f>COUNTIFS('Segment Abs.'!$B:$B,"*©*",'Segment Abs.'!$C:$C,'Segment Summary'!T$119,'Segment Abs.'!$C:$C,"&gt;10")</f>
        <v>0</v>
      </c>
      <c r="U121" s="918">
        <f>COUNTIFS('Segment Abs.'!$B:$B,"*©*",'Segment Abs.'!$C:$C,'Segment Summary'!U$119,'Segment Abs.'!$C:$C,"&gt;10")</f>
        <v>0</v>
      </c>
      <c r="V121" s="918">
        <f>COUNTIFS('Segment Abs.'!$B:$B,"*©*",'Segment Abs.'!$C:$C,'Segment Summary'!V$119,'Segment Abs.'!$C:$C,"&gt;10")</f>
        <v>0</v>
      </c>
      <c r="W121" s="918">
        <f>COUNTIFS('Segment Abs.'!$B:$B,"*©*",'Segment Abs.'!$C:$C,'Segment Summary'!W$119,'Segment Abs.'!$C:$C,"&gt;10")</f>
        <v>0</v>
      </c>
      <c r="X121" s="918">
        <f>COUNTIFS('Segment Abs.'!$B:$B,"*©*",'Segment Abs.'!$C:$C,'Segment Summary'!X$119,'Segment Abs.'!$C:$C,"&gt;10")</f>
        <v>0</v>
      </c>
      <c r="Y121" s="918">
        <f>COUNTIFS('Segment Abs.'!$B:$B,"*©*",'Segment Abs.'!$C:$C,'Segment Summary'!Y$119,'Segment Abs.'!$C:$C,"&gt;10")</f>
        <v>0</v>
      </c>
      <c r="Z121" s="918">
        <f>SUM(D121:Y121)</f>
        <v>0</v>
      </c>
    </row>
  </sheetData>
  <mergeCells count="17">
    <mergeCell ref="A121:C121"/>
    <mergeCell ref="M3:N3"/>
    <mergeCell ref="O3:P3"/>
    <mergeCell ref="Q3:R3"/>
    <mergeCell ref="S3:T3"/>
    <mergeCell ref="A3:B3"/>
    <mergeCell ref="C3:D3"/>
    <mergeCell ref="E3:F3"/>
    <mergeCell ref="G3:H3"/>
    <mergeCell ref="I3:J3"/>
    <mergeCell ref="K3:L3"/>
    <mergeCell ref="Y3:Z3"/>
    <mergeCell ref="W62:X62"/>
    <mergeCell ref="A119:C119"/>
    <mergeCell ref="A120:C120"/>
    <mergeCell ref="U3:V3"/>
    <mergeCell ref="W3:X3"/>
  </mergeCells>
  <printOptions horizontalCentered="1"/>
  <pageMargins left="0.11811023622047245" right="0.11811023622047245" top="0.55118110236220474" bottom="0.55118110236220474" header="0.31496062992125984" footer="0.31496062992125984"/>
  <pageSetup paperSize="9" scale="48" fitToHeight="0" orientation="landscape" r:id="rId1"/>
  <rowBreaks count="1" manualBreakCount="1">
    <brk id="59" max="25" man="1"/>
  </rowBreaks>
  <ignoredErrors>
    <ignoredError sqref="B116:T117 B57:X58 U116:U11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B733-37A0-43E8-A4E1-269D851903A9}">
  <sheetPr codeName="Sheet9">
    <pageSetUpPr fitToPage="1"/>
  </sheetPr>
  <dimension ref="A1:AK1380"/>
  <sheetViews>
    <sheetView tabSelected="1" view="pageBreakPreview" topLeftCell="B575" zoomScale="80" zoomScaleNormal="80" zoomScaleSheetLayoutView="80" workbookViewId="0">
      <selection activeCell="B582" sqref="A582:XFD582"/>
    </sheetView>
  </sheetViews>
  <sheetFormatPr defaultColWidth="9.109375" defaultRowHeight="14.4" x14ac:dyDescent="0.3"/>
  <cols>
    <col min="1" max="1" width="2" style="132" customWidth="1"/>
    <col min="2" max="2" width="12.5546875" style="132" customWidth="1"/>
    <col min="3" max="3" width="49.88671875" style="132" customWidth="1"/>
    <col min="4" max="4" width="10.5546875" style="132" customWidth="1"/>
    <col min="5" max="5" width="12.5546875" style="132" customWidth="1"/>
    <col min="6" max="6" width="12.5546875" style="968" customWidth="1"/>
    <col min="7" max="7" width="32.5546875" style="132" customWidth="1"/>
    <col min="8" max="8" width="12.5546875" style="132" customWidth="1"/>
    <col min="9" max="9" width="10.5546875" style="132" customWidth="1"/>
    <col min="10" max="10" width="35.5546875" style="132" customWidth="1"/>
    <col min="11" max="11" width="12.88671875" style="132" customWidth="1"/>
    <col min="12" max="12" width="24.44140625" style="132" customWidth="1"/>
    <col min="13" max="13" width="9.88671875" style="132" customWidth="1"/>
    <col min="14" max="14" width="6" style="132" customWidth="1"/>
    <col min="15" max="15" width="12.109375" style="132" bestFit="1" customWidth="1"/>
    <col min="16" max="37" width="6" style="132" customWidth="1"/>
    <col min="38" max="16384" width="9.109375" style="132"/>
  </cols>
  <sheetData>
    <row r="1" spans="2:12" ht="15.6" customHeight="1" x14ac:dyDescent="0.3">
      <c r="B1" s="1920" t="s">
        <v>561</v>
      </c>
      <c r="C1" s="1928" t="s">
        <v>509</v>
      </c>
      <c r="D1" s="1939" t="s">
        <v>190</v>
      </c>
      <c r="E1" s="1946" t="s">
        <v>510</v>
      </c>
      <c r="F1" s="1954">
        <v>1</v>
      </c>
      <c r="G1" s="1963" t="s">
        <v>4712</v>
      </c>
      <c r="H1" s="1971">
        <v>45824</v>
      </c>
      <c r="I1" s="1981" t="s">
        <v>1262</v>
      </c>
      <c r="J1" s="1963" t="s">
        <v>4713</v>
      </c>
      <c r="K1" s="919">
        <v>45839</v>
      </c>
      <c r="L1" s="593" t="s">
        <v>4714</v>
      </c>
    </row>
    <row r="2" spans="2:12" ht="18.600000000000001" customHeight="1" x14ac:dyDescent="0.3">
      <c r="B2" s="1921" t="s">
        <v>508</v>
      </c>
      <c r="C2" s="1931" t="s">
        <v>509</v>
      </c>
      <c r="D2" s="143" t="s">
        <v>190</v>
      </c>
      <c r="E2" s="144" t="s">
        <v>510</v>
      </c>
      <c r="F2" s="1143">
        <v>1</v>
      </c>
      <c r="G2" s="1970" t="s">
        <v>4715</v>
      </c>
      <c r="H2" s="1978" t="s">
        <v>4716</v>
      </c>
      <c r="I2" s="1988" t="s">
        <v>1262</v>
      </c>
      <c r="J2" s="1948" t="s">
        <v>4717</v>
      </c>
      <c r="K2" s="919">
        <v>45839</v>
      </c>
    </row>
    <row r="3" spans="2:12" ht="18.600000000000001" customHeight="1" x14ac:dyDescent="0.3">
      <c r="B3" s="1921" t="s">
        <v>561</v>
      </c>
      <c r="C3" s="142" t="s">
        <v>509</v>
      </c>
      <c r="D3" s="143" t="s">
        <v>190</v>
      </c>
      <c r="E3" s="144" t="s">
        <v>510</v>
      </c>
      <c r="F3" s="1143">
        <v>1</v>
      </c>
      <c r="G3" s="1088" t="s">
        <v>4718</v>
      </c>
      <c r="H3" s="1977" t="s">
        <v>4719</v>
      </c>
      <c r="I3" s="514" t="s">
        <v>1262</v>
      </c>
      <c r="J3" s="529" t="s">
        <v>4720</v>
      </c>
      <c r="K3" s="919">
        <v>45839</v>
      </c>
    </row>
    <row r="4" spans="2:12" ht="23.4" customHeight="1" x14ac:dyDescent="0.3">
      <c r="B4" s="1923" t="s">
        <v>508</v>
      </c>
      <c r="C4" s="1930" t="s">
        <v>509</v>
      </c>
      <c r="D4" s="1941" t="s">
        <v>190</v>
      </c>
      <c r="E4" s="1948" t="s">
        <v>510</v>
      </c>
      <c r="F4" s="1956">
        <v>1</v>
      </c>
      <c r="G4" s="1966" t="s">
        <v>4721</v>
      </c>
      <c r="H4" s="1974" t="s">
        <v>4722</v>
      </c>
      <c r="I4" s="1983" t="s">
        <v>1262</v>
      </c>
      <c r="J4" s="1948" t="s">
        <v>4723</v>
      </c>
      <c r="K4" s="919">
        <v>45839</v>
      </c>
    </row>
    <row r="5" spans="2:12" ht="25.2" customHeight="1" x14ac:dyDescent="0.3">
      <c r="B5" s="1923" t="s">
        <v>561</v>
      </c>
      <c r="C5" s="1930" t="s">
        <v>509</v>
      </c>
      <c r="D5" s="1941" t="s">
        <v>190</v>
      </c>
      <c r="E5" s="1948" t="s">
        <v>510</v>
      </c>
      <c r="F5" s="1956">
        <v>1</v>
      </c>
      <c r="G5" s="1966" t="s">
        <v>4724</v>
      </c>
      <c r="H5" s="1974" t="s">
        <v>4725</v>
      </c>
      <c r="I5" s="1983" t="s">
        <v>1262</v>
      </c>
      <c r="J5" s="1948" t="s">
        <v>4726</v>
      </c>
      <c r="K5" s="919">
        <v>45839</v>
      </c>
    </row>
    <row r="6" spans="2:12" ht="17.399999999999999" customHeight="1" x14ac:dyDescent="0.3">
      <c r="B6" s="787" t="s">
        <v>508</v>
      </c>
      <c r="C6" s="1933" t="s">
        <v>509</v>
      </c>
      <c r="D6" s="146" t="s">
        <v>190</v>
      </c>
      <c r="E6" s="147" t="s">
        <v>510</v>
      </c>
      <c r="F6" s="491">
        <v>1</v>
      </c>
      <c r="G6" s="302" t="s">
        <v>4727</v>
      </c>
      <c r="H6" s="667" t="s">
        <v>4728</v>
      </c>
      <c r="I6" s="319" t="s">
        <v>1262</v>
      </c>
      <c r="J6" s="528" t="s">
        <v>4729</v>
      </c>
      <c r="K6" s="919">
        <v>45839</v>
      </c>
    </row>
    <row r="7" spans="2:12" ht="15" customHeight="1" x14ac:dyDescent="0.3">
      <c r="B7" s="1921" t="s">
        <v>561</v>
      </c>
      <c r="C7" s="142" t="s">
        <v>509</v>
      </c>
      <c r="D7" s="143" t="s">
        <v>190</v>
      </c>
      <c r="E7" s="144" t="s">
        <v>510</v>
      </c>
      <c r="F7" s="1143">
        <v>1</v>
      </c>
      <c r="G7" s="1965" t="s">
        <v>4730</v>
      </c>
      <c r="H7" s="1973" t="s">
        <v>4731</v>
      </c>
      <c r="I7" s="515" t="s">
        <v>1262</v>
      </c>
      <c r="J7" s="524" t="s">
        <v>4732</v>
      </c>
      <c r="K7" s="919">
        <v>45839</v>
      </c>
    </row>
    <row r="8" spans="2:12" ht="15.6" x14ac:dyDescent="0.3">
      <c r="B8" s="786" t="s">
        <v>561</v>
      </c>
      <c r="C8" s="581" t="s">
        <v>509</v>
      </c>
      <c r="D8" s="143" t="s">
        <v>190</v>
      </c>
      <c r="E8" s="144" t="s">
        <v>515</v>
      </c>
      <c r="F8" s="1143">
        <v>1</v>
      </c>
      <c r="G8" s="1965" t="s">
        <v>4733</v>
      </c>
      <c r="H8" s="1973" t="s">
        <v>4734</v>
      </c>
      <c r="I8" s="515" t="s">
        <v>1262</v>
      </c>
      <c r="J8" s="524" t="s">
        <v>4735</v>
      </c>
      <c r="K8" s="919">
        <v>45839</v>
      </c>
    </row>
    <row r="9" spans="2:12" ht="31.2" x14ac:dyDescent="0.3">
      <c r="B9" s="786" t="s">
        <v>508</v>
      </c>
      <c r="C9" s="129" t="s">
        <v>509</v>
      </c>
      <c r="D9" s="127" t="s">
        <v>190</v>
      </c>
      <c r="E9" s="125" t="s">
        <v>515</v>
      </c>
      <c r="F9" s="490">
        <v>1</v>
      </c>
      <c r="G9" s="296" t="s">
        <v>4736</v>
      </c>
      <c r="H9" s="596" t="s">
        <v>4737</v>
      </c>
      <c r="I9" s="131" t="s">
        <v>1262</v>
      </c>
      <c r="J9" s="525" t="s">
        <v>4738</v>
      </c>
      <c r="K9" s="919">
        <v>45839</v>
      </c>
    </row>
    <row r="10" spans="2:12" ht="15.6" x14ac:dyDescent="0.3">
      <c r="B10" s="965" t="s">
        <v>561</v>
      </c>
      <c r="C10" s="130" t="s">
        <v>509</v>
      </c>
      <c r="D10" s="43" t="s">
        <v>190</v>
      </c>
      <c r="E10" s="126" t="s">
        <v>515</v>
      </c>
      <c r="F10" s="504">
        <v>1</v>
      </c>
      <c r="G10" s="248" t="s">
        <v>4739</v>
      </c>
      <c r="H10" s="542" t="s">
        <v>4740</v>
      </c>
      <c r="I10" s="151" t="s">
        <v>1262</v>
      </c>
      <c r="J10" s="494" t="s">
        <v>4741</v>
      </c>
      <c r="K10" s="919">
        <v>45839</v>
      </c>
    </row>
    <row r="11" spans="2:12" ht="15.6" x14ac:dyDescent="0.3">
      <c r="B11" s="965" t="s">
        <v>508</v>
      </c>
      <c r="C11" s="130" t="s">
        <v>509</v>
      </c>
      <c r="D11" s="43" t="s">
        <v>190</v>
      </c>
      <c r="E11" s="126" t="s">
        <v>510</v>
      </c>
      <c r="F11" s="504">
        <v>1</v>
      </c>
      <c r="G11" s="248" t="s">
        <v>4742</v>
      </c>
      <c r="H11" s="542" t="s">
        <v>4743</v>
      </c>
      <c r="I11" s="151" t="s">
        <v>1509</v>
      </c>
      <c r="J11" s="494" t="s">
        <v>4744</v>
      </c>
      <c r="K11" s="919">
        <v>45870</v>
      </c>
    </row>
    <row r="12" spans="2:12" ht="31.2" x14ac:dyDescent="0.3">
      <c r="B12" s="965" t="s">
        <v>561</v>
      </c>
      <c r="C12" s="130" t="s">
        <v>509</v>
      </c>
      <c r="D12" s="43" t="s">
        <v>190</v>
      </c>
      <c r="E12" s="126" t="s">
        <v>510</v>
      </c>
      <c r="F12" s="504">
        <v>1</v>
      </c>
      <c r="G12" s="248" t="s">
        <v>4745</v>
      </c>
      <c r="H12" s="542" t="s">
        <v>4746</v>
      </c>
      <c r="I12" s="151" t="s">
        <v>1509</v>
      </c>
      <c r="J12" s="494" t="s">
        <v>4747</v>
      </c>
      <c r="K12" s="919">
        <v>45870</v>
      </c>
    </row>
    <row r="13" spans="2:12" ht="15.6" x14ac:dyDescent="0.3">
      <c r="B13" s="965" t="s">
        <v>508</v>
      </c>
      <c r="C13" s="130" t="s">
        <v>509</v>
      </c>
      <c r="D13" s="43" t="s">
        <v>190</v>
      </c>
      <c r="E13" s="126" t="s">
        <v>510</v>
      </c>
      <c r="F13" s="504">
        <v>1</v>
      </c>
      <c r="G13" s="248" t="s">
        <v>4748</v>
      </c>
      <c r="H13" s="542" t="s">
        <v>4749</v>
      </c>
      <c r="I13" s="151" t="s">
        <v>1509</v>
      </c>
      <c r="J13" s="494" t="s">
        <v>4750</v>
      </c>
      <c r="K13" s="919">
        <v>45870</v>
      </c>
    </row>
    <row r="14" spans="2:12" ht="15.6" x14ac:dyDescent="0.3">
      <c r="B14" s="965" t="s">
        <v>561</v>
      </c>
      <c r="C14" s="130" t="s">
        <v>509</v>
      </c>
      <c r="D14" s="43" t="s">
        <v>190</v>
      </c>
      <c r="E14" s="126" t="s">
        <v>510</v>
      </c>
      <c r="F14" s="504">
        <v>1</v>
      </c>
      <c r="G14" s="248" t="s">
        <v>4751</v>
      </c>
      <c r="H14" s="542" t="s">
        <v>4752</v>
      </c>
      <c r="I14" s="151" t="s">
        <v>1509</v>
      </c>
      <c r="J14" s="494" t="s">
        <v>4753</v>
      </c>
      <c r="K14" s="919">
        <v>45870</v>
      </c>
    </row>
    <row r="15" spans="2:12" ht="15.6" x14ac:dyDescent="0.3">
      <c r="B15" s="965" t="s">
        <v>508</v>
      </c>
      <c r="C15" s="130" t="s">
        <v>509</v>
      </c>
      <c r="D15" s="43" t="s">
        <v>190</v>
      </c>
      <c r="E15" s="126" t="s">
        <v>510</v>
      </c>
      <c r="F15" s="504">
        <v>1</v>
      </c>
      <c r="G15" s="248" t="s">
        <v>4754</v>
      </c>
      <c r="H15" s="542" t="s">
        <v>4755</v>
      </c>
      <c r="I15" s="151" t="s">
        <v>1509</v>
      </c>
      <c r="J15" s="494" t="s">
        <v>4756</v>
      </c>
      <c r="K15" s="919">
        <v>45870</v>
      </c>
    </row>
    <row r="16" spans="2:12" ht="15.6" x14ac:dyDescent="0.3">
      <c r="B16" s="965" t="s">
        <v>561</v>
      </c>
      <c r="C16" s="130" t="s">
        <v>509</v>
      </c>
      <c r="D16" s="43" t="s">
        <v>190</v>
      </c>
      <c r="E16" s="126" t="s">
        <v>510</v>
      </c>
      <c r="F16" s="504">
        <v>1</v>
      </c>
      <c r="G16" s="248" t="s">
        <v>4757</v>
      </c>
      <c r="H16" s="542" t="s">
        <v>4758</v>
      </c>
      <c r="I16" s="151" t="s">
        <v>1509</v>
      </c>
      <c r="J16" s="494" t="s">
        <v>4759</v>
      </c>
      <c r="K16" s="919">
        <v>45870</v>
      </c>
    </row>
    <row r="17" spans="1:37" ht="15.6" x14ac:dyDescent="0.3">
      <c r="B17" s="965" t="s">
        <v>508</v>
      </c>
      <c r="C17" s="130" t="s">
        <v>509</v>
      </c>
      <c r="D17" s="43" t="s">
        <v>190</v>
      </c>
      <c r="E17" s="126" t="s">
        <v>510</v>
      </c>
      <c r="F17" s="504">
        <v>1</v>
      </c>
      <c r="G17" s="248" t="s">
        <v>4760</v>
      </c>
      <c r="H17" s="542" t="s">
        <v>4761</v>
      </c>
      <c r="I17" s="151" t="s">
        <v>1509</v>
      </c>
      <c r="J17" s="494" t="s">
        <v>4762</v>
      </c>
      <c r="K17" s="919">
        <v>45870</v>
      </c>
    </row>
    <row r="18" spans="1:37" s="58" customFormat="1" ht="15.6" x14ac:dyDescent="0.3">
      <c r="A18" s="132"/>
      <c r="B18" s="965" t="s">
        <v>561</v>
      </c>
      <c r="C18" s="130" t="s">
        <v>509</v>
      </c>
      <c r="D18" s="43" t="s">
        <v>190</v>
      </c>
      <c r="E18" s="126" t="s">
        <v>510</v>
      </c>
      <c r="F18" s="504">
        <v>1</v>
      </c>
      <c r="G18" s="248" t="s">
        <v>4763</v>
      </c>
      <c r="H18" s="542" t="s">
        <v>4764</v>
      </c>
      <c r="I18" s="319" t="s">
        <v>1509</v>
      </c>
      <c r="J18" s="494" t="s">
        <v>4765</v>
      </c>
      <c r="K18" s="919">
        <v>45870</v>
      </c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</row>
    <row r="19" spans="1:37" s="58" customFormat="1" ht="15.6" x14ac:dyDescent="0.3">
      <c r="A19" s="132"/>
      <c r="B19" s="965" t="s">
        <v>561</v>
      </c>
      <c r="C19" s="130" t="s">
        <v>509</v>
      </c>
      <c r="D19" s="43" t="s">
        <v>190</v>
      </c>
      <c r="E19" s="126" t="s">
        <v>510</v>
      </c>
      <c r="F19" s="504">
        <v>1</v>
      </c>
      <c r="G19" s="248" t="s">
        <v>4766</v>
      </c>
      <c r="H19" s="542" t="s">
        <v>4767</v>
      </c>
      <c r="I19" s="319" t="s">
        <v>1509</v>
      </c>
      <c r="J19" s="494" t="s">
        <v>4768</v>
      </c>
      <c r="K19" s="919">
        <v>45870</v>
      </c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</row>
    <row r="20" spans="1:37" s="58" customFormat="1" ht="15.6" x14ac:dyDescent="0.3">
      <c r="A20" s="132"/>
      <c r="B20" s="1161" t="s">
        <v>508</v>
      </c>
      <c r="C20" s="1934" t="s">
        <v>509</v>
      </c>
      <c r="D20" s="1943" t="s">
        <v>190</v>
      </c>
      <c r="E20" s="1951" t="s">
        <v>510</v>
      </c>
      <c r="F20" s="504">
        <v>1</v>
      </c>
      <c r="G20" s="811" t="s">
        <v>4769</v>
      </c>
      <c r="H20" s="812" t="s">
        <v>4770</v>
      </c>
      <c r="I20" s="1986" t="s">
        <v>1509</v>
      </c>
      <c r="J20" s="1162" t="s">
        <v>4771</v>
      </c>
      <c r="K20" s="919">
        <v>45870</v>
      </c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</row>
    <row r="21" spans="1:37" ht="7.5" customHeight="1" x14ac:dyDescent="0.3">
      <c r="B21" s="1921" t="s">
        <v>561</v>
      </c>
      <c r="C21" s="142" t="s">
        <v>509</v>
      </c>
      <c r="D21" s="143" t="s">
        <v>190</v>
      </c>
      <c r="E21" s="144" t="s">
        <v>510</v>
      </c>
      <c r="F21" s="1143">
        <v>1</v>
      </c>
      <c r="G21" s="1965" t="s">
        <v>4772</v>
      </c>
      <c r="H21" s="1973" t="s">
        <v>4773</v>
      </c>
      <c r="I21" s="515" t="s">
        <v>1509</v>
      </c>
      <c r="J21" s="524" t="s">
        <v>4774</v>
      </c>
      <c r="K21" s="919">
        <v>45870</v>
      </c>
    </row>
    <row r="22" spans="1:37" ht="15.6" x14ac:dyDescent="0.3">
      <c r="B22" s="786" t="s">
        <v>508</v>
      </c>
      <c r="C22" s="129" t="s">
        <v>509</v>
      </c>
      <c r="D22" s="127" t="s">
        <v>190</v>
      </c>
      <c r="E22" s="125" t="s">
        <v>510</v>
      </c>
      <c r="F22" s="490">
        <v>1</v>
      </c>
      <c r="G22" s="296" t="s">
        <v>4775</v>
      </c>
      <c r="H22" s="596" t="s">
        <v>4761</v>
      </c>
      <c r="I22" s="131" t="s">
        <v>1509</v>
      </c>
      <c r="J22" s="525" t="s">
        <v>4776</v>
      </c>
      <c r="K22" s="919">
        <v>45870</v>
      </c>
    </row>
    <row r="23" spans="1:37" ht="15.6" x14ac:dyDescent="0.3">
      <c r="B23" s="965" t="s">
        <v>561</v>
      </c>
      <c r="C23" s="130" t="s">
        <v>509</v>
      </c>
      <c r="D23" s="43" t="s">
        <v>190</v>
      </c>
      <c r="E23" s="126" t="s">
        <v>510</v>
      </c>
      <c r="F23" s="504">
        <v>1</v>
      </c>
      <c r="G23" s="248" t="s">
        <v>4777</v>
      </c>
      <c r="H23" s="542" t="s">
        <v>4778</v>
      </c>
      <c r="I23" s="151" t="s">
        <v>1509</v>
      </c>
      <c r="J23" s="494" t="s">
        <v>4779</v>
      </c>
      <c r="K23" s="919">
        <v>45870</v>
      </c>
    </row>
    <row r="24" spans="1:37" ht="15.6" x14ac:dyDescent="0.3">
      <c r="B24" s="965" t="s">
        <v>508</v>
      </c>
      <c r="C24" s="130" t="s">
        <v>509</v>
      </c>
      <c r="D24" s="43" t="s">
        <v>190</v>
      </c>
      <c r="E24" s="126" t="s">
        <v>510</v>
      </c>
      <c r="F24" s="504">
        <v>1</v>
      </c>
      <c r="G24" s="248" t="s">
        <v>4780</v>
      </c>
      <c r="H24" s="542" t="s">
        <v>4781</v>
      </c>
      <c r="I24" s="151" t="s">
        <v>1509</v>
      </c>
      <c r="J24" s="494" t="s">
        <v>4782</v>
      </c>
      <c r="K24" s="919">
        <v>45870</v>
      </c>
    </row>
    <row r="25" spans="1:37" ht="15.6" x14ac:dyDescent="0.3">
      <c r="B25" s="965" t="s">
        <v>508</v>
      </c>
      <c r="C25" s="130" t="s">
        <v>509</v>
      </c>
      <c r="D25" s="43" t="s">
        <v>190</v>
      </c>
      <c r="E25" s="126" t="s">
        <v>515</v>
      </c>
      <c r="F25" s="504">
        <v>1</v>
      </c>
      <c r="G25" s="248" t="s">
        <v>4783</v>
      </c>
      <c r="H25" s="542" t="s">
        <v>4784</v>
      </c>
      <c r="I25" s="151" t="s">
        <v>1509</v>
      </c>
      <c r="J25" s="494" t="s">
        <v>4785</v>
      </c>
      <c r="K25" s="919">
        <v>45870</v>
      </c>
    </row>
    <row r="26" spans="1:37" ht="15.6" x14ac:dyDescent="0.3">
      <c r="B26" s="965" t="s">
        <v>561</v>
      </c>
      <c r="C26" s="130" t="s">
        <v>509</v>
      </c>
      <c r="D26" s="43" t="s">
        <v>190</v>
      </c>
      <c r="E26" s="126" t="s">
        <v>515</v>
      </c>
      <c r="F26" s="504">
        <v>1</v>
      </c>
      <c r="G26" s="248" t="s">
        <v>4786</v>
      </c>
      <c r="H26" s="542" t="s">
        <v>4787</v>
      </c>
      <c r="I26" s="151" t="s">
        <v>1509</v>
      </c>
      <c r="J26" s="494" t="s">
        <v>4788</v>
      </c>
      <c r="K26" s="919">
        <v>45870</v>
      </c>
    </row>
    <row r="27" spans="1:37" ht="15.6" x14ac:dyDescent="0.3">
      <c r="B27" s="965" t="s">
        <v>508</v>
      </c>
      <c r="C27" s="130" t="s">
        <v>509</v>
      </c>
      <c r="D27" s="43" t="s">
        <v>190</v>
      </c>
      <c r="E27" s="126" t="s">
        <v>515</v>
      </c>
      <c r="F27" s="504">
        <v>1</v>
      </c>
      <c r="G27" s="248" t="s">
        <v>4789</v>
      </c>
      <c r="H27" s="542" t="s">
        <v>4773</v>
      </c>
      <c r="I27" s="151" t="s">
        <v>1509</v>
      </c>
      <c r="J27" s="494" t="s">
        <v>4790</v>
      </c>
      <c r="K27" s="919">
        <v>45870</v>
      </c>
    </row>
    <row r="28" spans="1:37" ht="15.6" x14ac:dyDescent="0.3">
      <c r="B28" s="965" t="s">
        <v>561</v>
      </c>
      <c r="C28" s="130" t="s">
        <v>509</v>
      </c>
      <c r="D28" s="43" t="s">
        <v>190</v>
      </c>
      <c r="E28" s="126" t="s">
        <v>515</v>
      </c>
      <c r="F28" s="504">
        <v>1</v>
      </c>
      <c r="G28" s="248" t="s">
        <v>4791</v>
      </c>
      <c r="H28" s="542" t="s">
        <v>4761</v>
      </c>
      <c r="I28" s="151" t="s">
        <v>1509</v>
      </c>
      <c r="J28" s="494" t="s">
        <v>4792</v>
      </c>
      <c r="K28" s="919">
        <v>45870</v>
      </c>
    </row>
    <row r="29" spans="1:37" ht="15.6" x14ac:dyDescent="0.3">
      <c r="B29" s="965" t="s">
        <v>508</v>
      </c>
      <c r="C29" s="130" t="s">
        <v>509</v>
      </c>
      <c r="D29" s="43" t="s">
        <v>190</v>
      </c>
      <c r="E29" s="126" t="s">
        <v>515</v>
      </c>
      <c r="F29" s="504">
        <v>1</v>
      </c>
      <c r="G29" s="248" t="s">
        <v>4793</v>
      </c>
      <c r="H29" s="542" t="s">
        <v>4794</v>
      </c>
      <c r="I29" s="151" t="s">
        <v>1509</v>
      </c>
      <c r="J29" s="494" t="s">
        <v>4795</v>
      </c>
      <c r="K29" s="919">
        <v>45870</v>
      </c>
    </row>
    <row r="30" spans="1:37" ht="15.6" x14ac:dyDescent="0.3">
      <c r="B30" s="965" t="s">
        <v>508</v>
      </c>
      <c r="C30" s="130" t="s">
        <v>509</v>
      </c>
      <c r="D30" s="43" t="s">
        <v>190</v>
      </c>
      <c r="E30" s="126" t="s">
        <v>510</v>
      </c>
      <c r="F30" s="504">
        <v>1</v>
      </c>
      <c r="G30" s="248" t="s">
        <v>4796</v>
      </c>
      <c r="H30" s="542" t="s">
        <v>4797</v>
      </c>
      <c r="I30" s="151" t="s">
        <v>940</v>
      </c>
      <c r="J30" s="494" t="s">
        <v>4798</v>
      </c>
      <c r="K30" s="919">
        <v>45901</v>
      </c>
    </row>
    <row r="31" spans="1:37" ht="15.6" x14ac:dyDescent="0.3">
      <c r="B31" s="965" t="s">
        <v>561</v>
      </c>
      <c r="C31" s="130" t="s">
        <v>509</v>
      </c>
      <c r="D31" s="43" t="s">
        <v>190</v>
      </c>
      <c r="E31" s="126" t="s">
        <v>510</v>
      </c>
      <c r="F31" s="504">
        <v>1</v>
      </c>
      <c r="G31" s="248" t="s">
        <v>4799</v>
      </c>
      <c r="H31" s="542" t="s">
        <v>4800</v>
      </c>
      <c r="I31" s="151" t="s">
        <v>940</v>
      </c>
      <c r="J31" s="494" t="s">
        <v>4801</v>
      </c>
      <c r="K31" s="919">
        <v>45901</v>
      </c>
    </row>
    <row r="32" spans="1:37" ht="15.6" x14ac:dyDescent="0.3">
      <c r="B32" s="965" t="s">
        <v>508</v>
      </c>
      <c r="C32" s="130" t="s">
        <v>509</v>
      </c>
      <c r="D32" s="43" t="s">
        <v>190</v>
      </c>
      <c r="E32" s="126" t="s">
        <v>510</v>
      </c>
      <c r="F32" s="504">
        <v>1</v>
      </c>
      <c r="G32" s="248" t="s">
        <v>4802</v>
      </c>
      <c r="H32" s="542" t="s">
        <v>4803</v>
      </c>
      <c r="I32" s="151" t="s">
        <v>940</v>
      </c>
      <c r="J32" s="494" t="s">
        <v>4804</v>
      </c>
      <c r="K32" s="919">
        <v>45901</v>
      </c>
    </row>
    <row r="33" spans="2:12" ht="15.6" x14ac:dyDescent="0.3">
      <c r="B33" s="965" t="s">
        <v>561</v>
      </c>
      <c r="C33" s="130" t="s">
        <v>509</v>
      </c>
      <c r="D33" s="43" t="s">
        <v>190</v>
      </c>
      <c r="E33" s="126" t="s">
        <v>510</v>
      </c>
      <c r="F33" s="504">
        <v>1</v>
      </c>
      <c r="G33" s="248" t="s">
        <v>4805</v>
      </c>
      <c r="H33" s="542" t="s">
        <v>4806</v>
      </c>
      <c r="I33" s="151" t="s">
        <v>940</v>
      </c>
      <c r="J33" s="494" t="s">
        <v>4807</v>
      </c>
      <c r="K33" s="919">
        <v>45901</v>
      </c>
    </row>
    <row r="34" spans="2:12" ht="15.6" x14ac:dyDescent="0.3">
      <c r="B34" s="965" t="s">
        <v>508</v>
      </c>
      <c r="C34" s="130" t="s">
        <v>509</v>
      </c>
      <c r="D34" s="43" t="s">
        <v>190</v>
      </c>
      <c r="E34" s="126" t="s">
        <v>510</v>
      </c>
      <c r="F34" s="504">
        <v>1</v>
      </c>
      <c r="G34" s="248" t="s">
        <v>4808</v>
      </c>
      <c r="H34" s="542" t="s">
        <v>4809</v>
      </c>
      <c r="I34" s="151" t="s">
        <v>940</v>
      </c>
      <c r="J34" s="494" t="s">
        <v>4810</v>
      </c>
      <c r="K34" s="919">
        <v>45901</v>
      </c>
      <c r="L34"/>
    </row>
    <row r="35" spans="2:12" ht="15.6" x14ac:dyDescent="0.3">
      <c r="B35" s="965" t="s">
        <v>561</v>
      </c>
      <c r="C35" s="130" t="s">
        <v>509</v>
      </c>
      <c r="D35" s="43" t="s">
        <v>190</v>
      </c>
      <c r="E35" s="126" t="s">
        <v>510</v>
      </c>
      <c r="F35" s="504">
        <v>1</v>
      </c>
      <c r="G35" s="248" t="s">
        <v>4811</v>
      </c>
      <c r="H35" s="542" t="s">
        <v>4812</v>
      </c>
      <c r="I35" s="151" t="s">
        <v>940</v>
      </c>
      <c r="J35" s="494" t="s">
        <v>4813</v>
      </c>
      <c r="K35" s="919">
        <v>45901</v>
      </c>
    </row>
    <row r="36" spans="2:12" ht="15.6" x14ac:dyDescent="0.3">
      <c r="B36" s="965" t="s">
        <v>508</v>
      </c>
      <c r="C36" s="130" t="s">
        <v>509</v>
      </c>
      <c r="D36" s="43" t="s">
        <v>190</v>
      </c>
      <c r="E36" s="126" t="s">
        <v>510</v>
      </c>
      <c r="F36" s="504">
        <v>1</v>
      </c>
      <c r="G36" s="248" t="s">
        <v>4814</v>
      </c>
      <c r="H36" s="542" t="s">
        <v>4815</v>
      </c>
      <c r="I36" s="151" t="s">
        <v>940</v>
      </c>
      <c r="J36" s="494" t="s">
        <v>4816</v>
      </c>
      <c r="K36" s="919">
        <v>45901</v>
      </c>
    </row>
    <row r="37" spans="2:12" ht="15.6" x14ac:dyDescent="0.3">
      <c r="B37" s="965" t="s">
        <v>561</v>
      </c>
      <c r="C37" s="130" t="s">
        <v>509</v>
      </c>
      <c r="D37" s="43" t="s">
        <v>190</v>
      </c>
      <c r="E37" s="126" t="s">
        <v>510</v>
      </c>
      <c r="F37" s="504">
        <v>1</v>
      </c>
      <c r="G37" s="248" t="s">
        <v>4817</v>
      </c>
      <c r="H37" s="542" t="s">
        <v>4818</v>
      </c>
      <c r="I37" s="151" t="s">
        <v>940</v>
      </c>
      <c r="J37" s="494" t="s">
        <v>4819</v>
      </c>
      <c r="K37" s="919">
        <v>45901</v>
      </c>
    </row>
    <row r="38" spans="2:12" ht="15.6" x14ac:dyDescent="0.3">
      <c r="B38" s="965" t="s">
        <v>561</v>
      </c>
      <c r="C38" s="130" t="s">
        <v>509</v>
      </c>
      <c r="D38" s="43" t="s">
        <v>190</v>
      </c>
      <c r="E38" s="126" t="s">
        <v>510</v>
      </c>
      <c r="F38" s="504">
        <v>1</v>
      </c>
      <c r="G38" s="248" t="s">
        <v>4820</v>
      </c>
      <c r="H38" s="542" t="s">
        <v>4821</v>
      </c>
      <c r="I38" s="151" t="s">
        <v>940</v>
      </c>
      <c r="J38" s="494" t="s">
        <v>4822</v>
      </c>
      <c r="K38" s="919">
        <v>45901</v>
      </c>
    </row>
    <row r="39" spans="2:12" ht="15.6" x14ac:dyDescent="0.3">
      <c r="B39" s="965" t="s">
        <v>508</v>
      </c>
      <c r="C39" s="130" t="s">
        <v>509</v>
      </c>
      <c r="D39" s="43" t="s">
        <v>190</v>
      </c>
      <c r="E39" s="126" t="s">
        <v>510</v>
      </c>
      <c r="F39" s="504">
        <v>1</v>
      </c>
      <c r="G39" s="248" t="s">
        <v>4823</v>
      </c>
      <c r="H39" s="542" t="s">
        <v>4824</v>
      </c>
      <c r="I39" s="319" t="s">
        <v>940</v>
      </c>
      <c r="J39" s="494" t="s">
        <v>4825</v>
      </c>
      <c r="K39" s="919">
        <v>45901</v>
      </c>
    </row>
    <row r="40" spans="2:12" ht="15.6" x14ac:dyDescent="0.3">
      <c r="B40" s="965" t="s">
        <v>561</v>
      </c>
      <c r="C40" s="130" t="s">
        <v>509</v>
      </c>
      <c r="D40" s="43" t="s">
        <v>190</v>
      </c>
      <c r="E40" s="126" t="s">
        <v>510</v>
      </c>
      <c r="F40" s="504">
        <v>1</v>
      </c>
      <c r="G40" s="248" t="s">
        <v>4826</v>
      </c>
      <c r="H40" s="542" t="s">
        <v>4827</v>
      </c>
      <c r="I40" s="319" t="s">
        <v>940</v>
      </c>
      <c r="J40" s="494" t="s">
        <v>4828</v>
      </c>
      <c r="K40" s="919">
        <v>45901</v>
      </c>
    </row>
    <row r="41" spans="2:12" ht="15.6" x14ac:dyDescent="0.3">
      <c r="B41" s="965" t="s">
        <v>508</v>
      </c>
      <c r="C41" s="130" t="s">
        <v>509</v>
      </c>
      <c r="D41" s="43" t="s">
        <v>190</v>
      </c>
      <c r="E41" s="126" t="s">
        <v>510</v>
      </c>
      <c r="F41" s="504">
        <v>1</v>
      </c>
      <c r="G41" s="248" t="s">
        <v>4829</v>
      </c>
      <c r="H41" s="542" t="s">
        <v>4830</v>
      </c>
      <c r="I41" s="319" t="s">
        <v>940</v>
      </c>
      <c r="J41" s="494" t="s">
        <v>4831</v>
      </c>
      <c r="K41" s="919">
        <v>45901</v>
      </c>
    </row>
    <row r="42" spans="2:12" ht="15.6" x14ac:dyDescent="0.3">
      <c r="B42" s="965" t="s">
        <v>561</v>
      </c>
      <c r="C42" s="130" t="s">
        <v>509</v>
      </c>
      <c r="D42" s="43" t="s">
        <v>190</v>
      </c>
      <c r="E42" s="126" t="s">
        <v>510</v>
      </c>
      <c r="F42" s="504">
        <v>1</v>
      </c>
      <c r="G42" s="248" t="s">
        <v>4832</v>
      </c>
      <c r="H42" s="542" t="s">
        <v>4833</v>
      </c>
      <c r="I42" s="319" t="s">
        <v>940</v>
      </c>
      <c r="J42" s="494" t="s">
        <v>4834</v>
      </c>
      <c r="K42" s="919">
        <v>45901</v>
      </c>
    </row>
    <row r="43" spans="2:12" ht="15.6" x14ac:dyDescent="0.3">
      <c r="B43" s="965" t="s">
        <v>508</v>
      </c>
      <c r="C43" s="130" t="s">
        <v>509</v>
      </c>
      <c r="D43" s="43" t="s">
        <v>190</v>
      </c>
      <c r="E43" s="126" t="s">
        <v>510</v>
      </c>
      <c r="F43" s="504">
        <v>1</v>
      </c>
      <c r="G43" s="248" t="s">
        <v>4835</v>
      </c>
      <c r="H43" s="542" t="s">
        <v>4836</v>
      </c>
      <c r="I43" s="319" t="s">
        <v>940</v>
      </c>
      <c r="J43" s="494" t="s">
        <v>4837</v>
      </c>
      <c r="K43" s="919">
        <v>45901</v>
      </c>
      <c r="L43"/>
    </row>
    <row r="44" spans="2:12" ht="15.6" x14ac:dyDescent="0.3">
      <c r="B44" s="965" t="s">
        <v>561</v>
      </c>
      <c r="C44" s="130" t="s">
        <v>509</v>
      </c>
      <c r="D44" s="43" t="s">
        <v>190</v>
      </c>
      <c r="E44" s="126" t="s">
        <v>510</v>
      </c>
      <c r="F44" s="504">
        <v>1</v>
      </c>
      <c r="G44" s="248" t="s">
        <v>4838</v>
      </c>
      <c r="H44" s="542" t="s">
        <v>4818</v>
      </c>
      <c r="I44" s="319" t="s">
        <v>940</v>
      </c>
      <c r="J44" s="494" t="s">
        <v>4839</v>
      </c>
      <c r="K44" s="919">
        <v>45901</v>
      </c>
      <c r="L44"/>
    </row>
    <row r="45" spans="2:12" ht="15.6" x14ac:dyDescent="0.3">
      <c r="B45" s="965" t="s">
        <v>561</v>
      </c>
      <c r="C45" s="130" t="s">
        <v>509</v>
      </c>
      <c r="D45" s="43" t="s">
        <v>190</v>
      </c>
      <c r="E45" s="126" t="s">
        <v>515</v>
      </c>
      <c r="F45" s="504">
        <v>1</v>
      </c>
      <c r="G45" s="248" t="s">
        <v>4840</v>
      </c>
      <c r="H45" s="542" t="s">
        <v>4841</v>
      </c>
      <c r="I45" s="319" t="s">
        <v>940</v>
      </c>
      <c r="J45" s="494" t="s">
        <v>4842</v>
      </c>
      <c r="K45" s="919">
        <v>45901</v>
      </c>
    </row>
    <row r="46" spans="2:12" ht="15.6" x14ac:dyDescent="0.3">
      <c r="B46" s="965" t="s">
        <v>508</v>
      </c>
      <c r="C46" s="130" t="s">
        <v>509</v>
      </c>
      <c r="D46" s="43" t="s">
        <v>190</v>
      </c>
      <c r="E46" s="126" t="s">
        <v>515</v>
      </c>
      <c r="F46" s="504">
        <v>1</v>
      </c>
      <c r="G46" s="248" t="s">
        <v>4843</v>
      </c>
      <c r="H46" s="542" t="s">
        <v>4844</v>
      </c>
      <c r="I46" s="319" t="s">
        <v>940</v>
      </c>
      <c r="J46" s="494" t="s">
        <v>4845</v>
      </c>
      <c r="K46" s="919">
        <v>45901</v>
      </c>
    </row>
    <row r="47" spans="2:12" ht="15.6" x14ac:dyDescent="0.3">
      <c r="B47" s="965" t="s">
        <v>561</v>
      </c>
      <c r="C47" s="130" t="s">
        <v>509</v>
      </c>
      <c r="D47" s="43" t="s">
        <v>190</v>
      </c>
      <c r="E47" s="126" t="s">
        <v>515</v>
      </c>
      <c r="F47" s="504">
        <v>1</v>
      </c>
      <c r="G47" s="248" t="s">
        <v>4846</v>
      </c>
      <c r="H47" s="542" t="s">
        <v>4847</v>
      </c>
      <c r="I47" s="319" t="s">
        <v>940</v>
      </c>
      <c r="J47" s="494" t="s">
        <v>4848</v>
      </c>
      <c r="K47" s="919">
        <v>45901</v>
      </c>
    </row>
    <row r="48" spans="2:12" ht="15.6" x14ac:dyDescent="0.3">
      <c r="B48" s="965" t="s">
        <v>508</v>
      </c>
      <c r="C48" s="130" t="s">
        <v>509</v>
      </c>
      <c r="D48" s="43" t="s">
        <v>190</v>
      </c>
      <c r="E48" s="126" t="s">
        <v>515</v>
      </c>
      <c r="F48" s="504">
        <v>1</v>
      </c>
      <c r="G48" s="248" t="s">
        <v>4849</v>
      </c>
      <c r="H48" s="542" t="s">
        <v>4850</v>
      </c>
      <c r="I48" s="319" t="s">
        <v>940</v>
      </c>
      <c r="J48" s="494" t="s">
        <v>4851</v>
      </c>
      <c r="K48" s="919">
        <v>45901</v>
      </c>
      <c r="L48"/>
    </row>
    <row r="49" spans="1:37" ht="15.6" x14ac:dyDescent="0.3">
      <c r="B49" s="965" t="s">
        <v>561</v>
      </c>
      <c r="C49" s="130" t="s">
        <v>509</v>
      </c>
      <c r="D49" s="43" t="s">
        <v>190</v>
      </c>
      <c r="E49" s="126" t="s">
        <v>515</v>
      </c>
      <c r="F49" s="504">
        <v>1</v>
      </c>
      <c r="G49" s="248" t="s">
        <v>4852</v>
      </c>
      <c r="H49" s="542" t="s">
        <v>4853</v>
      </c>
      <c r="I49" s="151" t="s">
        <v>940</v>
      </c>
      <c r="J49" s="494" t="s">
        <v>4854</v>
      </c>
      <c r="K49" s="919">
        <v>45901</v>
      </c>
      <c r="L49"/>
    </row>
    <row r="50" spans="1:37" ht="15.6" x14ac:dyDescent="0.3">
      <c r="B50" s="965" t="s">
        <v>561</v>
      </c>
      <c r="C50" s="130" t="s">
        <v>509</v>
      </c>
      <c r="D50" s="43" t="s">
        <v>190</v>
      </c>
      <c r="E50" s="126" t="s">
        <v>515</v>
      </c>
      <c r="F50" s="504">
        <v>1</v>
      </c>
      <c r="G50" s="248" t="s">
        <v>4855</v>
      </c>
      <c r="H50" s="542" t="s">
        <v>4856</v>
      </c>
      <c r="I50" s="151" t="s">
        <v>940</v>
      </c>
      <c r="J50" s="494" t="s">
        <v>4857</v>
      </c>
      <c r="K50" s="919">
        <v>45901</v>
      </c>
      <c r="L50"/>
    </row>
    <row r="51" spans="1:37" s="58" customFormat="1" ht="15.6" x14ac:dyDescent="0.3">
      <c r="A51" s="132"/>
      <c r="B51" s="965" t="s">
        <v>508</v>
      </c>
      <c r="C51" s="130" t="s">
        <v>509</v>
      </c>
      <c r="D51" s="43" t="s">
        <v>190</v>
      </c>
      <c r="E51" s="126" t="s">
        <v>515</v>
      </c>
      <c r="F51" s="504">
        <v>1</v>
      </c>
      <c r="G51" s="248" t="s">
        <v>4858</v>
      </c>
      <c r="H51" s="542" t="s">
        <v>4859</v>
      </c>
      <c r="I51" s="319" t="s">
        <v>940</v>
      </c>
      <c r="J51" s="494" t="s">
        <v>4860</v>
      </c>
      <c r="K51" s="919">
        <v>45901</v>
      </c>
      <c r="L51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</row>
    <row r="52" spans="1:37" s="58" customFormat="1" ht="15.6" x14ac:dyDescent="0.3">
      <c r="A52" s="132"/>
      <c r="B52" s="965" t="s">
        <v>561</v>
      </c>
      <c r="C52" s="130" t="s">
        <v>509</v>
      </c>
      <c r="D52" s="43" t="s">
        <v>190</v>
      </c>
      <c r="E52" s="126" t="s">
        <v>515</v>
      </c>
      <c r="F52" s="504">
        <v>1</v>
      </c>
      <c r="G52" s="248" t="s">
        <v>4861</v>
      </c>
      <c r="H52" s="542" t="s">
        <v>4815</v>
      </c>
      <c r="I52" s="319" t="s">
        <v>940</v>
      </c>
      <c r="J52" s="494" t="s">
        <v>4862</v>
      </c>
      <c r="K52" s="919">
        <v>45901</v>
      </c>
      <c r="L5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</row>
    <row r="53" spans="1:37" s="58" customFormat="1" ht="15.6" x14ac:dyDescent="0.3">
      <c r="A53" s="132"/>
      <c r="B53" s="1161" t="s">
        <v>508</v>
      </c>
      <c r="C53" s="1934" t="s">
        <v>509</v>
      </c>
      <c r="D53" s="1943" t="s">
        <v>190</v>
      </c>
      <c r="E53" s="1951" t="s">
        <v>515</v>
      </c>
      <c r="F53" s="1959">
        <v>1</v>
      </c>
      <c r="G53" s="811" t="s">
        <v>4863</v>
      </c>
      <c r="H53" s="812" t="s">
        <v>3854</v>
      </c>
      <c r="I53" s="1986" t="s">
        <v>940</v>
      </c>
      <c r="J53" s="1162" t="s">
        <v>4864</v>
      </c>
      <c r="K53" s="919">
        <v>45901</v>
      </c>
      <c r="L53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</row>
    <row r="54" spans="1:37" ht="21" customHeight="1" x14ac:dyDescent="0.3">
      <c r="B54" s="1921" t="s">
        <v>561</v>
      </c>
      <c r="C54" s="142" t="s">
        <v>509</v>
      </c>
      <c r="D54" s="143" t="s">
        <v>190</v>
      </c>
      <c r="E54" s="144" t="s">
        <v>510</v>
      </c>
      <c r="F54" s="1143">
        <v>1</v>
      </c>
      <c r="G54" s="1965" t="s">
        <v>4865</v>
      </c>
      <c r="H54" s="1973" t="s">
        <v>4866</v>
      </c>
      <c r="I54" s="515" t="s">
        <v>1026</v>
      </c>
      <c r="J54" s="524" t="s">
        <v>4867</v>
      </c>
      <c r="K54" s="919">
        <v>45931</v>
      </c>
      <c r="L54"/>
    </row>
    <row r="55" spans="1:37" ht="15.6" customHeight="1" x14ac:dyDescent="0.3">
      <c r="B55" s="786" t="s">
        <v>508</v>
      </c>
      <c r="C55" s="129" t="s">
        <v>509</v>
      </c>
      <c r="D55" s="127" t="s">
        <v>190</v>
      </c>
      <c r="E55" s="125" t="s">
        <v>510</v>
      </c>
      <c r="F55" s="490">
        <v>1</v>
      </c>
      <c r="G55" s="296" t="s">
        <v>4868</v>
      </c>
      <c r="H55" s="596" t="s">
        <v>4869</v>
      </c>
      <c r="I55" s="131" t="s">
        <v>1026</v>
      </c>
      <c r="J55" s="525" t="s">
        <v>4870</v>
      </c>
      <c r="K55" s="919">
        <v>45931</v>
      </c>
      <c r="L55"/>
    </row>
    <row r="56" spans="1:37" ht="18" customHeight="1" x14ac:dyDescent="0.3">
      <c r="B56" s="965" t="s">
        <v>508</v>
      </c>
      <c r="C56" s="130" t="s">
        <v>509</v>
      </c>
      <c r="D56" s="43" t="s">
        <v>190</v>
      </c>
      <c r="E56" s="126" t="s">
        <v>510</v>
      </c>
      <c r="F56" s="504">
        <v>1</v>
      </c>
      <c r="G56" s="248" t="s">
        <v>4871</v>
      </c>
      <c r="H56" s="542" t="s">
        <v>4872</v>
      </c>
      <c r="I56" s="151" t="s">
        <v>1026</v>
      </c>
      <c r="J56" s="494" t="s">
        <v>4873</v>
      </c>
      <c r="K56" s="919">
        <v>45931</v>
      </c>
      <c r="L56"/>
    </row>
    <row r="57" spans="1:37" ht="15.6" x14ac:dyDescent="0.3">
      <c r="B57" s="965" t="s">
        <v>508</v>
      </c>
      <c r="C57" s="130" t="s">
        <v>509</v>
      </c>
      <c r="D57" s="43" t="s">
        <v>190</v>
      </c>
      <c r="E57" s="126" t="s">
        <v>510</v>
      </c>
      <c r="F57" s="504">
        <v>1</v>
      </c>
      <c r="G57" s="248" t="s">
        <v>4874</v>
      </c>
      <c r="H57" s="542" t="s">
        <v>4875</v>
      </c>
      <c r="I57" s="151" t="s">
        <v>1026</v>
      </c>
      <c r="J57" s="494" t="s">
        <v>4876</v>
      </c>
      <c r="K57" s="919">
        <v>45931</v>
      </c>
      <c r="L57"/>
    </row>
    <row r="58" spans="1:37" ht="15.6" x14ac:dyDescent="0.3">
      <c r="B58" s="965" t="s">
        <v>508</v>
      </c>
      <c r="C58" s="130" t="s">
        <v>509</v>
      </c>
      <c r="D58" s="43" t="s">
        <v>190</v>
      </c>
      <c r="E58" s="126" t="s">
        <v>510</v>
      </c>
      <c r="F58" s="504">
        <v>1</v>
      </c>
      <c r="G58" s="248" t="s">
        <v>4877</v>
      </c>
      <c r="H58" s="542" t="s">
        <v>4878</v>
      </c>
      <c r="I58" s="151" t="s">
        <v>1026</v>
      </c>
      <c r="J58" s="494" t="s">
        <v>4879</v>
      </c>
      <c r="K58" s="919">
        <v>45931</v>
      </c>
      <c r="L58"/>
    </row>
    <row r="59" spans="1:37" ht="15.6" x14ac:dyDescent="0.3">
      <c r="B59" s="965" t="s">
        <v>508</v>
      </c>
      <c r="C59" s="130" t="s">
        <v>509</v>
      </c>
      <c r="D59" s="43" t="s">
        <v>190</v>
      </c>
      <c r="E59" s="126" t="s">
        <v>510</v>
      </c>
      <c r="F59" s="504">
        <v>1</v>
      </c>
      <c r="G59" s="248" t="s">
        <v>4880</v>
      </c>
      <c r="H59" s="542" t="s">
        <v>4881</v>
      </c>
      <c r="I59" s="151" t="s">
        <v>1026</v>
      </c>
      <c r="J59" s="494" t="s">
        <v>4882</v>
      </c>
      <c r="K59" s="919">
        <v>45931</v>
      </c>
      <c r="L59"/>
    </row>
    <row r="60" spans="1:37" ht="15.6" x14ac:dyDescent="0.3">
      <c r="B60" s="965" t="s">
        <v>508</v>
      </c>
      <c r="C60" s="130" t="s">
        <v>509</v>
      </c>
      <c r="D60" s="43" t="s">
        <v>190</v>
      </c>
      <c r="E60" s="126" t="s">
        <v>510</v>
      </c>
      <c r="F60" s="504">
        <v>1</v>
      </c>
      <c r="G60" s="248" t="s">
        <v>4883</v>
      </c>
      <c r="H60" s="542" t="s">
        <v>4884</v>
      </c>
      <c r="I60" s="151" t="s">
        <v>1026</v>
      </c>
      <c r="J60" s="494" t="s">
        <v>4885</v>
      </c>
      <c r="K60" s="919">
        <v>45931</v>
      </c>
      <c r="L60"/>
    </row>
    <row r="61" spans="1:37" ht="15.6" x14ac:dyDescent="0.3">
      <c r="B61" s="965" t="s">
        <v>508</v>
      </c>
      <c r="C61" s="130" t="s">
        <v>509</v>
      </c>
      <c r="D61" s="43" t="s">
        <v>190</v>
      </c>
      <c r="E61" s="126" t="s">
        <v>510</v>
      </c>
      <c r="F61" s="504">
        <v>1</v>
      </c>
      <c r="G61" s="248" t="s">
        <v>4886</v>
      </c>
      <c r="H61" s="542" t="s">
        <v>4887</v>
      </c>
      <c r="I61" s="151" t="s">
        <v>1026</v>
      </c>
      <c r="J61" s="494" t="s">
        <v>4888</v>
      </c>
      <c r="K61" s="919">
        <v>45931</v>
      </c>
      <c r="L61"/>
    </row>
    <row r="62" spans="1:37" ht="15.6" x14ac:dyDescent="0.3">
      <c r="B62" s="965" t="s">
        <v>508</v>
      </c>
      <c r="C62" s="130" t="s">
        <v>509</v>
      </c>
      <c r="D62" s="43" t="s">
        <v>190</v>
      </c>
      <c r="E62" s="126" t="s">
        <v>510</v>
      </c>
      <c r="F62" s="504">
        <v>1</v>
      </c>
      <c r="G62" s="248" t="s">
        <v>4889</v>
      </c>
      <c r="H62" s="542" t="s">
        <v>4890</v>
      </c>
      <c r="I62" s="151" t="s">
        <v>1026</v>
      </c>
      <c r="J62" s="494" t="s">
        <v>4891</v>
      </c>
      <c r="K62" s="919">
        <v>45931</v>
      </c>
      <c r="L62"/>
    </row>
    <row r="63" spans="1:37" ht="15.6" x14ac:dyDescent="0.3">
      <c r="B63" s="965" t="s">
        <v>561</v>
      </c>
      <c r="C63" s="130" t="s">
        <v>509</v>
      </c>
      <c r="D63" s="43" t="s">
        <v>190</v>
      </c>
      <c r="E63" s="126" t="s">
        <v>510</v>
      </c>
      <c r="F63" s="504">
        <v>1</v>
      </c>
      <c r="G63" s="248" t="s">
        <v>4892</v>
      </c>
      <c r="H63" s="542" t="s">
        <v>4893</v>
      </c>
      <c r="I63" s="151" t="s">
        <v>1026</v>
      </c>
      <c r="J63" s="494" t="s">
        <v>4894</v>
      </c>
      <c r="K63" s="919">
        <v>45931</v>
      </c>
      <c r="L63"/>
    </row>
    <row r="64" spans="1:37" s="481" customFormat="1" ht="15.6" x14ac:dyDescent="0.3">
      <c r="A64" s="132"/>
      <c r="B64" s="965" t="s">
        <v>508</v>
      </c>
      <c r="C64" s="130" t="s">
        <v>509</v>
      </c>
      <c r="D64" s="43" t="s">
        <v>190</v>
      </c>
      <c r="E64" s="126" t="s">
        <v>510</v>
      </c>
      <c r="F64" s="504">
        <v>1</v>
      </c>
      <c r="G64" s="248" t="s">
        <v>4895</v>
      </c>
      <c r="H64" s="542" t="s">
        <v>4896</v>
      </c>
      <c r="I64" s="151" t="s">
        <v>1026</v>
      </c>
      <c r="J64" s="494" t="s">
        <v>4897</v>
      </c>
      <c r="K64" s="919">
        <v>45931</v>
      </c>
      <c r="L64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</row>
    <row r="65" spans="2:12" ht="15.6" x14ac:dyDescent="0.3">
      <c r="B65" s="965" t="s">
        <v>561</v>
      </c>
      <c r="C65" s="130" t="s">
        <v>509</v>
      </c>
      <c r="D65" s="43" t="s">
        <v>190</v>
      </c>
      <c r="E65" s="126" t="s">
        <v>510</v>
      </c>
      <c r="F65" s="504">
        <v>1</v>
      </c>
      <c r="G65" s="248" t="s">
        <v>4898</v>
      </c>
      <c r="H65" s="542" t="s">
        <v>4899</v>
      </c>
      <c r="I65" s="151" t="s">
        <v>1026</v>
      </c>
      <c r="J65" s="494" t="s">
        <v>4900</v>
      </c>
      <c r="K65" s="919">
        <v>45931</v>
      </c>
      <c r="L65"/>
    </row>
    <row r="66" spans="2:12" ht="15.6" x14ac:dyDescent="0.3">
      <c r="B66" s="965" t="s">
        <v>508</v>
      </c>
      <c r="C66" s="130" t="s">
        <v>509</v>
      </c>
      <c r="D66" s="43" t="s">
        <v>190</v>
      </c>
      <c r="E66" s="126" t="s">
        <v>510</v>
      </c>
      <c r="F66" s="504">
        <v>1</v>
      </c>
      <c r="G66" s="248" t="s">
        <v>4901</v>
      </c>
      <c r="H66" s="542" t="s">
        <v>4902</v>
      </c>
      <c r="I66" s="319" t="s">
        <v>1026</v>
      </c>
      <c r="J66" s="494" t="s">
        <v>4903</v>
      </c>
      <c r="K66" s="919">
        <v>45931</v>
      </c>
      <c r="L66"/>
    </row>
    <row r="67" spans="2:12" ht="15.6" x14ac:dyDescent="0.3">
      <c r="B67" s="965" t="s">
        <v>561</v>
      </c>
      <c r="C67" s="130" t="s">
        <v>509</v>
      </c>
      <c r="D67" s="43" t="s">
        <v>190</v>
      </c>
      <c r="E67" s="126" t="s">
        <v>510</v>
      </c>
      <c r="F67" s="504">
        <v>1</v>
      </c>
      <c r="G67" s="248" t="s">
        <v>4904</v>
      </c>
      <c r="H67" s="542" t="s">
        <v>4905</v>
      </c>
      <c r="I67" s="319" t="s">
        <v>1026</v>
      </c>
      <c r="J67" s="494" t="s">
        <v>4906</v>
      </c>
      <c r="K67" s="919">
        <v>45931</v>
      </c>
      <c r="L67"/>
    </row>
    <row r="68" spans="2:12" ht="15.6" x14ac:dyDescent="0.3">
      <c r="B68" s="965" t="s">
        <v>508</v>
      </c>
      <c r="C68" s="130" t="s">
        <v>509</v>
      </c>
      <c r="D68" s="43" t="s">
        <v>190</v>
      </c>
      <c r="E68" s="126" t="s">
        <v>510</v>
      </c>
      <c r="F68" s="504">
        <v>1</v>
      </c>
      <c r="G68" s="248" t="s">
        <v>4907</v>
      </c>
      <c r="H68" s="542" t="s">
        <v>4908</v>
      </c>
      <c r="I68" s="319" t="s">
        <v>1026</v>
      </c>
      <c r="J68" s="494" t="s">
        <v>4909</v>
      </c>
      <c r="K68" s="919">
        <v>45931</v>
      </c>
      <c r="L68"/>
    </row>
    <row r="69" spans="2:12" ht="15.6" x14ac:dyDescent="0.3">
      <c r="B69" s="965" t="s">
        <v>561</v>
      </c>
      <c r="C69" s="130" t="s">
        <v>509</v>
      </c>
      <c r="D69" s="43" t="s">
        <v>190</v>
      </c>
      <c r="E69" s="126" t="s">
        <v>515</v>
      </c>
      <c r="F69" s="504">
        <v>1</v>
      </c>
      <c r="G69" s="248" t="s">
        <v>4910</v>
      </c>
      <c r="H69" s="542" t="s">
        <v>4893</v>
      </c>
      <c r="I69" s="319" t="s">
        <v>1026</v>
      </c>
      <c r="J69" s="494" t="s">
        <v>4911</v>
      </c>
      <c r="K69" s="919">
        <v>45931</v>
      </c>
      <c r="L69"/>
    </row>
    <row r="70" spans="2:12" ht="15.6" x14ac:dyDescent="0.3">
      <c r="B70" s="965" t="s">
        <v>508</v>
      </c>
      <c r="C70" s="130" t="s">
        <v>509</v>
      </c>
      <c r="D70" s="43" t="s">
        <v>190</v>
      </c>
      <c r="E70" s="126" t="s">
        <v>515</v>
      </c>
      <c r="F70" s="504">
        <v>1</v>
      </c>
      <c r="G70" s="248" t="s">
        <v>4912</v>
      </c>
      <c r="H70" s="542" t="s">
        <v>4913</v>
      </c>
      <c r="I70" s="319" t="s">
        <v>1026</v>
      </c>
      <c r="J70" s="494" t="s">
        <v>4914</v>
      </c>
      <c r="K70" s="919">
        <v>45931</v>
      </c>
      <c r="L70"/>
    </row>
    <row r="71" spans="2:12" ht="15.6" x14ac:dyDescent="0.3">
      <c r="B71" s="965" t="s">
        <v>561</v>
      </c>
      <c r="C71" s="130" t="s">
        <v>509</v>
      </c>
      <c r="D71" s="43" t="s">
        <v>190</v>
      </c>
      <c r="E71" s="126" t="s">
        <v>515</v>
      </c>
      <c r="F71" s="504">
        <v>1</v>
      </c>
      <c r="G71" s="248" t="s">
        <v>4915</v>
      </c>
      <c r="H71" s="542" t="s">
        <v>4916</v>
      </c>
      <c r="I71" s="319" t="s">
        <v>1026</v>
      </c>
      <c r="J71" s="494" t="s">
        <v>4917</v>
      </c>
      <c r="K71" s="919">
        <v>45931</v>
      </c>
      <c r="L71"/>
    </row>
    <row r="72" spans="2:12" ht="15.6" x14ac:dyDescent="0.3">
      <c r="B72" s="965" t="s">
        <v>508</v>
      </c>
      <c r="C72" s="130" t="s">
        <v>509</v>
      </c>
      <c r="D72" s="43" t="s">
        <v>190</v>
      </c>
      <c r="E72" s="126" t="s">
        <v>515</v>
      </c>
      <c r="F72" s="504">
        <v>1</v>
      </c>
      <c r="G72" s="248" t="s">
        <v>4918</v>
      </c>
      <c r="H72" s="542" t="s">
        <v>4919</v>
      </c>
      <c r="I72" s="319" t="s">
        <v>1026</v>
      </c>
      <c r="J72" s="494" t="s">
        <v>4920</v>
      </c>
      <c r="K72" s="919">
        <v>45931</v>
      </c>
      <c r="L72"/>
    </row>
    <row r="73" spans="2:12" ht="15.6" x14ac:dyDescent="0.3">
      <c r="B73" s="965" t="s">
        <v>561</v>
      </c>
      <c r="C73" s="130" t="s">
        <v>509</v>
      </c>
      <c r="D73" s="43" t="s">
        <v>190</v>
      </c>
      <c r="E73" s="126" t="s">
        <v>515</v>
      </c>
      <c r="F73" s="504">
        <v>1</v>
      </c>
      <c r="G73" s="248" t="s">
        <v>4921</v>
      </c>
      <c r="H73" s="542" t="s">
        <v>4908</v>
      </c>
      <c r="I73" s="319" t="s">
        <v>1026</v>
      </c>
      <c r="J73" s="494" t="s">
        <v>4922</v>
      </c>
      <c r="K73" s="919">
        <v>45931</v>
      </c>
    </row>
    <row r="74" spans="2:12" ht="15.6" x14ac:dyDescent="0.3">
      <c r="B74" s="965" t="s">
        <v>561</v>
      </c>
      <c r="C74" s="130" t="s">
        <v>509</v>
      </c>
      <c r="D74" s="43" t="s">
        <v>190</v>
      </c>
      <c r="E74" s="126" t="s">
        <v>515</v>
      </c>
      <c r="F74" s="504">
        <v>1</v>
      </c>
      <c r="G74" s="248" t="s">
        <v>4923</v>
      </c>
      <c r="H74" s="542" t="s">
        <v>4924</v>
      </c>
      <c r="I74" s="319" t="s">
        <v>1026</v>
      </c>
      <c r="J74" s="494" t="s">
        <v>4925</v>
      </c>
      <c r="K74" s="919">
        <v>45931</v>
      </c>
      <c r="L74"/>
    </row>
    <row r="75" spans="2:12" ht="15.6" x14ac:dyDescent="0.3">
      <c r="B75" s="965" t="s">
        <v>508</v>
      </c>
      <c r="C75" s="130" t="s">
        <v>509</v>
      </c>
      <c r="D75" s="43" t="s">
        <v>190</v>
      </c>
      <c r="E75" s="126" t="s">
        <v>515</v>
      </c>
      <c r="F75" s="504">
        <v>1</v>
      </c>
      <c r="G75" s="248" t="s">
        <v>4926</v>
      </c>
      <c r="H75" s="542" t="s">
        <v>4927</v>
      </c>
      <c r="I75" s="319" t="s">
        <v>1026</v>
      </c>
      <c r="J75" s="494" t="s">
        <v>4928</v>
      </c>
      <c r="K75" s="919">
        <v>45931</v>
      </c>
      <c r="L75"/>
    </row>
    <row r="76" spans="2:12" ht="15.6" x14ac:dyDescent="0.3">
      <c r="B76" s="965" t="s">
        <v>561</v>
      </c>
      <c r="C76" s="130" t="s">
        <v>509</v>
      </c>
      <c r="D76" s="43" t="s">
        <v>190</v>
      </c>
      <c r="E76" s="126" t="s">
        <v>515</v>
      </c>
      <c r="F76" s="504">
        <v>1</v>
      </c>
      <c r="G76" s="248" t="s">
        <v>4929</v>
      </c>
      <c r="H76" s="542" t="s">
        <v>4930</v>
      </c>
      <c r="I76" s="319" t="s">
        <v>1026</v>
      </c>
      <c r="J76" s="494" t="s">
        <v>4931</v>
      </c>
      <c r="K76" s="919">
        <v>45931</v>
      </c>
      <c r="L76"/>
    </row>
    <row r="77" spans="2:12" ht="15.6" x14ac:dyDescent="0.3">
      <c r="B77" s="965" t="s">
        <v>508</v>
      </c>
      <c r="C77" s="130" t="s">
        <v>509</v>
      </c>
      <c r="D77" s="43" t="s">
        <v>190</v>
      </c>
      <c r="E77" s="126" t="s">
        <v>515</v>
      </c>
      <c r="F77" s="504">
        <v>1</v>
      </c>
      <c r="G77" s="248" t="s">
        <v>4932</v>
      </c>
      <c r="H77" s="542" t="s">
        <v>4933</v>
      </c>
      <c r="I77" s="319" t="s">
        <v>1026</v>
      </c>
      <c r="J77" s="494" t="s">
        <v>4934</v>
      </c>
      <c r="K77" s="919">
        <v>45931</v>
      </c>
      <c r="L77"/>
    </row>
    <row r="78" spans="2:12" ht="15.6" x14ac:dyDescent="0.3">
      <c r="B78" s="965" t="s">
        <v>561</v>
      </c>
      <c r="C78" s="130" t="s">
        <v>509</v>
      </c>
      <c r="D78" s="43" t="s">
        <v>190</v>
      </c>
      <c r="E78" s="126" t="s">
        <v>515</v>
      </c>
      <c r="F78" s="504">
        <v>1</v>
      </c>
      <c r="G78" s="248" t="s">
        <v>4935</v>
      </c>
      <c r="H78" s="542" t="s">
        <v>4936</v>
      </c>
      <c r="I78" s="319" t="s">
        <v>1026</v>
      </c>
      <c r="J78" s="494" t="s">
        <v>4937</v>
      </c>
      <c r="K78" s="919">
        <v>45931</v>
      </c>
      <c r="L78"/>
    </row>
    <row r="79" spans="2:12" ht="15.6" x14ac:dyDescent="0.3">
      <c r="B79" s="965" t="s">
        <v>508</v>
      </c>
      <c r="C79" s="130" t="s">
        <v>509</v>
      </c>
      <c r="D79" s="43" t="s">
        <v>190</v>
      </c>
      <c r="E79" s="126" t="s">
        <v>515</v>
      </c>
      <c r="F79" s="504">
        <v>1</v>
      </c>
      <c r="G79" s="587" t="s">
        <v>4938</v>
      </c>
      <c r="H79" s="585" t="s">
        <v>4902</v>
      </c>
      <c r="I79" s="319" t="s">
        <v>1026</v>
      </c>
      <c r="J79" s="494" t="s">
        <v>4939</v>
      </c>
      <c r="K79" s="919">
        <v>45931</v>
      </c>
      <c r="L79"/>
    </row>
    <row r="80" spans="2:12" ht="15.6" x14ac:dyDescent="0.3">
      <c r="B80" s="965" t="s">
        <v>561</v>
      </c>
      <c r="C80" s="130" t="s">
        <v>509</v>
      </c>
      <c r="D80" s="43" t="s">
        <v>190</v>
      </c>
      <c r="E80" s="126" t="s">
        <v>515</v>
      </c>
      <c r="F80" s="504">
        <v>1</v>
      </c>
      <c r="G80" s="248" t="s">
        <v>4940</v>
      </c>
      <c r="H80" s="542" t="s">
        <v>4941</v>
      </c>
      <c r="I80" s="319" t="s">
        <v>1026</v>
      </c>
      <c r="J80" s="494" t="s">
        <v>4942</v>
      </c>
      <c r="K80" s="919">
        <v>45931</v>
      </c>
      <c r="L80"/>
    </row>
    <row r="81" spans="1:37" ht="15.6" x14ac:dyDescent="0.3">
      <c r="B81" s="965" t="s">
        <v>508</v>
      </c>
      <c r="C81" s="130" t="s">
        <v>509</v>
      </c>
      <c r="D81" s="43" t="s">
        <v>190</v>
      </c>
      <c r="E81" s="126" t="s">
        <v>515</v>
      </c>
      <c r="F81" s="504">
        <v>1</v>
      </c>
      <c r="G81" s="248" t="s">
        <v>4943</v>
      </c>
      <c r="H81" s="542" t="s">
        <v>4908</v>
      </c>
      <c r="I81" s="319" t="s">
        <v>1026</v>
      </c>
      <c r="J81" s="494" t="s">
        <v>4944</v>
      </c>
      <c r="K81" s="919">
        <v>45931</v>
      </c>
      <c r="L81"/>
    </row>
    <row r="82" spans="1:37" ht="15.6" x14ac:dyDescent="0.3">
      <c r="B82" s="965" t="s">
        <v>561</v>
      </c>
      <c r="C82" s="130" t="s">
        <v>509</v>
      </c>
      <c r="D82" s="43" t="s">
        <v>190</v>
      </c>
      <c r="E82" s="126" t="s">
        <v>510</v>
      </c>
      <c r="F82" s="504">
        <v>1</v>
      </c>
      <c r="G82" s="248" t="s">
        <v>4945</v>
      </c>
      <c r="H82" s="542" t="s">
        <v>4946</v>
      </c>
      <c r="I82" s="151" t="s">
        <v>1282</v>
      </c>
      <c r="J82" s="494" t="s">
        <v>4947</v>
      </c>
      <c r="K82" s="919">
        <v>45962</v>
      </c>
      <c r="L82"/>
    </row>
    <row r="83" spans="1:37" ht="15.6" x14ac:dyDescent="0.3">
      <c r="B83" s="965" t="s">
        <v>508</v>
      </c>
      <c r="C83" s="130" t="s">
        <v>509</v>
      </c>
      <c r="D83" s="43" t="s">
        <v>190</v>
      </c>
      <c r="E83" s="126" t="s">
        <v>510</v>
      </c>
      <c r="F83" s="504">
        <v>1</v>
      </c>
      <c r="G83" s="248" t="s">
        <v>4948</v>
      </c>
      <c r="H83" s="542" t="s">
        <v>4949</v>
      </c>
      <c r="I83" s="319" t="s">
        <v>1282</v>
      </c>
      <c r="J83" s="494" t="s">
        <v>4950</v>
      </c>
      <c r="K83" s="919">
        <v>45962</v>
      </c>
      <c r="L83"/>
    </row>
    <row r="84" spans="1:37" s="58" customFormat="1" ht="15.6" x14ac:dyDescent="0.3">
      <c r="A84" s="132"/>
      <c r="B84" s="965" t="s">
        <v>561</v>
      </c>
      <c r="C84" s="130" t="s">
        <v>509</v>
      </c>
      <c r="D84" s="43" t="s">
        <v>190</v>
      </c>
      <c r="E84" s="126" t="s">
        <v>510</v>
      </c>
      <c r="F84" s="504">
        <v>1</v>
      </c>
      <c r="G84" s="248" t="s">
        <v>4951</v>
      </c>
      <c r="H84" s="542" t="s">
        <v>4952</v>
      </c>
      <c r="I84" s="319" t="s">
        <v>1282</v>
      </c>
      <c r="J84" s="494" t="s">
        <v>4953</v>
      </c>
      <c r="K84" s="919">
        <v>45962</v>
      </c>
      <c r="L84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</row>
    <row r="85" spans="1:37" s="58" customFormat="1" ht="15.6" x14ac:dyDescent="0.3">
      <c r="A85" s="132"/>
      <c r="B85" s="965" t="s">
        <v>508</v>
      </c>
      <c r="C85" s="130" t="s">
        <v>509</v>
      </c>
      <c r="D85" s="43" t="s">
        <v>190</v>
      </c>
      <c r="E85" s="126" t="s">
        <v>510</v>
      </c>
      <c r="F85" s="504">
        <v>1</v>
      </c>
      <c r="G85" s="248" t="s">
        <v>4954</v>
      </c>
      <c r="H85" s="542" t="s">
        <v>4955</v>
      </c>
      <c r="I85" s="319" t="s">
        <v>1282</v>
      </c>
      <c r="J85" s="494" t="s">
        <v>4956</v>
      </c>
      <c r="K85" s="919">
        <v>45962</v>
      </c>
      <c r="L85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</row>
    <row r="86" spans="1:37" s="58" customFormat="1" ht="15.6" x14ac:dyDescent="0.3">
      <c r="A86" s="132"/>
      <c r="B86" s="1161" t="s">
        <v>508</v>
      </c>
      <c r="C86" s="1934" t="s">
        <v>509</v>
      </c>
      <c r="D86" s="1943" t="s">
        <v>190</v>
      </c>
      <c r="E86" s="1951" t="s">
        <v>510</v>
      </c>
      <c r="F86" s="1959">
        <v>1</v>
      </c>
      <c r="G86" s="811" t="s">
        <v>4957</v>
      </c>
      <c r="H86" s="812" t="s">
        <v>4958</v>
      </c>
      <c r="I86" s="1986" t="s">
        <v>1282</v>
      </c>
      <c r="J86" s="1162" t="s">
        <v>4959</v>
      </c>
      <c r="K86" s="919">
        <v>45962</v>
      </c>
      <c r="L86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</row>
    <row r="87" spans="1:37" ht="25.2" customHeight="1" x14ac:dyDescent="0.3">
      <c r="B87" s="1921" t="s">
        <v>561</v>
      </c>
      <c r="C87" s="142" t="s">
        <v>509</v>
      </c>
      <c r="D87" s="143" t="s">
        <v>190</v>
      </c>
      <c r="E87" s="144" t="s">
        <v>515</v>
      </c>
      <c r="F87" s="1143">
        <v>1</v>
      </c>
      <c r="G87" s="1965" t="s">
        <v>4960</v>
      </c>
      <c r="H87" s="1973" t="s">
        <v>4961</v>
      </c>
      <c r="I87" s="515" t="s">
        <v>1282</v>
      </c>
      <c r="J87" s="524" t="s">
        <v>4962</v>
      </c>
      <c r="K87" s="919">
        <v>45962</v>
      </c>
    </row>
    <row r="88" spans="1:37" ht="15.6" x14ac:dyDescent="0.3">
      <c r="B88" s="1926" t="s">
        <v>508</v>
      </c>
      <c r="C88" s="1936" t="s">
        <v>509</v>
      </c>
      <c r="D88" s="143" t="s">
        <v>190</v>
      </c>
      <c r="E88" s="144" t="s">
        <v>515</v>
      </c>
      <c r="F88" s="1143">
        <v>1</v>
      </c>
      <c r="G88" s="1965" t="s">
        <v>4963</v>
      </c>
      <c r="H88" s="1973" t="s">
        <v>4964</v>
      </c>
      <c r="I88" s="1988" t="s">
        <v>1282</v>
      </c>
      <c r="J88" s="524" t="s">
        <v>4965</v>
      </c>
      <c r="K88" s="919">
        <v>45962</v>
      </c>
    </row>
    <row r="89" spans="1:37" ht="78" x14ac:dyDescent="0.3">
      <c r="B89" s="786" t="s">
        <v>561</v>
      </c>
      <c r="C89" s="720" t="s">
        <v>509</v>
      </c>
      <c r="D89" s="43" t="s">
        <v>190</v>
      </c>
      <c r="E89" s="126" t="s">
        <v>515</v>
      </c>
      <c r="F89" s="504">
        <v>1</v>
      </c>
      <c r="G89" s="248" t="s">
        <v>4966</v>
      </c>
      <c r="H89" s="542" t="s">
        <v>4967</v>
      </c>
      <c r="I89" s="131" t="s">
        <v>1282</v>
      </c>
      <c r="J89" s="494" t="s">
        <v>4968</v>
      </c>
      <c r="K89" s="919">
        <v>45962</v>
      </c>
      <c r="L89"/>
    </row>
    <row r="90" spans="1:37" ht="78" x14ac:dyDescent="0.3">
      <c r="B90" s="965" t="s">
        <v>508</v>
      </c>
      <c r="C90" s="130" t="s">
        <v>509</v>
      </c>
      <c r="D90" s="43" t="s">
        <v>190</v>
      </c>
      <c r="E90" s="126" t="s">
        <v>515</v>
      </c>
      <c r="F90" s="504">
        <v>1</v>
      </c>
      <c r="G90" s="248" t="s">
        <v>4969</v>
      </c>
      <c r="H90" s="542" t="s">
        <v>4970</v>
      </c>
      <c r="I90" s="151" t="s">
        <v>1282</v>
      </c>
      <c r="J90" s="494" t="s">
        <v>4971</v>
      </c>
      <c r="K90" s="919">
        <v>45962</v>
      </c>
      <c r="L90"/>
    </row>
    <row r="91" spans="1:37" ht="78" x14ac:dyDescent="0.3">
      <c r="B91" s="965" t="s">
        <v>561</v>
      </c>
      <c r="C91" s="130" t="s">
        <v>509</v>
      </c>
      <c r="D91" s="43" t="s">
        <v>190</v>
      </c>
      <c r="E91" s="126" t="s">
        <v>515</v>
      </c>
      <c r="F91" s="504">
        <v>1</v>
      </c>
      <c r="G91" s="587" t="s">
        <v>4972</v>
      </c>
      <c r="H91" s="585" t="s">
        <v>4973</v>
      </c>
      <c r="I91" s="151" t="s">
        <v>1282</v>
      </c>
      <c r="J91" s="494" t="s">
        <v>4974</v>
      </c>
      <c r="K91" s="919">
        <v>45962</v>
      </c>
    </row>
    <row r="92" spans="1:37" ht="62.4" x14ac:dyDescent="0.3">
      <c r="B92" s="965" t="s">
        <v>561</v>
      </c>
      <c r="C92" s="130" t="s">
        <v>509</v>
      </c>
      <c r="D92" s="43" t="s">
        <v>190</v>
      </c>
      <c r="E92" s="126" t="s">
        <v>515</v>
      </c>
      <c r="F92" s="504">
        <v>1</v>
      </c>
      <c r="G92" s="248" t="s">
        <v>4975</v>
      </c>
      <c r="H92" s="542" t="s">
        <v>4976</v>
      </c>
      <c r="I92" s="151" t="s">
        <v>1282</v>
      </c>
      <c r="J92" s="494" t="s">
        <v>4977</v>
      </c>
      <c r="K92" s="919">
        <v>45962</v>
      </c>
      <c r="L92"/>
    </row>
    <row r="93" spans="1:37" ht="62.4" x14ac:dyDescent="0.3">
      <c r="B93" s="965" t="s">
        <v>508</v>
      </c>
      <c r="C93" s="130" t="s">
        <v>509</v>
      </c>
      <c r="D93" s="43" t="s">
        <v>190</v>
      </c>
      <c r="E93" s="126" t="s">
        <v>515</v>
      </c>
      <c r="F93" s="504">
        <v>1</v>
      </c>
      <c r="G93" s="248" t="s">
        <v>4978</v>
      </c>
      <c r="H93" s="542" t="s">
        <v>4979</v>
      </c>
      <c r="I93" s="151" t="s">
        <v>1282</v>
      </c>
      <c r="J93" s="494" t="s">
        <v>4980</v>
      </c>
      <c r="K93" s="919">
        <v>45962</v>
      </c>
    </row>
    <row r="94" spans="1:37" ht="62.4" x14ac:dyDescent="0.3">
      <c r="B94" s="965" t="s">
        <v>561</v>
      </c>
      <c r="C94" s="130" t="s">
        <v>509</v>
      </c>
      <c r="D94" s="43" t="s">
        <v>190</v>
      </c>
      <c r="E94" s="126" t="s">
        <v>515</v>
      </c>
      <c r="F94" s="504">
        <v>1</v>
      </c>
      <c r="G94" s="248" t="s">
        <v>4981</v>
      </c>
      <c r="H94" s="542" t="s">
        <v>4982</v>
      </c>
      <c r="I94" s="151" t="s">
        <v>1282</v>
      </c>
      <c r="J94" s="494" t="s">
        <v>4983</v>
      </c>
      <c r="K94" s="919">
        <v>45962</v>
      </c>
    </row>
    <row r="95" spans="1:37" ht="62.4" x14ac:dyDescent="0.3">
      <c r="B95" s="965" t="s">
        <v>508</v>
      </c>
      <c r="C95" s="130" t="s">
        <v>509</v>
      </c>
      <c r="D95" s="43" t="s">
        <v>190</v>
      </c>
      <c r="E95" s="126" t="s">
        <v>515</v>
      </c>
      <c r="F95" s="504">
        <v>1</v>
      </c>
      <c r="G95" s="248" t="s">
        <v>4984</v>
      </c>
      <c r="H95" s="542" t="s">
        <v>4985</v>
      </c>
      <c r="I95" s="151" t="s">
        <v>1282</v>
      </c>
      <c r="J95" s="494" t="s">
        <v>4986</v>
      </c>
      <c r="K95" s="919">
        <v>45962</v>
      </c>
    </row>
    <row r="96" spans="1:37" ht="62.4" x14ac:dyDescent="0.3">
      <c r="B96" s="965" t="s">
        <v>561</v>
      </c>
      <c r="C96" s="130" t="s">
        <v>509</v>
      </c>
      <c r="D96" s="43" t="s">
        <v>190</v>
      </c>
      <c r="E96" s="126" t="s">
        <v>515</v>
      </c>
      <c r="F96" s="504">
        <v>1</v>
      </c>
      <c r="G96" s="248" t="s">
        <v>4987</v>
      </c>
      <c r="H96" s="542" t="s">
        <v>4062</v>
      </c>
      <c r="I96" s="151" t="s">
        <v>1282</v>
      </c>
      <c r="J96" s="494" t="s">
        <v>4988</v>
      </c>
      <c r="K96" s="919">
        <v>45962</v>
      </c>
      <c r="L96"/>
    </row>
    <row r="97" spans="2:12" ht="62.4" x14ac:dyDescent="0.3">
      <c r="B97" s="965" t="s">
        <v>508</v>
      </c>
      <c r="C97" s="130" t="s">
        <v>509</v>
      </c>
      <c r="D97" s="43" t="s">
        <v>190</v>
      </c>
      <c r="E97" s="126" t="s">
        <v>515</v>
      </c>
      <c r="F97" s="504">
        <v>1</v>
      </c>
      <c r="G97" s="248" t="s">
        <v>4989</v>
      </c>
      <c r="H97" s="542" t="s">
        <v>4967</v>
      </c>
      <c r="I97" s="151" t="s">
        <v>1282</v>
      </c>
      <c r="J97" s="494" t="s">
        <v>4990</v>
      </c>
      <c r="K97" s="919">
        <v>45962</v>
      </c>
      <c r="L97"/>
    </row>
    <row r="98" spans="2:12" ht="31.2" x14ac:dyDescent="0.3">
      <c r="B98" s="965" t="s">
        <v>561</v>
      </c>
      <c r="C98" s="130" t="s">
        <v>509</v>
      </c>
      <c r="D98" s="43" t="s">
        <v>190</v>
      </c>
      <c r="E98" s="126" t="s">
        <v>515</v>
      </c>
      <c r="F98" s="504">
        <v>1</v>
      </c>
      <c r="G98" s="248" t="s">
        <v>4991</v>
      </c>
      <c r="H98" s="542" t="s">
        <v>4992</v>
      </c>
      <c r="I98" s="151" t="s">
        <v>1282</v>
      </c>
      <c r="J98" s="494" t="s">
        <v>4993</v>
      </c>
      <c r="K98" s="919">
        <v>45962</v>
      </c>
      <c r="L98"/>
    </row>
    <row r="99" spans="2:12" ht="62.4" x14ac:dyDescent="0.3">
      <c r="B99" s="965" t="s">
        <v>508</v>
      </c>
      <c r="C99" s="130" t="s">
        <v>509</v>
      </c>
      <c r="D99" s="43" t="s">
        <v>190</v>
      </c>
      <c r="E99" s="126" t="s">
        <v>515</v>
      </c>
      <c r="F99" s="504">
        <v>1</v>
      </c>
      <c r="G99" s="248" t="s">
        <v>4994</v>
      </c>
      <c r="H99" s="542" t="s">
        <v>4995</v>
      </c>
      <c r="I99" s="151" t="s">
        <v>1282</v>
      </c>
      <c r="J99" s="494" t="s">
        <v>4996</v>
      </c>
      <c r="K99" s="919">
        <v>45962</v>
      </c>
    </row>
    <row r="100" spans="2:12" ht="62.4" x14ac:dyDescent="0.3">
      <c r="B100" s="965" t="s">
        <v>508</v>
      </c>
      <c r="C100" s="130" t="s">
        <v>509</v>
      </c>
      <c r="D100" s="43" t="s">
        <v>190</v>
      </c>
      <c r="E100" s="126" t="s">
        <v>510</v>
      </c>
      <c r="F100" s="504">
        <v>1</v>
      </c>
      <c r="G100" s="248" t="s">
        <v>4997</v>
      </c>
      <c r="H100" s="542" t="s">
        <v>4998</v>
      </c>
      <c r="I100" s="151" t="s">
        <v>1282</v>
      </c>
      <c r="J100" s="494" t="s">
        <v>4999</v>
      </c>
      <c r="K100" s="919">
        <v>45962</v>
      </c>
      <c r="L100"/>
    </row>
    <row r="101" spans="2:12" ht="31.2" x14ac:dyDescent="0.3">
      <c r="B101" s="965" t="s">
        <v>508</v>
      </c>
      <c r="C101" s="130" t="s">
        <v>509</v>
      </c>
      <c r="D101" s="43" t="s">
        <v>190</v>
      </c>
      <c r="E101" s="126" t="s">
        <v>510</v>
      </c>
      <c r="F101" s="504">
        <v>1</v>
      </c>
      <c r="G101" s="248" t="s">
        <v>5000</v>
      </c>
      <c r="H101" s="542" t="s">
        <v>5001</v>
      </c>
      <c r="I101" s="151" t="s">
        <v>1282</v>
      </c>
      <c r="J101" s="494" t="s">
        <v>5002</v>
      </c>
      <c r="K101" s="919">
        <v>45962</v>
      </c>
      <c r="L101"/>
    </row>
    <row r="102" spans="2:12" ht="46.8" x14ac:dyDescent="0.3">
      <c r="B102" s="965" t="s">
        <v>508</v>
      </c>
      <c r="C102" s="130" t="s">
        <v>509</v>
      </c>
      <c r="D102" s="43" t="s">
        <v>190</v>
      </c>
      <c r="E102" s="126" t="s">
        <v>510</v>
      </c>
      <c r="F102" s="504">
        <v>1</v>
      </c>
      <c r="G102" s="248" t="s">
        <v>5003</v>
      </c>
      <c r="H102" s="542" t="s">
        <v>5004</v>
      </c>
      <c r="I102" s="151" t="s">
        <v>1282</v>
      </c>
      <c r="J102" s="494" t="s">
        <v>5005</v>
      </c>
      <c r="K102" s="919">
        <v>45962</v>
      </c>
      <c r="L102"/>
    </row>
    <row r="103" spans="2:12" ht="78" x14ac:dyDescent="0.3">
      <c r="B103" s="965" t="s">
        <v>561</v>
      </c>
      <c r="C103" s="130" t="s">
        <v>509</v>
      </c>
      <c r="D103" s="43" t="s">
        <v>190</v>
      </c>
      <c r="E103" s="126" t="s">
        <v>510</v>
      </c>
      <c r="F103" s="504">
        <v>1</v>
      </c>
      <c r="G103" s="248" t="s">
        <v>5006</v>
      </c>
      <c r="H103" s="542" t="s">
        <v>5007</v>
      </c>
      <c r="I103" s="151" t="s">
        <v>1282</v>
      </c>
      <c r="J103" s="494" t="s">
        <v>5008</v>
      </c>
      <c r="K103" s="919">
        <v>45962</v>
      </c>
      <c r="L103"/>
    </row>
    <row r="104" spans="2:12" ht="46.8" x14ac:dyDescent="0.3">
      <c r="B104" s="965" t="s">
        <v>508</v>
      </c>
      <c r="C104" s="130" t="s">
        <v>509</v>
      </c>
      <c r="D104" s="43" t="s">
        <v>190</v>
      </c>
      <c r="E104" s="126" t="s">
        <v>510</v>
      </c>
      <c r="F104" s="504">
        <v>1</v>
      </c>
      <c r="G104" s="587" t="s">
        <v>5009</v>
      </c>
      <c r="H104" s="585" t="s">
        <v>5010</v>
      </c>
      <c r="I104" s="151" t="s">
        <v>1282</v>
      </c>
      <c r="J104" s="494" t="s">
        <v>5011</v>
      </c>
      <c r="K104" s="919">
        <v>45962</v>
      </c>
      <c r="L104"/>
    </row>
    <row r="105" spans="2:12" ht="78" x14ac:dyDescent="0.3">
      <c r="B105" s="965" t="s">
        <v>561</v>
      </c>
      <c r="C105" s="130" t="s">
        <v>509</v>
      </c>
      <c r="D105" s="43" t="s">
        <v>190</v>
      </c>
      <c r="E105" s="126" t="s">
        <v>510</v>
      </c>
      <c r="F105" s="504">
        <v>1</v>
      </c>
      <c r="G105" s="248" t="s">
        <v>5012</v>
      </c>
      <c r="H105" s="542" t="s">
        <v>5013</v>
      </c>
      <c r="I105" s="151" t="s">
        <v>1282</v>
      </c>
      <c r="J105" s="494" t="s">
        <v>5014</v>
      </c>
      <c r="K105" s="919">
        <v>45962</v>
      </c>
      <c r="L105"/>
    </row>
    <row r="106" spans="2:12" ht="78" x14ac:dyDescent="0.3">
      <c r="B106" s="965" t="s">
        <v>508</v>
      </c>
      <c r="C106" s="130" t="s">
        <v>509</v>
      </c>
      <c r="D106" s="43" t="s">
        <v>190</v>
      </c>
      <c r="E106" s="126" t="s">
        <v>510</v>
      </c>
      <c r="F106" s="504">
        <v>1</v>
      </c>
      <c r="G106" s="248" t="s">
        <v>5015</v>
      </c>
      <c r="H106" s="542" t="s">
        <v>5016</v>
      </c>
      <c r="I106" s="151" t="s">
        <v>1282</v>
      </c>
      <c r="J106" s="494" t="s">
        <v>5017</v>
      </c>
      <c r="K106" s="919">
        <v>45962</v>
      </c>
      <c r="L106"/>
    </row>
    <row r="107" spans="2:12" ht="62.4" x14ac:dyDescent="0.3">
      <c r="B107" s="965" t="s">
        <v>561</v>
      </c>
      <c r="C107" s="130" t="s">
        <v>509</v>
      </c>
      <c r="D107" s="43" t="s">
        <v>190</v>
      </c>
      <c r="E107" s="126" t="s">
        <v>510</v>
      </c>
      <c r="F107" s="504">
        <v>1</v>
      </c>
      <c r="G107" s="248" t="s">
        <v>5018</v>
      </c>
      <c r="H107" s="542" t="s">
        <v>5019</v>
      </c>
      <c r="I107" s="151" t="s">
        <v>1282</v>
      </c>
      <c r="J107" s="494" t="s">
        <v>5020</v>
      </c>
      <c r="K107" s="919">
        <v>45962</v>
      </c>
    </row>
    <row r="108" spans="2:12" ht="31.2" x14ac:dyDescent="0.3">
      <c r="B108" s="965" t="s">
        <v>508</v>
      </c>
      <c r="C108" s="130" t="s">
        <v>509</v>
      </c>
      <c r="D108" s="43" t="s">
        <v>190</v>
      </c>
      <c r="E108" s="126" t="s">
        <v>510</v>
      </c>
      <c r="F108" s="504">
        <v>1</v>
      </c>
      <c r="G108" s="248" t="s">
        <v>5021</v>
      </c>
      <c r="H108" s="542" t="s">
        <v>5022</v>
      </c>
      <c r="I108" s="151" t="s">
        <v>1282</v>
      </c>
      <c r="J108" s="494" t="s">
        <v>5023</v>
      </c>
      <c r="K108" s="919">
        <v>45962</v>
      </c>
      <c r="L108"/>
    </row>
    <row r="109" spans="2:12" ht="62.4" x14ac:dyDescent="0.3">
      <c r="B109" s="965" t="s">
        <v>561</v>
      </c>
      <c r="C109" s="130" t="s">
        <v>509</v>
      </c>
      <c r="D109" s="43" t="s">
        <v>190</v>
      </c>
      <c r="E109" s="126" t="s">
        <v>510</v>
      </c>
      <c r="F109" s="504">
        <v>1</v>
      </c>
      <c r="G109" s="248" t="s">
        <v>5024</v>
      </c>
      <c r="H109" s="542" t="s">
        <v>5025</v>
      </c>
      <c r="I109" s="151" t="s">
        <v>1282</v>
      </c>
      <c r="J109" s="494" t="s">
        <v>5026</v>
      </c>
      <c r="K109" s="919">
        <v>45962</v>
      </c>
      <c r="L109"/>
    </row>
    <row r="110" spans="2:12" ht="62.4" x14ac:dyDescent="0.3">
      <c r="B110" s="965" t="s">
        <v>508</v>
      </c>
      <c r="C110" s="130" t="s">
        <v>509</v>
      </c>
      <c r="D110" s="43" t="s">
        <v>190</v>
      </c>
      <c r="E110" s="126" t="s">
        <v>510</v>
      </c>
      <c r="F110" s="504">
        <v>1</v>
      </c>
      <c r="G110" s="248" t="s">
        <v>5027</v>
      </c>
      <c r="H110" s="542" t="s">
        <v>4982</v>
      </c>
      <c r="I110" s="319" t="s">
        <v>1282</v>
      </c>
      <c r="J110" s="494" t="s">
        <v>5028</v>
      </c>
      <c r="K110" s="919">
        <v>45962</v>
      </c>
      <c r="L110"/>
    </row>
    <row r="111" spans="2:12" ht="62.4" x14ac:dyDescent="0.3">
      <c r="B111" s="965" t="s">
        <v>561</v>
      </c>
      <c r="C111" s="130" t="s">
        <v>509</v>
      </c>
      <c r="D111" s="43" t="s">
        <v>190</v>
      </c>
      <c r="E111" s="126" t="s">
        <v>510</v>
      </c>
      <c r="F111" s="504">
        <v>1</v>
      </c>
      <c r="G111" s="248" t="s">
        <v>5029</v>
      </c>
      <c r="H111" s="542" t="s">
        <v>5019</v>
      </c>
      <c r="I111" s="319" t="s">
        <v>1282</v>
      </c>
      <c r="J111" s="494" t="s">
        <v>5030</v>
      </c>
      <c r="K111" s="919">
        <v>45962</v>
      </c>
      <c r="L111"/>
    </row>
    <row r="112" spans="2:12" ht="78" x14ac:dyDescent="0.3">
      <c r="B112" s="965" t="s">
        <v>508</v>
      </c>
      <c r="C112" s="130" t="s">
        <v>509</v>
      </c>
      <c r="D112" s="43" t="s">
        <v>190</v>
      </c>
      <c r="E112" s="126" t="s">
        <v>510</v>
      </c>
      <c r="F112" s="504">
        <v>1</v>
      </c>
      <c r="G112" s="248" t="s">
        <v>5031</v>
      </c>
      <c r="H112" s="542" t="s">
        <v>5032</v>
      </c>
      <c r="I112" s="319" t="s">
        <v>1282</v>
      </c>
      <c r="J112" s="494" t="s">
        <v>5033</v>
      </c>
      <c r="K112" s="919">
        <v>45962</v>
      </c>
      <c r="L112"/>
    </row>
    <row r="113" spans="2:11" ht="62.4" x14ac:dyDescent="0.3">
      <c r="B113" s="965" t="s">
        <v>561</v>
      </c>
      <c r="C113" s="130" t="s">
        <v>509</v>
      </c>
      <c r="D113" s="43" t="s">
        <v>190</v>
      </c>
      <c r="E113" s="126" t="s">
        <v>510</v>
      </c>
      <c r="F113" s="504">
        <v>1</v>
      </c>
      <c r="G113" s="248" t="s">
        <v>5034</v>
      </c>
      <c r="H113" s="542" t="s">
        <v>5035</v>
      </c>
      <c r="I113" s="319" t="s">
        <v>943</v>
      </c>
      <c r="J113" s="494" t="s">
        <v>5036</v>
      </c>
      <c r="K113" s="919">
        <v>45992</v>
      </c>
    </row>
    <row r="114" spans="2:11" ht="15.6" x14ac:dyDescent="0.3">
      <c r="B114" s="965" t="s">
        <v>508</v>
      </c>
      <c r="C114" s="130" t="s">
        <v>509</v>
      </c>
      <c r="D114" s="43" t="s">
        <v>190</v>
      </c>
      <c r="E114" s="126" t="s">
        <v>510</v>
      </c>
      <c r="F114" s="504">
        <v>1</v>
      </c>
      <c r="G114" s="248" t="s">
        <v>5037</v>
      </c>
      <c r="H114" s="542" t="s">
        <v>5038</v>
      </c>
      <c r="I114" s="319" t="s">
        <v>943</v>
      </c>
      <c r="J114" s="494" t="s">
        <v>5039</v>
      </c>
      <c r="K114" s="919">
        <v>45992</v>
      </c>
    </row>
    <row r="115" spans="2:11" ht="15.6" x14ac:dyDescent="0.3">
      <c r="B115" s="965" t="s">
        <v>561</v>
      </c>
      <c r="C115" s="130" t="s">
        <v>509</v>
      </c>
      <c r="D115" s="43" t="s">
        <v>190</v>
      </c>
      <c r="E115" s="126" t="s">
        <v>515</v>
      </c>
      <c r="F115" s="504">
        <v>1</v>
      </c>
      <c r="G115" s="248" t="s">
        <v>5040</v>
      </c>
      <c r="H115" s="542" t="s">
        <v>5041</v>
      </c>
      <c r="I115" s="319" t="s">
        <v>943</v>
      </c>
      <c r="J115" s="494" t="s">
        <v>5042</v>
      </c>
      <c r="K115" s="919">
        <v>45992</v>
      </c>
    </row>
    <row r="116" spans="2:11" ht="78" x14ac:dyDescent="0.3">
      <c r="B116" s="965" t="s">
        <v>508</v>
      </c>
      <c r="C116" s="130" t="s">
        <v>509</v>
      </c>
      <c r="D116" s="43" t="s">
        <v>190</v>
      </c>
      <c r="E116" s="126" t="s">
        <v>515</v>
      </c>
      <c r="F116" s="504">
        <v>1</v>
      </c>
      <c r="G116" s="248" t="s">
        <v>5043</v>
      </c>
      <c r="H116" s="542" t="s">
        <v>5044</v>
      </c>
      <c r="I116" s="319" t="s">
        <v>943</v>
      </c>
      <c r="J116" s="494" t="s">
        <v>5045</v>
      </c>
      <c r="K116" s="919">
        <v>45992</v>
      </c>
    </row>
    <row r="117" spans="2:11" ht="78" x14ac:dyDescent="0.3">
      <c r="B117" s="965" t="s">
        <v>561</v>
      </c>
      <c r="C117" s="130" t="s">
        <v>509</v>
      </c>
      <c r="D117" s="43" t="s">
        <v>190</v>
      </c>
      <c r="E117" s="126" t="s">
        <v>515</v>
      </c>
      <c r="F117" s="504">
        <v>1</v>
      </c>
      <c r="G117" s="248" t="s">
        <v>5046</v>
      </c>
      <c r="H117" s="542" t="s">
        <v>5047</v>
      </c>
      <c r="I117" s="151" t="s">
        <v>943</v>
      </c>
      <c r="J117" s="494" t="s">
        <v>5048</v>
      </c>
      <c r="K117" s="919">
        <v>45992</v>
      </c>
    </row>
    <row r="118" spans="2:11" ht="7.35" customHeight="1" x14ac:dyDescent="0.3">
      <c r="B118" s="965" t="s">
        <v>508</v>
      </c>
      <c r="C118" s="130" t="s">
        <v>509</v>
      </c>
      <c r="D118" s="43" t="s">
        <v>190</v>
      </c>
      <c r="E118" s="126" t="s">
        <v>515</v>
      </c>
      <c r="F118" s="504">
        <v>1</v>
      </c>
      <c r="G118" s="248" t="s">
        <v>5049</v>
      </c>
      <c r="H118" s="542" t="s">
        <v>5050</v>
      </c>
      <c r="I118" s="151" t="s">
        <v>943</v>
      </c>
      <c r="J118" s="494" t="s">
        <v>5051</v>
      </c>
      <c r="K118" s="919">
        <v>45992</v>
      </c>
    </row>
    <row r="119" spans="2:11" ht="62.4" x14ac:dyDescent="0.3">
      <c r="B119" s="965" t="s">
        <v>561</v>
      </c>
      <c r="C119" s="130" t="s">
        <v>509</v>
      </c>
      <c r="D119" s="43" t="s">
        <v>190</v>
      </c>
      <c r="E119" s="126" t="s">
        <v>515</v>
      </c>
      <c r="F119" s="504">
        <v>1</v>
      </c>
      <c r="G119" s="248" t="s">
        <v>5052</v>
      </c>
      <c r="H119" s="542" t="s">
        <v>5053</v>
      </c>
      <c r="I119" s="151" t="s">
        <v>943</v>
      </c>
      <c r="J119" s="494" t="s">
        <v>5054</v>
      </c>
      <c r="K119" s="919">
        <v>45992</v>
      </c>
    </row>
    <row r="120" spans="2:11" ht="46.8" x14ac:dyDescent="0.3">
      <c r="B120" s="965" t="s">
        <v>508</v>
      </c>
      <c r="C120" s="130" t="s">
        <v>509</v>
      </c>
      <c r="D120" s="43" t="s">
        <v>190</v>
      </c>
      <c r="E120" s="126" t="s">
        <v>515</v>
      </c>
      <c r="F120" s="504">
        <v>1</v>
      </c>
      <c r="G120" s="248" t="s">
        <v>5055</v>
      </c>
      <c r="H120" s="542" t="s">
        <v>5056</v>
      </c>
      <c r="I120" s="151" t="s">
        <v>943</v>
      </c>
      <c r="J120" s="494" t="s">
        <v>5057</v>
      </c>
      <c r="K120" s="919">
        <v>45992</v>
      </c>
    </row>
    <row r="121" spans="2:11" ht="62.4" x14ac:dyDescent="0.3">
      <c r="B121" s="965" t="s">
        <v>508</v>
      </c>
      <c r="C121" s="130" t="s">
        <v>509</v>
      </c>
      <c r="D121" s="43" t="s">
        <v>190</v>
      </c>
      <c r="E121" s="126" t="s">
        <v>515</v>
      </c>
      <c r="F121" s="504">
        <v>1</v>
      </c>
      <c r="G121" s="248" t="s">
        <v>5058</v>
      </c>
      <c r="H121" s="542" t="s">
        <v>5059</v>
      </c>
      <c r="I121" s="151" t="s">
        <v>943</v>
      </c>
      <c r="J121" s="494" t="s">
        <v>5060</v>
      </c>
      <c r="K121" s="919">
        <v>45992</v>
      </c>
    </row>
    <row r="122" spans="2:11" ht="62.4" x14ac:dyDescent="0.3">
      <c r="B122" s="965" t="s">
        <v>561</v>
      </c>
      <c r="C122" s="130" t="s">
        <v>509</v>
      </c>
      <c r="D122" s="43" t="s">
        <v>190</v>
      </c>
      <c r="E122" s="126" t="s">
        <v>515</v>
      </c>
      <c r="F122" s="504">
        <v>1</v>
      </c>
      <c r="G122" s="248" t="s">
        <v>5061</v>
      </c>
      <c r="H122" s="542" t="s">
        <v>5062</v>
      </c>
      <c r="I122" s="151" t="s">
        <v>943</v>
      </c>
      <c r="J122" s="494" t="s">
        <v>5063</v>
      </c>
      <c r="K122" s="919">
        <v>45992</v>
      </c>
    </row>
    <row r="123" spans="2:11" ht="62.4" x14ac:dyDescent="0.3">
      <c r="B123" s="965" t="s">
        <v>508</v>
      </c>
      <c r="C123" s="130" t="s">
        <v>509</v>
      </c>
      <c r="D123" s="43" t="s">
        <v>190</v>
      </c>
      <c r="E123" s="126" t="s">
        <v>515</v>
      </c>
      <c r="F123" s="504">
        <v>1</v>
      </c>
      <c r="G123" s="248" t="s">
        <v>5064</v>
      </c>
      <c r="H123" s="542" t="s">
        <v>5065</v>
      </c>
      <c r="I123" s="151" t="s">
        <v>943</v>
      </c>
      <c r="J123" s="494" t="s">
        <v>5066</v>
      </c>
      <c r="K123" s="919">
        <v>45992</v>
      </c>
    </row>
    <row r="124" spans="2:11" ht="46.8" x14ac:dyDescent="0.3">
      <c r="B124" s="965" t="s">
        <v>561</v>
      </c>
      <c r="C124" s="130" t="s">
        <v>509</v>
      </c>
      <c r="D124" s="43" t="s">
        <v>190</v>
      </c>
      <c r="E124" s="126" t="s">
        <v>515</v>
      </c>
      <c r="F124" s="504">
        <v>1</v>
      </c>
      <c r="G124" s="248" t="s">
        <v>5067</v>
      </c>
      <c r="H124" s="542" t="s">
        <v>5068</v>
      </c>
      <c r="I124" s="151" t="s">
        <v>943</v>
      </c>
      <c r="J124" s="494" t="s">
        <v>5069</v>
      </c>
      <c r="K124" s="919">
        <v>45992</v>
      </c>
    </row>
    <row r="125" spans="2:11" ht="62.4" x14ac:dyDescent="0.3">
      <c r="B125" s="965" t="s">
        <v>508</v>
      </c>
      <c r="C125" s="130" t="s">
        <v>509</v>
      </c>
      <c r="D125" s="43" t="s">
        <v>190</v>
      </c>
      <c r="E125" s="126" t="s">
        <v>515</v>
      </c>
      <c r="F125" s="504">
        <v>1</v>
      </c>
      <c r="G125" s="248" t="s">
        <v>5070</v>
      </c>
      <c r="H125" s="542" t="s">
        <v>5071</v>
      </c>
      <c r="I125" s="151" t="s">
        <v>943</v>
      </c>
      <c r="J125" s="494" t="s">
        <v>5072</v>
      </c>
      <c r="K125" s="919">
        <v>45992</v>
      </c>
    </row>
    <row r="126" spans="2:11" ht="62.4" x14ac:dyDescent="0.3">
      <c r="B126" s="965" t="s">
        <v>508</v>
      </c>
      <c r="C126" s="130" t="s">
        <v>509</v>
      </c>
      <c r="D126" s="43" t="s">
        <v>190</v>
      </c>
      <c r="E126" s="126" t="s">
        <v>515</v>
      </c>
      <c r="F126" s="504">
        <v>1</v>
      </c>
      <c r="G126" s="248" t="s">
        <v>5073</v>
      </c>
      <c r="H126" s="542" t="s">
        <v>5074</v>
      </c>
      <c r="I126" s="151" t="s">
        <v>943</v>
      </c>
      <c r="J126" s="494" t="s">
        <v>5075</v>
      </c>
      <c r="K126" s="919">
        <v>45992</v>
      </c>
    </row>
    <row r="127" spans="2:11" ht="62.4" x14ac:dyDescent="0.3">
      <c r="B127" s="965" t="s">
        <v>561</v>
      </c>
      <c r="C127" s="130" t="s">
        <v>509</v>
      </c>
      <c r="D127" s="43" t="s">
        <v>190</v>
      </c>
      <c r="E127" s="126" t="s">
        <v>515</v>
      </c>
      <c r="F127" s="504">
        <v>1</v>
      </c>
      <c r="G127" s="248" t="s">
        <v>5076</v>
      </c>
      <c r="H127" s="542" t="s">
        <v>5077</v>
      </c>
      <c r="I127" s="151" t="s">
        <v>943</v>
      </c>
      <c r="J127" s="494" t="s">
        <v>5078</v>
      </c>
      <c r="K127" s="919">
        <v>45992</v>
      </c>
    </row>
    <row r="128" spans="2:11" ht="62.4" x14ac:dyDescent="0.3">
      <c r="B128" s="965" t="s">
        <v>508</v>
      </c>
      <c r="C128" s="130" t="s">
        <v>509</v>
      </c>
      <c r="D128" s="43" t="s">
        <v>190</v>
      </c>
      <c r="E128" s="126" t="s">
        <v>515</v>
      </c>
      <c r="F128" s="504">
        <v>1</v>
      </c>
      <c r="G128" s="248" t="s">
        <v>5079</v>
      </c>
      <c r="H128" s="542" t="s">
        <v>5080</v>
      </c>
      <c r="I128" s="151" t="s">
        <v>943</v>
      </c>
      <c r="J128" s="494" t="s">
        <v>5081</v>
      </c>
      <c r="K128" s="919">
        <v>45992</v>
      </c>
    </row>
    <row r="129" spans="2:11" ht="62.4" x14ac:dyDescent="0.3">
      <c r="B129" s="965" t="s">
        <v>561</v>
      </c>
      <c r="C129" s="130" t="s">
        <v>509</v>
      </c>
      <c r="D129" s="43" t="s">
        <v>190</v>
      </c>
      <c r="E129" s="126" t="s">
        <v>515</v>
      </c>
      <c r="F129" s="504">
        <v>1</v>
      </c>
      <c r="G129" s="248" t="s">
        <v>5082</v>
      </c>
      <c r="H129" s="542" t="s">
        <v>5083</v>
      </c>
      <c r="I129" s="151" t="s">
        <v>943</v>
      </c>
      <c r="J129" s="494" t="s">
        <v>5084</v>
      </c>
      <c r="K129" s="919">
        <v>45992</v>
      </c>
    </row>
    <row r="130" spans="2:11" ht="62.4" x14ac:dyDescent="0.3">
      <c r="B130" s="965" t="s">
        <v>508</v>
      </c>
      <c r="C130" s="130" t="s">
        <v>509</v>
      </c>
      <c r="D130" s="43" t="s">
        <v>190</v>
      </c>
      <c r="E130" s="126" t="s">
        <v>515</v>
      </c>
      <c r="F130" s="504">
        <v>1</v>
      </c>
      <c r="G130" s="248" t="s">
        <v>5085</v>
      </c>
      <c r="H130" s="542" t="s">
        <v>5056</v>
      </c>
      <c r="I130" s="151" t="s">
        <v>943</v>
      </c>
      <c r="J130" s="494" t="s">
        <v>5086</v>
      </c>
      <c r="K130" s="919">
        <v>45992</v>
      </c>
    </row>
    <row r="131" spans="2:11" ht="62.4" x14ac:dyDescent="0.3">
      <c r="B131" s="965" t="s">
        <v>561</v>
      </c>
      <c r="C131" s="130" t="s">
        <v>509</v>
      </c>
      <c r="D131" s="43" t="s">
        <v>190</v>
      </c>
      <c r="E131" s="126" t="s">
        <v>515</v>
      </c>
      <c r="F131" s="504">
        <v>1</v>
      </c>
      <c r="G131" s="248" t="s">
        <v>5087</v>
      </c>
      <c r="H131" s="542" t="s">
        <v>5088</v>
      </c>
      <c r="I131" s="151" t="s">
        <v>943</v>
      </c>
      <c r="J131" s="494" t="s">
        <v>5089</v>
      </c>
      <c r="K131" s="919">
        <v>45992</v>
      </c>
    </row>
    <row r="132" spans="2:11" ht="46.8" x14ac:dyDescent="0.3">
      <c r="B132" s="965" t="s">
        <v>508</v>
      </c>
      <c r="C132" s="130" t="s">
        <v>509</v>
      </c>
      <c r="D132" s="43" t="s">
        <v>190</v>
      </c>
      <c r="E132" s="126" t="s">
        <v>510</v>
      </c>
      <c r="F132" s="504">
        <v>1</v>
      </c>
      <c r="G132" s="248" t="s">
        <v>5090</v>
      </c>
      <c r="H132" s="542" t="s">
        <v>5091</v>
      </c>
      <c r="I132" s="151" t="s">
        <v>943</v>
      </c>
      <c r="J132" s="494" t="s">
        <v>5092</v>
      </c>
      <c r="K132" s="919">
        <v>45992</v>
      </c>
    </row>
    <row r="133" spans="2:11" ht="46.8" x14ac:dyDescent="0.3">
      <c r="B133" s="965" t="s">
        <v>508</v>
      </c>
      <c r="C133" s="130" t="s">
        <v>509</v>
      </c>
      <c r="D133" s="43" t="s">
        <v>190</v>
      </c>
      <c r="E133" s="126" t="s">
        <v>510</v>
      </c>
      <c r="F133" s="504">
        <v>1</v>
      </c>
      <c r="G133" s="248" t="s">
        <v>5093</v>
      </c>
      <c r="H133" s="542" t="s">
        <v>5094</v>
      </c>
      <c r="I133" s="151" t="s">
        <v>943</v>
      </c>
      <c r="J133" s="494" t="s">
        <v>5095</v>
      </c>
      <c r="K133" s="919">
        <v>45992</v>
      </c>
    </row>
    <row r="134" spans="2:11" ht="62.4" x14ac:dyDescent="0.3">
      <c r="B134" s="965" t="s">
        <v>508</v>
      </c>
      <c r="C134" s="130" t="s">
        <v>509</v>
      </c>
      <c r="D134" s="43" t="s">
        <v>190</v>
      </c>
      <c r="E134" s="126" t="s">
        <v>510</v>
      </c>
      <c r="F134" s="504">
        <v>1</v>
      </c>
      <c r="G134" s="248" t="s">
        <v>5096</v>
      </c>
      <c r="H134" s="542" t="s">
        <v>5097</v>
      </c>
      <c r="I134" s="151" t="s">
        <v>943</v>
      </c>
      <c r="J134" s="494" t="s">
        <v>5098</v>
      </c>
      <c r="K134" s="919">
        <v>45992</v>
      </c>
    </row>
    <row r="135" spans="2:11" ht="62.4" x14ac:dyDescent="0.3">
      <c r="B135" s="965" t="s">
        <v>508</v>
      </c>
      <c r="C135" s="130" t="s">
        <v>509</v>
      </c>
      <c r="D135" s="43" t="s">
        <v>190</v>
      </c>
      <c r="E135" s="126" t="s">
        <v>510</v>
      </c>
      <c r="F135" s="504">
        <v>1</v>
      </c>
      <c r="G135" s="248" t="s">
        <v>5099</v>
      </c>
      <c r="H135" s="542" t="s">
        <v>5100</v>
      </c>
      <c r="I135" s="151" t="s">
        <v>943</v>
      </c>
      <c r="J135" s="494" t="s">
        <v>5101</v>
      </c>
      <c r="K135" s="919">
        <v>45992</v>
      </c>
    </row>
    <row r="136" spans="2:11" ht="46.8" x14ac:dyDescent="0.3">
      <c r="B136" s="965" t="s">
        <v>508</v>
      </c>
      <c r="C136" s="130" t="s">
        <v>509</v>
      </c>
      <c r="D136" s="43" t="s">
        <v>190</v>
      </c>
      <c r="E136" s="126" t="s">
        <v>510</v>
      </c>
      <c r="F136" s="504">
        <v>1</v>
      </c>
      <c r="G136" s="248" t="s">
        <v>5102</v>
      </c>
      <c r="H136" s="542" t="s">
        <v>5103</v>
      </c>
      <c r="I136" s="151" t="s">
        <v>943</v>
      </c>
      <c r="J136" s="494" t="s">
        <v>5104</v>
      </c>
      <c r="K136" s="919">
        <v>45992</v>
      </c>
    </row>
    <row r="137" spans="2:11" ht="62.4" x14ac:dyDescent="0.3">
      <c r="B137" s="965" t="s">
        <v>561</v>
      </c>
      <c r="C137" s="130" t="s">
        <v>509</v>
      </c>
      <c r="D137" s="43" t="s">
        <v>190</v>
      </c>
      <c r="E137" s="126" t="s">
        <v>510</v>
      </c>
      <c r="F137" s="504">
        <v>1</v>
      </c>
      <c r="G137" s="248" t="s">
        <v>5105</v>
      </c>
      <c r="H137" s="542" t="s">
        <v>5106</v>
      </c>
      <c r="I137" s="319" t="s">
        <v>943</v>
      </c>
      <c r="J137" s="494" t="s">
        <v>5107</v>
      </c>
      <c r="K137" s="919">
        <v>45992</v>
      </c>
    </row>
    <row r="138" spans="2:11" ht="62.4" x14ac:dyDescent="0.3">
      <c r="B138" s="965" t="s">
        <v>508</v>
      </c>
      <c r="C138" s="130" t="s">
        <v>509</v>
      </c>
      <c r="D138" s="43" t="s">
        <v>190</v>
      </c>
      <c r="E138" s="126" t="s">
        <v>510</v>
      </c>
      <c r="F138" s="504">
        <v>1</v>
      </c>
      <c r="G138" s="248" t="s">
        <v>5108</v>
      </c>
      <c r="H138" s="542" t="s">
        <v>5109</v>
      </c>
      <c r="I138" s="319" t="s">
        <v>943</v>
      </c>
      <c r="J138" s="494" t="s">
        <v>5110</v>
      </c>
      <c r="K138" s="919">
        <v>45992</v>
      </c>
    </row>
    <row r="139" spans="2:11" ht="62.4" x14ac:dyDescent="0.3">
      <c r="B139" s="965" t="s">
        <v>561</v>
      </c>
      <c r="C139" s="130" t="s">
        <v>509</v>
      </c>
      <c r="D139" s="43" t="s">
        <v>190</v>
      </c>
      <c r="E139" s="126" t="s">
        <v>510</v>
      </c>
      <c r="F139" s="504">
        <v>1</v>
      </c>
      <c r="G139" s="248" t="s">
        <v>5111</v>
      </c>
      <c r="H139" s="542" t="s">
        <v>5112</v>
      </c>
      <c r="I139" s="319" t="s">
        <v>943</v>
      </c>
      <c r="J139" s="494" t="s">
        <v>5113</v>
      </c>
      <c r="K139" s="919">
        <v>45992</v>
      </c>
    </row>
    <row r="140" spans="2:11" ht="46.8" x14ac:dyDescent="0.3">
      <c r="B140" s="965" t="s">
        <v>508</v>
      </c>
      <c r="C140" s="130" t="s">
        <v>509</v>
      </c>
      <c r="D140" s="43" t="s">
        <v>190</v>
      </c>
      <c r="E140" s="126" t="s">
        <v>510</v>
      </c>
      <c r="F140" s="504">
        <v>1</v>
      </c>
      <c r="G140" s="248" t="s">
        <v>5114</v>
      </c>
      <c r="H140" s="542" t="s">
        <v>5115</v>
      </c>
      <c r="I140" s="319" t="s">
        <v>943</v>
      </c>
      <c r="J140" s="494" t="s">
        <v>5116</v>
      </c>
      <c r="K140" s="919">
        <v>45992</v>
      </c>
    </row>
    <row r="141" spans="2:11" ht="62.4" x14ac:dyDescent="0.3">
      <c r="B141" s="965" t="s">
        <v>561</v>
      </c>
      <c r="C141" s="130" t="s">
        <v>509</v>
      </c>
      <c r="D141" s="43" t="s">
        <v>190</v>
      </c>
      <c r="E141" s="126" t="s">
        <v>510</v>
      </c>
      <c r="F141" s="504">
        <v>1</v>
      </c>
      <c r="G141" s="248" t="s">
        <v>5117</v>
      </c>
      <c r="H141" s="542" t="s">
        <v>5118</v>
      </c>
      <c r="I141" s="319" t="s">
        <v>943</v>
      </c>
      <c r="J141" s="494" t="s">
        <v>5119</v>
      </c>
      <c r="K141" s="919">
        <v>45992</v>
      </c>
    </row>
    <row r="142" spans="2:11" ht="46.8" x14ac:dyDescent="0.3">
      <c r="B142" s="965" t="s">
        <v>508</v>
      </c>
      <c r="C142" s="130" t="s">
        <v>509</v>
      </c>
      <c r="D142" s="43" t="s">
        <v>190</v>
      </c>
      <c r="E142" s="126" t="s">
        <v>510</v>
      </c>
      <c r="F142" s="504">
        <v>1</v>
      </c>
      <c r="G142" s="248" t="s">
        <v>5120</v>
      </c>
      <c r="H142" s="542" t="s">
        <v>5121</v>
      </c>
      <c r="I142" s="319" t="s">
        <v>943</v>
      </c>
      <c r="J142" s="494" t="s">
        <v>5122</v>
      </c>
      <c r="K142" s="919">
        <v>45992</v>
      </c>
    </row>
    <row r="143" spans="2:11" ht="15.6" x14ac:dyDescent="0.3">
      <c r="B143" s="965" t="s">
        <v>561</v>
      </c>
      <c r="C143" s="130" t="s">
        <v>509</v>
      </c>
      <c r="D143" s="43" t="s">
        <v>190</v>
      </c>
      <c r="E143" s="126" t="s">
        <v>510</v>
      </c>
      <c r="F143" s="504">
        <v>1</v>
      </c>
      <c r="G143" s="248" t="s">
        <v>5123</v>
      </c>
      <c r="H143" s="542" t="s">
        <v>5124</v>
      </c>
      <c r="I143" s="319" t="s">
        <v>943</v>
      </c>
      <c r="J143" s="494" t="s">
        <v>5125</v>
      </c>
      <c r="K143" s="919">
        <v>45992</v>
      </c>
    </row>
    <row r="144" spans="2:11" ht="15.6" x14ac:dyDescent="0.3">
      <c r="B144" s="965" t="s">
        <v>508</v>
      </c>
      <c r="C144" s="130" t="s">
        <v>509</v>
      </c>
      <c r="D144" s="43" t="s">
        <v>190</v>
      </c>
      <c r="E144" s="126" t="s">
        <v>510</v>
      </c>
      <c r="F144" s="504">
        <v>1</v>
      </c>
      <c r="G144" s="248" t="s">
        <v>5126</v>
      </c>
      <c r="H144" s="542" t="s">
        <v>5038</v>
      </c>
      <c r="I144" s="319" t="s">
        <v>943</v>
      </c>
      <c r="J144" s="494" t="s">
        <v>5127</v>
      </c>
      <c r="K144" s="919">
        <v>45992</v>
      </c>
    </row>
    <row r="145" spans="2:11" ht="62.4" x14ac:dyDescent="0.3">
      <c r="B145" s="965" t="s">
        <v>561</v>
      </c>
      <c r="C145" s="130" t="s">
        <v>509</v>
      </c>
      <c r="D145" s="43" t="s">
        <v>190</v>
      </c>
      <c r="E145" s="126" t="s">
        <v>510</v>
      </c>
      <c r="F145" s="504">
        <v>1</v>
      </c>
      <c r="G145" s="248" t="s">
        <v>5128</v>
      </c>
      <c r="H145" s="542" t="s">
        <v>5129</v>
      </c>
      <c r="I145" s="319" t="s">
        <v>943</v>
      </c>
      <c r="J145" s="494" t="s">
        <v>5130</v>
      </c>
      <c r="K145" s="919">
        <v>45992</v>
      </c>
    </row>
    <row r="146" spans="2:11" ht="62.4" x14ac:dyDescent="0.3">
      <c r="B146" s="965" t="s">
        <v>508</v>
      </c>
      <c r="C146" s="130" t="s">
        <v>509</v>
      </c>
      <c r="D146" s="43" t="s">
        <v>190</v>
      </c>
      <c r="E146" s="126" t="s">
        <v>510</v>
      </c>
      <c r="F146" s="504">
        <v>1</v>
      </c>
      <c r="G146" s="248" t="s">
        <v>5131</v>
      </c>
      <c r="H146" s="542" t="s">
        <v>5068</v>
      </c>
      <c r="I146" s="319" t="s">
        <v>943</v>
      </c>
      <c r="J146" s="494" t="s">
        <v>5132</v>
      </c>
      <c r="K146" s="919">
        <v>45992</v>
      </c>
    </row>
    <row r="147" spans="2:11" ht="62.4" x14ac:dyDescent="0.3">
      <c r="B147" s="965" t="s">
        <v>561</v>
      </c>
      <c r="C147" s="130" t="s">
        <v>509</v>
      </c>
      <c r="D147" s="43" t="s">
        <v>190</v>
      </c>
      <c r="E147" s="126" t="s">
        <v>510</v>
      </c>
      <c r="F147" s="504">
        <v>1</v>
      </c>
      <c r="G147" s="248" t="s">
        <v>5133</v>
      </c>
      <c r="H147" s="542" t="s">
        <v>5134</v>
      </c>
      <c r="I147" s="319" t="s">
        <v>943</v>
      </c>
      <c r="J147" s="494" t="s">
        <v>5135</v>
      </c>
      <c r="K147" s="919">
        <v>45992</v>
      </c>
    </row>
    <row r="148" spans="2:11" ht="7.35" customHeight="1" x14ac:dyDescent="0.3">
      <c r="B148" s="965" t="s">
        <v>508</v>
      </c>
      <c r="C148" s="130" t="s">
        <v>509</v>
      </c>
      <c r="D148" s="43" t="s">
        <v>190</v>
      </c>
      <c r="E148" s="126" t="s">
        <v>510</v>
      </c>
      <c r="F148" s="504">
        <v>1</v>
      </c>
      <c r="G148" s="248" t="s">
        <v>5136</v>
      </c>
      <c r="H148" s="542" t="s">
        <v>5137</v>
      </c>
      <c r="I148" s="151" t="s">
        <v>943</v>
      </c>
      <c r="J148" s="494" t="s">
        <v>5138</v>
      </c>
      <c r="K148" s="919">
        <v>45992</v>
      </c>
    </row>
    <row r="149" spans="2:11" ht="62.4" x14ac:dyDescent="0.3">
      <c r="B149" s="965" t="s">
        <v>561</v>
      </c>
      <c r="C149" s="130" t="s">
        <v>509</v>
      </c>
      <c r="D149" s="43" t="s">
        <v>190</v>
      </c>
      <c r="E149" s="126" t="s">
        <v>510</v>
      </c>
      <c r="F149" s="504">
        <v>1</v>
      </c>
      <c r="G149" s="248" t="s">
        <v>5139</v>
      </c>
      <c r="H149" s="542" t="s">
        <v>5140</v>
      </c>
      <c r="I149" s="151" t="s">
        <v>943</v>
      </c>
      <c r="J149" s="494" t="s">
        <v>5141</v>
      </c>
      <c r="K149" s="919">
        <v>45992</v>
      </c>
    </row>
    <row r="150" spans="2:11" ht="62.4" x14ac:dyDescent="0.3">
      <c r="B150" s="965" t="s">
        <v>561</v>
      </c>
      <c r="C150" s="130" t="s">
        <v>509</v>
      </c>
      <c r="D150" s="43" t="s">
        <v>190</v>
      </c>
      <c r="E150" s="126" t="s">
        <v>510</v>
      </c>
      <c r="F150" s="504">
        <v>1</v>
      </c>
      <c r="G150" s="248" t="s">
        <v>5142</v>
      </c>
      <c r="H150" s="542" t="s">
        <v>5143</v>
      </c>
      <c r="I150" s="151" t="s">
        <v>943</v>
      </c>
      <c r="J150" s="494" t="s">
        <v>5144</v>
      </c>
      <c r="K150" s="919">
        <v>45992</v>
      </c>
    </row>
    <row r="151" spans="2:11" ht="62.4" x14ac:dyDescent="0.3">
      <c r="B151" s="965" t="s">
        <v>508</v>
      </c>
      <c r="C151" s="130" t="s">
        <v>509</v>
      </c>
      <c r="D151" s="43" t="s">
        <v>190</v>
      </c>
      <c r="E151" s="126" t="s">
        <v>510</v>
      </c>
      <c r="F151" s="504">
        <v>1</v>
      </c>
      <c r="G151" s="248" t="s">
        <v>5145</v>
      </c>
      <c r="H151" s="542" t="s">
        <v>5094</v>
      </c>
      <c r="I151" s="151" t="s">
        <v>943</v>
      </c>
      <c r="J151" s="494" t="s">
        <v>5146</v>
      </c>
      <c r="K151" s="919">
        <v>45992</v>
      </c>
    </row>
    <row r="152" spans="2:11" ht="46.8" x14ac:dyDescent="0.3">
      <c r="B152" s="965" t="s">
        <v>561</v>
      </c>
      <c r="C152" s="130" t="s">
        <v>509</v>
      </c>
      <c r="D152" s="43" t="s">
        <v>190</v>
      </c>
      <c r="E152" s="126" t="s">
        <v>510</v>
      </c>
      <c r="F152" s="504">
        <v>1</v>
      </c>
      <c r="G152" s="248" t="s">
        <v>5147</v>
      </c>
      <c r="H152" s="542" t="s">
        <v>5148</v>
      </c>
      <c r="I152" s="151" t="s">
        <v>943</v>
      </c>
      <c r="J152" s="494" t="s">
        <v>5149</v>
      </c>
      <c r="K152" s="919">
        <v>45992</v>
      </c>
    </row>
    <row r="153" spans="2:11" ht="46.8" x14ac:dyDescent="0.3">
      <c r="B153" s="965" t="s">
        <v>508</v>
      </c>
      <c r="C153" s="130" t="s">
        <v>509</v>
      </c>
      <c r="D153" s="43" t="s">
        <v>190</v>
      </c>
      <c r="E153" s="126" t="s">
        <v>510</v>
      </c>
      <c r="F153" s="504">
        <v>1</v>
      </c>
      <c r="G153" s="248" t="s">
        <v>5150</v>
      </c>
      <c r="H153" s="542" t="s">
        <v>5080</v>
      </c>
      <c r="I153" s="151" t="s">
        <v>943</v>
      </c>
      <c r="J153" s="494" t="s">
        <v>5151</v>
      </c>
      <c r="K153" s="919">
        <v>45992</v>
      </c>
    </row>
    <row r="154" spans="2:11" ht="62.4" x14ac:dyDescent="0.3">
      <c r="B154" s="965" t="s">
        <v>561</v>
      </c>
      <c r="C154" s="130" t="s">
        <v>509</v>
      </c>
      <c r="D154" s="43" t="s">
        <v>190</v>
      </c>
      <c r="E154" s="126" t="s">
        <v>510</v>
      </c>
      <c r="F154" s="504">
        <v>1</v>
      </c>
      <c r="G154" s="248" t="s">
        <v>5152</v>
      </c>
      <c r="H154" s="542" t="s">
        <v>5153</v>
      </c>
      <c r="I154" s="151" t="s">
        <v>943</v>
      </c>
      <c r="J154" s="494" t="s">
        <v>5154</v>
      </c>
      <c r="K154" s="919">
        <v>45992</v>
      </c>
    </row>
    <row r="155" spans="2:11" ht="62.4" x14ac:dyDescent="0.3">
      <c r="B155" s="965" t="s">
        <v>508</v>
      </c>
      <c r="C155" s="130" t="s">
        <v>509</v>
      </c>
      <c r="D155" s="43" t="s">
        <v>190</v>
      </c>
      <c r="E155" s="126" t="s">
        <v>510</v>
      </c>
      <c r="F155" s="504">
        <v>1</v>
      </c>
      <c r="G155" s="248" t="s">
        <v>5155</v>
      </c>
      <c r="H155" s="542" t="s">
        <v>3860</v>
      </c>
      <c r="I155" s="151" t="s">
        <v>943</v>
      </c>
      <c r="J155" s="494" t="s">
        <v>5156</v>
      </c>
      <c r="K155" s="919">
        <v>45992</v>
      </c>
    </row>
    <row r="156" spans="2:11" ht="62.4" x14ac:dyDescent="0.3">
      <c r="B156" s="965" t="s">
        <v>561</v>
      </c>
      <c r="C156" s="130" t="s">
        <v>509</v>
      </c>
      <c r="D156" s="43" t="s">
        <v>190</v>
      </c>
      <c r="E156" s="126" t="s">
        <v>510</v>
      </c>
      <c r="F156" s="504">
        <v>1</v>
      </c>
      <c r="G156" s="248" t="s">
        <v>5157</v>
      </c>
      <c r="H156" s="542" t="s">
        <v>5158</v>
      </c>
      <c r="I156" s="151" t="s">
        <v>943</v>
      </c>
      <c r="J156" s="494" t="s">
        <v>5159</v>
      </c>
      <c r="K156" s="919">
        <v>45992</v>
      </c>
    </row>
    <row r="157" spans="2:11" ht="62.4" x14ac:dyDescent="0.3">
      <c r="B157" s="965" t="s">
        <v>508</v>
      </c>
      <c r="C157" s="130" t="s">
        <v>509</v>
      </c>
      <c r="D157" s="43" t="s">
        <v>190</v>
      </c>
      <c r="E157" s="126" t="s">
        <v>510</v>
      </c>
      <c r="F157" s="504">
        <v>1</v>
      </c>
      <c r="G157" s="248" t="s">
        <v>5160</v>
      </c>
      <c r="H157" s="542" t="s">
        <v>5161</v>
      </c>
      <c r="I157" s="151" t="s">
        <v>943</v>
      </c>
      <c r="J157" s="494" t="s">
        <v>5162</v>
      </c>
      <c r="K157" s="919">
        <v>45992</v>
      </c>
    </row>
    <row r="158" spans="2:11" ht="46.8" x14ac:dyDescent="0.3">
      <c r="B158" s="965" t="s">
        <v>508</v>
      </c>
      <c r="C158" s="130" t="s">
        <v>509</v>
      </c>
      <c r="D158" s="43" t="s">
        <v>190</v>
      </c>
      <c r="E158" s="126" t="s">
        <v>515</v>
      </c>
      <c r="F158" s="504">
        <v>1</v>
      </c>
      <c r="G158" s="248" t="s">
        <v>5163</v>
      </c>
      <c r="H158" s="542" t="s">
        <v>5164</v>
      </c>
      <c r="I158" s="151" t="s">
        <v>1417</v>
      </c>
      <c r="J158" s="494" t="s">
        <v>5165</v>
      </c>
      <c r="K158" s="919">
        <v>46023</v>
      </c>
    </row>
    <row r="159" spans="2:11" ht="46.8" x14ac:dyDescent="0.3">
      <c r="B159" s="965" t="s">
        <v>561</v>
      </c>
      <c r="C159" s="130" t="s">
        <v>509</v>
      </c>
      <c r="D159" s="43" t="s">
        <v>190</v>
      </c>
      <c r="E159" s="126" t="s">
        <v>515</v>
      </c>
      <c r="F159" s="504">
        <v>1</v>
      </c>
      <c r="G159" s="248" t="s">
        <v>5166</v>
      </c>
      <c r="H159" s="542" t="s">
        <v>3269</v>
      </c>
      <c r="I159" s="151" t="s">
        <v>1417</v>
      </c>
      <c r="J159" s="494" t="s">
        <v>5167</v>
      </c>
      <c r="K159" s="919">
        <v>46023</v>
      </c>
    </row>
    <row r="160" spans="2:11" ht="62.4" x14ac:dyDescent="0.3">
      <c r="B160" s="965" t="s">
        <v>561</v>
      </c>
      <c r="C160" s="130" t="s">
        <v>509</v>
      </c>
      <c r="D160" s="43" t="s">
        <v>190</v>
      </c>
      <c r="E160" s="126" t="s">
        <v>515</v>
      </c>
      <c r="F160" s="504">
        <v>1</v>
      </c>
      <c r="G160" s="248" t="s">
        <v>5168</v>
      </c>
      <c r="H160" s="542" t="s">
        <v>5169</v>
      </c>
      <c r="I160" s="151" t="s">
        <v>1417</v>
      </c>
      <c r="J160" s="494" t="s">
        <v>5170</v>
      </c>
      <c r="K160" s="919">
        <v>46023</v>
      </c>
    </row>
    <row r="161" spans="2:12" ht="46.8" x14ac:dyDescent="0.3">
      <c r="B161" s="965" t="s">
        <v>508</v>
      </c>
      <c r="C161" s="130" t="s">
        <v>509</v>
      </c>
      <c r="D161" s="43" t="s">
        <v>190</v>
      </c>
      <c r="E161" s="126" t="s">
        <v>515</v>
      </c>
      <c r="F161" s="504">
        <v>1</v>
      </c>
      <c r="G161" s="248" t="s">
        <v>5171</v>
      </c>
      <c r="H161" s="542" t="s">
        <v>5172</v>
      </c>
      <c r="I161" s="151" t="s">
        <v>1417</v>
      </c>
      <c r="J161" s="494" t="s">
        <v>5173</v>
      </c>
      <c r="K161" s="919">
        <v>46023</v>
      </c>
    </row>
    <row r="162" spans="2:12" ht="62.4" x14ac:dyDescent="0.3">
      <c r="B162" s="965" t="s">
        <v>561</v>
      </c>
      <c r="C162" s="130" t="s">
        <v>509</v>
      </c>
      <c r="D162" s="43" t="s">
        <v>190</v>
      </c>
      <c r="E162" s="126" t="s">
        <v>515</v>
      </c>
      <c r="F162" s="504">
        <v>1</v>
      </c>
      <c r="G162" s="248" t="s">
        <v>5174</v>
      </c>
      <c r="H162" s="542" t="s">
        <v>5175</v>
      </c>
      <c r="I162" s="151" t="s">
        <v>1417</v>
      </c>
      <c r="J162" s="494" t="s">
        <v>5176</v>
      </c>
      <c r="K162" s="919">
        <v>46023</v>
      </c>
    </row>
    <row r="163" spans="2:12" ht="62.4" x14ac:dyDescent="0.3">
      <c r="B163" s="965" t="s">
        <v>508</v>
      </c>
      <c r="C163" s="130" t="s">
        <v>509</v>
      </c>
      <c r="D163" s="43" t="s">
        <v>190</v>
      </c>
      <c r="E163" s="126" t="s">
        <v>515</v>
      </c>
      <c r="F163" s="504">
        <v>1</v>
      </c>
      <c r="G163" s="248" t="s">
        <v>5177</v>
      </c>
      <c r="H163" s="542" t="s">
        <v>5178</v>
      </c>
      <c r="I163" s="151" t="s">
        <v>1417</v>
      </c>
      <c r="J163" s="494" t="s">
        <v>5179</v>
      </c>
      <c r="K163" s="919">
        <v>46023</v>
      </c>
    </row>
    <row r="164" spans="2:12" ht="46.8" x14ac:dyDescent="0.3">
      <c r="B164" s="965" t="s">
        <v>561</v>
      </c>
      <c r="C164" s="130" t="s">
        <v>509</v>
      </c>
      <c r="D164" s="43" t="s">
        <v>190</v>
      </c>
      <c r="E164" s="126" t="s">
        <v>515</v>
      </c>
      <c r="F164" s="504">
        <v>1</v>
      </c>
      <c r="G164" s="248" t="s">
        <v>5180</v>
      </c>
      <c r="H164" s="542" t="s">
        <v>5181</v>
      </c>
      <c r="I164" s="151" t="s">
        <v>1417</v>
      </c>
      <c r="J164" s="494" t="s">
        <v>5182</v>
      </c>
      <c r="K164" s="919">
        <v>46023</v>
      </c>
    </row>
    <row r="165" spans="2:12" ht="62.4" x14ac:dyDescent="0.3">
      <c r="B165" s="965" t="s">
        <v>508</v>
      </c>
      <c r="C165" s="130" t="s">
        <v>509</v>
      </c>
      <c r="D165" s="43" t="s">
        <v>190</v>
      </c>
      <c r="E165" s="126" t="s">
        <v>515</v>
      </c>
      <c r="F165" s="504">
        <v>1</v>
      </c>
      <c r="G165" s="248" t="s">
        <v>5183</v>
      </c>
      <c r="H165" s="542" t="s">
        <v>5184</v>
      </c>
      <c r="I165" s="319" t="s">
        <v>1417</v>
      </c>
      <c r="J165" s="494" t="s">
        <v>5185</v>
      </c>
      <c r="K165" s="919">
        <v>46023</v>
      </c>
      <c r="L165"/>
    </row>
    <row r="166" spans="2:12" ht="46.8" x14ac:dyDescent="0.3">
      <c r="B166" s="965" t="s">
        <v>508</v>
      </c>
      <c r="C166" s="130" t="s">
        <v>509</v>
      </c>
      <c r="D166" s="43" t="s">
        <v>190</v>
      </c>
      <c r="E166" s="126" t="s">
        <v>515</v>
      </c>
      <c r="F166" s="504">
        <v>1</v>
      </c>
      <c r="G166" s="248" t="s">
        <v>5186</v>
      </c>
      <c r="H166" s="542" t="s">
        <v>5187</v>
      </c>
      <c r="I166" s="319" t="s">
        <v>1417</v>
      </c>
      <c r="J166" s="494" t="s">
        <v>5188</v>
      </c>
      <c r="K166" s="919">
        <v>46023</v>
      </c>
      <c r="L166"/>
    </row>
    <row r="167" spans="2:12" ht="62.4" x14ac:dyDescent="0.3">
      <c r="B167" s="965" t="s">
        <v>561</v>
      </c>
      <c r="C167" s="130" t="s">
        <v>509</v>
      </c>
      <c r="D167" s="43" t="s">
        <v>190</v>
      </c>
      <c r="E167" s="126" t="s">
        <v>515</v>
      </c>
      <c r="F167" s="504">
        <v>1</v>
      </c>
      <c r="G167" s="248" t="s">
        <v>5189</v>
      </c>
      <c r="H167" s="542" t="s">
        <v>5190</v>
      </c>
      <c r="I167" s="319" t="s">
        <v>1417</v>
      </c>
      <c r="J167" s="494" t="s">
        <v>5191</v>
      </c>
      <c r="K167" s="919">
        <v>46023</v>
      </c>
    </row>
    <row r="168" spans="2:12" ht="62.4" x14ac:dyDescent="0.3">
      <c r="B168" s="965" t="s">
        <v>508</v>
      </c>
      <c r="C168" s="130" t="s">
        <v>509</v>
      </c>
      <c r="D168" s="43" t="s">
        <v>190</v>
      </c>
      <c r="E168" s="126" t="s">
        <v>515</v>
      </c>
      <c r="F168" s="504">
        <v>1</v>
      </c>
      <c r="G168" s="248" t="s">
        <v>5192</v>
      </c>
      <c r="H168" s="542" t="s">
        <v>5193</v>
      </c>
      <c r="I168" s="319" t="s">
        <v>1417</v>
      </c>
      <c r="J168" s="494" t="s">
        <v>5194</v>
      </c>
      <c r="K168" s="919">
        <v>46023</v>
      </c>
    </row>
    <row r="169" spans="2:12" ht="62.4" x14ac:dyDescent="0.3">
      <c r="B169" s="965" t="s">
        <v>561</v>
      </c>
      <c r="C169" s="130" t="s">
        <v>509</v>
      </c>
      <c r="D169" s="43" t="s">
        <v>190</v>
      </c>
      <c r="E169" s="126" t="s">
        <v>515</v>
      </c>
      <c r="F169" s="504">
        <v>1</v>
      </c>
      <c r="G169" s="248" t="s">
        <v>5195</v>
      </c>
      <c r="H169" s="542" t="s">
        <v>5196</v>
      </c>
      <c r="I169" s="319" t="s">
        <v>1417</v>
      </c>
      <c r="J169" s="494" t="s">
        <v>5197</v>
      </c>
      <c r="K169" s="919">
        <v>46023</v>
      </c>
      <c r="L169"/>
    </row>
    <row r="170" spans="2:12" ht="62.4" x14ac:dyDescent="0.3">
      <c r="B170" s="965" t="s">
        <v>508</v>
      </c>
      <c r="C170" s="130" t="s">
        <v>509</v>
      </c>
      <c r="D170" s="43" t="s">
        <v>190</v>
      </c>
      <c r="E170" s="126" t="s">
        <v>515</v>
      </c>
      <c r="F170" s="504">
        <v>1</v>
      </c>
      <c r="G170" s="248" t="s">
        <v>5198</v>
      </c>
      <c r="H170" s="542" t="s">
        <v>5199</v>
      </c>
      <c r="I170" s="319" t="s">
        <v>1417</v>
      </c>
      <c r="J170" s="494" t="s">
        <v>5200</v>
      </c>
      <c r="K170" s="919">
        <v>46023</v>
      </c>
    </row>
    <row r="171" spans="2:12" ht="46.8" x14ac:dyDescent="0.3">
      <c r="B171" s="965" t="s">
        <v>561</v>
      </c>
      <c r="C171" s="130" t="s">
        <v>509</v>
      </c>
      <c r="D171" s="43" t="s">
        <v>190</v>
      </c>
      <c r="E171" s="126" t="s">
        <v>515</v>
      </c>
      <c r="F171" s="504">
        <v>1</v>
      </c>
      <c r="G171" s="248" t="s">
        <v>5201</v>
      </c>
      <c r="H171" s="542" t="s">
        <v>5202</v>
      </c>
      <c r="I171" s="319" t="s">
        <v>1417</v>
      </c>
      <c r="J171" s="494" t="s">
        <v>5203</v>
      </c>
      <c r="K171" s="919">
        <v>46023</v>
      </c>
    </row>
    <row r="172" spans="2:12" ht="15.6" x14ac:dyDescent="0.3">
      <c r="B172" s="965" t="s">
        <v>508</v>
      </c>
      <c r="C172" s="130" t="s">
        <v>509</v>
      </c>
      <c r="D172" s="43" t="s">
        <v>190</v>
      </c>
      <c r="E172" s="126" t="s">
        <v>515</v>
      </c>
      <c r="F172" s="504">
        <v>1</v>
      </c>
      <c r="G172" s="248" t="s">
        <v>5204</v>
      </c>
      <c r="H172" s="542" t="s">
        <v>5184</v>
      </c>
      <c r="I172" s="319" t="s">
        <v>1417</v>
      </c>
      <c r="J172" s="494" t="s">
        <v>5205</v>
      </c>
      <c r="K172" s="919">
        <v>46023</v>
      </c>
    </row>
    <row r="173" spans="2:12" ht="15.6" x14ac:dyDescent="0.3">
      <c r="B173" s="965" t="s">
        <v>508</v>
      </c>
      <c r="C173" s="130" t="s">
        <v>509</v>
      </c>
      <c r="D173" s="43" t="s">
        <v>190</v>
      </c>
      <c r="E173" s="126" t="s">
        <v>515</v>
      </c>
      <c r="F173" s="504">
        <v>1</v>
      </c>
      <c r="G173" s="248" t="s">
        <v>5206</v>
      </c>
      <c r="H173" s="542" t="s">
        <v>5207</v>
      </c>
      <c r="I173" s="319" t="s">
        <v>1417</v>
      </c>
      <c r="J173" s="494" t="s">
        <v>5208</v>
      </c>
      <c r="K173" s="919">
        <v>46023</v>
      </c>
    </row>
    <row r="174" spans="2:12" ht="62.4" x14ac:dyDescent="0.3">
      <c r="B174" s="965" t="s">
        <v>508</v>
      </c>
      <c r="C174" s="130" t="s">
        <v>509</v>
      </c>
      <c r="D174" s="43" t="s">
        <v>190</v>
      </c>
      <c r="E174" s="126" t="s">
        <v>515</v>
      </c>
      <c r="F174" s="504">
        <v>1</v>
      </c>
      <c r="G174" s="248" t="s">
        <v>5209</v>
      </c>
      <c r="H174" s="542" t="s">
        <v>5210</v>
      </c>
      <c r="I174" s="319" t="s">
        <v>1417</v>
      </c>
      <c r="J174" s="494" t="s">
        <v>5211</v>
      </c>
      <c r="K174" s="919">
        <v>46023</v>
      </c>
    </row>
    <row r="175" spans="2:12" ht="62.4" x14ac:dyDescent="0.3">
      <c r="B175" s="965" t="s">
        <v>561</v>
      </c>
      <c r="C175" s="130" t="s">
        <v>509</v>
      </c>
      <c r="D175" s="43" t="s">
        <v>190</v>
      </c>
      <c r="E175" s="126" t="s">
        <v>515</v>
      </c>
      <c r="F175" s="504">
        <v>1</v>
      </c>
      <c r="G175" s="248" t="s">
        <v>5212</v>
      </c>
      <c r="H175" s="542" t="s">
        <v>5164</v>
      </c>
      <c r="I175" s="319" t="s">
        <v>1417</v>
      </c>
      <c r="J175" s="494" t="s">
        <v>5213</v>
      </c>
      <c r="K175" s="919">
        <v>46023</v>
      </c>
    </row>
    <row r="176" spans="2:12" ht="62.4" x14ac:dyDescent="0.3">
      <c r="B176" s="965" t="s">
        <v>508</v>
      </c>
      <c r="C176" s="130" t="s">
        <v>509</v>
      </c>
      <c r="D176" s="43" t="s">
        <v>190</v>
      </c>
      <c r="E176" s="126" t="s">
        <v>515</v>
      </c>
      <c r="F176" s="504">
        <v>1</v>
      </c>
      <c r="G176" s="248" t="s">
        <v>5214</v>
      </c>
      <c r="H176" s="542" t="s">
        <v>3269</v>
      </c>
      <c r="I176" s="319" t="s">
        <v>1417</v>
      </c>
      <c r="J176" s="494" t="s">
        <v>5215</v>
      </c>
      <c r="K176" s="919">
        <v>46023</v>
      </c>
    </row>
    <row r="177" spans="2:12" ht="62.4" x14ac:dyDescent="0.3">
      <c r="B177" s="965" t="s">
        <v>508</v>
      </c>
      <c r="C177" s="130" t="s">
        <v>509</v>
      </c>
      <c r="D177" s="43" t="s">
        <v>190</v>
      </c>
      <c r="E177" s="126" t="s">
        <v>510</v>
      </c>
      <c r="F177" s="504">
        <v>1</v>
      </c>
      <c r="G177" s="248" t="s">
        <v>5216</v>
      </c>
      <c r="H177" s="542" t="s">
        <v>5217</v>
      </c>
      <c r="I177" s="319" t="s">
        <v>1417</v>
      </c>
      <c r="J177" s="494" t="s">
        <v>5218</v>
      </c>
      <c r="K177" s="919">
        <v>46023</v>
      </c>
    </row>
    <row r="178" spans="2:12" ht="7.35" customHeight="1" x14ac:dyDescent="0.3">
      <c r="B178" s="965" t="s">
        <v>508</v>
      </c>
      <c r="C178" s="130" t="s">
        <v>509</v>
      </c>
      <c r="D178" s="43" t="s">
        <v>190</v>
      </c>
      <c r="E178" s="126" t="s">
        <v>510</v>
      </c>
      <c r="F178" s="504">
        <v>1</v>
      </c>
      <c r="G178" s="248" t="s">
        <v>5219</v>
      </c>
      <c r="H178" s="542" t="s">
        <v>5220</v>
      </c>
      <c r="I178" s="151" t="s">
        <v>1417</v>
      </c>
      <c r="J178" s="494" t="s">
        <v>5221</v>
      </c>
      <c r="K178" s="919">
        <v>46023</v>
      </c>
      <c r="L178"/>
    </row>
    <row r="179" spans="2:12" ht="62.4" x14ac:dyDescent="0.3">
      <c r="B179" s="965" t="s">
        <v>508</v>
      </c>
      <c r="C179" s="130" t="s">
        <v>509</v>
      </c>
      <c r="D179" s="43" t="s">
        <v>190</v>
      </c>
      <c r="E179" s="126" t="s">
        <v>510</v>
      </c>
      <c r="F179" s="504">
        <v>1</v>
      </c>
      <c r="G179" s="248" t="s">
        <v>5222</v>
      </c>
      <c r="H179" s="542" t="s">
        <v>5223</v>
      </c>
      <c r="I179" s="151" t="s">
        <v>1417</v>
      </c>
      <c r="J179" s="494" t="s">
        <v>5224</v>
      </c>
      <c r="K179" s="919">
        <v>46023</v>
      </c>
      <c r="L179" s="58"/>
    </row>
    <row r="180" spans="2:12" ht="46.8" x14ac:dyDescent="0.3">
      <c r="B180" s="965" t="s">
        <v>508</v>
      </c>
      <c r="C180" s="130" t="s">
        <v>509</v>
      </c>
      <c r="D180" s="43" t="s">
        <v>190</v>
      </c>
      <c r="E180" s="126" t="s">
        <v>510</v>
      </c>
      <c r="F180" s="504">
        <v>1</v>
      </c>
      <c r="G180" s="248" t="s">
        <v>5225</v>
      </c>
      <c r="H180" s="542" t="s">
        <v>5207</v>
      </c>
      <c r="I180" s="151" t="s">
        <v>1417</v>
      </c>
      <c r="J180" s="494" t="s">
        <v>5226</v>
      </c>
      <c r="K180" s="919">
        <v>46023</v>
      </c>
    </row>
    <row r="181" spans="2:12" ht="62.4" x14ac:dyDescent="0.3">
      <c r="B181" s="965" t="s">
        <v>508</v>
      </c>
      <c r="C181" s="130" t="s">
        <v>509</v>
      </c>
      <c r="D181" s="43" t="s">
        <v>190</v>
      </c>
      <c r="E181" s="126" t="s">
        <v>510</v>
      </c>
      <c r="F181" s="504">
        <v>1</v>
      </c>
      <c r="G181" s="248" t="s">
        <v>5227</v>
      </c>
      <c r="H181" s="542" t="s">
        <v>5228</v>
      </c>
      <c r="I181" s="151" t="s">
        <v>1417</v>
      </c>
      <c r="J181" s="494" t="s">
        <v>5229</v>
      </c>
      <c r="K181" s="919">
        <v>46023</v>
      </c>
      <c r="L181" s="58"/>
    </row>
    <row r="182" spans="2:12" ht="62.4" x14ac:dyDescent="0.3">
      <c r="B182" s="965" t="s">
        <v>561</v>
      </c>
      <c r="C182" s="130" t="s">
        <v>509</v>
      </c>
      <c r="D182" s="43" t="s">
        <v>190</v>
      </c>
      <c r="E182" s="126" t="s">
        <v>510</v>
      </c>
      <c r="F182" s="504">
        <v>1</v>
      </c>
      <c r="G182" s="248" t="s">
        <v>5230</v>
      </c>
      <c r="H182" s="542" t="s">
        <v>5231</v>
      </c>
      <c r="I182" s="151" t="s">
        <v>1417</v>
      </c>
      <c r="J182" s="494" t="s">
        <v>5232</v>
      </c>
      <c r="K182" s="919">
        <v>46023</v>
      </c>
      <c r="L182" s="58"/>
    </row>
    <row r="183" spans="2:12" ht="62.4" x14ac:dyDescent="0.3">
      <c r="B183" s="965" t="s">
        <v>508</v>
      </c>
      <c r="C183" s="130" t="s">
        <v>509</v>
      </c>
      <c r="D183" s="43" t="s">
        <v>190</v>
      </c>
      <c r="E183" s="126" t="s">
        <v>510</v>
      </c>
      <c r="F183" s="504">
        <v>1</v>
      </c>
      <c r="G183" s="248" t="s">
        <v>5233</v>
      </c>
      <c r="H183" s="542" t="s">
        <v>5234</v>
      </c>
      <c r="I183" s="151" t="s">
        <v>1417</v>
      </c>
      <c r="J183" s="494" t="s">
        <v>5235</v>
      </c>
      <c r="K183" s="919">
        <v>46023</v>
      </c>
    </row>
    <row r="184" spans="2:12" ht="62.4" x14ac:dyDescent="0.3">
      <c r="B184" s="965" t="s">
        <v>561</v>
      </c>
      <c r="C184" s="130" t="s">
        <v>509</v>
      </c>
      <c r="D184" s="43" t="s">
        <v>190</v>
      </c>
      <c r="E184" s="126" t="s">
        <v>510</v>
      </c>
      <c r="F184" s="504">
        <v>1</v>
      </c>
      <c r="G184" s="248" t="s">
        <v>5236</v>
      </c>
      <c r="H184" s="542" t="s">
        <v>5175</v>
      </c>
      <c r="I184" s="151" t="s">
        <v>1417</v>
      </c>
      <c r="J184" s="494" t="s">
        <v>5237</v>
      </c>
      <c r="K184" s="919">
        <v>46023</v>
      </c>
    </row>
    <row r="185" spans="2:12" ht="46.8" x14ac:dyDescent="0.3">
      <c r="B185" s="965" t="s">
        <v>508</v>
      </c>
      <c r="C185" s="130" t="s">
        <v>509</v>
      </c>
      <c r="D185" s="43" t="s">
        <v>190</v>
      </c>
      <c r="E185" s="126" t="s">
        <v>510</v>
      </c>
      <c r="F185" s="504">
        <v>1</v>
      </c>
      <c r="G185" s="248" t="s">
        <v>5238</v>
      </c>
      <c r="H185" s="542" t="s">
        <v>5172</v>
      </c>
      <c r="I185" s="151" t="s">
        <v>1417</v>
      </c>
      <c r="J185" s="494" t="s">
        <v>5239</v>
      </c>
      <c r="K185" s="919">
        <v>46023</v>
      </c>
    </row>
    <row r="186" spans="2:12" ht="62.4" x14ac:dyDescent="0.3">
      <c r="B186" s="965" t="s">
        <v>561</v>
      </c>
      <c r="C186" s="130" t="s">
        <v>509</v>
      </c>
      <c r="D186" s="43" t="s">
        <v>190</v>
      </c>
      <c r="E186" s="126" t="s">
        <v>510</v>
      </c>
      <c r="F186" s="504">
        <v>1</v>
      </c>
      <c r="G186" s="248" t="s">
        <v>5240</v>
      </c>
      <c r="H186" s="542" t="s">
        <v>5190</v>
      </c>
      <c r="I186" s="151" t="s">
        <v>1417</v>
      </c>
      <c r="J186" s="494" t="s">
        <v>5241</v>
      </c>
      <c r="K186" s="919">
        <v>46023</v>
      </c>
      <c r="L186"/>
    </row>
    <row r="187" spans="2:12" ht="62.4" x14ac:dyDescent="0.3">
      <c r="B187" s="965" t="s">
        <v>508</v>
      </c>
      <c r="C187" s="130" t="s">
        <v>509</v>
      </c>
      <c r="D187" s="43" t="s">
        <v>190</v>
      </c>
      <c r="E187" s="126" t="s">
        <v>510</v>
      </c>
      <c r="F187" s="504">
        <v>1</v>
      </c>
      <c r="G187" s="248" t="s">
        <v>5242</v>
      </c>
      <c r="H187" s="542" t="s">
        <v>5231</v>
      </c>
      <c r="I187" s="151" t="s">
        <v>1417</v>
      </c>
      <c r="J187" s="494" t="s">
        <v>5243</v>
      </c>
      <c r="K187" s="919">
        <v>46023</v>
      </c>
      <c r="L187"/>
    </row>
    <row r="188" spans="2:12" ht="46.8" x14ac:dyDescent="0.3">
      <c r="B188" s="965" t="s">
        <v>508</v>
      </c>
      <c r="C188" s="130" t="s">
        <v>509</v>
      </c>
      <c r="D188" s="43" t="s">
        <v>190</v>
      </c>
      <c r="E188" s="126" t="s">
        <v>510</v>
      </c>
      <c r="F188" s="504">
        <v>1</v>
      </c>
      <c r="G188" s="248" t="s">
        <v>5244</v>
      </c>
      <c r="H188" s="542" t="s">
        <v>5181</v>
      </c>
      <c r="I188" s="319" t="s">
        <v>1417</v>
      </c>
      <c r="J188" s="494" t="s">
        <v>5245</v>
      </c>
      <c r="K188" s="919">
        <v>46023</v>
      </c>
    </row>
    <row r="189" spans="2:12" ht="46.8" x14ac:dyDescent="0.3">
      <c r="B189" s="965" t="s">
        <v>508</v>
      </c>
      <c r="C189" s="130" t="s">
        <v>509</v>
      </c>
      <c r="D189" s="43" t="s">
        <v>190</v>
      </c>
      <c r="E189" s="126" t="s">
        <v>510</v>
      </c>
      <c r="F189" s="504">
        <v>1</v>
      </c>
      <c r="G189" s="248" t="s">
        <v>5246</v>
      </c>
      <c r="H189" s="542" t="s">
        <v>5223</v>
      </c>
      <c r="I189" s="319" t="s">
        <v>1417</v>
      </c>
      <c r="J189" s="494" t="s">
        <v>5247</v>
      </c>
      <c r="K189" s="919">
        <v>46023</v>
      </c>
    </row>
    <row r="190" spans="2:12" ht="46.8" x14ac:dyDescent="0.3">
      <c r="B190" s="965" t="s">
        <v>508</v>
      </c>
      <c r="C190" s="130" t="s">
        <v>509</v>
      </c>
      <c r="D190" s="43" t="s">
        <v>190</v>
      </c>
      <c r="E190" s="126" t="s">
        <v>510</v>
      </c>
      <c r="F190" s="504">
        <v>1</v>
      </c>
      <c r="G190" s="248" t="s">
        <v>5248</v>
      </c>
      <c r="H190" s="542" t="s">
        <v>5220</v>
      </c>
      <c r="I190" s="319" t="s">
        <v>1417</v>
      </c>
      <c r="J190" s="494" t="s">
        <v>5249</v>
      </c>
      <c r="K190" s="919">
        <v>46023</v>
      </c>
    </row>
    <row r="191" spans="2:12" ht="62.4" x14ac:dyDescent="0.3">
      <c r="B191" s="965" t="s">
        <v>508</v>
      </c>
      <c r="C191" s="130" t="s">
        <v>509</v>
      </c>
      <c r="D191" s="43" t="s">
        <v>190</v>
      </c>
      <c r="E191" s="126" t="s">
        <v>510</v>
      </c>
      <c r="F191" s="504">
        <v>1</v>
      </c>
      <c r="G191" s="248" t="s">
        <v>5250</v>
      </c>
      <c r="H191" s="542" t="s">
        <v>5251</v>
      </c>
      <c r="I191" s="319" t="s">
        <v>1417</v>
      </c>
      <c r="J191" s="494" t="s">
        <v>5252</v>
      </c>
      <c r="K191" s="919">
        <v>46023</v>
      </c>
    </row>
    <row r="192" spans="2:12" ht="62.4" x14ac:dyDescent="0.3">
      <c r="B192" s="965" t="s">
        <v>508</v>
      </c>
      <c r="C192" s="130" t="s">
        <v>509</v>
      </c>
      <c r="D192" s="43" t="s">
        <v>190</v>
      </c>
      <c r="E192" s="126" t="s">
        <v>510</v>
      </c>
      <c r="F192" s="504">
        <v>1</v>
      </c>
      <c r="G192" s="248" t="s">
        <v>5253</v>
      </c>
      <c r="H192" s="542" t="s">
        <v>5254</v>
      </c>
      <c r="I192" s="319" t="s">
        <v>1417</v>
      </c>
      <c r="J192" s="494" t="s">
        <v>5255</v>
      </c>
      <c r="K192" s="919">
        <v>46023</v>
      </c>
    </row>
    <row r="193" spans="2:12" ht="62.4" x14ac:dyDescent="0.3">
      <c r="B193" s="965" t="s">
        <v>508</v>
      </c>
      <c r="C193" s="130" t="s">
        <v>509</v>
      </c>
      <c r="D193" s="43" t="s">
        <v>190</v>
      </c>
      <c r="E193" s="126" t="s">
        <v>510</v>
      </c>
      <c r="F193" s="504">
        <v>1</v>
      </c>
      <c r="G193" s="248" t="s">
        <v>5256</v>
      </c>
      <c r="H193" s="542" t="s">
        <v>5257</v>
      </c>
      <c r="I193" s="319" t="s">
        <v>1417</v>
      </c>
      <c r="J193" s="494" t="s">
        <v>5258</v>
      </c>
      <c r="K193" s="919">
        <v>46023</v>
      </c>
    </row>
    <row r="194" spans="2:12" ht="46.8" x14ac:dyDescent="0.3">
      <c r="B194" s="965" t="s">
        <v>508</v>
      </c>
      <c r="C194" s="130" t="s">
        <v>509</v>
      </c>
      <c r="D194" s="43" t="s">
        <v>190</v>
      </c>
      <c r="E194" s="126" t="s">
        <v>510</v>
      </c>
      <c r="F194" s="504">
        <v>1</v>
      </c>
      <c r="G194" s="248" t="s">
        <v>5259</v>
      </c>
      <c r="H194" s="542" t="s">
        <v>5260</v>
      </c>
      <c r="I194" s="319" t="s">
        <v>1417</v>
      </c>
      <c r="J194" s="494" t="s">
        <v>5261</v>
      </c>
      <c r="K194" s="919">
        <v>46023</v>
      </c>
    </row>
    <row r="195" spans="2:12" ht="46.8" x14ac:dyDescent="0.3">
      <c r="B195" s="965" t="s">
        <v>508</v>
      </c>
      <c r="C195" s="130" t="s">
        <v>509</v>
      </c>
      <c r="D195" s="43" t="s">
        <v>190</v>
      </c>
      <c r="E195" s="126" t="s">
        <v>510</v>
      </c>
      <c r="F195" s="504">
        <v>1</v>
      </c>
      <c r="G195" s="248" t="s">
        <v>5262</v>
      </c>
      <c r="H195" s="542" t="s">
        <v>5260</v>
      </c>
      <c r="I195" s="319" t="s">
        <v>1417</v>
      </c>
      <c r="J195" s="494" t="s">
        <v>5263</v>
      </c>
      <c r="K195" s="919">
        <v>46023</v>
      </c>
    </row>
    <row r="196" spans="2:12" ht="62.4" x14ac:dyDescent="0.3">
      <c r="B196" s="965" t="s">
        <v>561</v>
      </c>
      <c r="C196" s="130" t="s">
        <v>509</v>
      </c>
      <c r="D196" s="43" t="s">
        <v>190</v>
      </c>
      <c r="E196" s="126" t="s">
        <v>510</v>
      </c>
      <c r="F196" s="504">
        <v>1</v>
      </c>
      <c r="G196" s="248" t="s">
        <v>5264</v>
      </c>
      <c r="H196" s="542" t="s">
        <v>5190</v>
      </c>
      <c r="I196" s="319" t="s">
        <v>1417</v>
      </c>
      <c r="J196" s="494" t="s">
        <v>5265</v>
      </c>
      <c r="K196" s="919">
        <v>46023</v>
      </c>
    </row>
    <row r="197" spans="2:12" ht="62.4" x14ac:dyDescent="0.3">
      <c r="B197" s="965" t="s">
        <v>508</v>
      </c>
      <c r="C197" s="130" t="s">
        <v>509</v>
      </c>
      <c r="D197" s="43" t="s">
        <v>190</v>
      </c>
      <c r="E197" s="126" t="s">
        <v>510</v>
      </c>
      <c r="F197" s="504">
        <v>1</v>
      </c>
      <c r="G197" s="248" t="s">
        <v>5266</v>
      </c>
      <c r="H197" s="542" t="s">
        <v>5267</v>
      </c>
      <c r="I197" s="319" t="s">
        <v>1417</v>
      </c>
      <c r="J197" s="494" t="s">
        <v>5268</v>
      </c>
      <c r="K197" s="919">
        <v>46023</v>
      </c>
    </row>
    <row r="198" spans="2:12" ht="62.4" x14ac:dyDescent="0.3">
      <c r="B198" s="965" t="s">
        <v>561</v>
      </c>
      <c r="C198" s="130" t="s">
        <v>509</v>
      </c>
      <c r="D198" s="43" t="s">
        <v>190</v>
      </c>
      <c r="E198" s="126" t="s">
        <v>510</v>
      </c>
      <c r="F198" s="504">
        <v>1</v>
      </c>
      <c r="G198" s="248" t="s">
        <v>5269</v>
      </c>
      <c r="H198" s="542" t="s">
        <v>5270</v>
      </c>
      <c r="I198" s="319" t="s">
        <v>1417</v>
      </c>
      <c r="J198" s="494" t="s">
        <v>5271</v>
      </c>
      <c r="K198" s="919">
        <v>46023</v>
      </c>
    </row>
    <row r="199" spans="2:12" ht="62.4" x14ac:dyDescent="0.3">
      <c r="B199" s="965" t="s">
        <v>508</v>
      </c>
      <c r="C199" s="130" t="s">
        <v>509</v>
      </c>
      <c r="D199" s="43" t="s">
        <v>190</v>
      </c>
      <c r="E199" s="126" t="s">
        <v>510</v>
      </c>
      <c r="F199" s="504">
        <v>1</v>
      </c>
      <c r="G199" s="248" t="s">
        <v>5272</v>
      </c>
      <c r="H199" s="542" t="s">
        <v>5273</v>
      </c>
      <c r="I199" s="319" t="s">
        <v>1417</v>
      </c>
      <c r="J199" s="494" t="s">
        <v>5274</v>
      </c>
      <c r="K199" s="919">
        <v>46023</v>
      </c>
    </row>
    <row r="200" spans="2:12" ht="62.4" x14ac:dyDescent="0.3">
      <c r="B200" s="965" t="s">
        <v>561</v>
      </c>
      <c r="C200" s="130" t="s">
        <v>509</v>
      </c>
      <c r="D200" s="43" t="s">
        <v>190</v>
      </c>
      <c r="E200" s="126" t="s">
        <v>510</v>
      </c>
      <c r="F200" s="504">
        <v>1</v>
      </c>
      <c r="G200" s="248" t="s">
        <v>5275</v>
      </c>
      <c r="H200" s="542" t="s">
        <v>5276</v>
      </c>
      <c r="I200" s="319" t="s">
        <v>1417</v>
      </c>
      <c r="J200" s="494" t="s">
        <v>5277</v>
      </c>
      <c r="K200" s="919">
        <v>46023</v>
      </c>
    </row>
    <row r="201" spans="2:12" ht="46.8" x14ac:dyDescent="0.3">
      <c r="B201" s="965" t="s">
        <v>508</v>
      </c>
      <c r="C201" s="130" t="s">
        <v>509</v>
      </c>
      <c r="D201" s="43" t="s">
        <v>190</v>
      </c>
      <c r="E201" s="126" t="s">
        <v>510</v>
      </c>
      <c r="F201" s="504">
        <v>1</v>
      </c>
      <c r="G201" s="248" t="s">
        <v>5278</v>
      </c>
      <c r="H201" s="542" t="s">
        <v>5279</v>
      </c>
      <c r="I201" s="319" t="s">
        <v>1417</v>
      </c>
      <c r="J201" s="494" t="s">
        <v>5280</v>
      </c>
      <c r="K201" s="919">
        <v>46023</v>
      </c>
    </row>
    <row r="202" spans="2:12" ht="15.6" x14ac:dyDescent="0.3">
      <c r="B202" s="965" t="s">
        <v>508</v>
      </c>
      <c r="C202" s="130" t="s">
        <v>509</v>
      </c>
      <c r="D202" s="43" t="s">
        <v>190</v>
      </c>
      <c r="E202" s="126" t="s">
        <v>510</v>
      </c>
      <c r="F202" s="504">
        <v>1</v>
      </c>
      <c r="G202" s="248" t="s">
        <v>5281</v>
      </c>
      <c r="H202" s="542" t="s">
        <v>3269</v>
      </c>
      <c r="I202" s="319" t="s">
        <v>1417</v>
      </c>
      <c r="J202" s="494" t="s">
        <v>5282</v>
      </c>
      <c r="K202" s="919">
        <v>46023</v>
      </c>
      <c r="L202" s="58"/>
    </row>
    <row r="203" spans="2:12" ht="15.6" x14ac:dyDescent="0.3">
      <c r="B203" s="965" t="s">
        <v>508</v>
      </c>
      <c r="C203" s="130" t="s">
        <v>509</v>
      </c>
      <c r="D203" s="43" t="s">
        <v>190</v>
      </c>
      <c r="E203" s="126" t="s">
        <v>510</v>
      </c>
      <c r="F203" s="504">
        <v>1</v>
      </c>
      <c r="G203" s="248" t="s">
        <v>5283</v>
      </c>
      <c r="H203" s="542" t="s">
        <v>5279</v>
      </c>
      <c r="I203" s="319" t="s">
        <v>1417</v>
      </c>
      <c r="J203" s="494" t="s">
        <v>5284</v>
      </c>
      <c r="K203" s="919">
        <v>46023</v>
      </c>
    </row>
    <row r="204" spans="2:12" ht="62.4" x14ac:dyDescent="0.3">
      <c r="B204" s="965" t="s">
        <v>561</v>
      </c>
      <c r="C204" s="130" t="s">
        <v>509</v>
      </c>
      <c r="D204" s="43" t="s">
        <v>190</v>
      </c>
      <c r="E204" s="126" t="s">
        <v>510</v>
      </c>
      <c r="F204" s="504">
        <v>1</v>
      </c>
      <c r="G204" s="248" t="s">
        <v>5285</v>
      </c>
      <c r="H204" s="542" t="s">
        <v>5276</v>
      </c>
      <c r="I204" s="319" t="s">
        <v>1417</v>
      </c>
      <c r="J204" s="494" t="s">
        <v>5286</v>
      </c>
      <c r="K204" s="919">
        <v>46023</v>
      </c>
      <c r="L204"/>
    </row>
    <row r="205" spans="2:12" ht="62.4" x14ac:dyDescent="0.3">
      <c r="B205" s="965" t="s">
        <v>508</v>
      </c>
      <c r="C205" s="130" t="s">
        <v>509</v>
      </c>
      <c r="D205" s="43" t="s">
        <v>190</v>
      </c>
      <c r="E205" s="126" t="s">
        <v>510</v>
      </c>
      <c r="F205" s="504">
        <v>1</v>
      </c>
      <c r="G205" s="248" t="s">
        <v>5287</v>
      </c>
      <c r="H205" s="542" t="s">
        <v>5178</v>
      </c>
      <c r="I205" s="319" t="s">
        <v>1417</v>
      </c>
      <c r="J205" s="494" t="s">
        <v>5288</v>
      </c>
      <c r="K205" s="919">
        <v>46023</v>
      </c>
    </row>
    <row r="206" spans="2:12" ht="62.4" x14ac:dyDescent="0.3">
      <c r="B206" s="965" t="s">
        <v>561</v>
      </c>
      <c r="C206" s="130" t="s">
        <v>509</v>
      </c>
      <c r="D206" s="43" t="s">
        <v>190</v>
      </c>
      <c r="E206" s="126" t="s">
        <v>510</v>
      </c>
      <c r="F206" s="504">
        <v>1</v>
      </c>
      <c r="G206" s="248" t="s">
        <v>5289</v>
      </c>
      <c r="H206" s="542" t="s">
        <v>5196</v>
      </c>
      <c r="I206" s="319" t="s">
        <v>1417</v>
      </c>
      <c r="J206" s="494" t="s">
        <v>5290</v>
      </c>
      <c r="K206" s="919">
        <v>46023</v>
      </c>
    </row>
    <row r="207" spans="2:12" ht="62.4" x14ac:dyDescent="0.3">
      <c r="B207" s="965" t="s">
        <v>508</v>
      </c>
      <c r="C207" s="130" t="s">
        <v>509</v>
      </c>
      <c r="D207" s="43" t="s">
        <v>190</v>
      </c>
      <c r="E207" s="126" t="s">
        <v>510</v>
      </c>
      <c r="F207" s="504">
        <v>1</v>
      </c>
      <c r="G207" s="248" t="s">
        <v>5291</v>
      </c>
      <c r="H207" s="542" t="s">
        <v>5292</v>
      </c>
      <c r="I207" s="319" t="s">
        <v>1417</v>
      </c>
      <c r="J207" s="494" t="s">
        <v>5293</v>
      </c>
      <c r="K207" s="919">
        <v>46023</v>
      </c>
      <c r="L207" s="58"/>
    </row>
    <row r="208" spans="2:12" ht="7.35" customHeight="1" x14ac:dyDescent="0.3">
      <c r="B208" s="965" t="s">
        <v>561</v>
      </c>
      <c r="C208" s="130" t="s">
        <v>509</v>
      </c>
      <c r="D208" s="43" t="s">
        <v>190</v>
      </c>
      <c r="E208" s="126" t="s">
        <v>510</v>
      </c>
      <c r="F208" s="504">
        <v>1</v>
      </c>
      <c r="G208" s="248" t="s">
        <v>5294</v>
      </c>
      <c r="H208" s="542" t="s">
        <v>5295</v>
      </c>
      <c r="I208" s="151" t="s">
        <v>1417</v>
      </c>
      <c r="J208" s="494" t="s">
        <v>5296</v>
      </c>
      <c r="K208" s="919">
        <v>46023</v>
      </c>
      <c r="L208" s="58"/>
    </row>
    <row r="209" spans="2:12" ht="62.4" x14ac:dyDescent="0.3">
      <c r="B209" s="965" t="s">
        <v>508</v>
      </c>
      <c r="C209" s="130" t="s">
        <v>509</v>
      </c>
      <c r="D209" s="43" t="s">
        <v>190</v>
      </c>
      <c r="E209" s="126" t="s">
        <v>510</v>
      </c>
      <c r="F209" s="504">
        <v>1</v>
      </c>
      <c r="G209" s="587" t="s">
        <v>5297</v>
      </c>
      <c r="H209" s="585" t="s">
        <v>5298</v>
      </c>
      <c r="I209" s="588" t="s">
        <v>1315</v>
      </c>
      <c r="J209" s="494" t="s">
        <v>5299</v>
      </c>
      <c r="K209" s="919">
        <v>46054</v>
      </c>
      <c r="L209" s="58"/>
    </row>
    <row r="210" spans="2:12" ht="62.4" x14ac:dyDescent="0.3">
      <c r="B210" s="965" t="s">
        <v>508</v>
      </c>
      <c r="C210" s="130" t="s">
        <v>509</v>
      </c>
      <c r="D210" s="43" t="s">
        <v>190</v>
      </c>
      <c r="E210" s="126" t="s">
        <v>510</v>
      </c>
      <c r="F210" s="504">
        <v>1</v>
      </c>
      <c r="G210" s="587" t="s">
        <v>5300</v>
      </c>
      <c r="H210" s="585" t="s">
        <v>5301</v>
      </c>
      <c r="I210" s="588" t="s">
        <v>1315</v>
      </c>
      <c r="J210" s="494" t="s">
        <v>5302</v>
      </c>
      <c r="K210" s="919">
        <v>46054</v>
      </c>
      <c r="L210" s="58"/>
    </row>
    <row r="211" spans="2:12" ht="46.8" x14ac:dyDescent="0.3">
      <c r="B211" s="965" t="s">
        <v>508</v>
      </c>
      <c r="C211" s="130" t="s">
        <v>509</v>
      </c>
      <c r="D211" s="43" t="s">
        <v>190</v>
      </c>
      <c r="E211" s="126" t="s">
        <v>510</v>
      </c>
      <c r="F211" s="504">
        <v>1</v>
      </c>
      <c r="G211" s="587" t="s">
        <v>5303</v>
      </c>
      <c r="H211" s="585" t="s">
        <v>3269</v>
      </c>
      <c r="I211" s="588" t="s">
        <v>1315</v>
      </c>
      <c r="J211" s="494" t="s">
        <v>5304</v>
      </c>
      <c r="K211" s="919">
        <v>46054</v>
      </c>
      <c r="L211" s="58"/>
    </row>
    <row r="212" spans="2:12" ht="62.4" x14ac:dyDescent="0.3">
      <c r="B212" s="965" t="s">
        <v>561</v>
      </c>
      <c r="C212" s="130" t="s">
        <v>509</v>
      </c>
      <c r="D212" s="43" t="s">
        <v>190</v>
      </c>
      <c r="E212" s="126" t="s">
        <v>510</v>
      </c>
      <c r="F212" s="504">
        <v>1</v>
      </c>
      <c r="G212" s="587" t="s">
        <v>5305</v>
      </c>
      <c r="H212" s="585" t="s">
        <v>5306</v>
      </c>
      <c r="I212" s="588" t="s">
        <v>1315</v>
      </c>
      <c r="J212" s="494" t="s">
        <v>5307</v>
      </c>
      <c r="K212" s="919">
        <v>46054</v>
      </c>
      <c r="L212" s="58"/>
    </row>
    <row r="213" spans="2:12" ht="62.4" x14ac:dyDescent="0.3">
      <c r="B213" s="965" t="s">
        <v>508</v>
      </c>
      <c r="C213" s="130" t="s">
        <v>509</v>
      </c>
      <c r="D213" s="43" t="s">
        <v>190</v>
      </c>
      <c r="E213" s="126" t="s">
        <v>510</v>
      </c>
      <c r="F213" s="504">
        <v>1</v>
      </c>
      <c r="G213" s="587" t="s">
        <v>5308</v>
      </c>
      <c r="H213" s="585" t="s">
        <v>5309</v>
      </c>
      <c r="I213" s="588" t="s">
        <v>1315</v>
      </c>
      <c r="J213" s="494" t="s">
        <v>5310</v>
      </c>
      <c r="K213" s="919">
        <v>46054</v>
      </c>
      <c r="L213" s="58"/>
    </row>
    <row r="214" spans="2:12" ht="62.4" x14ac:dyDescent="0.3">
      <c r="B214" s="965" t="s">
        <v>561</v>
      </c>
      <c r="C214" s="130" t="s">
        <v>509</v>
      </c>
      <c r="D214" s="43" t="s">
        <v>190</v>
      </c>
      <c r="E214" s="126" t="s">
        <v>510</v>
      </c>
      <c r="F214" s="504">
        <v>1</v>
      </c>
      <c r="G214" s="587" t="s">
        <v>5311</v>
      </c>
      <c r="H214" s="585" t="s">
        <v>5312</v>
      </c>
      <c r="I214" s="588" t="s">
        <v>1315</v>
      </c>
      <c r="J214" s="494" t="s">
        <v>5313</v>
      </c>
      <c r="K214" s="919">
        <v>46054</v>
      </c>
      <c r="L214" s="58"/>
    </row>
    <row r="215" spans="2:12" ht="46.8" x14ac:dyDescent="0.3">
      <c r="B215" s="965" t="s">
        <v>508</v>
      </c>
      <c r="C215" s="130" t="s">
        <v>509</v>
      </c>
      <c r="D215" s="43" t="s">
        <v>190</v>
      </c>
      <c r="E215" s="126" t="s">
        <v>510</v>
      </c>
      <c r="F215" s="504">
        <v>1</v>
      </c>
      <c r="G215" s="587" t="s">
        <v>5314</v>
      </c>
      <c r="H215" s="585" t="s">
        <v>5315</v>
      </c>
      <c r="I215" s="588" t="s">
        <v>1315</v>
      </c>
      <c r="J215" s="494" t="s">
        <v>5316</v>
      </c>
      <c r="K215" s="919">
        <v>46054</v>
      </c>
      <c r="L215" s="58"/>
    </row>
    <row r="216" spans="2:12" ht="62.4" x14ac:dyDescent="0.3">
      <c r="B216" s="965" t="s">
        <v>561</v>
      </c>
      <c r="C216" s="130" t="s">
        <v>509</v>
      </c>
      <c r="D216" s="43" t="s">
        <v>190</v>
      </c>
      <c r="E216" s="126" t="s">
        <v>510</v>
      </c>
      <c r="F216" s="504">
        <v>1</v>
      </c>
      <c r="G216" s="587" t="s">
        <v>5317</v>
      </c>
      <c r="H216" s="585" t="s">
        <v>5318</v>
      </c>
      <c r="I216" s="784" t="s">
        <v>1315</v>
      </c>
      <c r="J216" s="494" t="s">
        <v>5319</v>
      </c>
      <c r="K216" s="919">
        <v>46054</v>
      </c>
      <c r="L216" s="58"/>
    </row>
    <row r="217" spans="2:12" ht="62.4" x14ac:dyDescent="0.3">
      <c r="B217" s="965" t="s">
        <v>508</v>
      </c>
      <c r="C217" s="130" t="s">
        <v>509</v>
      </c>
      <c r="D217" s="43" t="s">
        <v>190</v>
      </c>
      <c r="E217" s="126" t="s">
        <v>510</v>
      </c>
      <c r="F217" s="504">
        <v>1</v>
      </c>
      <c r="G217" s="587" t="s">
        <v>5320</v>
      </c>
      <c r="H217" s="585" t="s">
        <v>5321</v>
      </c>
      <c r="I217" s="784" t="s">
        <v>1315</v>
      </c>
      <c r="J217" s="494" t="s">
        <v>5322</v>
      </c>
      <c r="K217" s="919">
        <v>46054</v>
      </c>
      <c r="L217" s="58"/>
    </row>
    <row r="218" spans="2:12" ht="62.4" x14ac:dyDescent="0.3">
      <c r="B218" s="965" t="s">
        <v>508</v>
      </c>
      <c r="C218" s="130" t="s">
        <v>509</v>
      </c>
      <c r="D218" s="43" t="s">
        <v>190</v>
      </c>
      <c r="E218" s="126" t="s">
        <v>510</v>
      </c>
      <c r="F218" s="504">
        <v>1</v>
      </c>
      <c r="G218" s="587" t="s">
        <v>5323</v>
      </c>
      <c r="H218" s="585" t="s">
        <v>5324</v>
      </c>
      <c r="I218" s="784" t="s">
        <v>1315</v>
      </c>
      <c r="J218" s="494" t="s">
        <v>5325</v>
      </c>
      <c r="K218" s="919">
        <v>46054</v>
      </c>
      <c r="L218" s="58"/>
    </row>
    <row r="219" spans="2:12" ht="46.8" x14ac:dyDescent="0.3">
      <c r="B219" s="965" t="s">
        <v>561</v>
      </c>
      <c r="C219" s="130" t="s">
        <v>509</v>
      </c>
      <c r="D219" s="43" t="s">
        <v>190</v>
      </c>
      <c r="E219" s="126" t="s">
        <v>510</v>
      </c>
      <c r="F219" s="504">
        <v>1</v>
      </c>
      <c r="G219" s="587" t="s">
        <v>5326</v>
      </c>
      <c r="H219" s="585" t="s">
        <v>5327</v>
      </c>
      <c r="I219" s="784" t="s">
        <v>1315</v>
      </c>
      <c r="J219" s="494" t="s">
        <v>5328</v>
      </c>
      <c r="K219" s="919">
        <v>46054</v>
      </c>
      <c r="L219" s="58"/>
    </row>
    <row r="220" spans="2:12" ht="62.4" x14ac:dyDescent="0.3">
      <c r="B220" s="965" t="s">
        <v>508</v>
      </c>
      <c r="C220" s="130" t="s">
        <v>509</v>
      </c>
      <c r="D220" s="43" t="s">
        <v>190</v>
      </c>
      <c r="E220" s="126" t="s">
        <v>510</v>
      </c>
      <c r="F220" s="504">
        <v>1</v>
      </c>
      <c r="G220" s="587" t="s">
        <v>5329</v>
      </c>
      <c r="H220" s="585" t="s">
        <v>5330</v>
      </c>
      <c r="I220" s="784" t="s">
        <v>1315</v>
      </c>
      <c r="J220" s="584" t="s">
        <v>5331</v>
      </c>
      <c r="K220" s="919">
        <v>46054</v>
      </c>
      <c r="L220" s="58"/>
    </row>
    <row r="221" spans="2:12" ht="46.8" x14ac:dyDescent="0.3">
      <c r="B221" s="965" t="s">
        <v>508</v>
      </c>
      <c r="C221" s="130" t="s">
        <v>509</v>
      </c>
      <c r="D221" s="43" t="s">
        <v>190</v>
      </c>
      <c r="E221" s="126" t="s">
        <v>510</v>
      </c>
      <c r="F221" s="504">
        <v>1</v>
      </c>
      <c r="G221" s="587" t="s">
        <v>5332</v>
      </c>
      <c r="H221" s="585" t="s">
        <v>5333</v>
      </c>
      <c r="I221" s="784" t="s">
        <v>1315</v>
      </c>
      <c r="J221" s="494" t="s">
        <v>5334</v>
      </c>
      <c r="K221" s="919">
        <v>46054</v>
      </c>
      <c r="L221" s="58"/>
    </row>
    <row r="222" spans="2:12" ht="46.8" x14ac:dyDescent="0.3">
      <c r="B222" s="965" t="s">
        <v>508</v>
      </c>
      <c r="C222" s="130" t="s">
        <v>509</v>
      </c>
      <c r="D222" s="43" t="s">
        <v>190</v>
      </c>
      <c r="E222" s="126" t="s">
        <v>510</v>
      </c>
      <c r="F222" s="504">
        <v>1</v>
      </c>
      <c r="G222" s="587" t="s">
        <v>5335</v>
      </c>
      <c r="H222" s="585" t="s">
        <v>5336</v>
      </c>
      <c r="I222" s="784" t="s">
        <v>1315</v>
      </c>
      <c r="J222" s="494" t="s">
        <v>5337</v>
      </c>
      <c r="K222" s="919">
        <v>46054</v>
      </c>
      <c r="L222" s="58"/>
    </row>
    <row r="223" spans="2:12" ht="46.8" x14ac:dyDescent="0.3">
      <c r="B223" s="965" t="s">
        <v>508</v>
      </c>
      <c r="C223" s="130" t="s">
        <v>509</v>
      </c>
      <c r="D223" s="43" t="s">
        <v>190</v>
      </c>
      <c r="E223" s="126" t="s">
        <v>510</v>
      </c>
      <c r="F223" s="504">
        <v>1</v>
      </c>
      <c r="G223" s="587" t="s">
        <v>5338</v>
      </c>
      <c r="H223" s="585" t="s">
        <v>5339</v>
      </c>
      <c r="I223" s="784" t="s">
        <v>1315</v>
      </c>
      <c r="J223" s="494" t="s">
        <v>5340</v>
      </c>
      <c r="K223" s="919">
        <v>46054</v>
      </c>
      <c r="L223" s="58"/>
    </row>
    <row r="224" spans="2:12" ht="46.8" x14ac:dyDescent="0.3">
      <c r="B224" s="965" t="s">
        <v>508</v>
      </c>
      <c r="C224" s="130" t="s">
        <v>509</v>
      </c>
      <c r="D224" s="43" t="s">
        <v>190</v>
      </c>
      <c r="E224" s="126" t="s">
        <v>510</v>
      </c>
      <c r="F224" s="504">
        <v>1</v>
      </c>
      <c r="G224" s="587" t="s">
        <v>5341</v>
      </c>
      <c r="H224" s="585" t="s">
        <v>5342</v>
      </c>
      <c r="I224" s="784" t="s">
        <v>1315</v>
      </c>
      <c r="J224" s="494" t="s">
        <v>5343</v>
      </c>
      <c r="K224" s="919">
        <v>46054</v>
      </c>
      <c r="L224" s="58"/>
    </row>
    <row r="225" spans="2:12" ht="62.4" x14ac:dyDescent="0.3">
      <c r="B225" s="965" t="s">
        <v>508</v>
      </c>
      <c r="C225" s="130" t="s">
        <v>509</v>
      </c>
      <c r="D225" s="43" t="s">
        <v>190</v>
      </c>
      <c r="E225" s="126" t="s">
        <v>510</v>
      </c>
      <c r="F225" s="504">
        <v>1</v>
      </c>
      <c r="G225" s="587" t="s">
        <v>5344</v>
      </c>
      <c r="H225" s="585" t="s">
        <v>5327</v>
      </c>
      <c r="I225" s="784" t="s">
        <v>1315</v>
      </c>
      <c r="J225" s="494" t="s">
        <v>5345</v>
      </c>
      <c r="K225" s="919">
        <v>46054</v>
      </c>
      <c r="L225" s="58"/>
    </row>
    <row r="226" spans="2:12" ht="62.4" x14ac:dyDescent="0.3">
      <c r="B226" s="965" t="s">
        <v>508</v>
      </c>
      <c r="C226" s="130" t="s">
        <v>509</v>
      </c>
      <c r="D226" s="43" t="s">
        <v>190</v>
      </c>
      <c r="E226" s="126" t="s">
        <v>510</v>
      </c>
      <c r="F226" s="504">
        <v>1</v>
      </c>
      <c r="G226" s="587" t="s">
        <v>5346</v>
      </c>
      <c r="H226" s="585" t="s">
        <v>4354</v>
      </c>
      <c r="I226" s="784" t="s">
        <v>1315</v>
      </c>
      <c r="J226" s="494" t="s">
        <v>5347</v>
      </c>
      <c r="K226" s="919">
        <v>46054</v>
      </c>
      <c r="L226" s="58"/>
    </row>
    <row r="227" spans="2:12" ht="62.4" x14ac:dyDescent="0.3">
      <c r="B227" s="965" t="s">
        <v>508</v>
      </c>
      <c r="C227" s="130" t="s">
        <v>509</v>
      </c>
      <c r="D227" s="43" t="s">
        <v>190</v>
      </c>
      <c r="E227" s="126" t="s">
        <v>510</v>
      </c>
      <c r="F227" s="504">
        <v>1</v>
      </c>
      <c r="G227" s="587" t="s">
        <v>5348</v>
      </c>
      <c r="H227" s="585" t="s">
        <v>5349</v>
      </c>
      <c r="I227" s="784" t="s">
        <v>1315</v>
      </c>
      <c r="J227" s="584" t="s">
        <v>5350</v>
      </c>
      <c r="K227" s="919">
        <v>46054</v>
      </c>
      <c r="L227" s="58"/>
    </row>
    <row r="228" spans="2:12" ht="62.4" x14ac:dyDescent="0.3">
      <c r="B228" s="965" t="s">
        <v>561</v>
      </c>
      <c r="C228" s="130" t="s">
        <v>509</v>
      </c>
      <c r="D228" s="43" t="s">
        <v>190</v>
      </c>
      <c r="E228" s="126" t="s">
        <v>510</v>
      </c>
      <c r="F228" s="504">
        <v>1</v>
      </c>
      <c r="G228" s="587" t="s">
        <v>5351</v>
      </c>
      <c r="H228" s="585" t="s">
        <v>5306</v>
      </c>
      <c r="I228" s="784" t="s">
        <v>1315</v>
      </c>
      <c r="J228" s="494" t="s">
        <v>5352</v>
      </c>
      <c r="K228" s="919">
        <v>46054</v>
      </c>
      <c r="L228" s="58"/>
    </row>
    <row r="229" spans="2:12" ht="46.8" x14ac:dyDescent="0.3">
      <c r="B229" s="965" t="s">
        <v>508</v>
      </c>
      <c r="C229" s="130" t="s">
        <v>509</v>
      </c>
      <c r="D229" s="43" t="s">
        <v>190</v>
      </c>
      <c r="E229" s="126" t="s">
        <v>510</v>
      </c>
      <c r="F229" s="504">
        <v>1</v>
      </c>
      <c r="G229" s="587" t="s">
        <v>5353</v>
      </c>
      <c r="H229" s="585" t="s">
        <v>5354</v>
      </c>
      <c r="I229" s="784" t="s">
        <v>1315</v>
      </c>
      <c r="J229" s="494" t="s">
        <v>5355</v>
      </c>
      <c r="K229" s="919">
        <v>46054</v>
      </c>
      <c r="L229" s="58"/>
    </row>
    <row r="230" spans="2:12" ht="46.8" x14ac:dyDescent="0.3">
      <c r="B230" s="965" t="s">
        <v>561</v>
      </c>
      <c r="C230" s="130" t="s">
        <v>509</v>
      </c>
      <c r="D230" s="43" t="s">
        <v>190</v>
      </c>
      <c r="E230" s="126" t="s">
        <v>510</v>
      </c>
      <c r="F230" s="504">
        <v>1</v>
      </c>
      <c r="G230" s="587" t="s">
        <v>5356</v>
      </c>
      <c r="H230" s="585" t="s">
        <v>5339</v>
      </c>
      <c r="I230" s="784" t="s">
        <v>1315</v>
      </c>
      <c r="J230" s="494" t="s">
        <v>5357</v>
      </c>
      <c r="K230" s="919">
        <v>46054</v>
      </c>
      <c r="L230" s="58"/>
    </row>
    <row r="231" spans="2:12" ht="62.4" x14ac:dyDescent="0.3">
      <c r="B231" s="965" t="s">
        <v>508</v>
      </c>
      <c r="C231" s="130" t="s">
        <v>509</v>
      </c>
      <c r="D231" s="43" t="s">
        <v>190</v>
      </c>
      <c r="E231" s="126" t="s">
        <v>510</v>
      </c>
      <c r="F231" s="504">
        <v>1</v>
      </c>
      <c r="G231" s="587" t="s">
        <v>5358</v>
      </c>
      <c r="H231" s="585" t="s">
        <v>5359</v>
      </c>
      <c r="I231" s="784" t="s">
        <v>1315</v>
      </c>
      <c r="J231" s="494" t="s">
        <v>5360</v>
      </c>
      <c r="K231" s="919">
        <v>46054</v>
      </c>
      <c r="L231" s="58"/>
    </row>
    <row r="232" spans="2:12" ht="15.6" x14ac:dyDescent="0.3">
      <c r="B232" s="965" t="s">
        <v>561</v>
      </c>
      <c r="C232" s="130" t="s">
        <v>509</v>
      </c>
      <c r="D232" s="43" t="s">
        <v>190</v>
      </c>
      <c r="E232" s="126" t="s">
        <v>510</v>
      </c>
      <c r="F232" s="504">
        <v>1</v>
      </c>
      <c r="G232" s="587" t="s">
        <v>5361</v>
      </c>
      <c r="H232" s="585" t="s">
        <v>5362</v>
      </c>
      <c r="I232" s="784" t="s">
        <v>1315</v>
      </c>
      <c r="J232" s="494" t="s">
        <v>5363</v>
      </c>
      <c r="K232" s="919">
        <v>46054</v>
      </c>
      <c r="L232" s="58"/>
    </row>
    <row r="233" spans="2:12" ht="15.6" x14ac:dyDescent="0.3">
      <c r="B233" s="965" t="s">
        <v>508</v>
      </c>
      <c r="C233" s="130" t="s">
        <v>509</v>
      </c>
      <c r="D233" s="43" t="s">
        <v>190</v>
      </c>
      <c r="E233" s="126" t="s">
        <v>510</v>
      </c>
      <c r="F233" s="504">
        <v>1</v>
      </c>
      <c r="G233" s="587" t="s">
        <v>5364</v>
      </c>
      <c r="H233" s="585" t="s">
        <v>5318</v>
      </c>
      <c r="I233" s="784" t="s">
        <v>1315</v>
      </c>
      <c r="J233" s="494" t="s">
        <v>5365</v>
      </c>
      <c r="K233" s="919">
        <v>46054</v>
      </c>
      <c r="L233" s="58"/>
    </row>
    <row r="234" spans="2:12" ht="46.8" x14ac:dyDescent="0.3">
      <c r="B234" s="965" t="s">
        <v>561</v>
      </c>
      <c r="C234" s="130" t="s">
        <v>509</v>
      </c>
      <c r="D234" s="43" t="s">
        <v>190</v>
      </c>
      <c r="E234" s="126" t="s">
        <v>510</v>
      </c>
      <c r="F234" s="504">
        <v>1</v>
      </c>
      <c r="G234" s="587" t="s">
        <v>5366</v>
      </c>
      <c r="H234" s="585" t="s">
        <v>5367</v>
      </c>
      <c r="I234" s="784" t="s">
        <v>1315</v>
      </c>
      <c r="J234" s="584" t="s">
        <v>5368</v>
      </c>
      <c r="K234" s="919">
        <v>46054</v>
      </c>
      <c r="L234" s="58"/>
    </row>
    <row r="235" spans="2:12" ht="62.4" x14ac:dyDescent="0.3">
      <c r="B235" s="965" t="s">
        <v>508</v>
      </c>
      <c r="C235" s="130" t="s">
        <v>509</v>
      </c>
      <c r="D235" s="43" t="s">
        <v>190</v>
      </c>
      <c r="E235" s="126" t="s">
        <v>510</v>
      </c>
      <c r="F235" s="504">
        <v>1</v>
      </c>
      <c r="G235" s="587" t="s">
        <v>5369</v>
      </c>
      <c r="H235" s="585" t="s">
        <v>5370</v>
      </c>
      <c r="I235" s="784" t="s">
        <v>1315</v>
      </c>
      <c r="J235" s="584" t="s">
        <v>5371</v>
      </c>
      <c r="K235" s="919">
        <v>46054</v>
      </c>
      <c r="L235" s="58"/>
    </row>
    <row r="236" spans="2:12" ht="46.8" x14ac:dyDescent="0.3">
      <c r="B236" s="965" t="s">
        <v>508</v>
      </c>
      <c r="C236" s="130" t="s">
        <v>509</v>
      </c>
      <c r="D236" s="43" t="s">
        <v>190</v>
      </c>
      <c r="E236" s="126" t="s">
        <v>515</v>
      </c>
      <c r="F236" s="504">
        <v>1</v>
      </c>
      <c r="G236" s="587" t="s">
        <v>5372</v>
      </c>
      <c r="H236" s="585" t="s">
        <v>5373</v>
      </c>
      <c r="I236" s="784" t="s">
        <v>1315</v>
      </c>
      <c r="J236" s="494" t="s">
        <v>5374</v>
      </c>
      <c r="K236" s="919">
        <v>46054</v>
      </c>
      <c r="L236" s="58"/>
    </row>
    <row r="237" spans="2:12" ht="62.4" x14ac:dyDescent="0.3">
      <c r="B237" s="965" t="s">
        <v>561</v>
      </c>
      <c r="C237" s="130" t="s">
        <v>509</v>
      </c>
      <c r="D237" s="43" t="s">
        <v>190</v>
      </c>
      <c r="E237" s="126" t="s">
        <v>515</v>
      </c>
      <c r="F237" s="504">
        <v>1</v>
      </c>
      <c r="G237" s="587" t="s">
        <v>5375</v>
      </c>
      <c r="H237" s="585" t="s">
        <v>5376</v>
      </c>
      <c r="I237" s="784" t="s">
        <v>1315</v>
      </c>
      <c r="J237" s="494" t="s">
        <v>5377</v>
      </c>
      <c r="K237" s="919">
        <v>46054</v>
      </c>
      <c r="L237" s="58"/>
    </row>
    <row r="238" spans="2:12" ht="7.35" customHeight="1" x14ac:dyDescent="0.3">
      <c r="B238" s="965" t="s">
        <v>508</v>
      </c>
      <c r="C238" s="130" t="s">
        <v>509</v>
      </c>
      <c r="D238" s="43" t="s">
        <v>190</v>
      </c>
      <c r="E238" s="126" t="s">
        <v>515</v>
      </c>
      <c r="F238" s="504">
        <v>1</v>
      </c>
      <c r="G238" s="587" t="s">
        <v>5378</v>
      </c>
      <c r="H238" s="585" t="s">
        <v>5379</v>
      </c>
      <c r="I238" s="588" t="s">
        <v>1315</v>
      </c>
      <c r="J238" s="494" t="s">
        <v>5380</v>
      </c>
      <c r="K238" s="919">
        <v>46054</v>
      </c>
      <c r="L238" s="58"/>
    </row>
    <row r="239" spans="2:12" ht="46.8" x14ac:dyDescent="0.3">
      <c r="B239" s="965" t="s">
        <v>561</v>
      </c>
      <c r="C239" s="130" t="s">
        <v>509</v>
      </c>
      <c r="D239" s="43" t="s">
        <v>190</v>
      </c>
      <c r="E239" s="126" t="s">
        <v>515</v>
      </c>
      <c r="F239" s="504">
        <v>1</v>
      </c>
      <c r="G239" s="587" t="s">
        <v>5381</v>
      </c>
      <c r="H239" s="585" t="s">
        <v>5339</v>
      </c>
      <c r="I239" s="588" t="s">
        <v>1315</v>
      </c>
      <c r="J239" s="494" t="s">
        <v>5382</v>
      </c>
      <c r="K239" s="919">
        <v>46054</v>
      </c>
      <c r="L239" s="58"/>
    </row>
    <row r="240" spans="2:12" ht="62.4" x14ac:dyDescent="0.3">
      <c r="B240" s="965" t="s">
        <v>508</v>
      </c>
      <c r="C240" s="130" t="s">
        <v>509</v>
      </c>
      <c r="D240" s="43" t="s">
        <v>190</v>
      </c>
      <c r="E240" s="126" t="s">
        <v>515</v>
      </c>
      <c r="F240" s="504">
        <v>1</v>
      </c>
      <c r="G240" s="587" t="s">
        <v>5383</v>
      </c>
      <c r="H240" s="585" t="s">
        <v>5384</v>
      </c>
      <c r="I240" s="588" t="s">
        <v>1315</v>
      </c>
      <c r="J240" s="494" t="s">
        <v>5385</v>
      </c>
      <c r="K240" s="919">
        <v>46054</v>
      </c>
      <c r="L240" s="58"/>
    </row>
    <row r="241" spans="2:12" ht="46.8" x14ac:dyDescent="0.3">
      <c r="B241" s="965" t="s">
        <v>561</v>
      </c>
      <c r="C241" s="130" t="s">
        <v>509</v>
      </c>
      <c r="D241" s="43" t="s">
        <v>190</v>
      </c>
      <c r="E241" s="126" t="s">
        <v>515</v>
      </c>
      <c r="F241" s="504">
        <v>1</v>
      </c>
      <c r="G241" s="587" t="s">
        <v>5386</v>
      </c>
      <c r="H241" s="585" t="s">
        <v>5387</v>
      </c>
      <c r="I241" s="588" t="s">
        <v>1315</v>
      </c>
      <c r="J241" s="494" t="s">
        <v>5388</v>
      </c>
      <c r="K241" s="919">
        <v>46054</v>
      </c>
      <c r="L241" s="58"/>
    </row>
    <row r="242" spans="2:12" ht="46.8" x14ac:dyDescent="0.3">
      <c r="B242" s="965" t="s">
        <v>508</v>
      </c>
      <c r="C242" s="130" t="s">
        <v>509</v>
      </c>
      <c r="D242" s="43" t="s">
        <v>190</v>
      </c>
      <c r="E242" s="126" t="s">
        <v>515</v>
      </c>
      <c r="F242" s="504">
        <v>1</v>
      </c>
      <c r="G242" s="587" t="s">
        <v>5389</v>
      </c>
      <c r="H242" s="585" t="s">
        <v>5390</v>
      </c>
      <c r="I242" s="588" t="s">
        <v>1315</v>
      </c>
      <c r="J242" s="494" t="s">
        <v>5391</v>
      </c>
      <c r="K242" s="919">
        <v>46054</v>
      </c>
      <c r="L242" s="58"/>
    </row>
    <row r="243" spans="2:12" ht="46.8" x14ac:dyDescent="0.3">
      <c r="B243" s="965" t="s">
        <v>561</v>
      </c>
      <c r="C243" s="130" t="s">
        <v>509</v>
      </c>
      <c r="D243" s="43" t="s">
        <v>190</v>
      </c>
      <c r="E243" s="126" t="s">
        <v>515</v>
      </c>
      <c r="F243" s="504">
        <v>1</v>
      </c>
      <c r="G243" s="587" t="s">
        <v>5392</v>
      </c>
      <c r="H243" s="585" t="s">
        <v>5367</v>
      </c>
      <c r="I243" s="588" t="s">
        <v>1315</v>
      </c>
      <c r="J243" s="584" t="s">
        <v>5393</v>
      </c>
      <c r="K243" s="919">
        <v>46054</v>
      </c>
      <c r="L243" s="58"/>
    </row>
    <row r="244" spans="2:12" ht="62.4" x14ac:dyDescent="0.3">
      <c r="B244" s="965" t="s">
        <v>561</v>
      </c>
      <c r="C244" s="130" t="s">
        <v>509</v>
      </c>
      <c r="D244" s="43" t="s">
        <v>190</v>
      </c>
      <c r="E244" s="126" t="s">
        <v>515</v>
      </c>
      <c r="F244" s="504">
        <v>1</v>
      </c>
      <c r="G244" s="587" t="s">
        <v>5394</v>
      </c>
      <c r="H244" s="585" t="s">
        <v>5395</v>
      </c>
      <c r="I244" s="784" t="s">
        <v>1315</v>
      </c>
      <c r="J244" s="494" t="s">
        <v>5396</v>
      </c>
      <c r="K244" s="919">
        <v>46054</v>
      </c>
      <c r="L244" s="58"/>
    </row>
    <row r="245" spans="2:12" ht="62.4" x14ac:dyDescent="0.3">
      <c r="B245" s="965" t="s">
        <v>508</v>
      </c>
      <c r="C245" s="130" t="s">
        <v>509</v>
      </c>
      <c r="D245" s="43" t="s">
        <v>190</v>
      </c>
      <c r="E245" s="126" t="s">
        <v>515</v>
      </c>
      <c r="F245" s="504">
        <v>1</v>
      </c>
      <c r="G245" s="587" t="s">
        <v>5397</v>
      </c>
      <c r="H245" s="585" t="s">
        <v>5327</v>
      </c>
      <c r="I245" s="784" t="s">
        <v>1315</v>
      </c>
      <c r="J245" s="494" t="s">
        <v>5398</v>
      </c>
      <c r="K245" s="919">
        <v>46054</v>
      </c>
      <c r="L245" s="58"/>
    </row>
    <row r="246" spans="2:12" ht="46.8" x14ac:dyDescent="0.3">
      <c r="B246" s="965" t="s">
        <v>561</v>
      </c>
      <c r="C246" s="130" t="s">
        <v>509</v>
      </c>
      <c r="D246" s="43" t="s">
        <v>190</v>
      </c>
      <c r="E246" s="126" t="s">
        <v>515</v>
      </c>
      <c r="F246" s="504">
        <v>1</v>
      </c>
      <c r="G246" s="587" t="s">
        <v>5399</v>
      </c>
      <c r="H246" s="585" t="s">
        <v>5400</v>
      </c>
      <c r="I246" s="784" t="s">
        <v>1315</v>
      </c>
      <c r="J246" s="494" t="s">
        <v>5401</v>
      </c>
      <c r="K246" s="919">
        <v>46054</v>
      </c>
      <c r="L246" s="58"/>
    </row>
    <row r="247" spans="2:12" ht="46.8" x14ac:dyDescent="0.3">
      <c r="B247" s="965" t="s">
        <v>508</v>
      </c>
      <c r="C247" s="130" t="s">
        <v>509</v>
      </c>
      <c r="D247" s="43" t="s">
        <v>190</v>
      </c>
      <c r="E247" s="126" t="s">
        <v>515</v>
      </c>
      <c r="F247" s="504">
        <v>1</v>
      </c>
      <c r="G247" s="587" t="s">
        <v>5402</v>
      </c>
      <c r="H247" s="585" t="s">
        <v>5403</v>
      </c>
      <c r="I247" s="784" t="s">
        <v>1315</v>
      </c>
      <c r="J247" s="584" t="s">
        <v>5404</v>
      </c>
      <c r="K247" s="919">
        <v>46054</v>
      </c>
      <c r="L247" s="58"/>
    </row>
    <row r="248" spans="2:12" ht="62.4" x14ac:dyDescent="0.3">
      <c r="B248" s="965" t="s">
        <v>561</v>
      </c>
      <c r="C248" s="130" t="s">
        <v>509</v>
      </c>
      <c r="D248" s="43" t="s">
        <v>190</v>
      </c>
      <c r="E248" s="126" t="s">
        <v>515</v>
      </c>
      <c r="F248" s="504">
        <v>1</v>
      </c>
      <c r="G248" s="587" t="s">
        <v>5405</v>
      </c>
      <c r="H248" s="585" t="s">
        <v>5406</v>
      </c>
      <c r="I248" s="784" t="s">
        <v>1315</v>
      </c>
      <c r="J248" s="494" t="s">
        <v>5407</v>
      </c>
      <c r="K248" s="919">
        <v>46054</v>
      </c>
      <c r="L248" s="58"/>
    </row>
    <row r="249" spans="2:12" ht="46.8" x14ac:dyDescent="0.3">
      <c r="B249" s="965" t="s">
        <v>508</v>
      </c>
      <c r="C249" s="130" t="s">
        <v>509</v>
      </c>
      <c r="D249" s="43" t="s">
        <v>190</v>
      </c>
      <c r="E249" s="126" t="s">
        <v>515</v>
      </c>
      <c r="F249" s="504">
        <v>1</v>
      </c>
      <c r="G249" s="587" t="s">
        <v>5408</v>
      </c>
      <c r="H249" s="585" t="s">
        <v>5409</v>
      </c>
      <c r="I249" s="784" t="s">
        <v>1315</v>
      </c>
      <c r="J249" s="494" t="s">
        <v>5410</v>
      </c>
      <c r="K249" s="919">
        <v>46054</v>
      </c>
      <c r="L249" s="58"/>
    </row>
    <row r="250" spans="2:12" ht="46.8" x14ac:dyDescent="0.3">
      <c r="B250" s="965" t="s">
        <v>508</v>
      </c>
      <c r="C250" s="130" t="s">
        <v>509</v>
      </c>
      <c r="D250" s="43" t="s">
        <v>190</v>
      </c>
      <c r="E250" s="126" t="s">
        <v>515</v>
      </c>
      <c r="F250" s="504">
        <v>1</v>
      </c>
      <c r="G250" s="587" t="s">
        <v>5411</v>
      </c>
      <c r="H250" s="585" t="s">
        <v>5412</v>
      </c>
      <c r="I250" s="784" t="s">
        <v>1315</v>
      </c>
      <c r="J250" s="494" t="s">
        <v>5413</v>
      </c>
      <c r="K250" s="919">
        <v>46054</v>
      </c>
      <c r="L250" s="58"/>
    </row>
    <row r="251" spans="2:12" ht="62.4" x14ac:dyDescent="0.3">
      <c r="B251" s="965" t="s">
        <v>508</v>
      </c>
      <c r="C251" s="130" t="s">
        <v>509</v>
      </c>
      <c r="D251" s="43" t="s">
        <v>190</v>
      </c>
      <c r="E251" s="126" t="s">
        <v>515</v>
      </c>
      <c r="F251" s="504">
        <v>1</v>
      </c>
      <c r="G251" s="587" t="s">
        <v>5414</v>
      </c>
      <c r="H251" s="585" t="s">
        <v>5415</v>
      </c>
      <c r="I251" s="784" t="s">
        <v>1315</v>
      </c>
      <c r="J251" s="494" t="s">
        <v>5416</v>
      </c>
      <c r="K251" s="919">
        <v>46054</v>
      </c>
      <c r="L251" s="58"/>
    </row>
    <row r="252" spans="2:12" ht="62.4" x14ac:dyDescent="0.3">
      <c r="B252" s="965" t="s">
        <v>508</v>
      </c>
      <c r="C252" s="130" t="s">
        <v>509</v>
      </c>
      <c r="D252" s="43" t="s">
        <v>190</v>
      </c>
      <c r="E252" s="126" t="s">
        <v>515</v>
      </c>
      <c r="F252" s="504">
        <v>1</v>
      </c>
      <c r="G252" s="587" t="s">
        <v>5417</v>
      </c>
      <c r="H252" s="585" t="s">
        <v>5379</v>
      </c>
      <c r="I252" s="784" t="s">
        <v>1315</v>
      </c>
      <c r="J252" s="494" t="s">
        <v>5418</v>
      </c>
      <c r="K252" s="919">
        <v>46054</v>
      </c>
      <c r="L252" s="58"/>
    </row>
    <row r="253" spans="2:12" ht="62.4" x14ac:dyDescent="0.3">
      <c r="B253" s="965" t="s">
        <v>508</v>
      </c>
      <c r="C253" s="130" t="s">
        <v>509</v>
      </c>
      <c r="D253" s="43" t="s">
        <v>190</v>
      </c>
      <c r="E253" s="126" t="s">
        <v>515</v>
      </c>
      <c r="F253" s="504">
        <v>1</v>
      </c>
      <c r="G253" s="587" t="s">
        <v>5419</v>
      </c>
      <c r="H253" s="585" t="s">
        <v>5420</v>
      </c>
      <c r="I253" s="784" t="s">
        <v>1315</v>
      </c>
      <c r="J253" s="494" t="s">
        <v>5421</v>
      </c>
      <c r="K253" s="919">
        <v>46054</v>
      </c>
      <c r="L253" s="58"/>
    </row>
    <row r="254" spans="2:12" ht="46.8" x14ac:dyDescent="0.3">
      <c r="B254" s="965" t="s">
        <v>508</v>
      </c>
      <c r="C254" s="130" t="s">
        <v>509</v>
      </c>
      <c r="D254" s="43" t="s">
        <v>190</v>
      </c>
      <c r="E254" s="126" t="s">
        <v>515</v>
      </c>
      <c r="F254" s="504">
        <v>1</v>
      </c>
      <c r="G254" s="587" t="s">
        <v>5422</v>
      </c>
      <c r="H254" s="585" t="s">
        <v>5423</v>
      </c>
      <c r="I254" s="784" t="s">
        <v>1315</v>
      </c>
      <c r="J254" s="494" t="s">
        <v>5424</v>
      </c>
      <c r="K254" s="919">
        <v>46054</v>
      </c>
      <c r="L254" s="58"/>
    </row>
    <row r="255" spans="2:12" ht="62.4" x14ac:dyDescent="0.3">
      <c r="B255" s="965" t="s">
        <v>508</v>
      </c>
      <c r="C255" s="130" t="s">
        <v>509</v>
      </c>
      <c r="D255" s="43" t="s">
        <v>190</v>
      </c>
      <c r="E255" s="126" t="s">
        <v>515</v>
      </c>
      <c r="F255" s="504">
        <v>1</v>
      </c>
      <c r="G255" s="587" t="s">
        <v>5425</v>
      </c>
      <c r="H255" s="585" t="s">
        <v>5367</v>
      </c>
      <c r="I255" s="784" t="s">
        <v>1315</v>
      </c>
      <c r="J255" s="494" t="s">
        <v>5426</v>
      </c>
      <c r="K255" s="919">
        <v>46054</v>
      </c>
      <c r="L255" s="58"/>
    </row>
    <row r="256" spans="2:12" ht="62.4" x14ac:dyDescent="0.3">
      <c r="B256" s="965" t="s">
        <v>561</v>
      </c>
      <c r="C256" s="130" t="s">
        <v>509</v>
      </c>
      <c r="D256" s="43" t="s">
        <v>190</v>
      </c>
      <c r="E256" s="126" t="s">
        <v>515</v>
      </c>
      <c r="F256" s="504">
        <v>1</v>
      </c>
      <c r="G256" s="587" t="s">
        <v>5427</v>
      </c>
      <c r="H256" s="585" t="s">
        <v>5376</v>
      </c>
      <c r="I256" s="784" t="s">
        <v>1315</v>
      </c>
      <c r="J256" s="494" t="s">
        <v>5428</v>
      </c>
      <c r="K256" s="919">
        <v>46054</v>
      </c>
      <c r="L256" s="58"/>
    </row>
    <row r="257" spans="2:12" ht="46.8" x14ac:dyDescent="0.3">
      <c r="B257" s="965" t="s">
        <v>508</v>
      </c>
      <c r="C257" s="130" t="s">
        <v>509</v>
      </c>
      <c r="D257" s="43" t="s">
        <v>190</v>
      </c>
      <c r="E257" s="126" t="s">
        <v>515</v>
      </c>
      <c r="F257" s="504">
        <v>1</v>
      </c>
      <c r="G257" s="587" t="s">
        <v>5429</v>
      </c>
      <c r="H257" s="585" t="s">
        <v>5430</v>
      </c>
      <c r="I257" s="784" t="s">
        <v>1315</v>
      </c>
      <c r="J257" s="494" t="s">
        <v>5431</v>
      </c>
      <c r="K257" s="919">
        <v>46054</v>
      </c>
      <c r="L257" s="58"/>
    </row>
    <row r="258" spans="2:12" ht="62.4" x14ac:dyDescent="0.3">
      <c r="B258" s="965" t="s">
        <v>561</v>
      </c>
      <c r="C258" s="130" t="s">
        <v>509</v>
      </c>
      <c r="D258" s="43" t="s">
        <v>190</v>
      </c>
      <c r="E258" s="126" t="s">
        <v>515</v>
      </c>
      <c r="F258" s="504">
        <v>1</v>
      </c>
      <c r="G258" s="587" t="s">
        <v>5432</v>
      </c>
      <c r="H258" s="585" t="s">
        <v>5420</v>
      </c>
      <c r="I258" s="784" t="s">
        <v>1315</v>
      </c>
      <c r="J258" s="494" t="s">
        <v>5433</v>
      </c>
      <c r="K258" s="919">
        <v>46054</v>
      </c>
      <c r="L258" s="58"/>
    </row>
    <row r="259" spans="2:12" ht="62.4" x14ac:dyDescent="0.3">
      <c r="B259" s="965" t="s">
        <v>508</v>
      </c>
      <c r="C259" s="130" t="s">
        <v>509</v>
      </c>
      <c r="D259" s="43" t="s">
        <v>190</v>
      </c>
      <c r="E259" s="126" t="s">
        <v>515</v>
      </c>
      <c r="F259" s="504">
        <v>1</v>
      </c>
      <c r="G259" s="587" t="s">
        <v>5434</v>
      </c>
      <c r="H259" s="585" t="s">
        <v>5384</v>
      </c>
      <c r="I259" s="784" t="s">
        <v>1315</v>
      </c>
      <c r="J259" s="494" t="s">
        <v>5435</v>
      </c>
      <c r="K259" s="919">
        <v>46054</v>
      </c>
      <c r="L259" s="58"/>
    </row>
    <row r="260" spans="2:12" ht="62.4" x14ac:dyDescent="0.3">
      <c r="B260" s="965" t="s">
        <v>561</v>
      </c>
      <c r="C260" s="130" t="s">
        <v>509</v>
      </c>
      <c r="D260" s="43" t="s">
        <v>190</v>
      </c>
      <c r="E260" s="126" t="s">
        <v>515</v>
      </c>
      <c r="F260" s="504">
        <v>1</v>
      </c>
      <c r="G260" s="587" t="s">
        <v>5436</v>
      </c>
      <c r="H260" s="585" t="s">
        <v>5437</v>
      </c>
      <c r="I260" s="784" t="s">
        <v>1315</v>
      </c>
      <c r="J260" s="494" t="s">
        <v>5438</v>
      </c>
      <c r="K260" s="919">
        <v>46054</v>
      </c>
      <c r="L260" s="58"/>
    </row>
    <row r="261" spans="2:12" ht="46.8" x14ac:dyDescent="0.3">
      <c r="B261" s="965" t="s">
        <v>508</v>
      </c>
      <c r="C261" s="130" t="s">
        <v>509</v>
      </c>
      <c r="D261" s="43" t="s">
        <v>190</v>
      </c>
      <c r="E261" s="126" t="s">
        <v>515</v>
      </c>
      <c r="F261" s="504">
        <v>1</v>
      </c>
      <c r="G261" s="587" t="s">
        <v>5439</v>
      </c>
      <c r="H261" s="585" t="s">
        <v>5440</v>
      </c>
      <c r="I261" s="784" t="s">
        <v>1315</v>
      </c>
      <c r="J261" s="494" t="s">
        <v>5441</v>
      </c>
      <c r="K261" s="919">
        <v>46054</v>
      </c>
      <c r="L261" s="58"/>
    </row>
    <row r="262" spans="2:12" ht="15.6" x14ac:dyDescent="0.3">
      <c r="B262" s="965" t="s">
        <v>561</v>
      </c>
      <c r="C262" s="130" t="s">
        <v>509</v>
      </c>
      <c r="D262" s="43" t="s">
        <v>190</v>
      </c>
      <c r="E262" s="126" t="s">
        <v>515</v>
      </c>
      <c r="F262" s="504">
        <v>1</v>
      </c>
      <c r="G262" s="587" t="s">
        <v>5442</v>
      </c>
      <c r="H262" s="585" t="s">
        <v>5403</v>
      </c>
      <c r="I262" s="784" t="s">
        <v>1315</v>
      </c>
      <c r="J262" s="584" t="s">
        <v>5443</v>
      </c>
      <c r="K262" s="919">
        <v>46054</v>
      </c>
      <c r="L262" s="58"/>
    </row>
    <row r="263" spans="2:12" ht="15.6" x14ac:dyDescent="0.3">
      <c r="B263" s="965" t="s">
        <v>508</v>
      </c>
      <c r="C263" s="130" t="s">
        <v>509</v>
      </c>
      <c r="D263" s="43" t="s">
        <v>190</v>
      </c>
      <c r="E263" s="126" t="s">
        <v>515</v>
      </c>
      <c r="F263" s="504">
        <v>1</v>
      </c>
      <c r="G263" s="587" t="s">
        <v>5444</v>
      </c>
      <c r="H263" s="585" t="s">
        <v>5327</v>
      </c>
      <c r="I263" s="784" t="s">
        <v>1315</v>
      </c>
      <c r="J263" s="494" t="s">
        <v>5445</v>
      </c>
      <c r="K263" s="919">
        <v>46054</v>
      </c>
      <c r="L263" s="58"/>
    </row>
    <row r="264" spans="2:12" ht="46.8" x14ac:dyDescent="0.3">
      <c r="B264" s="965" t="s">
        <v>508</v>
      </c>
      <c r="C264" s="130" t="s">
        <v>509</v>
      </c>
      <c r="D264" s="43" t="s">
        <v>190</v>
      </c>
      <c r="E264" s="126" t="s">
        <v>515</v>
      </c>
      <c r="F264" s="504">
        <v>1</v>
      </c>
      <c r="G264" s="587" t="s">
        <v>5446</v>
      </c>
      <c r="H264" s="585" t="s">
        <v>5349</v>
      </c>
      <c r="I264" s="784" t="s">
        <v>1315</v>
      </c>
      <c r="J264" s="494" t="s">
        <v>5447</v>
      </c>
      <c r="K264" s="919">
        <v>46054</v>
      </c>
      <c r="L264" s="58"/>
    </row>
    <row r="265" spans="2:12" ht="62.4" x14ac:dyDescent="0.3">
      <c r="B265" s="965" t="s">
        <v>508</v>
      </c>
      <c r="C265" s="130" t="s">
        <v>509</v>
      </c>
      <c r="D265" s="43" t="s">
        <v>190</v>
      </c>
      <c r="E265" s="126" t="s">
        <v>515</v>
      </c>
      <c r="F265" s="504">
        <v>1</v>
      </c>
      <c r="G265" s="587" t="s">
        <v>5448</v>
      </c>
      <c r="H265" s="585" t="s">
        <v>5403</v>
      </c>
      <c r="I265" s="784" t="s">
        <v>1315</v>
      </c>
      <c r="J265" s="584" t="s">
        <v>5449</v>
      </c>
      <c r="K265" s="919">
        <v>46054</v>
      </c>
      <c r="L265" s="58"/>
    </row>
    <row r="266" spans="2:12" ht="46.8" x14ac:dyDescent="0.3">
      <c r="B266" s="965" t="s">
        <v>508</v>
      </c>
      <c r="C266" s="130" t="s">
        <v>509</v>
      </c>
      <c r="D266" s="43" t="s">
        <v>190</v>
      </c>
      <c r="E266" s="126" t="s">
        <v>510</v>
      </c>
      <c r="F266" s="504">
        <v>1</v>
      </c>
      <c r="G266" s="587" t="s">
        <v>5450</v>
      </c>
      <c r="H266" s="585" t="s">
        <v>5451</v>
      </c>
      <c r="I266" s="588" t="s">
        <v>946</v>
      </c>
      <c r="J266" s="494" t="s">
        <v>5452</v>
      </c>
      <c r="K266" s="919">
        <v>46082</v>
      </c>
      <c r="L266" s="58"/>
    </row>
    <row r="267" spans="2:12" ht="62.4" x14ac:dyDescent="0.3">
      <c r="B267" s="965" t="s">
        <v>561</v>
      </c>
      <c r="C267" s="130" t="s">
        <v>509</v>
      </c>
      <c r="D267" s="43" t="s">
        <v>190</v>
      </c>
      <c r="E267" s="126" t="s">
        <v>510</v>
      </c>
      <c r="F267" s="504">
        <v>1</v>
      </c>
      <c r="G267" s="587" t="s">
        <v>5453</v>
      </c>
      <c r="H267" s="585" t="s">
        <v>5454</v>
      </c>
      <c r="I267" s="784" t="s">
        <v>946</v>
      </c>
      <c r="J267" s="494" t="s">
        <v>5455</v>
      </c>
      <c r="K267" s="919">
        <v>46082</v>
      </c>
      <c r="L267" s="58"/>
    </row>
    <row r="268" spans="2:12" ht="7.35" customHeight="1" x14ac:dyDescent="0.3">
      <c r="B268" s="965" t="s">
        <v>508</v>
      </c>
      <c r="C268" s="130" t="s">
        <v>509</v>
      </c>
      <c r="D268" s="43" t="s">
        <v>190</v>
      </c>
      <c r="E268" s="126" t="s">
        <v>510</v>
      </c>
      <c r="F268" s="504">
        <v>1</v>
      </c>
      <c r="G268" s="587" t="s">
        <v>5456</v>
      </c>
      <c r="H268" s="585" t="s">
        <v>5457</v>
      </c>
      <c r="I268" s="588" t="s">
        <v>946</v>
      </c>
      <c r="J268" s="494" t="s">
        <v>5458</v>
      </c>
      <c r="K268" s="919">
        <v>46082</v>
      </c>
      <c r="L268" s="58"/>
    </row>
    <row r="269" spans="2:12" ht="46.8" x14ac:dyDescent="0.3">
      <c r="B269" s="965" t="s">
        <v>561</v>
      </c>
      <c r="C269" s="130" t="s">
        <v>509</v>
      </c>
      <c r="D269" s="43" t="s">
        <v>190</v>
      </c>
      <c r="E269" s="126" t="s">
        <v>510</v>
      </c>
      <c r="F269" s="504">
        <v>1</v>
      </c>
      <c r="G269" s="587" t="s">
        <v>5459</v>
      </c>
      <c r="H269" s="585" t="s">
        <v>5460</v>
      </c>
      <c r="I269" s="588" t="s">
        <v>946</v>
      </c>
      <c r="J269" s="584" t="s">
        <v>5461</v>
      </c>
      <c r="K269" s="919">
        <v>46082</v>
      </c>
      <c r="L269" s="58"/>
    </row>
    <row r="270" spans="2:12" ht="62.4" x14ac:dyDescent="0.3">
      <c r="B270" s="965" t="s">
        <v>508</v>
      </c>
      <c r="C270" s="130" t="s">
        <v>509</v>
      </c>
      <c r="D270" s="43" t="s">
        <v>190</v>
      </c>
      <c r="E270" s="126" t="s">
        <v>510</v>
      </c>
      <c r="F270" s="504">
        <v>1</v>
      </c>
      <c r="G270" s="587" t="s">
        <v>5462</v>
      </c>
      <c r="H270" s="585" t="s">
        <v>5463</v>
      </c>
      <c r="I270" s="588" t="s">
        <v>946</v>
      </c>
      <c r="J270" s="584" t="s">
        <v>5464</v>
      </c>
      <c r="K270" s="919">
        <v>46082</v>
      </c>
      <c r="L270" s="58"/>
    </row>
    <row r="271" spans="2:12" ht="62.4" x14ac:dyDescent="0.3">
      <c r="B271" s="965" t="s">
        <v>561</v>
      </c>
      <c r="C271" s="130" t="s">
        <v>509</v>
      </c>
      <c r="D271" s="43" t="s">
        <v>190</v>
      </c>
      <c r="E271" s="126" t="s">
        <v>510</v>
      </c>
      <c r="F271" s="504">
        <v>1</v>
      </c>
      <c r="G271" s="587" t="s">
        <v>5465</v>
      </c>
      <c r="H271" s="585" t="s">
        <v>5466</v>
      </c>
      <c r="I271" s="588" t="s">
        <v>946</v>
      </c>
      <c r="J271" s="584" t="s">
        <v>5467</v>
      </c>
      <c r="K271" s="919">
        <v>46082</v>
      </c>
      <c r="L271" s="58"/>
    </row>
    <row r="272" spans="2:12" ht="46.8" x14ac:dyDescent="0.3">
      <c r="B272" s="965" t="s">
        <v>508</v>
      </c>
      <c r="C272" s="130" t="s">
        <v>509</v>
      </c>
      <c r="D272" s="43" t="s">
        <v>190</v>
      </c>
      <c r="E272" s="126" t="s">
        <v>510</v>
      </c>
      <c r="F272" s="504">
        <v>1</v>
      </c>
      <c r="G272" s="587" t="s">
        <v>5468</v>
      </c>
      <c r="H272" s="585" t="s">
        <v>5469</v>
      </c>
      <c r="I272" s="784" t="s">
        <v>946</v>
      </c>
      <c r="J272" s="584" t="s">
        <v>5470</v>
      </c>
      <c r="K272" s="919">
        <v>46082</v>
      </c>
      <c r="L272" s="58"/>
    </row>
    <row r="273" spans="2:12" ht="46.8" x14ac:dyDescent="0.3">
      <c r="B273" s="965" t="s">
        <v>561</v>
      </c>
      <c r="C273" s="130" t="s">
        <v>509</v>
      </c>
      <c r="D273" s="43" t="s">
        <v>190</v>
      </c>
      <c r="E273" s="126" t="s">
        <v>510</v>
      </c>
      <c r="F273" s="504">
        <v>1</v>
      </c>
      <c r="G273" s="587" t="s">
        <v>5471</v>
      </c>
      <c r="H273" s="585" t="s">
        <v>5472</v>
      </c>
      <c r="I273" s="784" t="s">
        <v>946</v>
      </c>
      <c r="J273" s="584" t="s">
        <v>5473</v>
      </c>
      <c r="K273" s="919">
        <v>46082</v>
      </c>
      <c r="L273" s="58"/>
    </row>
    <row r="274" spans="2:12" ht="62.4" x14ac:dyDescent="0.3">
      <c r="B274" s="965" t="s">
        <v>508</v>
      </c>
      <c r="C274" s="130" t="s">
        <v>509</v>
      </c>
      <c r="D274" s="43" t="s">
        <v>190</v>
      </c>
      <c r="E274" s="126" t="s">
        <v>510</v>
      </c>
      <c r="F274" s="504">
        <v>1</v>
      </c>
      <c r="G274" s="587" t="s">
        <v>5474</v>
      </c>
      <c r="H274" s="585" t="s">
        <v>5475</v>
      </c>
      <c r="I274" s="784" t="s">
        <v>946</v>
      </c>
      <c r="J274" s="584" t="s">
        <v>5476</v>
      </c>
      <c r="K274" s="919">
        <v>46082</v>
      </c>
      <c r="L274" s="58"/>
    </row>
    <row r="275" spans="2:12" ht="62.4" x14ac:dyDescent="0.3">
      <c r="B275" s="965" t="s">
        <v>561</v>
      </c>
      <c r="C275" s="130" t="s">
        <v>509</v>
      </c>
      <c r="D275" s="43" t="s">
        <v>190</v>
      </c>
      <c r="E275" s="126" t="s">
        <v>510</v>
      </c>
      <c r="F275" s="504">
        <v>1</v>
      </c>
      <c r="G275" s="587" t="s">
        <v>5477</v>
      </c>
      <c r="H275" s="585" t="s">
        <v>5478</v>
      </c>
      <c r="I275" s="784" t="s">
        <v>946</v>
      </c>
      <c r="J275" s="584" t="s">
        <v>5479</v>
      </c>
      <c r="K275" s="919">
        <v>46082</v>
      </c>
      <c r="L275" s="58"/>
    </row>
    <row r="276" spans="2:12" ht="62.4" x14ac:dyDescent="0.3">
      <c r="B276" s="965" t="s">
        <v>508</v>
      </c>
      <c r="C276" s="130" t="s">
        <v>509</v>
      </c>
      <c r="D276" s="43" t="s">
        <v>190</v>
      </c>
      <c r="E276" s="126" t="s">
        <v>510</v>
      </c>
      <c r="F276" s="504">
        <v>1</v>
      </c>
      <c r="G276" s="587" t="s">
        <v>5480</v>
      </c>
      <c r="H276" s="585" t="s">
        <v>3799</v>
      </c>
      <c r="I276" s="784" t="s">
        <v>946</v>
      </c>
      <c r="J276" s="584" t="s">
        <v>5481</v>
      </c>
      <c r="K276" s="919">
        <v>46082</v>
      </c>
      <c r="L276" s="58"/>
    </row>
    <row r="277" spans="2:12" ht="62.4" x14ac:dyDescent="0.3">
      <c r="B277" s="965" t="s">
        <v>508</v>
      </c>
      <c r="C277" s="130" t="s">
        <v>509</v>
      </c>
      <c r="D277" s="43" t="s">
        <v>190</v>
      </c>
      <c r="E277" s="126" t="s">
        <v>510</v>
      </c>
      <c r="F277" s="504">
        <v>1</v>
      </c>
      <c r="G277" s="587" t="s">
        <v>5482</v>
      </c>
      <c r="H277" s="585" t="s">
        <v>5483</v>
      </c>
      <c r="I277" s="784" t="s">
        <v>946</v>
      </c>
      <c r="J277" s="584" t="s">
        <v>5484</v>
      </c>
      <c r="K277" s="919">
        <v>46082</v>
      </c>
      <c r="L277" s="58"/>
    </row>
    <row r="278" spans="2:12" ht="46.8" x14ac:dyDescent="0.3">
      <c r="B278" s="965" t="s">
        <v>508</v>
      </c>
      <c r="C278" s="130" t="s">
        <v>509</v>
      </c>
      <c r="D278" s="43" t="s">
        <v>190</v>
      </c>
      <c r="E278" s="126" t="s">
        <v>510</v>
      </c>
      <c r="F278" s="504">
        <v>1</v>
      </c>
      <c r="G278" s="587" t="s">
        <v>5485</v>
      </c>
      <c r="H278" s="585" t="s">
        <v>5463</v>
      </c>
      <c r="I278" s="784" t="s">
        <v>946</v>
      </c>
      <c r="J278" s="584" t="s">
        <v>5486</v>
      </c>
      <c r="K278" s="919">
        <v>46082</v>
      </c>
      <c r="L278" s="58"/>
    </row>
    <row r="279" spans="2:12" ht="46.8" x14ac:dyDescent="0.3">
      <c r="B279" s="965" t="s">
        <v>508</v>
      </c>
      <c r="C279" s="130" t="s">
        <v>509</v>
      </c>
      <c r="D279" s="43" t="s">
        <v>190</v>
      </c>
      <c r="E279" s="126" t="s">
        <v>510</v>
      </c>
      <c r="F279" s="504">
        <v>1</v>
      </c>
      <c r="G279" s="587" t="s">
        <v>5487</v>
      </c>
      <c r="H279" s="585" t="s">
        <v>5488</v>
      </c>
      <c r="I279" s="784" t="s">
        <v>946</v>
      </c>
      <c r="J279" s="584" t="s">
        <v>5489</v>
      </c>
      <c r="K279" s="919">
        <v>46082</v>
      </c>
      <c r="L279" s="58"/>
    </row>
    <row r="280" spans="2:12" ht="62.4" x14ac:dyDescent="0.3">
      <c r="B280" s="965" t="s">
        <v>508</v>
      </c>
      <c r="C280" s="130" t="s">
        <v>509</v>
      </c>
      <c r="D280" s="43" t="s">
        <v>190</v>
      </c>
      <c r="E280" s="126" t="s">
        <v>510</v>
      </c>
      <c r="F280" s="504">
        <v>1</v>
      </c>
      <c r="G280" s="587" t="s">
        <v>5490</v>
      </c>
      <c r="H280" s="585" t="s">
        <v>5491</v>
      </c>
      <c r="I280" s="784" t="s">
        <v>946</v>
      </c>
      <c r="J280" s="494" t="s">
        <v>5492</v>
      </c>
      <c r="K280" s="919">
        <v>46082</v>
      </c>
      <c r="L280" s="58"/>
    </row>
    <row r="281" spans="2:12" ht="46.8" x14ac:dyDescent="0.3">
      <c r="B281" s="965" t="s">
        <v>508</v>
      </c>
      <c r="C281" s="130" t="s">
        <v>509</v>
      </c>
      <c r="D281" s="43" t="s">
        <v>190</v>
      </c>
      <c r="E281" s="126" t="s">
        <v>510</v>
      </c>
      <c r="F281" s="504">
        <v>1</v>
      </c>
      <c r="G281" s="587" t="s">
        <v>5493</v>
      </c>
      <c r="H281" s="585" t="s">
        <v>5494</v>
      </c>
      <c r="I281" s="784" t="s">
        <v>946</v>
      </c>
      <c r="J281" s="584" t="s">
        <v>5495</v>
      </c>
      <c r="K281" s="919">
        <v>46082</v>
      </c>
      <c r="L281" s="58"/>
    </row>
    <row r="282" spans="2:12" ht="46.8" x14ac:dyDescent="0.3">
      <c r="B282" s="965" t="s">
        <v>561</v>
      </c>
      <c r="C282" s="130" t="s">
        <v>509</v>
      </c>
      <c r="D282" s="43" t="s">
        <v>190</v>
      </c>
      <c r="E282" s="126" t="s">
        <v>510</v>
      </c>
      <c r="F282" s="504">
        <v>1</v>
      </c>
      <c r="G282" s="587" t="s">
        <v>5496</v>
      </c>
      <c r="H282" s="585" t="s">
        <v>5497</v>
      </c>
      <c r="I282" s="784" t="s">
        <v>946</v>
      </c>
      <c r="J282" s="584" t="s">
        <v>5498</v>
      </c>
      <c r="K282" s="919">
        <v>46082</v>
      </c>
      <c r="L282" s="58"/>
    </row>
    <row r="283" spans="2:12" ht="62.4" x14ac:dyDescent="0.3">
      <c r="B283" s="965" t="s">
        <v>508</v>
      </c>
      <c r="C283" s="130" t="s">
        <v>509</v>
      </c>
      <c r="D283" s="43" t="s">
        <v>190</v>
      </c>
      <c r="E283" s="126" t="s">
        <v>510</v>
      </c>
      <c r="F283" s="504">
        <v>1</v>
      </c>
      <c r="G283" s="587" t="s">
        <v>5499</v>
      </c>
      <c r="H283" s="585" t="s">
        <v>5500</v>
      </c>
      <c r="I283" s="784" t="s">
        <v>946</v>
      </c>
      <c r="J283" s="584" t="s">
        <v>5501</v>
      </c>
      <c r="K283" s="919">
        <v>46082</v>
      </c>
      <c r="L283" s="58"/>
    </row>
    <row r="284" spans="2:12" ht="62.4" x14ac:dyDescent="0.3">
      <c r="B284" s="965" t="s">
        <v>561</v>
      </c>
      <c r="C284" s="130" t="s">
        <v>509</v>
      </c>
      <c r="D284" s="43" t="s">
        <v>190</v>
      </c>
      <c r="E284" s="126" t="s">
        <v>510</v>
      </c>
      <c r="F284" s="504">
        <v>1</v>
      </c>
      <c r="G284" s="587" t="s">
        <v>5502</v>
      </c>
      <c r="H284" s="585" t="s">
        <v>5503</v>
      </c>
      <c r="I284" s="784" t="s">
        <v>946</v>
      </c>
      <c r="J284" s="584" t="s">
        <v>5504</v>
      </c>
      <c r="K284" s="919">
        <v>46082</v>
      </c>
      <c r="L284" s="58"/>
    </row>
    <row r="285" spans="2:12" ht="46.8" x14ac:dyDescent="0.3">
      <c r="B285" s="965" t="s">
        <v>508</v>
      </c>
      <c r="C285" s="130" t="s">
        <v>509</v>
      </c>
      <c r="D285" s="43" t="s">
        <v>190</v>
      </c>
      <c r="E285" s="126" t="s">
        <v>510</v>
      </c>
      <c r="F285" s="504">
        <v>1</v>
      </c>
      <c r="G285" s="587" t="s">
        <v>5505</v>
      </c>
      <c r="H285" s="585" t="s">
        <v>5463</v>
      </c>
      <c r="I285" s="784" t="s">
        <v>946</v>
      </c>
      <c r="J285" s="584" t="s">
        <v>5506</v>
      </c>
      <c r="K285" s="919">
        <v>46082</v>
      </c>
      <c r="L285" s="58"/>
    </row>
    <row r="286" spans="2:12" ht="62.4" x14ac:dyDescent="0.3">
      <c r="B286" s="965" t="s">
        <v>561</v>
      </c>
      <c r="C286" s="130" t="s">
        <v>509</v>
      </c>
      <c r="D286" s="43" t="s">
        <v>190</v>
      </c>
      <c r="E286" s="126" t="s">
        <v>510</v>
      </c>
      <c r="F286" s="504">
        <v>1</v>
      </c>
      <c r="G286" s="587" t="s">
        <v>5507</v>
      </c>
      <c r="H286" s="585" t="s">
        <v>5488</v>
      </c>
      <c r="I286" s="784" t="s">
        <v>946</v>
      </c>
      <c r="J286" s="584" t="s">
        <v>5508</v>
      </c>
      <c r="K286" s="919">
        <v>46082</v>
      </c>
      <c r="L286" s="58"/>
    </row>
    <row r="287" spans="2:12" ht="46.8" x14ac:dyDescent="0.3">
      <c r="B287" s="965" t="s">
        <v>508</v>
      </c>
      <c r="C287" s="130" t="s">
        <v>509</v>
      </c>
      <c r="D287" s="43" t="s">
        <v>190</v>
      </c>
      <c r="E287" s="126" t="s">
        <v>510</v>
      </c>
      <c r="F287" s="504">
        <v>1</v>
      </c>
      <c r="G287" s="587" t="s">
        <v>5509</v>
      </c>
      <c r="H287" s="585" t="s">
        <v>5510</v>
      </c>
      <c r="I287" s="784" t="s">
        <v>946</v>
      </c>
      <c r="J287" s="584" t="s">
        <v>5511</v>
      </c>
      <c r="K287" s="919">
        <v>46082</v>
      </c>
      <c r="L287" s="58"/>
    </row>
    <row r="288" spans="2:12" ht="62.4" x14ac:dyDescent="0.3">
      <c r="B288" s="965" t="s">
        <v>508</v>
      </c>
      <c r="C288" s="130" t="s">
        <v>509</v>
      </c>
      <c r="D288" s="43" t="s">
        <v>190</v>
      </c>
      <c r="E288" s="126" t="s">
        <v>510</v>
      </c>
      <c r="F288" s="504">
        <v>1</v>
      </c>
      <c r="G288" s="587" t="s">
        <v>5512</v>
      </c>
      <c r="H288" s="585" t="s">
        <v>5469</v>
      </c>
      <c r="I288" s="784" t="s">
        <v>946</v>
      </c>
      <c r="J288" s="584" t="s">
        <v>5513</v>
      </c>
      <c r="K288" s="919">
        <v>46082</v>
      </c>
      <c r="L288" s="58"/>
    </row>
    <row r="289" spans="2:12" ht="62.4" x14ac:dyDescent="0.3">
      <c r="B289" s="965" t="s">
        <v>508</v>
      </c>
      <c r="C289" s="130" t="s">
        <v>509</v>
      </c>
      <c r="D289" s="43" t="s">
        <v>190</v>
      </c>
      <c r="E289" s="126" t="s">
        <v>510</v>
      </c>
      <c r="F289" s="504">
        <v>1</v>
      </c>
      <c r="G289" s="587" t="s">
        <v>5514</v>
      </c>
      <c r="H289" s="585" t="s">
        <v>5472</v>
      </c>
      <c r="I289" s="784" t="s">
        <v>946</v>
      </c>
      <c r="J289" s="584" t="s">
        <v>5515</v>
      </c>
      <c r="K289" s="919">
        <v>46082</v>
      </c>
      <c r="L289" s="58"/>
    </row>
    <row r="290" spans="2:12" ht="62.4" x14ac:dyDescent="0.3">
      <c r="B290" s="965" t="s">
        <v>508</v>
      </c>
      <c r="C290" s="130" t="s">
        <v>509</v>
      </c>
      <c r="D290" s="43" t="s">
        <v>190</v>
      </c>
      <c r="E290" s="126" t="s">
        <v>510</v>
      </c>
      <c r="F290" s="504">
        <v>1</v>
      </c>
      <c r="G290" s="587" t="s">
        <v>5516</v>
      </c>
      <c r="H290" s="585" t="s">
        <v>5475</v>
      </c>
      <c r="I290" s="784" t="s">
        <v>946</v>
      </c>
      <c r="J290" s="584" t="s">
        <v>5517</v>
      </c>
      <c r="K290" s="919">
        <v>46082</v>
      </c>
      <c r="L290" s="58"/>
    </row>
    <row r="291" spans="2:12" ht="62.4" x14ac:dyDescent="0.3">
      <c r="B291" s="965" t="s">
        <v>508</v>
      </c>
      <c r="C291" s="130" t="s">
        <v>509</v>
      </c>
      <c r="D291" s="43" t="s">
        <v>190</v>
      </c>
      <c r="E291" s="126" t="s">
        <v>510</v>
      </c>
      <c r="F291" s="504">
        <v>1</v>
      </c>
      <c r="G291" s="587" t="s">
        <v>5518</v>
      </c>
      <c r="H291" s="585" t="s">
        <v>5519</v>
      </c>
      <c r="I291" s="784" t="s">
        <v>946</v>
      </c>
      <c r="J291" s="584" t="s">
        <v>5520</v>
      </c>
      <c r="K291" s="919">
        <v>46082</v>
      </c>
      <c r="L291" s="58"/>
    </row>
    <row r="292" spans="2:12" ht="15.6" x14ac:dyDescent="0.3">
      <c r="B292" s="965" t="s">
        <v>508</v>
      </c>
      <c r="C292" s="130" t="s">
        <v>509</v>
      </c>
      <c r="D292" s="43" t="s">
        <v>190</v>
      </c>
      <c r="E292" s="126" t="s">
        <v>510</v>
      </c>
      <c r="F292" s="504">
        <v>1</v>
      </c>
      <c r="G292" s="587" t="s">
        <v>5521</v>
      </c>
      <c r="H292" s="585" t="s">
        <v>3799</v>
      </c>
      <c r="I292" s="784" t="s">
        <v>946</v>
      </c>
      <c r="J292" s="584" t="s">
        <v>5522</v>
      </c>
      <c r="K292" s="919">
        <v>46082</v>
      </c>
      <c r="L292" s="58"/>
    </row>
    <row r="293" spans="2:12" ht="15.6" x14ac:dyDescent="0.3">
      <c r="B293" s="965" t="s">
        <v>561</v>
      </c>
      <c r="C293" s="130" t="s">
        <v>509</v>
      </c>
      <c r="D293" s="43" t="s">
        <v>190</v>
      </c>
      <c r="E293" s="126" t="s">
        <v>515</v>
      </c>
      <c r="F293" s="504">
        <v>1</v>
      </c>
      <c r="G293" s="587" t="s">
        <v>5523</v>
      </c>
      <c r="H293" s="585" t="s">
        <v>5463</v>
      </c>
      <c r="I293" s="784" t="s">
        <v>946</v>
      </c>
      <c r="J293" s="584" t="s">
        <v>5524</v>
      </c>
      <c r="K293" s="919">
        <v>46082</v>
      </c>
      <c r="L293" s="58"/>
    </row>
    <row r="294" spans="2:12" ht="46.8" x14ac:dyDescent="0.3">
      <c r="B294" s="965" t="s">
        <v>508</v>
      </c>
      <c r="C294" s="130" t="s">
        <v>509</v>
      </c>
      <c r="D294" s="43" t="s">
        <v>190</v>
      </c>
      <c r="E294" s="126" t="s">
        <v>515</v>
      </c>
      <c r="F294" s="504">
        <v>1</v>
      </c>
      <c r="G294" s="587" t="s">
        <v>5525</v>
      </c>
      <c r="H294" s="585" t="s">
        <v>5526</v>
      </c>
      <c r="I294" s="784" t="s">
        <v>946</v>
      </c>
      <c r="J294" s="584" t="s">
        <v>5527</v>
      </c>
      <c r="K294" s="919">
        <v>46082</v>
      </c>
      <c r="L294" s="58"/>
    </row>
    <row r="295" spans="2:12" ht="46.8" x14ac:dyDescent="0.3">
      <c r="B295" s="965" t="s">
        <v>561</v>
      </c>
      <c r="C295" s="130" t="s">
        <v>509</v>
      </c>
      <c r="D295" s="43" t="s">
        <v>190</v>
      </c>
      <c r="E295" s="126" t="s">
        <v>515</v>
      </c>
      <c r="F295" s="504">
        <v>1</v>
      </c>
      <c r="G295" s="587" t="s">
        <v>5528</v>
      </c>
      <c r="H295" s="585" t="s">
        <v>3799</v>
      </c>
      <c r="I295" s="588" t="s">
        <v>946</v>
      </c>
      <c r="J295" s="584" t="s">
        <v>5529</v>
      </c>
      <c r="K295" s="919">
        <v>46082</v>
      </c>
      <c r="L295" s="58"/>
    </row>
    <row r="296" spans="2:12" ht="46.8" x14ac:dyDescent="0.3">
      <c r="B296" s="965" t="s">
        <v>508</v>
      </c>
      <c r="C296" s="130" t="s">
        <v>509</v>
      </c>
      <c r="D296" s="43" t="s">
        <v>190</v>
      </c>
      <c r="E296" s="126" t="s">
        <v>515</v>
      </c>
      <c r="F296" s="504">
        <v>1</v>
      </c>
      <c r="G296" s="587" t="s">
        <v>5530</v>
      </c>
      <c r="H296" s="585" t="s">
        <v>5531</v>
      </c>
      <c r="I296" s="588" t="s">
        <v>946</v>
      </c>
      <c r="J296" s="584" t="s">
        <v>5532</v>
      </c>
      <c r="K296" s="919">
        <v>46082</v>
      </c>
      <c r="L296" s="58"/>
    </row>
    <row r="297" spans="2:12" ht="62.4" x14ac:dyDescent="0.3">
      <c r="B297" s="965" t="s">
        <v>561</v>
      </c>
      <c r="C297" s="130" t="s">
        <v>509</v>
      </c>
      <c r="D297" s="43" t="s">
        <v>190</v>
      </c>
      <c r="E297" s="126" t="s">
        <v>515</v>
      </c>
      <c r="F297" s="504">
        <v>1</v>
      </c>
      <c r="G297" s="587" t="s">
        <v>5533</v>
      </c>
      <c r="H297" s="585" t="s">
        <v>5534</v>
      </c>
      <c r="I297" s="784" t="s">
        <v>946</v>
      </c>
      <c r="J297" s="584" t="s">
        <v>5535</v>
      </c>
      <c r="K297" s="919">
        <v>46082</v>
      </c>
      <c r="L297" s="58"/>
    </row>
    <row r="298" spans="2:12" ht="7.35" customHeight="1" x14ac:dyDescent="0.3">
      <c r="B298" s="965" t="s">
        <v>508</v>
      </c>
      <c r="C298" s="130" t="s">
        <v>509</v>
      </c>
      <c r="D298" s="43" t="s">
        <v>190</v>
      </c>
      <c r="E298" s="126" t="s">
        <v>515</v>
      </c>
      <c r="F298" s="504">
        <v>1</v>
      </c>
      <c r="G298" s="587" t="s">
        <v>5536</v>
      </c>
      <c r="H298" s="585" t="s">
        <v>4557</v>
      </c>
      <c r="I298" s="588" t="s">
        <v>946</v>
      </c>
      <c r="J298" s="584" t="s">
        <v>5537</v>
      </c>
      <c r="K298" s="919">
        <v>46082</v>
      </c>
      <c r="L298" s="58"/>
    </row>
    <row r="299" spans="2:12" ht="62.4" x14ac:dyDescent="0.3">
      <c r="B299" s="965" t="s">
        <v>508</v>
      </c>
      <c r="C299" s="130" t="s">
        <v>509</v>
      </c>
      <c r="D299" s="43" t="s">
        <v>190</v>
      </c>
      <c r="E299" s="126" t="s">
        <v>515</v>
      </c>
      <c r="F299" s="504">
        <v>1</v>
      </c>
      <c r="G299" s="587" t="s">
        <v>5538</v>
      </c>
      <c r="H299" s="585" t="s">
        <v>5539</v>
      </c>
      <c r="I299" s="588" t="s">
        <v>946</v>
      </c>
      <c r="J299" s="584" t="s">
        <v>5540</v>
      </c>
      <c r="K299" s="919">
        <v>46082</v>
      </c>
      <c r="L299" s="58"/>
    </row>
    <row r="300" spans="2:12" ht="46.8" x14ac:dyDescent="0.3">
      <c r="B300" s="965" t="s">
        <v>508</v>
      </c>
      <c r="C300" s="130" t="s">
        <v>509</v>
      </c>
      <c r="D300" s="43" t="s">
        <v>190</v>
      </c>
      <c r="E300" s="126" t="s">
        <v>515</v>
      </c>
      <c r="F300" s="504">
        <v>1</v>
      </c>
      <c r="G300" s="587" t="s">
        <v>5541</v>
      </c>
      <c r="H300" s="585" t="s">
        <v>5542</v>
      </c>
      <c r="I300" s="784" t="s">
        <v>946</v>
      </c>
      <c r="J300" s="584" t="s">
        <v>5543</v>
      </c>
      <c r="K300" s="919">
        <v>46082</v>
      </c>
      <c r="L300" s="58"/>
    </row>
    <row r="301" spans="2:12" ht="46.8" x14ac:dyDescent="0.3">
      <c r="B301" s="965" t="s">
        <v>508</v>
      </c>
      <c r="C301" s="130" t="s">
        <v>509</v>
      </c>
      <c r="D301" s="43" t="s">
        <v>190</v>
      </c>
      <c r="E301" s="126" t="s">
        <v>515</v>
      </c>
      <c r="F301" s="504">
        <v>1</v>
      </c>
      <c r="G301" s="587" t="s">
        <v>5544</v>
      </c>
      <c r="H301" s="585" t="s">
        <v>5545</v>
      </c>
      <c r="I301" s="784" t="s">
        <v>946</v>
      </c>
      <c r="J301" s="584" t="s">
        <v>5546</v>
      </c>
      <c r="K301" s="919">
        <v>46082</v>
      </c>
      <c r="L301" s="58"/>
    </row>
    <row r="302" spans="2:12" ht="15.6" x14ac:dyDescent="0.3">
      <c r="B302" s="965" t="s">
        <v>508</v>
      </c>
      <c r="C302" s="130" t="s">
        <v>509</v>
      </c>
      <c r="D302" s="43" t="s">
        <v>190</v>
      </c>
      <c r="E302" s="126" t="s">
        <v>515</v>
      </c>
      <c r="F302" s="504">
        <v>1</v>
      </c>
      <c r="G302" s="587" t="s">
        <v>5547</v>
      </c>
      <c r="H302" s="585" t="s">
        <v>5475</v>
      </c>
      <c r="I302" s="784" t="s">
        <v>946</v>
      </c>
      <c r="J302" s="584" t="s">
        <v>5548</v>
      </c>
      <c r="K302" s="919">
        <v>46082</v>
      </c>
      <c r="L302" s="58"/>
    </row>
    <row r="303" spans="2:12" ht="62.4" x14ac:dyDescent="0.3">
      <c r="B303" s="965" t="s">
        <v>508</v>
      </c>
      <c r="C303" s="130" t="s">
        <v>509</v>
      </c>
      <c r="D303" s="43" t="s">
        <v>190</v>
      </c>
      <c r="E303" s="126" t="s">
        <v>515</v>
      </c>
      <c r="F303" s="504">
        <v>1</v>
      </c>
      <c r="G303" s="587" t="s">
        <v>5549</v>
      </c>
      <c r="H303" s="585" t="s">
        <v>5550</v>
      </c>
      <c r="I303" s="784" t="s">
        <v>946</v>
      </c>
      <c r="J303" s="584" t="s">
        <v>5551</v>
      </c>
      <c r="K303" s="919">
        <v>46082</v>
      </c>
      <c r="L303" s="58"/>
    </row>
    <row r="304" spans="2:12" ht="46.8" x14ac:dyDescent="0.3">
      <c r="B304" s="965" t="s">
        <v>508</v>
      </c>
      <c r="C304" s="130" t="s">
        <v>509</v>
      </c>
      <c r="D304" s="43" t="s">
        <v>190</v>
      </c>
      <c r="E304" s="126" t="s">
        <v>515</v>
      </c>
      <c r="F304" s="504">
        <v>1</v>
      </c>
      <c r="G304" s="587" t="s">
        <v>5552</v>
      </c>
      <c r="H304" s="585" t="s">
        <v>3799</v>
      </c>
      <c r="I304" s="784" t="s">
        <v>946</v>
      </c>
      <c r="J304" s="584" t="s">
        <v>5553</v>
      </c>
      <c r="K304" s="919">
        <v>46082</v>
      </c>
      <c r="L304" s="58"/>
    </row>
    <row r="305" spans="2:15" ht="62.4" x14ac:dyDescent="0.3">
      <c r="B305" s="965" t="s">
        <v>508</v>
      </c>
      <c r="C305" s="130" t="s">
        <v>509</v>
      </c>
      <c r="D305" s="43" t="s">
        <v>190</v>
      </c>
      <c r="E305" s="126" t="s">
        <v>515</v>
      </c>
      <c r="F305" s="504">
        <v>1</v>
      </c>
      <c r="G305" s="587" t="s">
        <v>5554</v>
      </c>
      <c r="H305" s="585" t="s">
        <v>3799</v>
      </c>
      <c r="I305" s="784" t="s">
        <v>946</v>
      </c>
      <c r="J305" s="584" t="s">
        <v>5555</v>
      </c>
      <c r="K305" s="919">
        <v>46082</v>
      </c>
      <c r="L305" s="58"/>
    </row>
    <row r="306" spans="2:15" ht="15.6" x14ac:dyDescent="0.3">
      <c r="B306" s="965" t="s">
        <v>561</v>
      </c>
      <c r="C306" s="130" t="s">
        <v>509</v>
      </c>
      <c r="D306" s="43" t="s">
        <v>190</v>
      </c>
      <c r="E306" s="126" t="s">
        <v>515</v>
      </c>
      <c r="F306" s="504">
        <v>1</v>
      </c>
      <c r="G306" s="587" t="s">
        <v>5556</v>
      </c>
      <c r="H306" s="585" t="s">
        <v>5466</v>
      </c>
      <c r="I306" s="784" t="s">
        <v>946</v>
      </c>
      <c r="J306" s="584" t="s">
        <v>5557</v>
      </c>
      <c r="K306" s="919">
        <v>46082</v>
      </c>
      <c r="L306" s="58"/>
    </row>
    <row r="307" spans="2:15" ht="62.4" x14ac:dyDescent="0.3">
      <c r="B307" s="965" t="s">
        <v>508</v>
      </c>
      <c r="C307" s="130" t="s">
        <v>509</v>
      </c>
      <c r="D307" s="43" t="s">
        <v>190</v>
      </c>
      <c r="E307" s="126" t="s">
        <v>515</v>
      </c>
      <c r="F307" s="504">
        <v>1</v>
      </c>
      <c r="G307" s="587" t="s">
        <v>5558</v>
      </c>
      <c r="H307" s="585" t="s">
        <v>3653</v>
      </c>
      <c r="I307" s="784" t="s">
        <v>946</v>
      </c>
      <c r="J307" s="584" t="s">
        <v>5559</v>
      </c>
      <c r="K307" s="919">
        <v>46082</v>
      </c>
      <c r="L307" s="58"/>
    </row>
    <row r="308" spans="2:15" ht="46.8" x14ac:dyDescent="0.3">
      <c r="B308" s="965" t="s">
        <v>561</v>
      </c>
      <c r="C308" s="130" t="s">
        <v>509</v>
      </c>
      <c r="D308" s="43" t="s">
        <v>190</v>
      </c>
      <c r="E308" s="126" t="s">
        <v>515</v>
      </c>
      <c r="F308" s="504">
        <v>1</v>
      </c>
      <c r="G308" s="587" t="s">
        <v>5560</v>
      </c>
      <c r="H308" s="585" t="s">
        <v>5457</v>
      </c>
      <c r="I308" s="784" t="s">
        <v>946</v>
      </c>
      <c r="J308" s="584" t="s">
        <v>5561</v>
      </c>
      <c r="K308" s="919">
        <v>46082</v>
      </c>
      <c r="L308" s="58"/>
    </row>
    <row r="309" spans="2:15" ht="62.4" x14ac:dyDescent="0.3">
      <c r="B309" s="965" t="s">
        <v>508</v>
      </c>
      <c r="C309" s="130" t="s">
        <v>509</v>
      </c>
      <c r="D309" s="43" t="s">
        <v>190</v>
      </c>
      <c r="E309" s="126" t="s">
        <v>515</v>
      </c>
      <c r="F309" s="504">
        <v>1</v>
      </c>
      <c r="G309" s="587" t="s">
        <v>5562</v>
      </c>
      <c r="H309" s="585" t="s">
        <v>5472</v>
      </c>
      <c r="I309" s="784" t="s">
        <v>946</v>
      </c>
      <c r="J309" s="584" t="s">
        <v>5563</v>
      </c>
      <c r="K309" s="919">
        <v>46082</v>
      </c>
      <c r="L309" s="58"/>
    </row>
    <row r="310" spans="2:15" ht="62.4" x14ac:dyDescent="0.3">
      <c r="B310" s="965" t="s">
        <v>561</v>
      </c>
      <c r="C310" s="130" t="s">
        <v>509</v>
      </c>
      <c r="D310" s="43" t="s">
        <v>190</v>
      </c>
      <c r="E310" s="126" t="s">
        <v>515</v>
      </c>
      <c r="F310" s="504">
        <v>1</v>
      </c>
      <c r="G310" s="587" t="s">
        <v>5564</v>
      </c>
      <c r="H310" s="585" t="s">
        <v>5565</v>
      </c>
      <c r="I310" s="784" t="s">
        <v>946</v>
      </c>
      <c r="J310" s="584" t="s">
        <v>5566</v>
      </c>
      <c r="K310" s="919">
        <v>46082</v>
      </c>
      <c r="L310" s="58"/>
    </row>
    <row r="311" spans="2:15" ht="62.4" x14ac:dyDescent="0.3">
      <c r="B311" s="965" t="s">
        <v>508</v>
      </c>
      <c r="C311" s="130" t="s">
        <v>509</v>
      </c>
      <c r="D311" s="43" t="s">
        <v>190</v>
      </c>
      <c r="E311" s="126" t="s">
        <v>515</v>
      </c>
      <c r="F311" s="504">
        <v>1</v>
      </c>
      <c r="G311" s="587" t="s">
        <v>5567</v>
      </c>
      <c r="H311" s="585" t="s">
        <v>5568</v>
      </c>
      <c r="I311" s="784" t="s">
        <v>946</v>
      </c>
      <c r="J311" s="584" t="s">
        <v>5569</v>
      </c>
      <c r="K311" s="919">
        <v>46082</v>
      </c>
      <c r="L311" s="58"/>
    </row>
    <row r="312" spans="2:15" ht="62.4" x14ac:dyDescent="0.3">
      <c r="B312" s="965" t="s">
        <v>561</v>
      </c>
      <c r="C312" s="130" t="s">
        <v>509</v>
      </c>
      <c r="D312" s="43" t="s">
        <v>190</v>
      </c>
      <c r="E312" s="126" t="s">
        <v>515</v>
      </c>
      <c r="F312" s="504">
        <v>1</v>
      </c>
      <c r="G312" s="587" t="s">
        <v>5570</v>
      </c>
      <c r="H312" s="585" t="s">
        <v>5571</v>
      </c>
      <c r="I312" s="784" t="s">
        <v>946</v>
      </c>
      <c r="J312" s="584" t="s">
        <v>5572</v>
      </c>
      <c r="K312" s="919">
        <v>46082</v>
      </c>
      <c r="L312" s="58"/>
    </row>
    <row r="313" spans="2:15" ht="62.4" x14ac:dyDescent="0.3">
      <c r="B313" s="965" t="s">
        <v>508</v>
      </c>
      <c r="C313" s="130" t="s">
        <v>509</v>
      </c>
      <c r="D313" s="43" t="s">
        <v>190</v>
      </c>
      <c r="E313" s="126" t="s">
        <v>515</v>
      </c>
      <c r="F313" s="504">
        <v>1</v>
      </c>
      <c r="G313" s="587" t="s">
        <v>5573</v>
      </c>
      <c r="H313" s="585" t="s">
        <v>3799</v>
      </c>
      <c r="I313" s="784" t="s">
        <v>946</v>
      </c>
      <c r="J313" s="584" t="s">
        <v>5574</v>
      </c>
      <c r="K313" s="919">
        <v>46082</v>
      </c>
      <c r="L313" s="58"/>
    </row>
    <row r="314" spans="2:15" ht="62.4" x14ac:dyDescent="0.3">
      <c r="B314" s="965" t="s">
        <v>561</v>
      </c>
      <c r="C314" s="130" t="s">
        <v>509</v>
      </c>
      <c r="D314" s="43" t="s">
        <v>190</v>
      </c>
      <c r="E314" s="126" t="s">
        <v>515</v>
      </c>
      <c r="F314" s="504">
        <v>1</v>
      </c>
      <c r="G314" s="587" t="s">
        <v>5575</v>
      </c>
      <c r="H314" s="585" t="s">
        <v>5526</v>
      </c>
      <c r="I314" s="784" t="s">
        <v>946</v>
      </c>
      <c r="J314" s="584" t="s">
        <v>5576</v>
      </c>
      <c r="K314" s="919">
        <v>46082</v>
      </c>
      <c r="L314" s="58"/>
    </row>
    <row r="315" spans="2:15" ht="62.4" x14ac:dyDescent="0.3">
      <c r="B315" s="965" t="s">
        <v>508</v>
      </c>
      <c r="C315" s="130" t="s">
        <v>509</v>
      </c>
      <c r="D315" s="43" t="s">
        <v>190</v>
      </c>
      <c r="E315" s="126" t="s">
        <v>515</v>
      </c>
      <c r="F315" s="504">
        <v>1</v>
      </c>
      <c r="G315" s="587" t="s">
        <v>5577</v>
      </c>
      <c r="H315" s="585" t="s">
        <v>5531</v>
      </c>
      <c r="I315" s="784" t="s">
        <v>946</v>
      </c>
      <c r="J315" s="584" t="s">
        <v>5578</v>
      </c>
      <c r="K315" s="919">
        <v>46082</v>
      </c>
      <c r="L315" s="58"/>
      <c r="O315" s="58"/>
    </row>
    <row r="316" spans="2:15" ht="62.4" x14ac:dyDescent="0.3">
      <c r="B316" s="965" t="s">
        <v>561</v>
      </c>
      <c r="C316" s="130" t="s">
        <v>509</v>
      </c>
      <c r="D316" s="43" t="s">
        <v>190</v>
      </c>
      <c r="E316" s="126" t="s">
        <v>515</v>
      </c>
      <c r="F316" s="504">
        <v>1</v>
      </c>
      <c r="G316" s="587" t="s">
        <v>5579</v>
      </c>
      <c r="H316" s="585" t="s">
        <v>5494</v>
      </c>
      <c r="I316" s="784" t="s">
        <v>946</v>
      </c>
      <c r="J316" s="584" t="s">
        <v>5580</v>
      </c>
      <c r="K316" s="919">
        <v>46082</v>
      </c>
      <c r="L316" s="58"/>
    </row>
    <row r="317" spans="2:15" ht="62.4" x14ac:dyDescent="0.3">
      <c r="B317" s="965" t="s">
        <v>508</v>
      </c>
      <c r="C317" s="130" t="s">
        <v>509</v>
      </c>
      <c r="D317" s="43" t="s">
        <v>190</v>
      </c>
      <c r="E317" s="126" t="s">
        <v>515</v>
      </c>
      <c r="F317" s="504">
        <v>1</v>
      </c>
      <c r="G317" s="587" t="s">
        <v>5581</v>
      </c>
      <c r="H317" s="585" t="s">
        <v>5469</v>
      </c>
      <c r="I317" s="784" t="s">
        <v>946</v>
      </c>
      <c r="J317" s="584" t="s">
        <v>5582</v>
      </c>
      <c r="K317" s="919">
        <v>46082</v>
      </c>
      <c r="L317" s="58"/>
    </row>
    <row r="318" spans="2:15" ht="62.4" x14ac:dyDescent="0.3">
      <c r="B318" s="965" t="s">
        <v>508</v>
      </c>
      <c r="C318" s="130" t="s">
        <v>509</v>
      </c>
      <c r="D318" s="43" t="s">
        <v>190</v>
      </c>
      <c r="E318" s="126" t="s">
        <v>515</v>
      </c>
      <c r="F318" s="504">
        <v>1</v>
      </c>
      <c r="G318" s="587" t="s">
        <v>5583</v>
      </c>
      <c r="H318" s="585" t="s">
        <v>5494</v>
      </c>
      <c r="I318" s="784" t="s">
        <v>946</v>
      </c>
      <c r="J318" s="584" t="s">
        <v>5584</v>
      </c>
      <c r="K318" s="919">
        <v>46082</v>
      </c>
      <c r="L318" s="58"/>
    </row>
    <row r="319" spans="2:15" ht="62.4" x14ac:dyDescent="0.3">
      <c r="B319" s="965" t="s">
        <v>508</v>
      </c>
      <c r="C319" s="130" t="s">
        <v>509</v>
      </c>
      <c r="D319" s="43" t="s">
        <v>190</v>
      </c>
      <c r="E319" s="126" t="s">
        <v>515</v>
      </c>
      <c r="F319" s="504">
        <v>1</v>
      </c>
      <c r="G319" s="587" t="s">
        <v>5585</v>
      </c>
      <c r="H319" s="585" t="s">
        <v>3863</v>
      </c>
      <c r="I319" s="784" t="s">
        <v>946</v>
      </c>
      <c r="J319" s="584" t="s">
        <v>5586</v>
      </c>
      <c r="K319" s="919">
        <v>46082</v>
      </c>
      <c r="L319" s="58"/>
    </row>
    <row r="320" spans="2:15" ht="46.8" x14ac:dyDescent="0.3">
      <c r="B320" s="965" t="s">
        <v>508</v>
      </c>
      <c r="C320" s="130" t="s">
        <v>509</v>
      </c>
      <c r="D320" s="43" t="s">
        <v>190</v>
      </c>
      <c r="E320" s="126" t="s">
        <v>515</v>
      </c>
      <c r="F320" s="504">
        <v>1</v>
      </c>
      <c r="G320" s="587" t="s">
        <v>5587</v>
      </c>
      <c r="H320" s="585" t="s">
        <v>5588</v>
      </c>
      <c r="I320" s="784" t="s">
        <v>946</v>
      </c>
      <c r="J320" s="584" t="s">
        <v>5589</v>
      </c>
      <c r="K320" s="919">
        <v>46082</v>
      </c>
      <c r="L320" s="58"/>
    </row>
    <row r="321" spans="2:16" ht="62.4" x14ac:dyDescent="0.3">
      <c r="B321" s="965" t="s">
        <v>508</v>
      </c>
      <c r="C321" s="130" t="s">
        <v>509</v>
      </c>
      <c r="D321" s="43" t="s">
        <v>190</v>
      </c>
      <c r="E321" s="126" t="s">
        <v>515</v>
      </c>
      <c r="F321" s="504">
        <v>1</v>
      </c>
      <c r="G321" s="587" t="s">
        <v>5590</v>
      </c>
      <c r="H321" s="585" t="s">
        <v>5545</v>
      </c>
      <c r="I321" s="784" t="s">
        <v>946</v>
      </c>
      <c r="J321" s="584" t="s">
        <v>5591</v>
      </c>
      <c r="K321" s="919">
        <v>46082</v>
      </c>
      <c r="L321" s="58"/>
    </row>
    <row r="322" spans="2:16" ht="46.8" x14ac:dyDescent="0.3">
      <c r="B322" s="965" t="s">
        <v>561</v>
      </c>
      <c r="C322" s="130" t="s">
        <v>509</v>
      </c>
      <c r="D322" s="43" t="s">
        <v>190</v>
      </c>
      <c r="E322" s="126" t="s">
        <v>510</v>
      </c>
      <c r="F322" s="504">
        <v>1</v>
      </c>
      <c r="G322" s="587" t="s">
        <v>5592</v>
      </c>
      <c r="H322" s="585" t="s">
        <v>5593</v>
      </c>
      <c r="I322" s="784" t="s">
        <v>1053</v>
      </c>
      <c r="J322" s="584" t="s">
        <v>5594</v>
      </c>
      <c r="K322" s="919">
        <v>46113</v>
      </c>
      <c r="L322" s="58"/>
    </row>
    <row r="323" spans="2:16" ht="62.4" x14ac:dyDescent="0.3">
      <c r="B323" s="965" t="s">
        <v>508</v>
      </c>
      <c r="C323" s="130" t="s">
        <v>509</v>
      </c>
      <c r="D323" s="43" t="s">
        <v>190</v>
      </c>
      <c r="E323" s="126" t="s">
        <v>510</v>
      </c>
      <c r="F323" s="504">
        <v>1</v>
      </c>
      <c r="G323" s="587" t="s">
        <v>5595</v>
      </c>
      <c r="H323" s="585" t="s">
        <v>5596</v>
      </c>
      <c r="I323" s="784" t="s">
        <v>1053</v>
      </c>
      <c r="J323" s="584" t="s">
        <v>5597</v>
      </c>
      <c r="K323" s="919">
        <v>46113</v>
      </c>
      <c r="L323" s="58"/>
    </row>
    <row r="324" spans="2:16" ht="62.4" x14ac:dyDescent="0.3">
      <c r="B324" s="965" t="s">
        <v>508</v>
      </c>
      <c r="C324" s="130" t="s">
        <v>509</v>
      </c>
      <c r="D324" s="43" t="s">
        <v>190</v>
      </c>
      <c r="E324" s="126" t="s">
        <v>510</v>
      </c>
      <c r="F324" s="504">
        <v>1</v>
      </c>
      <c r="G324" s="587" t="s">
        <v>5598</v>
      </c>
      <c r="H324" s="585" t="s">
        <v>5599</v>
      </c>
      <c r="I324" s="784" t="s">
        <v>1053</v>
      </c>
      <c r="J324" s="584" t="s">
        <v>5600</v>
      </c>
      <c r="K324" s="919">
        <v>46113</v>
      </c>
      <c r="L324" s="58"/>
    </row>
    <row r="325" spans="2:16" ht="62.4" x14ac:dyDescent="0.3">
      <c r="B325" s="965" t="s">
        <v>508</v>
      </c>
      <c r="C325" s="130" t="s">
        <v>509</v>
      </c>
      <c r="D325" s="43" t="s">
        <v>190</v>
      </c>
      <c r="E325" s="126" t="s">
        <v>510</v>
      </c>
      <c r="F325" s="504">
        <v>1</v>
      </c>
      <c r="G325" s="587" t="s">
        <v>5601</v>
      </c>
      <c r="H325" s="585" t="s">
        <v>5602</v>
      </c>
      <c r="I325" s="588" t="s">
        <v>1053</v>
      </c>
      <c r="J325" s="584" t="s">
        <v>5603</v>
      </c>
      <c r="K325" s="919">
        <v>46113</v>
      </c>
      <c r="L325" s="58"/>
      <c r="O325" s="58"/>
    </row>
    <row r="326" spans="2:16" ht="46.8" x14ac:dyDescent="0.3">
      <c r="B326" s="965" t="s">
        <v>508</v>
      </c>
      <c r="C326" s="130" t="s">
        <v>509</v>
      </c>
      <c r="D326" s="43" t="s">
        <v>190</v>
      </c>
      <c r="E326" s="126" t="s">
        <v>510</v>
      </c>
      <c r="F326" s="504">
        <v>1</v>
      </c>
      <c r="G326" s="587" t="s">
        <v>5604</v>
      </c>
      <c r="H326" s="585" t="s">
        <v>5605</v>
      </c>
      <c r="I326" s="588" t="s">
        <v>1053</v>
      </c>
      <c r="J326" s="584" t="s">
        <v>5606</v>
      </c>
      <c r="K326" s="919">
        <v>46113</v>
      </c>
      <c r="L326" s="58"/>
    </row>
    <row r="327" spans="2:16" ht="46.8" x14ac:dyDescent="0.3">
      <c r="B327" s="965" t="s">
        <v>508</v>
      </c>
      <c r="C327" s="130" t="s">
        <v>509</v>
      </c>
      <c r="D327" s="43" t="s">
        <v>190</v>
      </c>
      <c r="E327" s="126" t="s">
        <v>510</v>
      </c>
      <c r="F327" s="504">
        <v>1</v>
      </c>
      <c r="G327" s="587" t="s">
        <v>5607</v>
      </c>
      <c r="H327" s="585" t="s">
        <v>5593</v>
      </c>
      <c r="I327" s="784" t="s">
        <v>1053</v>
      </c>
      <c r="J327" s="584" t="s">
        <v>5608</v>
      </c>
      <c r="K327" s="919">
        <v>46113</v>
      </c>
      <c r="L327" s="58"/>
      <c r="O327" s="58"/>
    </row>
    <row r="328" spans="2:16" ht="7.35" customHeight="1" x14ac:dyDescent="0.3">
      <c r="B328" s="965" t="s">
        <v>508</v>
      </c>
      <c r="C328" s="130" t="s">
        <v>509</v>
      </c>
      <c r="D328" s="43" t="s">
        <v>190</v>
      </c>
      <c r="E328" s="126" t="s">
        <v>510</v>
      </c>
      <c r="F328" s="504">
        <v>1</v>
      </c>
      <c r="G328" s="587" t="s">
        <v>5609</v>
      </c>
      <c r="H328" s="585" t="s">
        <v>5610</v>
      </c>
      <c r="I328" s="588" t="s">
        <v>1053</v>
      </c>
      <c r="J328" s="584" t="s">
        <v>5611</v>
      </c>
      <c r="K328" s="919">
        <v>46113</v>
      </c>
      <c r="L328" s="58"/>
      <c r="O328" s="58"/>
    </row>
    <row r="329" spans="2:16" ht="46.8" x14ac:dyDescent="0.3">
      <c r="B329" s="965" t="s">
        <v>508</v>
      </c>
      <c r="C329" s="130" t="s">
        <v>509</v>
      </c>
      <c r="D329" s="43" t="s">
        <v>190</v>
      </c>
      <c r="E329" s="126" t="s">
        <v>510</v>
      </c>
      <c r="F329" s="504">
        <v>1</v>
      </c>
      <c r="G329" s="587" t="s">
        <v>5612</v>
      </c>
      <c r="H329" s="585" t="s">
        <v>5613</v>
      </c>
      <c r="I329" s="784" t="s">
        <v>1053</v>
      </c>
      <c r="J329" s="584" t="s">
        <v>5614</v>
      </c>
      <c r="K329" s="919">
        <v>46113</v>
      </c>
      <c r="L329" s="58"/>
      <c r="O329" s="58"/>
    </row>
    <row r="330" spans="2:16" ht="62.4" x14ac:dyDescent="0.3">
      <c r="B330" s="965" t="s">
        <v>508</v>
      </c>
      <c r="C330" s="130" t="s">
        <v>509</v>
      </c>
      <c r="D330" s="43" t="s">
        <v>190</v>
      </c>
      <c r="E330" s="126" t="s">
        <v>510</v>
      </c>
      <c r="F330" s="504">
        <v>1</v>
      </c>
      <c r="G330" s="587" t="s">
        <v>5615</v>
      </c>
      <c r="H330" s="585" t="s">
        <v>5616</v>
      </c>
      <c r="I330" s="784" t="s">
        <v>1053</v>
      </c>
      <c r="J330" s="584" t="s">
        <v>5617</v>
      </c>
      <c r="K330" s="919">
        <v>46113</v>
      </c>
      <c r="L330" s="58"/>
      <c r="O330" s="58"/>
    </row>
    <row r="331" spans="2:16" ht="62.4" x14ac:dyDescent="0.3">
      <c r="B331" s="965" t="s">
        <v>561</v>
      </c>
      <c r="C331" s="130" t="s">
        <v>509</v>
      </c>
      <c r="D331" s="43" t="s">
        <v>190</v>
      </c>
      <c r="E331" s="126" t="s">
        <v>510</v>
      </c>
      <c r="F331" s="504">
        <v>1</v>
      </c>
      <c r="G331" s="587" t="s">
        <v>5618</v>
      </c>
      <c r="H331" s="585" t="s">
        <v>3869</v>
      </c>
      <c r="I331" s="784" t="s">
        <v>1053</v>
      </c>
      <c r="J331" s="584" t="s">
        <v>5619</v>
      </c>
      <c r="K331" s="919">
        <v>46113</v>
      </c>
      <c r="L331" s="58"/>
      <c r="P331"/>
    </row>
    <row r="332" spans="2:16" ht="46.8" x14ac:dyDescent="0.3">
      <c r="B332" s="965" t="s">
        <v>508</v>
      </c>
      <c r="C332" s="130" t="s">
        <v>509</v>
      </c>
      <c r="D332" s="43" t="s">
        <v>190</v>
      </c>
      <c r="E332" s="126" t="s">
        <v>510</v>
      </c>
      <c r="F332" s="504">
        <v>1</v>
      </c>
      <c r="G332" s="1969" t="s">
        <v>5620</v>
      </c>
      <c r="H332" s="585" t="s">
        <v>5621</v>
      </c>
      <c r="I332" s="784" t="s">
        <v>1053</v>
      </c>
      <c r="J332" s="584" t="s">
        <v>5622</v>
      </c>
      <c r="K332" s="919">
        <v>46113</v>
      </c>
      <c r="L332" s="58"/>
      <c r="O332"/>
    </row>
    <row r="333" spans="2:16" ht="46.8" x14ac:dyDescent="0.3">
      <c r="B333" s="965" t="s">
        <v>561</v>
      </c>
      <c r="C333" s="130" t="s">
        <v>509</v>
      </c>
      <c r="D333" s="43" t="s">
        <v>190</v>
      </c>
      <c r="E333" s="126" t="s">
        <v>510</v>
      </c>
      <c r="F333" s="504">
        <v>1</v>
      </c>
      <c r="G333" s="587" t="s">
        <v>5623</v>
      </c>
      <c r="H333" s="585" t="s">
        <v>5624</v>
      </c>
      <c r="I333" s="784" t="s">
        <v>1053</v>
      </c>
      <c r="J333" s="584" t="s">
        <v>5625</v>
      </c>
      <c r="K333" s="919">
        <v>46113</v>
      </c>
      <c r="L333" s="58"/>
      <c r="O333"/>
    </row>
    <row r="334" spans="2:16" ht="46.8" x14ac:dyDescent="0.3">
      <c r="B334" s="965" t="s">
        <v>508</v>
      </c>
      <c r="C334" s="130" t="s">
        <v>509</v>
      </c>
      <c r="D334" s="43" t="s">
        <v>190</v>
      </c>
      <c r="E334" s="126" t="s">
        <v>510</v>
      </c>
      <c r="F334" s="504">
        <v>1</v>
      </c>
      <c r="G334" s="587" t="s">
        <v>5626</v>
      </c>
      <c r="H334" s="585" t="s">
        <v>4219</v>
      </c>
      <c r="I334" s="784" t="s">
        <v>1053</v>
      </c>
      <c r="J334" s="584" t="s">
        <v>5627</v>
      </c>
      <c r="K334" s="919">
        <v>46113</v>
      </c>
      <c r="L334" s="58"/>
      <c r="O334"/>
    </row>
    <row r="335" spans="2:16" ht="62.4" x14ac:dyDescent="0.3">
      <c r="B335" s="965" t="s">
        <v>561</v>
      </c>
      <c r="C335" s="130" t="s">
        <v>509</v>
      </c>
      <c r="D335" s="43" t="s">
        <v>190</v>
      </c>
      <c r="E335" s="126" t="s">
        <v>510</v>
      </c>
      <c r="F335" s="504">
        <v>1</v>
      </c>
      <c r="G335" s="587" t="s">
        <v>5628</v>
      </c>
      <c r="H335" s="585" t="s">
        <v>5629</v>
      </c>
      <c r="I335" s="784" t="s">
        <v>1053</v>
      </c>
      <c r="J335" s="584" t="s">
        <v>5630</v>
      </c>
      <c r="K335" s="919">
        <v>46113</v>
      </c>
      <c r="L335" s="58"/>
      <c r="O335"/>
    </row>
    <row r="336" spans="2:16" ht="62.4" x14ac:dyDescent="0.3">
      <c r="B336" s="965" t="s">
        <v>508</v>
      </c>
      <c r="C336" s="130" t="s">
        <v>509</v>
      </c>
      <c r="D336" s="43" t="s">
        <v>190</v>
      </c>
      <c r="E336" s="126" t="s">
        <v>510</v>
      </c>
      <c r="F336" s="504">
        <v>1</v>
      </c>
      <c r="G336" s="587" t="s">
        <v>5631</v>
      </c>
      <c r="H336" s="585" t="s">
        <v>5632</v>
      </c>
      <c r="I336" s="784" t="s">
        <v>1053</v>
      </c>
      <c r="J336" s="584" t="s">
        <v>5633</v>
      </c>
      <c r="K336" s="919">
        <v>46113</v>
      </c>
      <c r="L336" s="58"/>
      <c r="O336"/>
    </row>
    <row r="337" spans="2:15" ht="62.4" x14ac:dyDescent="0.3">
      <c r="B337" s="965" t="s">
        <v>561</v>
      </c>
      <c r="C337" s="130" t="s">
        <v>509</v>
      </c>
      <c r="D337" s="43" t="s">
        <v>190</v>
      </c>
      <c r="E337" s="126" t="s">
        <v>510</v>
      </c>
      <c r="F337" s="504">
        <v>1</v>
      </c>
      <c r="G337" s="587" t="s">
        <v>5634</v>
      </c>
      <c r="H337" s="585" t="s">
        <v>5635</v>
      </c>
      <c r="I337" s="784" t="s">
        <v>1053</v>
      </c>
      <c r="J337" s="584" t="s">
        <v>5636</v>
      </c>
      <c r="K337" s="919">
        <v>46113</v>
      </c>
      <c r="L337" s="58"/>
      <c r="O337"/>
    </row>
    <row r="338" spans="2:15" ht="46.8" x14ac:dyDescent="0.3">
      <c r="B338" s="965" t="s">
        <v>508</v>
      </c>
      <c r="C338" s="130" t="s">
        <v>509</v>
      </c>
      <c r="D338" s="43" t="s">
        <v>190</v>
      </c>
      <c r="E338" s="126" t="s">
        <v>510</v>
      </c>
      <c r="F338" s="504">
        <v>1</v>
      </c>
      <c r="G338" s="587" t="s">
        <v>5637</v>
      </c>
      <c r="H338" s="585" t="s">
        <v>5638</v>
      </c>
      <c r="I338" s="784" t="s">
        <v>1053</v>
      </c>
      <c r="J338" s="584" t="s">
        <v>5639</v>
      </c>
      <c r="K338" s="919">
        <v>46113</v>
      </c>
      <c r="L338" s="58"/>
      <c r="O338"/>
    </row>
    <row r="339" spans="2:15" ht="46.8" x14ac:dyDescent="0.3">
      <c r="B339" s="965" t="s">
        <v>508</v>
      </c>
      <c r="C339" s="130" t="s">
        <v>509</v>
      </c>
      <c r="D339" s="43" t="s">
        <v>190</v>
      </c>
      <c r="E339" s="126" t="s">
        <v>510</v>
      </c>
      <c r="F339" s="504">
        <v>1</v>
      </c>
      <c r="G339" s="587" t="s">
        <v>5640</v>
      </c>
      <c r="H339" s="585" t="s">
        <v>3866</v>
      </c>
      <c r="I339" s="784" t="s">
        <v>1053</v>
      </c>
      <c r="J339" s="584" t="s">
        <v>5641</v>
      </c>
      <c r="K339" s="919">
        <v>46113</v>
      </c>
      <c r="L339" s="58"/>
      <c r="O339"/>
    </row>
    <row r="340" spans="2:15" ht="46.8" x14ac:dyDescent="0.3">
      <c r="B340" s="965" t="s">
        <v>561</v>
      </c>
      <c r="C340" s="130" t="s">
        <v>509</v>
      </c>
      <c r="D340" s="43" t="s">
        <v>190</v>
      </c>
      <c r="E340" s="126" t="s">
        <v>510</v>
      </c>
      <c r="F340" s="504">
        <v>1</v>
      </c>
      <c r="G340" s="587" t="s">
        <v>5642</v>
      </c>
      <c r="H340" s="585" t="s">
        <v>5643</v>
      </c>
      <c r="I340" s="784" t="s">
        <v>1053</v>
      </c>
      <c r="J340" s="584" t="s">
        <v>5644</v>
      </c>
      <c r="K340" s="919">
        <v>46113</v>
      </c>
      <c r="L340" s="58"/>
      <c r="O340"/>
    </row>
    <row r="341" spans="2:15" ht="46.8" x14ac:dyDescent="0.3">
      <c r="B341" s="965" t="s">
        <v>508</v>
      </c>
      <c r="C341" s="130" t="s">
        <v>509</v>
      </c>
      <c r="D341" s="43" t="s">
        <v>190</v>
      </c>
      <c r="E341" s="126" t="s">
        <v>510</v>
      </c>
      <c r="F341" s="504">
        <v>1</v>
      </c>
      <c r="G341" s="587" t="s">
        <v>5645</v>
      </c>
      <c r="H341" s="585" t="s">
        <v>5646</v>
      </c>
      <c r="I341" s="784" t="s">
        <v>1053</v>
      </c>
      <c r="J341" s="584" t="s">
        <v>5647</v>
      </c>
      <c r="K341" s="919">
        <v>46113</v>
      </c>
      <c r="L341" s="58"/>
      <c r="O341"/>
    </row>
    <row r="342" spans="2:15" ht="62.4" x14ac:dyDescent="0.3">
      <c r="B342" s="965" t="s">
        <v>561</v>
      </c>
      <c r="C342" s="130" t="s">
        <v>509</v>
      </c>
      <c r="D342" s="43" t="s">
        <v>190</v>
      </c>
      <c r="E342" s="126" t="s">
        <v>510</v>
      </c>
      <c r="F342" s="504">
        <v>1</v>
      </c>
      <c r="G342" s="587" t="s">
        <v>5648</v>
      </c>
      <c r="H342" s="585" t="s">
        <v>5649</v>
      </c>
      <c r="I342" s="784" t="s">
        <v>1053</v>
      </c>
      <c r="J342" s="584" t="s">
        <v>5650</v>
      </c>
      <c r="K342" s="919">
        <v>46113</v>
      </c>
      <c r="L342" s="58"/>
      <c r="O342"/>
    </row>
    <row r="343" spans="2:15" ht="62.4" x14ac:dyDescent="0.3">
      <c r="B343" s="965" t="s">
        <v>508</v>
      </c>
      <c r="C343" s="130" t="s">
        <v>509</v>
      </c>
      <c r="D343" s="43" t="s">
        <v>190</v>
      </c>
      <c r="E343" s="126" t="s">
        <v>510</v>
      </c>
      <c r="F343" s="504">
        <v>1</v>
      </c>
      <c r="G343" s="587" t="s">
        <v>5651</v>
      </c>
      <c r="H343" s="585" t="s">
        <v>5652</v>
      </c>
      <c r="I343" s="784" t="s">
        <v>1053</v>
      </c>
      <c r="J343" s="584" t="s">
        <v>5653</v>
      </c>
      <c r="K343" s="919">
        <v>46113</v>
      </c>
      <c r="L343" s="58"/>
      <c r="O343"/>
    </row>
    <row r="344" spans="2:15" ht="62.4" x14ac:dyDescent="0.3">
      <c r="B344" s="965" t="s">
        <v>561</v>
      </c>
      <c r="C344" s="130" t="s">
        <v>509</v>
      </c>
      <c r="D344" s="43" t="s">
        <v>190</v>
      </c>
      <c r="E344" s="126" t="s">
        <v>510</v>
      </c>
      <c r="F344" s="504">
        <v>1</v>
      </c>
      <c r="G344" s="587" t="s">
        <v>5654</v>
      </c>
      <c r="H344" s="585" t="s">
        <v>5655</v>
      </c>
      <c r="I344" s="784" t="s">
        <v>1053</v>
      </c>
      <c r="J344" s="584" t="s">
        <v>5656</v>
      </c>
      <c r="K344" s="919">
        <v>46113</v>
      </c>
      <c r="L344" s="58"/>
      <c r="O344"/>
    </row>
    <row r="345" spans="2:15" ht="62.4" x14ac:dyDescent="0.3">
      <c r="B345" s="965" t="s">
        <v>508</v>
      </c>
      <c r="C345" s="130" t="s">
        <v>509</v>
      </c>
      <c r="D345" s="43" t="s">
        <v>190</v>
      </c>
      <c r="E345" s="126" t="s">
        <v>510</v>
      </c>
      <c r="F345" s="504">
        <v>1</v>
      </c>
      <c r="G345" s="587" t="s">
        <v>5657</v>
      </c>
      <c r="H345" s="585" t="s">
        <v>5632</v>
      </c>
      <c r="I345" s="784" t="s">
        <v>1053</v>
      </c>
      <c r="J345" s="584" t="s">
        <v>5658</v>
      </c>
      <c r="K345" s="919">
        <v>46113</v>
      </c>
      <c r="L345" s="58"/>
      <c r="O345"/>
    </row>
    <row r="346" spans="2:15" ht="62.4" x14ac:dyDescent="0.3">
      <c r="B346" s="965" t="s">
        <v>561</v>
      </c>
      <c r="C346" s="130" t="s">
        <v>509</v>
      </c>
      <c r="D346" s="43" t="s">
        <v>190</v>
      </c>
      <c r="E346" s="126" t="s">
        <v>515</v>
      </c>
      <c r="F346" s="504">
        <v>1</v>
      </c>
      <c r="G346" s="587" t="s">
        <v>5659</v>
      </c>
      <c r="H346" s="585" t="s">
        <v>5660</v>
      </c>
      <c r="I346" s="784" t="s">
        <v>1053</v>
      </c>
      <c r="J346" s="584" t="s">
        <v>5661</v>
      </c>
      <c r="K346" s="919">
        <v>46113</v>
      </c>
      <c r="L346" s="58"/>
      <c r="O346"/>
    </row>
    <row r="347" spans="2:15" ht="62.4" x14ac:dyDescent="0.3">
      <c r="B347" s="965" t="s">
        <v>508</v>
      </c>
      <c r="C347" s="130" t="s">
        <v>509</v>
      </c>
      <c r="D347" s="43" t="s">
        <v>190</v>
      </c>
      <c r="E347" s="126" t="s">
        <v>515</v>
      </c>
      <c r="F347" s="504">
        <v>1</v>
      </c>
      <c r="G347" s="587" t="s">
        <v>5662</v>
      </c>
      <c r="H347" s="585" t="s">
        <v>4074</v>
      </c>
      <c r="I347" s="784" t="s">
        <v>1053</v>
      </c>
      <c r="J347" s="584" t="s">
        <v>5663</v>
      </c>
      <c r="K347" s="919">
        <v>46113</v>
      </c>
      <c r="L347" s="58"/>
      <c r="O347"/>
    </row>
    <row r="348" spans="2:15" ht="62.4" x14ac:dyDescent="0.3">
      <c r="B348" s="965" t="s">
        <v>508</v>
      </c>
      <c r="C348" s="130" t="s">
        <v>509</v>
      </c>
      <c r="D348" s="43" t="s">
        <v>190</v>
      </c>
      <c r="E348" s="126" t="s">
        <v>515</v>
      </c>
      <c r="F348" s="504">
        <v>1</v>
      </c>
      <c r="G348" s="587" t="s">
        <v>5664</v>
      </c>
      <c r="H348" s="585" t="s">
        <v>4656</v>
      </c>
      <c r="I348" s="784" t="s">
        <v>1053</v>
      </c>
      <c r="J348" s="584" t="s">
        <v>5665</v>
      </c>
      <c r="K348" s="919">
        <v>46113</v>
      </c>
      <c r="L348" s="58"/>
      <c r="O348"/>
    </row>
    <row r="349" spans="2:15" ht="46.8" x14ac:dyDescent="0.3">
      <c r="B349" s="965" t="s">
        <v>561</v>
      </c>
      <c r="C349" s="130" t="s">
        <v>509</v>
      </c>
      <c r="D349" s="43" t="s">
        <v>190</v>
      </c>
      <c r="E349" s="126" t="s">
        <v>515</v>
      </c>
      <c r="F349" s="504">
        <v>1</v>
      </c>
      <c r="G349" s="587" t="s">
        <v>5666</v>
      </c>
      <c r="H349" s="585" t="s">
        <v>5667</v>
      </c>
      <c r="I349" s="784" t="s">
        <v>1053</v>
      </c>
      <c r="J349" s="584" t="s">
        <v>5668</v>
      </c>
      <c r="K349" s="919">
        <v>46113</v>
      </c>
      <c r="L349" s="58"/>
      <c r="O349"/>
    </row>
    <row r="350" spans="2:15" ht="46.8" x14ac:dyDescent="0.3">
      <c r="B350" s="965" t="s">
        <v>508</v>
      </c>
      <c r="C350" s="130" t="s">
        <v>509</v>
      </c>
      <c r="D350" s="43" t="s">
        <v>190</v>
      </c>
      <c r="E350" s="126" t="s">
        <v>515</v>
      </c>
      <c r="F350" s="504">
        <v>1</v>
      </c>
      <c r="G350" s="587" t="s">
        <v>5669</v>
      </c>
      <c r="H350" s="585" t="s">
        <v>5670</v>
      </c>
      <c r="I350" s="784" t="s">
        <v>1053</v>
      </c>
      <c r="J350" s="584" t="s">
        <v>5671</v>
      </c>
      <c r="K350" s="919">
        <v>46113</v>
      </c>
      <c r="L350" s="58"/>
      <c r="O350"/>
    </row>
    <row r="351" spans="2:15" ht="46.8" x14ac:dyDescent="0.3">
      <c r="B351" s="965" t="s">
        <v>508</v>
      </c>
      <c r="C351" s="130" t="s">
        <v>509</v>
      </c>
      <c r="D351" s="43" t="s">
        <v>190</v>
      </c>
      <c r="E351" s="126" t="s">
        <v>515</v>
      </c>
      <c r="F351" s="504">
        <v>1</v>
      </c>
      <c r="G351" s="587" t="s">
        <v>5672</v>
      </c>
      <c r="H351" s="585" t="s">
        <v>5673</v>
      </c>
      <c r="I351" s="588" t="s">
        <v>1053</v>
      </c>
      <c r="J351" s="584" t="s">
        <v>5674</v>
      </c>
      <c r="K351" s="919">
        <v>46113</v>
      </c>
      <c r="L351" s="58"/>
      <c r="O351"/>
    </row>
    <row r="352" spans="2:15" ht="46.8" x14ac:dyDescent="0.3">
      <c r="B352" s="965" t="s">
        <v>508</v>
      </c>
      <c r="C352" s="130" t="s">
        <v>509</v>
      </c>
      <c r="D352" s="43" t="s">
        <v>190</v>
      </c>
      <c r="E352" s="126" t="s">
        <v>515</v>
      </c>
      <c r="F352" s="504">
        <v>1</v>
      </c>
      <c r="G352" s="587" t="s">
        <v>5675</v>
      </c>
      <c r="H352" s="585" t="s">
        <v>5676</v>
      </c>
      <c r="I352" s="588" t="s">
        <v>1053</v>
      </c>
      <c r="J352" s="584" t="s">
        <v>5677</v>
      </c>
      <c r="K352" s="919">
        <v>46113</v>
      </c>
      <c r="L352" s="58"/>
      <c r="O352"/>
    </row>
    <row r="353" spans="2:15" ht="62.4" x14ac:dyDescent="0.3">
      <c r="B353" s="965" t="s">
        <v>561</v>
      </c>
      <c r="C353" s="130" t="s">
        <v>509</v>
      </c>
      <c r="D353" s="43" t="s">
        <v>190</v>
      </c>
      <c r="E353" s="126" t="s">
        <v>515</v>
      </c>
      <c r="F353" s="504">
        <v>1</v>
      </c>
      <c r="G353" s="587" t="s">
        <v>5678</v>
      </c>
      <c r="H353" s="585" t="s">
        <v>5679</v>
      </c>
      <c r="I353" s="784" t="s">
        <v>1053</v>
      </c>
      <c r="J353" s="584" t="s">
        <v>5680</v>
      </c>
      <c r="K353" s="919">
        <v>46113</v>
      </c>
      <c r="L353" s="58"/>
      <c r="O353"/>
    </row>
    <row r="354" spans="2:15" ht="7.35" customHeight="1" x14ac:dyDescent="0.3">
      <c r="B354" s="965" t="s">
        <v>508</v>
      </c>
      <c r="C354" s="130" t="s">
        <v>509</v>
      </c>
      <c r="D354" s="43" t="s">
        <v>190</v>
      </c>
      <c r="E354" s="126" t="s">
        <v>515</v>
      </c>
      <c r="F354" s="504">
        <v>1</v>
      </c>
      <c r="G354" s="587" t="s">
        <v>5681</v>
      </c>
      <c r="H354" s="585" t="s">
        <v>4074</v>
      </c>
      <c r="I354" s="588" t="s">
        <v>1053</v>
      </c>
      <c r="J354" s="584" t="s">
        <v>5682</v>
      </c>
      <c r="K354" s="919">
        <v>46113</v>
      </c>
      <c r="L354" s="58"/>
      <c r="O354"/>
    </row>
    <row r="355" spans="2:15" ht="46.8" x14ac:dyDescent="0.3">
      <c r="B355" s="965" t="s">
        <v>561</v>
      </c>
      <c r="C355" s="130" t="s">
        <v>509</v>
      </c>
      <c r="D355" s="43" t="s">
        <v>190</v>
      </c>
      <c r="E355" s="126" t="s">
        <v>515</v>
      </c>
      <c r="F355" s="504">
        <v>1</v>
      </c>
      <c r="G355" s="587" t="s">
        <v>5683</v>
      </c>
      <c r="H355" s="585" t="s">
        <v>5635</v>
      </c>
      <c r="I355" s="784" t="s">
        <v>1053</v>
      </c>
      <c r="J355" s="584" t="s">
        <v>5684</v>
      </c>
      <c r="K355" s="919">
        <v>46113</v>
      </c>
      <c r="L355" s="58"/>
      <c r="O355"/>
    </row>
    <row r="356" spans="2:15" ht="46.8" x14ac:dyDescent="0.3">
      <c r="B356" s="965" t="s">
        <v>508</v>
      </c>
      <c r="C356" s="130" t="s">
        <v>509</v>
      </c>
      <c r="D356" s="43" t="s">
        <v>190</v>
      </c>
      <c r="E356" s="126" t="s">
        <v>515</v>
      </c>
      <c r="F356" s="504">
        <v>1</v>
      </c>
      <c r="G356" s="587" t="s">
        <v>5685</v>
      </c>
      <c r="H356" s="585" t="s">
        <v>5686</v>
      </c>
      <c r="I356" s="784" t="s">
        <v>1053</v>
      </c>
      <c r="J356" s="584" t="s">
        <v>5687</v>
      </c>
      <c r="K356" s="919">
        <v>46113</v>
      </c>
      <c r="L356" s="58"/>
      <c r="O356"/>
    </row>
    <row r="357" spans="2:15" ht="46.8" x14ac:dyDescent="0.3">
      <c r="B357" s="965" t="s">
        <v>561</v>
      </c>
      <c r="C357" s="130" t="s">
        <v>509</v>
      </c>
      <c r="D357" s="43" t="s">
        <v>190</v>
      </c>
      <c r="E357" s="126" t="s">
        <v>515</v>
      </c>
      <c r="F357" s="504">
        <v>1</v>
      </c>
      <c r="G357" s="587" t="s">
        <v>5688</v>
      </c>
      <c r="H357" s="585" t="s">
        <v>5689</v>
      </c>
      <c r="I357" s="784" t="s">
        <v>1053</v>
      </c>
      <c r="J357" s="584" t="s">
        <v>5690</v>
      </c>
      <c r="K357" s="919">
        <v>46113</v>
      </c>
      <c r="L357" s="58"/>
      <c r="O357"/>
    </row>
    <row r="358" spans="2:15" ht="62.4" x14ac:dyDescent="0.3">
      <c r="B358" s="965" t="s">
        <v>508</v>
      </c>
      <c r="C358" s="130" t="s">
        <v>509</v>
      </c>
      <c r="D358" s="43" t="s">
        <v>190</v>
      </c>
      <c r="E358" s="126" t="s">
        <v>515</v>
      </c>
      <c r="F358" s="504">
        <v>1</v>
      </c>
      <c r="G358" s="587" t="s">
        <v>5691</v>
      </c>
      <c r="H358" s="585" t="s">
        <v>5692</v>
      </c>
      <c r="I358" s="784" t="s">
        <v>1053</v>
      </c>
      <c r="J358" s="584" t="s">
        <v>5693</v>
      </c>
      <c r="K358" s="919">
        <v>46113</v>
      </c>
      <c r="L358" s="58"/>
      <c r="O358"/>
    </row>
    <row r="359" spans="2:15" ht="62.4" x14ac:dyDescent="0.3">
      <c r="B359" s="965" t="s">
        <v>561</v>
      </c>
      <c r="C359" s="130" t="s">
        <v>509</v>
      </c>
      <c r="D359" s="43" t="s">
        <v>190</v>
      </c>
      <c r="E359" s="126" t="s">
        <v>515</v>
      </c>
      <c r="F359" s="504">
        <v>1</v>
      </c>
      <c r="G359" s="587" t="s">
        <v>5694</v>
      </c>
      <c r="H359" s="585" t="s">
        <v>5695</v>
      </c>
      <c r="I359" s="784" t="s">
        <v>1053</v>
      </c>
      <c r="J359" s="584" t="s">
        <v>5696</v>
      </c>
      <c r="K359" s="919">
        <v>46113</v>
      </c>
      <c r="L359" s="58"/>
      <c r="O359"/>
    </row>
    <row r="360" spans="2:15" ht="62.4" x14ac:dyDescent="0.3">
      <c r="B360" s="965" t="s">
        <v>508</v>
      </c>
      <c r="C360" s="130" t="s">
        <v>509</v>
      </c>
      <c r="D360" s="43" t="s">
        <v>190</v>
      </c>
      <c r="E360" s="126" t="s">
        <v>515</v>
      </c>
      <c r="F360" s="504">
        <v>1</v>
      </c>
      <c r="G360" s="587" t="s">
        <v>5697</v>
      </c>
      <c r="H360" s="585" t="s">
        <v>5698</v>
      </c>
      <c r="I360" s="784" t="s">
        <v>1053</v>
      </c>
      <c r="J360" s="584" t="s">
        <v>5699</v>
      </c>
      <c r="K360" s="919">
        <v>46113</v>
      </c>
      <c r="L360" s="58"/>
      <c r="O360"/>
    </row>
    <row r="361" spans="2:15" ht="62.4" x14ac:dyDescent="0.3">
      <c r="B361" s="965" t="s">
        <v>561</v>
      </c>
      <c r="C361" s="130" t="s">
        <v>509</v>
      </c>
      <c r="D361" s="43" t="s">
        <v>190</v>
      </c>
      <c r="E361" s="126" t="s">
        <v>515</v>
      </c>
      <c r="F361" s="504">
        <v>1</v>
      </c>
      <c r="G361" s="587" t="s">
        <v>5700</v>
      </c>
      <c r="H361" s="585" t="s">
        <v>3869</v>
      </c>
      <c r="I361" s="784" t="s">
        <v>1053</v>
      </c>
      <c r="J361" s="584" t="s">
        <v>5701</v>
      </c>
      <c r="K361" s="919">
        <v>46113</v>
      </c>
      <c r="L361" s="58"/>
      <c r="O361"/>
    </row>
    <row r="362" spans="2:15" ht="46.8" x14ac:dyDescent="0.3">
      <c r="B362" s="965" t="s">
        <v>508</v>
      </c>
      <c r="C362" s="130" t="s">
        <v>509</v>
      </c>
      <c r="D362" s="43" t="s">
        <v>190</v>
      </c>
      <c r="E362" s="126" t="s">
        <v>515</v>
      </c>
      <c r="F362" s="504">
        <v>1</v>
      </c>
      <c r="G362" s="587" t="s">
        <v>5702</v>
      </c>
      <c r="H362" s="585" t="s">
        <v>5593</v>
      </c>
      <c r="I362" s="784" t="s">
        <v>1053</v>
      </c>
      <c r="J362" s="584" t="s">
        <v>5703</v>
      </c>
      <c r="K362" s="919">
        <v>46113</v>
      </c>
      <c r="L362" s="58"/>
      <c r="O362"/>
    </row>
    <row r="363" spans="2:15" ht="46.8" x14ac:dyDescent="0.3">
      <c r="B363" s="965" t="s">
        <v>508</v>
      </c>
      <c r="C363" s="130" t="s">
        <v>509</v>
      </c>
      <c r="D363" s="43" t="s">
        <v>190</v>
      </c>
      <c r="E363" s="126" t="s">
        <v>515</v>
      </c>
      <c r="F363" s="504">
        <v>1</v>
      </c>
      <c r="G363" s="587" t="s">
        <v>5704</v>
      </c>
      <c r="H363" s="585" t="s">
        <v>5705</v>
      </c>
      <c r="I363" s="784" t="s">
        <v>1053</v>
      </c>
      <c r="J363" s="584" t="s">
        <v>5706</v>
      </c>
      <c r="K363" s="919">
        <v>46113</v>
      </c>
      <c r="L363" s="58"/>
      <c r="O363"/>
    </row>
    <row r="364" spans="2:15" ht="46.8" x14ac:dyDescent="0.3">
      <c r="B364" s="965" t="s">
        <v>508</v>
      </c>
      <c r="C364" s="130" t="s">
        <v>509</v>
      </c>
      <c r="D364" s="43" t="s">
        <v>190</v>
      </c>
      <c r="E364" s="126" t="s">
        <v>515</v>
      </c>
      <c r="F364" s="504">
        <v>1</v>
      </c>
      <c r="G364" s="587" t="s">
        <v>5707</v>
      </c>
      <c r="H364" s="585" t="s">
        <v>5708</v>
      </c>
      <c r="I364" s="784" t="s">
        <v>1053</v>
      </c>
      <c r="J364" s="584" t="s">
        <v>5709</v>
      </c>
      <c r="K364" s="919">
        <v>46113</v>
      </c>
      <c r="L364" s="58"/>
      <c r="O364"/>
    </row>
    <row r="365" spans="2:15" ht="46.8" x14ac:dyDescent="0.3">
      <c r="B365" s="965" t="s">
        <v>508</v>
      </c>
      <c r="C365" s="130" t="s">
        <v>509</v>
      </c>
      <c r="D365" s="43" t="s">
        <v>190</v>
      </c>
      <c r="E365" s="126" t="s">
        <v>515</v>
      </c>
      <c r="F365" s="504">
        <v>1</v>
      </c>
      <c r="G365" s="587" t="s">
        <v>5710</v>
      </c>
      <c r="H365" s="585" t="s">
        <v>5635</v>
      </c>
      <c r="I365" s="784" t="s">
        <v>1053</v>
      </c>
      <c r="J365" s="584" t="s">
        <v>5711</v>
      </c>
      <c r="K365" s="919">
        <v>46113</v>
      </c>
      <c r="L365" s="58"/>
      <c r="O365"/>
    </row>
    <row r="366" spans="2:15" ht="62.4" x14ac:dyDescent="0.3">
      <c r="B366" s="965" t="s">
        <v>508</v>
      </c>
      <c r="C366" s="130" t="s">
        <v>509</v>
      </c>
      <c r="D366" s="43" t="s">
        <v>190</v>
      </c>
      <c r="E366" s="126" t="s">
        <v>510</v>
      </c>
      <c r="F366" s="504">
        <v>1</v>
      </c>
      <c r="G366" s="587" t="s">
        <v>5712</v>
      </c>
      <c r="H366" s="585" t="s">
        <v>5713</v>
      </c>
      <c r="I366" s="784" t="s">
        <v>1579</v>
      </c>
      <c r="J366" s="584" t="s">
        <v>5714</v>
      </c>
      <c r="K366" s="919">
        <v>46143</v>
      </c>
      <c r="L366" s="58"/>
      <c r="O366"/>
    </row>
    <row r="367" spans="2:15" ht="46.8" x14ac:dyDescent="0.3">
      <c r="B367" s="965" t="s">
        <v>561</v>
      </c>
      <c r="C367" s="130" t="s">
        <v>509</v>
      </c>
      <c r="D367" s="43" t="s">
        <v>190</v>
      </c>
      <c r="E367" s="126" t="s">
        <v>510</v>
      </c>
      <c r="F367" s="504">
        <v>1</v>
      </c>
      <c r="G367" s="587" t="s">
        <v>5715</v>
      </c>
      <c r="H367" s="585" t="s">
        <v>5716</v>
      </c>
      <c r="I367" s="784" t="s">
        <v>1579</v>
      </c>
      <c r="J367" s="584" t="s">
        <v>5717</v>
      </c>
      <c r="K367" s="919">
        <v>46143</v>
      </c>
      <c r="L367" s="58"/>
      <c r="O367"/>
    </row>
    <row r="368" spans="2:15" ht="62.4" x14ac:dyDescent="0.3">
      <c r="B368" s="965" t="s">
        <v>508</v>
      </c>
      <c r="C368" s="130" t="s">
        <v>509</v>
      </c>
      <c r="D368" s="43" t="s">
        <v>190</v>
      </c>
      <c r="E368" s="126" t="s">
        <v>510</v>
      </c>
      <c r="F368" s="504">
        <v>1</v>
      </c>
      <c r="G368" s="587" t="s">
        <v>5718</v>
      </c>
      <c r="H368" s="585" t="s">
        <v>5719</v>
      </c>
      <c r="I368" s="784" t="s">
        <v>1579</v>
      </c>
      <c r="J368" s="584" t="s">
        <v>5720</v>
      </c>
      <c r="K368" s="919">
        <v>46143</v>
      </c>
      <c r="L368" s="58"/>
      <c r="O368"/>
    </row>
    <row r="369" spans="2:15" ht="62.4" x14ac:dyDescent="0.3">
      <c r="B369" s="965" t="s">
        <v>561</v>
      </c>
      <c r="C369" s="130" t="s">
        <v>509</v>
      </c>
      <c r="D369" s="43" t="s">
        <v>190</v>
      </c>
      <c r="E369" s="126" t="s">
        <v>510</v>
      </c>
      <c r="F369" s="504">
        <v>1</v>
      </c>
      <c r="G369" s="587" t="s">
        <v>5721</v>
      </c>
      <c r="H369" s="585" t="s">
        <v>5722</v>
      </c>
      <c r="I369" s="784" t="s">
        <v>1579</v>
      </c>
      <c r="J369" s="584" t="s">
        <v>5723</v>
      </c>
      <c r="K369" s="919">
        <v>46143</v>
      </c>
      <c r="L369" s="58"/>
      <c r="O369"/>
    </row>
    <row r="370" spans="2:15" ht="46.8" x14ac:dyDescent="0.3">
      <c r="B370" s="965" t="s">
        <v>561</v>
      </c>
      <c r="C370" s="130" t="s">
        <v>509</v>
      </c>
      <c r="D370" s="43" t="s">
        <v>190</v>
      </c>
      <c r="E370" s="126" t="s">
        <v>510</v>
      </c>
      <c r="F370" s="504">
        <v>1</v>
      </c>
      <c r="G370" s="587" t="s">
        <v>5724</v>
      </c>
      <c r="H370" s="585" t="s">
        <v>5725</v>
      </c>
      <c r="I370" s="784" t="s">
        <v>1579</v>
      </c>
      <c r="J370" s="584" t="s">
        <v>5726</v>
      </c>
      <c r="K370" s="919">
        <v>46143</v>
      </c>
      <c r="L370" s="58"/>
      <c r="O370"/>
    </row>
    <row r="371" spans="2:15" ht="46.8" x14ac:dyDescent="0.3">
      <c r="B371" s="965" t="s">
        <v>508</v>
      </c>
      <c r="C371" s="130" t="s">
        <v>509</v>
      </c>
      <c r="D371" s="43" t="s">
        <v>190</v>
      </c>
      <c r="E371" s="126" t="s">
        <v>510</v>
      </c>
      <c r="F371" s="504">
        <v>1</v>
      </c>
      <c r="G371" s="587" t="s">
        <v>5727</v>
      </c>
      <c r="H371" s="585" t="s">
        <v>5728</v>
      </c>
      <c r="I371" s="784" t="s">
        <v>1579</v>
      </c>
      <c r="J371" s="584" t="s">
        <v>5729</v>
      </c>
      <c r="K371" s="919">
        <v>46143</v>
      </c>
      <c r="L371" s="58"/>
      <c r="O371"/>
    </row>
    <row r="372" spans="2:15" ht="46.8" x14ac:dyDescent="0.3">
      <c r="B372" s="965" t="s">
        <v>561</v>
      </c>
      <c r="C372" s="130" t="s">
        <v>509</v>
      </c>
      <c r="D372" s="43" t="s">
        <v>190</v>
      </c>
      <c r="E372" s="126" t="s">
        <v>510</v>
      </c>
      <c r="F372" s="504">
        <v>1</v>
      </c>
      <c r="G372" s="587" t="s">
        <v>5730</v>
      </c>
      <c r="H372" s="585" t="s">
        <v>5731</v>
      </c>
      <c r="I372" s="784" t="s">
        <v>1579</v>
      </c>
      <c r="J372" s="584" t="s">
        <v>5732</v>
      </c>
      <c r="K372" s="919">
        <v>46143</v>
      </c>
      <c r="L372" s="58"/>
      <c r="O372"/>
    </row>
    <row r="373" spans="2:15" ht="46.8" x14ac:dyDescent="0.3">
      <c r="B373" s="965" t="s">
        <v>508</v>
      </c>
      <c r="C373" s="130" t="s">
        <v>509</v>
      </c>
      <c r="D373" s="43" t="s">
        <v>190</v>
      </c>
      <c r="E373" s="126" t="s">
        <v>510</v>
      </c>
      <c r="F373" s="504">
        <v>1</v>
      </c>
      <c r="G373" s="587" t="s">
        <v>5733</v>
      </c>
      <c r="H373" s="585" t="s">
        <v>5734</v>
      </c>
      <c r="I373" s="784" t="s">
        <v>1579</v>
      </c>
      <c r="J373" s="584" t="s">
        <v>5735</v>
      </c>
      <c r="K373" s="919">
        <v>46143</v>
      </c>
      <c r="L373" s="58"/>
      <c r="O373"/>
    </row>
    <row r="374" spans="2:15" ht="62.4" x14ac:dyDescent="0.3">
      <c r="B374" s="965" t="s">
        <v>561</v>
      </c>
      <c r="C374" s="130" t="s">
        <v>509</v>
      </c>
      <c r="D374" s="43" t="s">
        <v>190</v>
      </c>
      <c r="E374" s="126" t="s">
        <v>510</v>
      </c>
      <c r="F374" s="504">
        <v>1</v>
      </c>
      <c r="G374" s="587" t="s">
        <v>5736</v>
      </c>
      <c r="H374" s="585" t="s">
        <v>5737</v>
      </c>
      <c r="I374" s="784" t="s">
        <v>1579</v>
      </c>
      <c r="J374" s="584" t="s">
        <v>5738</v>
      </c>
      <c r="K374" s="919">
        <v>46143</v>
      </c>
      <c r="L374" s="58"/>
      <c r="O374"/>
    </row>
    <row r="375" spans="2:15" ht="46.8" x14ac:dyDescent="0.3">
      <c r="B375" s="965" t="s">
        <v>508</v>
      </c>
      <c r="C375" s="130" t="s">
        <v>509</v>
      </c>
      <c r="D375" s="43" t="s">
        <v>190</v>
      </c>
      <c r="E375" s="126" t="s">
        <v>510</v>
      </c>
      <c r="F375" s="504">
        <v>1</v>
      </c>
      <c r="G375" s="587" t="s">
        <v>5739</v>
      </c>
      <c r="H375" s="585" t="s">
        <v>5740</v>
      </c>
      <c r="I375" s="784" t="s">
        <v>1579</v>
      </c>
      <c r="J375" s="584" t="s">
        <v>5741</v>
      </c>
      <c r="K375" s="919">
        <v>46143</v>
      </c>
      <c r="L375" s="58"/>
      <c r="O375"/>
    </row>
    <row r="376" spans="2:15" ht="46.8" x14ac:dyDescent="0.3">
      <c r="B376" s="965" t="s">
        <v>561</v>
      </c>
      <c r="C376" s="130" t="s">
        <v>509</v>
      </c>
      <c r="D376" s="43" t="s">
        <v>190</v>
      </c>
      <c r="E376" s="126" t="s">
        <v>510</v>
      </c>
      <c r="F376" s="504">
        <v>1</v>
      </c>
      <c r="G376" s="587" t="s">
        <v>5742</v>
      </c>
      <c r="H376" s="585" t="s">
        <v>5743</v>
      </c>
      <c r="I376" s="588" t="s">
        <v>1579</v>
      </c>
      <c r="J376" s="584" t="s">
        <v>5744</v>
      </c>
      <c r="K376" s="919">
        <v>46143</v>
      </c>
      <c r="L376" s="58"/>
      <c r="O376"/>
    </row>
    <row r="377" spans="2:15" ht="46.8" x14ac:dyDescent="0.3">
      <c r="B377" s="965" t="s">
        <v>508</v>
      </c>
      <c r="C377" s="130" t="s">
        <v>509</v>
      </c>
      <c r="D377" s="43" t="s">
        <v>190</v>
      </c>
      <c r="E377" s="126" t="s">
        <v>510</v>
      </c>
      <c r="F377" s="504">
        <v>1</v>
      </c>
      <c r="G377" s="587" t="s">
        <v>5745</v>
      </c>
      <c r="H377" s="585" t="s">
        <v>5746</v>
      </c>
      <c r="I377" s="588" t="s">
        <v>1579</v>
      </c>
      <c r="J377" s="584" t="s">
        <v>5747</v>
      </c>
      <c r="K377" s="919">
        <v>46143</v>
      </c>
      <c r="L377" s="58"/>
      <c r="O377"/>
    </row>
    <row r="378" spans="2:15" ht="46.8" x14ac:dyDescent="0.3">
      <c r="B378" s="965" t="s">
        <v>561</v>
      </c>
      <c r="C378" s="130" t="s">
        <v>509</v>
      </c>
      <c r="D378" s="43" t="s">
        <v>190</v>
      </c>
      <c r="E378" s="126" t="s">
        <v>510</v>
      </c>
      <c r="F378" s="504">
        <v>1</v>
      </c>
      <c r="G378" s="587" t="s">
        <v>5748</v>
      </c>
      <c r="H378" s="585" t="s">
        <v>5749</v>
      </c>
      <c r="I378" s="588" t="s">
        <v>1579</v>
      </c>
      <c r="J378" s="584" t="s">
        <v>5750</v>
      </c>
      <c r="K378" s="919">
        <v>46143</v>
      </c>
      <c r="L378" s="58"/>
      <c r="O378"/>
    </row>
    <row r="379" spans="2:15" ht="62.4" x14ac:dyDescent="0.3">
      <c r="B379" s="965" t="s">
        <v>508</v>
      </c>
      <c r="C379" s="130" t="s">
        <v>509</v>
      </c>
      <c r="D379" s="43" t="s">
        <v>190</v>
      </c>
      <c r="E379" s="126" t="s">
        <v>510</v>
      </c>
      <c r="F379" s="504">
        <v>1</v>
      </c>
      <c r="G379" s="587" t="s">
        <v>5751</v>
      </c>
      <c r="H379" s="585" t="s">
        <v>5752</v>
      </c>
      <c r="I379" s="784" t="s">
        <v>1579</v>
      </c>
      <c r="J379" s="584" t="s">
        <v>5753</v>
      </c>
      <c r="K379" s="919">
        <v>46143</v>
      </c>
      <c r="L379" s="58"/>
      <c r="O379"/>
    </row>
    <row r="380" spans="2:15" ht="7.35" customHeight="1" x14ac:dyDescent="0.3">
      <c r="B380" s="965" t="s">
        <v>508</v>
      </c>
      <c r="C380" s="130" t="s">
        <v>509</v>
      </c>
      <c r="D380" s="43" t="s">
        <v>190</v>
      </c>
      <c r="E380" s="126" t="s">
        <v>510</v>
      </c>
      <c r="F380" s="504">
        <v>1</v>
      </c>
      <c r="G380" s="587" t="s">
        <v>5754</v>
      </c>
      <c r="H380" s="585" t="s">
        <v>5725</v>
      </c>
      <c r="I380" s="588" t="s">
        <v>1579</v>
      </c>
      <c r="J380" s="584" t="s">
        <v>5755</v>
      </c>
      <c r="K380" s="919">
        <v>46143</v>
      </c>
      <c r="L380" s="58"/>
      <c r="O380"/>
    </row>
    <row r="381" spans="2:15" ht="46.8" x14ac:dyDescent="0.3">
      <c r="B381" s="965" t="s">
        <v>508</v>
      </c>
      <c r="C381" s="130" t="s">
        <v>509</v>
      </c>
      <c r="D381" s="43" t="s">
        <v>190</v>
      </c>
      <c r="E381" s="126" t="s">
        <v>510</v>
      </c>
      <c r="F381" s="504">
        <v>1</v>
      </c>
      <c r="G381" s="587" t="s">
        <v>5756</v>
      </c>
      <c r="H381" s="585" t="s">
        <v>5757</v>
      </c>
      <c r="I381" s="784" t="s">
        <v>1579</v>
      </c>
      <c r="J381" s="584" t="s">
        <v>5758</v>
      </c>
      <c r="K381" s="919">
        <v>46143</v>
      </c>
      <c r="L381" s="58"/>
      <c r="O381"/>
    </row>
    <row r="382" spans="2:15" ht="62.4" x14ac:dyDescent="0.3">
      <c r="B382" s="965" t="s">
        <v>508</v>
      </c>
      <c r="C382" s="130" t="s">
        <v>509</v>
      </c>
      <c r="D382" s="43" t="s">
        <v>190</v>
      </c>
      <c r="E382" s="126" t="s">
        <v>510</v>
      </c>
      <c r="F382" s="504">
        <v>1</v>
      </c>
      <c r="G382" s="587" t="s">
        <v>5759</v>
      </c>
      <c r="H382" s="585" t="s">
        <v>5760</v>
      </c>
      <c r="I382" s="784" t="s">
        <v>1579</v>
      </c>
      <c r="J382" s="584" t="s">
        <v>5761</v>
      </c>
      <c r="K382" s="919">
        <v>46143</v>
      </c>
      <c r="L382" s="58"/>
      <c r="O382"/>
    </row>
    <row r="383" spans="2:15" ht="46.8" x14ac:dyDescent="0.3">
      <c r="B383" s="965" t="s">
        <v>508</v>
      </c>
      <c r="C383" s="130" t="s">
        <v>509</v>
      </c>
      <c r="D383" s="43" t="s">
        <v>190</v>
      </c>
      <c r="E383" s="126" t="s">
        <v>510</v>
      </c>
      <c r="F383" s="504">
        <v>1</v>
      </c>
      <c r="G383" s="587" t="s">
        <v>5762</v>
      </c>
      <c r="H383" s="585" t="s">
        <v>5763</v>
      </c>
      <c r="I383" s="784" t="s">
        <v>1579</v>
      </c>
      <c r="J383" s="584" t="s">
        <v>5764</v>
      </c>
      <c r="K383" s="919">
        <v>46143</v>
      </c>
      <c r="L383" s="58"/>
      <c r="O383"/>
    </row>
    <row r="384" spans="2:15" ht="46.8" x14ac:dyDescent="0.3">
      <c r="B384" s="965" t="s">
        <v>561</v>
      </c>
      <c r="C384" s="130" t="s">
        <v>509</v>
      </c>
      <c r="D384" s="43" t="s">
        <v>190</v>
      </c>
      <c r="E384" s="126" t="s">
        <v>510</v>
      </c>
      <c r="F384" s="504">
        <v>1</v>
      </c>
      <c r="G384" s="587" t="s">
        <v>5765</v>
      </c>
      <c r="H384" s="585" t="s">
        <v>5766</v>
      </c>
      <c r="I384" s="784" t="s">
        <v>1579</v>
      </c>
      <c r="J384" s="584" t="s">
        <v>5767</v>
      </c>
      <c r="K384" s="919">
        <v>46143</v>
      </c>
      <c r="L384" s="58"/>
      <c r="O384"/>
    </row>
    <row r="385" spans="2:15" ht="46.8" x14ac:dyDescent="0.3">
      <c r="B385" s="965" t="s">
        <v>508</v>
      </c>
      <c r="C385" s="130" t="s">
        <v>509</v>
      </c>
      <c r="D385" s="43" t="s">
        <v>190</v>
      </c>
      <c r="E385" s="126" t="s">
        <v>510</v>
      </c>
      <c r="F385" s="504">
        <v>1</v>
      </c>
      <c r="G385" s="587" t="s">
        <v>5768</v>
      </c>
      <c r="H385" s="585" t="s">
        <v>5769</v>
      </c>
      <c r="I385" s="784" t="s">
        <v>1579</v>
      </c>
      <c r="J385" s="584" t="s">
        <v>5770</v>
      </c>
      <c r="K385" s="919">
        <v>46143</v>
      </c>
      <c r="L385" s="58"/>
      <c r="O385"/>
    </row>
    <row r="386" spans="2:15" ht="46.8" x14ac:dyDescent="0.3">
      <c r="B386" s="965" t="s">
        <v>561</v>
      </c>
      <c r="C386" s="130" t="s">
        <v>509</v>
      </c>
      <c r="D386" s="43" t="s">
        <v>190</v>
      </c>
      <c r="E386" s="126" t="s">
        <v>510</v>
      </c>
      <c r="F386" s="504">
        <v>1</v>
      </c>
      <c r="G386" s="587" t="s">
        <v>5771</v>
      </c>
      <c r="H386" s="585" t="s">
        <v>5757</v>
      </c>
      <c r="I386" s="784" t="s">
        <v>1579</v>
      </c>
      <c r="J386" s="584" t="s">
        <v>5772</v>
      </c>
      <c r="K386" s="919">
        <v>46143</v>
      </c>
      <c r="L386" s="58"/>
      <c r="O386"/>
    </row>
    <row r="387" spans="2:15" ht="46.35" customHeight="1" x14ac:dyDescent="0.3">
      <c r="B387" s="965" t="s">
        <v>508</v>
      </c>
      <c r="C387" s="130" t="s">
        <v>509</v>
      </c>
      <c r="D387" s="43" t="s">
        <v>190</v>
      </c>
      <c r="E387" s="126" t="s">
        <v>510</v>
      </c>
      <c r="F387" s="504">
        <v>1</v>
      </c>
      <c r="G387" s="587" t="s">
        <v>5773</v>
      </c>
      <c r="H387" s="585" t="s">
        <v>5774</v>
      </c>
      <c r="I387" s="784" t="s">
        <v>1579</v>
      </c>
      <c r="J387" s="584" t="s">
        <v>5775</v>
      </c>
      <c r="K387" s="919">
        <v>46143</v>
      </c>
      <c r="L387" s="58"/>
      <c r="O387"/>
    </row>
    <row r="388" spans="2:15" ht="62.4" x14ac:dyDescent="0.3">
      <c r="B388" s="965" t="s">
        <v>561</v>
      </c>
      <c r="C388" s="130" t="s">
        <v>509</v>
      </c>
      <c r="D388" s="43" t="s">
        <v>190</v>
      </c>
      <c r="E388" s="126" t="s">
        <v>510</v>
      </c>
      <c r="F388" s="504">
        <v>1</v>
      </c>
      <c r="G388" s="587" t="s">
        <v>5776</v>
      </c>
      <c r="H388" s="585" t="s">
        <v>5777</v>
      </c>
      <c r="I388" s="784" t="s">
        <v>1579</v>
      </c>
      <c r="J388" s="584" t="s">
        <v>5778</v>
      </c>
      <c r="K388" s="919">
        <v>46143</v>
      </c>
      <c r="L388" s="58"/>
      <c r="O388"/>
    </row>
    <row r="389" spans="2:15" ht="62.4" x14ac:dyDescent="0.3">
      <c r="B389" s="965" t="s">
        <v>561</v>
      </c>
      <c r="C389" s="130" t="s">
        <v>509</v>
      </c>
      <c r="D389" s="43" t="s">
        <v>190</v>
      </c>
      <c r="E389" s="126" t="s">
        <v>515</v>
      </c>
      <c r="F389" s="504">
        <v>1</v>
      </c>
      <c r="G389" s="587" t="s">
        <v>5779</v>
      </c>
      <c r="H389" s="585" t="s">
        <v>5725</v>
      </c>
      <c r="I389" s="784" t="s">
        <v>1579</v>
      </c>
      <c r="J389" s="584" t="s">
        <v>5780</v>
      </c>
      <c r="K389" s="919">
        <v>46143</v>
      </c>
      <c r="O389"/>
    </row>
    <row r="390" spans="2:15" ht="62.4" x14ac:dyDescent="0.3">
      <c r="B390" s="965" t="s">
        <v>508</v>
      </c>
      <c r="C390" s="130" t="s">
        <v>509</v>
      </c>
      <c r="D390" s="43" t="s">
        <v>190</v>
      </c>
      <c r="E390" s="126" t="s">
        <v>515</v>
      </c>
      <c r="F390" s="504">
        <v>1</v>
      </c>
      <c r="G390" s="587" t="s">
        <v>5781</v>
      </c>
      <c r="H390" s="585" t="s">
        <v>5782</v>
      </c>
      <c r="I390" s="784" t="s">
        <v>1579</v>
      </c>
      <c r="J390" s="584" t="s">
        <v>5783</v>
      </c>
      <c r="K390" s="919">
        <v>46143</v>
      </c>
      <c r="O390"/>
    </row>
    <row r="391" spans="2:15" ht="46.8" x14ac:dyDescent="0.3">
      <c r="B391" s="965" t="s">
        <v>561</v>
      </c>
      <c r="C391" s="130" t="s">
        <v>509</v>
      </c>
      <c r="D391" s="43" t="s">
        <v>190</v>
      </c>
      <c r="E391" s="126" t="s">
        <v>515</v>
      </c>
      <c r="F391" s="504">
        <v>1</v>
      </c>
      <c r="G391" s="587" t="s">
        <v>5784</v>
      </c>
      <c r="H391" s="585" t="s">
        <v>5719</v>
      </c>
      <c r="I391" s="784" t="s">
        <v>1579</v>
      </c>
      <c r="J391" s="584" t="s">
        <v>5785</v>
      </c>
      <c r="K391" s="919">
        <v>46143</v>
      </c>
      <c r="O391"/>
    </row>
    <row r="392" spans="2:15" ht="46.8" x14ac:dyDescent="0.3">
      <c r="B392" s="965" t="s">
        <v>508</v>
      </c>
      <c r="C392" s="130" t="s">
        <v>509</v>
      </c>
      <c r="D392" s="43" t="s">
        <v>190</v>
      </c>
      <c r="E392" s="126" t="s">
        <v>515</v>
      </c>
      <c r="F392" s="504">
        <v>1</v>
      </c>
      <c r="G392" s="587" t="s">
        <v>5786</v>
      </c>
      <c r="H392" s="585" t="s">
        <v>5787</v>
      </c>
      <c r="I392" s="784" t="s">
        <v>1579</v>
      </c>
      <c r="J392" s="584" t="s">
        <v>5788</v>
      </c>
      <c r="K392" s="919">
        <v>46143</v>
      </c>
      <c r="O392"/>
    </row>
    <row r="393" spans="2:15" ht="46.8" x14ac:dyDescent="0.3">
      <c r="B393" s="965" t="s">
        <v>561</v>
      </c>
      <c r="C393" s="130" t="s">
        <v>509</v>
      </c>
      <c r="D393" s="43" t="s">
        <v>190</v>
      </c>
      <c r="E393" s="126" t="s">
        <v>515</v>
      </c>
      <c r="F393" s="504">
        <v>1</v>
      </c>
      <c r="G393" s="587" t="s">
        <v>5789</v>
      </c>
      <c r="H393" s="585" t="s">
        <v>5790</v>
      </c>
      <c r="I393" s="784" t="s">
        <v>1579</v>
      </c>
      <c r="J393" s="584" t="s">
        <v>5791</v>
      </c>
      <c r="K393" s="919">
        <v>46143</v>
      </c>
      <c r="L393"/>
      <c r="O393"/>
    </row>
    <row r="394" spans="2:15" ht="46.8" x14ac:dyDescent="0.3">
      <c r="B394" s="965" t="s">
        <v>508</v>
      </c>
      <c r="C394" s="130" t="s">
        <v>509</v>
      </c>
      <c r="D394" s="43" t="s">
        <v>190</v>
      </c>
      <c r="E394" s="126" t="s">
        <v>515</v>
      </c>
      <c r="F394" s="504">
        <v>1</v>
      </c>
      <c r="G394" s="587" t="s">
        <v>5792</v>
      </c>
      <c r="H394" s="585" t="s">
        <v>5793</v>
      </c>
      <c r="I394" s="784" t="s">
        <v>1579</v>
      </c>
      <c r="J394" s="584" t="s">
        <v>5794</v>
      </c>
      <c r="K394" s="919">
        <v>46143</v>
      </c>
      <c r="L394"/>
      <c r="O394"/>
    </row>
    <row r="395" spans="2:15" ht="62.4" x14ac:dyDescent="0.3">
      <c r="B395" s="965" t="s">
        <v>508</v>
      </c>
      <c r="C395" s="130" t="s">
        <v>509</v>
      </c>
      <c r="D395" s="43" t="s">
        <v>190</v>
      </c>
      <c r="E395" s="126" t="s">
        <v>515</v>
      </c>
      <c r="F395" s="504">
        <v>1</v>
      </c>
      <c r="G395" s="587" t="s">
        <v>5795</v>
      </c>
      <c r="H395" s="585" t="s">
        <v>5796</v>
      </c>
      <c r="I395" s="784" t="s">
        <v>1579</v>
      </c>
      <c r="J395" s="584" t="s">
        <v>5797</v>
      </c>
      <c r="K395" s="919">
        <v>46143</v>
      </c>
      <c r="O395"/>
    </row>
    <row r="396" spans="2:15" ht="46.8" x14ac:dyDescent="0.3">
      <c r="B396" s="965" t="s">
        <v>561</v>
      </c>
      <c r="C396" s="130" t="s">
        <v>509</v>
      </c>
      <c r="D396" s="43" t="s">
        <v>190</v>
      </c>
      <c r="E396" s="126" t="s">
        <v>515</v>
      </c>
      <c r="F396" s="504">
        <v>1</v>
      </c>
      <c r="G396" s="587" t="s">
        <v>5798</v>
      </c>
      <c r="H396" s="585" t="s">
        <v>5799</v>
      </c>
      <c r="I396" s="784" t="s">
        <v>1579</v>
      </c>
      <c r="J396" s="584" t="s">
        <v>5800</v>
      </c>
      <c r="K396" s="919">
        <v>46143</v>
      </c>
      <c r="O396"/>
    </row>
    <row r="397" spans="2:15" ht="62.4" x14ac:dyDescent="0.3">
      <c r="B397" s="965" t="s">
        <v>508</v>
      </c>
      <c r="C397" s="130" t="s">
        <v>509</v>
      </c>
      <c r="D397" s="43" t="s">
        <v>190</v>
      </c>
      <c r="E397" s="126" t="s">
        <v>515</v>
      </c>
      <c r="F397" s="504">
        <v>1</v>
      </c>
      <c r="G397" s="587" t="s">
        <v>5801</v>
      </c>
      <c r="H397" s="585" t="s">
        <v>5802</v>
      </c>
      <c r="I397" s="784" t="s">
        <v>1579</v>
      </c>
      <c r="J397" s="584" t="s">
        <v>5803</v>
      </c>
      <c r="K397" s="919">
        <v>46143</v>
      </c>
      <c r="O397"/>
    </row>
    <row r="398" spans="2:15" ht="62.4" x14ac:dyDescent="0.3">
      <c r="B398" s="965" t="s">
        <v>561</v>
      </c>
      <c r="C398" s="130" t="s">
        <v>509</v>
      </c>
      <c r="D398" s="43" t="s">
        <v>190</v>
      </c>
      <c r="E398" s="126" t="s">
        <v>515</v>
      </c>
      <c r="F398" s="504">
        <v>1</v>
      </c>
      <c r="G398" s="587" t="s">
        <v>5804</v>
      </c>
      <c r="H398" s="585" t="s">
        <v>5805</v>
      </c>
      <c r="I398" s="784" t="s">
        <v>1579</v>
      </c>
      <c r="J398" s="584" t="s">
        <v>5806</v>
      </c>
      <c r="K398" s="919">
        <v>46143</v>
      </c>
      <c r="O398"/>
    </row>
    <row r="399" spans="2:15" ht="46.8" x14ac:dyDescent="0.3">
      <c r="B399" s="965" t="s">
        <v>561</v>
      </c>
      <c r="C399" s="130" t="s">
        <v>509</v>
      </c>
      <c r="D399" s="43" t="s">
        <v>190</v>
      </c>
      <c r="E399" s="126" t="s">
        <v>515</v>
      </c>
      <c r="F399" s="504">
        <v>1</v>
      </c>
      <c r="G399" s="587" t="s">
        <v>5807</v>
      </c>
      <c r="H399" s="585" t="s">
        <v>5808</v>
      </c>
      <c r="I399" s="784" t="s">
        <v>1579</v>
      </c>
      <c r="J399" s="584" t="s">
        <v>5809</v>
      </c>
      <c r="K399" s="919">
        <v>46143</v>
      </c>
      <c r="O399"/>
    </row>
    <row r="400" spans="2:15" ht="46.8" x14ac:dyDescent="0.3">
      <c r="B400" s="965" t="s">
        <v>508</v>
      </c>
      <c r="C400" s="130" t="s">
        <v>509</v>
      </c>
      <c r="D400" s="43" t="s">
        <v>190</v>
      </c>
      <c r="E400" s="126" t="s">
        <v>515</v>
      </c>
      <c r="F400" s="504">
        <v>1</v>
      </c>
      <c r="G400" s="587" t="s">
        <v>5810</v>
      </c>
      <c r="H400" s="585" t="s">
        <v>5811</v>
      </c>
      <c r="I400" s="784" t="s">
        <v>1579</v>
      </c>
      <c r="J400" s="584" t="s">
        <v>5812</v>
      </c>
      <c r="K400" s="919">
        <v>46143</v>
      </c>
      <c r="O400"/>
    </row>
    <row r="401" spans="2:15" ht="62.4" x14ac:dyDescent="0.3">
      <c r="B401" s="965" t="s">
        <v>561</v>
      </c>
      <c r="C401" s="130" t="s">
        <v>509</v>
      </c>
      <c r="D401" s="43" t="s">
        <v>190</v>
      </c>
      <c r="E401" s="126" t="s">
        <v>515</v>
      </c>
      <c r="F401" s="504">
        <v>1</v>
      </c>
      <c r="G401" s="587" t="s">
        <v>5813</v>
      </c>
      <c r="H401" s="585" t="s">
        <v>5719</v>
      </c>
      <c r="I401" s="784" t="s">
        <v>1579</v>
      </c>
      <c r="J401" s="584" t="s">
        <v>5814</v>
      </c>
      <c r="K401" s="919">
        <v>46143</v>
      </c>
      <c r="O401"/>
    </row>
    <row r="402" spans="2:15" ht="46.8" x14ac:dyDescent="0.3">
      <c r="B402" s="965" t="s">
        <v>508</v>
      </c>
      <c r="C402" s="130" t="s">
        <v>509</v>
      </c>
      <c r="D402" s="43" t="s">
        <v>190</v>
      </c>
      <c r="E402" s="126" t="s">
        <v>515</v>
      </c>
      <c r="F402" s="504">
        <v>1</v>
      </c>
      <c r="G402" s="587" t="s">
        <v>5815</v>
      </c>
      <c r="H402" s="585" t="s">
        <v>5816</v>
      </c>
      <c r="I402" s="588" t="s">
        <v>1579</v>
      </c>
      <c r="J402" s="584" t="s">
        <v>5817</v>
      </c>
      <c r="K402" s="919">
        <v>46143</v>
      </c>
      <c r="O402"/>
    </row>
    <row r="403" spans="2:15" ht="46.8" x14ac:dyDescent="0.3">
      <c r="B403" s="965" t="s">
        <v>561</v>
      </c>
      <c r="C403" s="130" t="s">
        <v>509</v>
      </c>
      <c r="D403" s="43" t="s">
        <v>190</v>
      </c>
      <c r="E403" s="126" t="s">
        <v>515</v>
      </c>
      <c r="F403" s="504">
        <v>1</v>
      </c>
      <c r="G403" s="587" t="s">
        <v>5818</v>
      </c>
      <c r="H403" s="585" t="s">
        <v>5819</v>
      </c>
      <c r="I403" s="588" t="s">
        <v>1579</v>
      </c>
      <c r="J403" s="584" t="s">
        <v>5820</v>
      </c>
      <c r="K403" s="919">
        <v>46143</v>
      </c>
      <c r="O403"/>
    </row>
    <row r="404" spans="2:15" ht="46.8" x14ac:dyDescent="0.3">
      <c r="B404" s="965" t="s">
        <v>508</v>
      </c>
      <c r="C404" s="130" t="s">
        <v>509</v>
      </c>
      <c r="D404" s="43" t="s">
        <v>190</v>
      </c>
      <c r="E404" s="126" t="s">
        <v>515</v>
      </c>
      <c r="F404" s="504">
        <v>1</v>
      </c>
      <c r="G404" s="587" t="s">
        <v>5821</v>
      </c>
      <c r="H404" s="585" t="s">
        <v>5822</v>
      </c>
      <c r="I404" s="588" t="s">
        <v>1579</v>
      </c>
      <c r="J404" s="584" t="s">
        <v>5823</v>
      </c>
      <c r="K404" s="919">
        <v>46143</v>
      </c>
      <c r="O404"/>
    </row>
    <row r="405" spans="2:15" ht="62.4" x14ac:dyDescent="0.3">
      <c r="B405" s="965" t="s">
        <v>561</v>
      </c>
      <c r="C405" s="130" t="s">
        <v>509</v>
      </c>
      <c r="D405" s="43" t="s">
        <v>190</v>
      </c>
      <c r="E405" s="126" t="s">
        <v>515</v>
      </c>
      <c r="F405" s="504">
        <v>1</v>
      </c>
      <c r="G405" s="587" t="s">
        <v>5824</v>
      </c>
      <c r="H405" s="585" t="s">
        <v>5825</v>
      </c>
      <c r="I405" s="784" t="s">
        <v>1579</v>
      </c>
      <c r="J405" s="584" t="s">
        <v>5826</v>
      </c>
      <c r="K405" s="919">
        <v>46143</v>
      </c>
      <c r="O405"/>
    </row>
    <row r="406" spans="2:15" ht="7.35" customHeight="1" x14ac:dyDescent="0.3">
      <c r="B406" s="965" t="s">
        <v>508</v>
      </c>
      <c r="C406" s="130" t="s">
        <v>509</v>
      </c>
      <c r="D406" s="43" t="s">
        <v>190</v>
      </c>
      <c r="E406" s="126" t="s">
        <v>515</v>
      </c>
      <c r="F406" s="504">
        <v>1</v>
      </c>
      <c r="G406" s="587" t="s">
        <v>5827</v>
      </c>
      <c r="H406" s="585" t="s">
        <v>5828</v>
      </c>
      <c r="I406" s="588" t="s">
        <v>1579</v>
      </c>
      <c r="J406" s="584" t="s">
        <v>5829</v>
      </c>
      <c r="K406" s="919">
        <v>46143</v>
      </c>
      <c r="O406"/>
    </row>
    <row r="407" spans="2:15" ht="46.8" x14ac:dyDescent="0.3">
      <c r="B407" s="965" t="s">
        <v>508</v>
      </c>
      <c r="C407" s="130" t="s">
        <v>509</v>
      </c>
      <c r="D407" s="43" t="s">
        <v>190</v>
      </c>
      <c r="E407" s="126" t="s">
        <v>515</v>
      </c>
      <c r="F407" s="504">
        <v>1</v>
      </c>
      <c r="G407" s="587" t="s">
        <v>5830</v>
      </c>
      <c r="H407" s="585" t="s">
        <v>5793</v>
      </c>
      <c r="I407" s="784" t="s">
        <v>1579</v>
      </c>
      <c r="J407" s="584" t="s">
        <v>5831</v>
      </c>
      <c r="K407" s="919">
        <v>46143</v>
      </c>
      <c r="O407"/>
    </row>
    <row r="408" spans="2:15" ht="46.8" x14ac:dyDescent="0.3">
      <c r="B408" s="965" t="s">
        <v>508</v>
      </c>
      <c r="C408" s="130" t="s">
        <v>509</v>
      </c>
      <c r="D408" s="43" t="s">
        <v>190</v>
      </c>
      <c r="E408" s="126" t="s">
        <v>515</v>
      </c>
      <c r="F408" s="504">
        <v>1</v>
      </c>
      <c r="G408" s="587" t="s">
        <v>5832</v>
      </c>
      <c r="H408" s="585" t="s">
        <v>5740</v>
      </c>
      <c r="I408" s="784" t="s">
        <v>1579</v>
      </c>
      <c r="J408" s="584" t="s">
        <v>5833</v>
      </c>
      <c r="K408" s="919">
        <v>46143</v>
      </c>
      <c r="O408"/>
    </row>
    <row r="409" spans="2:15" ht="46.8" x14ac:dyDescent="0.3">
      <c r="B409" s="965" t="s">
        <v>508</v>
      </c>
      <c r="C409" s="130" t="s">
        <v>509</v>
      </c>
      <c r="D409" s="43" t="s">
        <v>190</v>
      </c>
      <c r="E409" s="126" t="s">
        <v>515</v>
      </c>
      <c r="F409" s="504">
        <v>1</v>
      </c>
      <c r="G409" s="587" t="s">
        <v>5834</v>
      </c>
      <c r="H409" s="585" t="s">
        <v>5716</v>
      </c>
      <c r="I409" s="784" t="s">
        <v>1579</v>
      </c>
      <c r="J409" s="584" t="s">
        <v>5835</v>
      </c>
      <c r="K409" s="919">
        <v>46143</v>
      </c>
      <c r="O409"/>
    </row>
    <row r="410" spans="2:15" ht="62.4" x14ac:dyDescent="0.3">
      <c r="B410" s="965" t="s">
        <v>508</v>
      </c>
      <c r="C410" s="130" t="s">
        <v>509</v>
      </c>
      <c r="D410" s="43" t="s">
        <v>190</v>
      </c>
      <c r="E410" s="126" t="s">
        <v>515</v>
      </c>
      <c r="F410" s="504">
        <v>1</v>
      </c>
      <c r="G410" s="587" t="s">
        <v>5836</v>
      </c>
      <c r="H410" s="585" t="s">
        <v>5837</v>
      </c>
      <c r="I410" s="784" t="s">
        <v>1579</v>
      </c>
      <c r="J410" s="584" t="s">
        <v>5838</v>
      </c>
      <c r="K410" s="919">
        <v>46143</v>
      </c>
      <c r="O410"/>
    </row>
    <row r="411" spans="2:15" ht="46.8" x14ac:dyDescent="0.3">
      <c r="B411" s="965" t="s">
        <v>508</v>
      </c>
      <c r="C411" s="130" t="s">
        <v>509</v>
      </c>
      <c r="D411" s="43" t="s">
        <v>190</v>
      </c>
      <c r="E411" s="126" t="s">
        <v>515</v>
      </c>
      <c r="F411" s="504">
        <v>1</v>
      </c>
      <c r="G411" s="587" t="s">
        <v>5839</v>
      </c>
      <c r="H411" s="585" t="s">
        <v>5840</v>
      </c>
      <c r="I411" s="784" t="s">
        <v>1579</v>
      </c>
      <c r="J411" s="584" t="s">
        <v>5841</v>
      </c>
      <c r="K411" s="919">
        <v>46143</v>
      </c>
      <c r="O411"/>
    </row>
    <row r="412" spans="2:15" ht="62.4" x14ac:dyDescent="0.3">
      <c r="B412" s="965" t="s">
        <v>508</v>
      </c>
      <c r="C412" s="130" t="s">
        <v>509</v>
      </c>
      <c r="D412" s="43" t="s">
        <v>190</v>
      </c>
      <c r="E412" s="126" t="s">
        <v>515</v>
      </c>
      <c r="F412" s="504">
        <v>1</v>
      </c>
      <c r="G412" s="587" t="s">
        <v>5842</v>
      </c>
      <c r="H412" s="585" t="s">
        <v>5819</v>
      </c>
      <c r="I412" s="784" t="s">
        <v>1579</v>
      </c>
      <c r="J412" s="584" t="s">
        <v>5843</v>
      </c>
      <c r="K412" s="919">
        <v>46143</v>
      </c>
      <c r="O412"/>
    </row>
    <row r="413" spans="2:15" ht="46.8" x14ac:dyDescent="0.3">
      <c r="B413" s="965" t="s">
        <v>508</v>
      </c>
      <c r="C413" s="130" t="s">
        <v>509</v>
      </c>
      <c r="D413" s="43" t="s">
        <v>190</v>
      </c>
      <c r="E413" s="126" t="s">
        <v>510</v>
      </c>
      <c r="F413" s="504">
        <v>1</v>
      </c>
      <c r="G413" s="248" t="s">
        <v>5844</v>
      </c>
      <c r="H413" s="542" t="s">
        <v>5845</v>
      </c>
      <c r="I413" s="784" t="s">
        <v>949</v>
      </c>
      <c r="J413" s="494" t="s">
        <v>5846</v>
      </c>
      <c r="K413" s="919">
        <v>46174</v>
      </c>
    </row>
    <row r="414" spans="2:15" ht="62.4" x14ac:dyDescent="0.3">
      <c r="B414" s="965" t="s">
        <v>508</v>
      </c>
      <c r="C414" s="130" t="s">
        <v>509</v>
      </c>
      <c r="D414" s="43" t="s">
        <v>190</v>
      </c>
      <c r="E414" s="126" t="s">
        <v>510</v>
      </c>
      <c r="F414" s="504">
        <v>1</v>
      </c>
      <c r="G414" s="248" t="s">
        <v>5847</v>
      </c>
      <c r="H414" s="542" t="s">
        <v>5848</v>
      </c>
      <c r="I414" s="784" t="s">
        <v>949</v>
      </c>
      <c r="J414" s="494" t="s">
        <v>5849</v>
      </c>
      <c r="K414" s="919">
        <v>46174</v>
      </c>
    </row>
    <row r="415" spans="2:15" ht="62.4" x14ac:dyDescent="0.3">
      <c r="B415" s="965" t="s">
        <v>508</v>
      </c>
      <c r="C415" s="130" t="s">
        <v>509</v>
      </c>
      <c r="D415" s="43" t="s">
        <v>190</v>
      </c>
      <c r="E415" s="126" t="s">
        <v>510</v>
      </c>
      <c r="F415" s="504">
        <v>1</v>
      </c>
      <c r="G415" s="248" t="s">
        <v>5850</v>
      </c>
      <c r="H415" s="542" t="s">
        <v>5851</v>
      </c>
      <c r="I415" s="784" t="s">
        <v>949</v>
      </c>
      <c r="J415" s="494" t="s">
        <v>5852</v>
      </c>
      <c r="K415" s="919">
        <v>46174</v>
      </c>
    </row>
    <row r="416" spans="2:15" ht="62.4" x14ac:dyDescent="0.3">
      <c r="B416" s="965" t="s">
        <v>508</v>
      </c>
      <c r="C416" s="130" t="s">
        <v>509</v>
      </c>
      <c r="D416" s="43" t="s">
        <v>190</v>
      </c>
      <c r="E416" s="126" t="s">
        <v>510</v>
      </c>
      <c r="F416" s="504">
        <v>1</v>
      </c>
      <c r="G416" s="248" t="s">
        <v>5853</v>
      </c>
      <c r="H416" s="542" t="s">
        <v>5854</v>
      </c>
      <c r="I416" s="784" t="s">
        <v>949</v>
      </c>
      <c r="J416" s="494" t="s">
        <v>5855</v>
      </c>
      <c r="K416" s="919">
        <v>46174</v>
      </c>
    </row>
    <row r="417" spans="2:11" ht="62.4" x14ac:dyDescent="0.3">
      <c r="B417" s="965" t="s">
        <v>508</v>
      </c>
      <c r="C417" s="130" t="s">
        <v>509</v>
      </c>
      <c r="D417" s="43" t="s">
        <v>190</v>
      </c>
      <c r="E417" s="126" t="s">
        <v>510</v>
      </c>
      <c r="F417" s="504">
        <v>1</v>
      </c>
      <c r="G417" s="248" t="s">
        <v>5856</v>
      </c>
      <c r="H417" s="542" t="s">
        <v>5857</v>
      </c>
      <c r="I417" s="784" t="s">
        <v>949</v>
      </c>
      <c r="J417" s="494" t="s">
        <v>5858</v>
      </c>
      <c r="K417" s="919">
        <v>46174</v>
      </c>
    </row>
    <row r="418" spans="2:11" ht="46.8" x14ac:dyDescent="0.3">
      <c r="B418" s="965" t="s">
        <v>561</v>
      </c>
      <c r="C418" s="130" t="s">
        <v>509</v>
      </c>
      <c r="D418" s="43" t="s">
        <v>190</v>
      </c>
      <c r="E418" s="126" t="s">
        <v>510</v>
      </c>
      <c r="F418" s="504">
        <v>1</v>
      </c>
      <c r="G418" s="248" t="s">
        <v>5859</v>
      </c>
      <c r="H418" s="542" t="s">
        <v>5860</v>
      </c>
      <c r="I418" s="784" t="s">
        <v>949</v>
      </c>
      <c r="J418" s="494" t="s">
        <v>5861</v>
      </c>
      <c r="K418" s="919">
        <v>46174</v>
      </c>
    </row>
    <row r="419" spans="2:11" ht="46.8" x14ac:dyDescent="0.3">
      <c r="B419" s="965" t="s">
        <v>561</v>
      </c>
      <c r="C419" s="130" t="s">
        <v>509</v>
      </c>
      <c r="D419" s="43" t="s">
        <v>190</v>
      </c>
      <c r="E419" s="126" t="s">
        <v>510</v>
      </c>
      <c r="F419" s="504">
        <v>1</v>
      </c>
      <c r="G419" s="248" t="s">
        <v>5862</v>
      </c>
      <c r="H419" s="542" t="s">
        <v>5863</v>
      </c>
      <c r="I419" s="784" t="s">
        <v>949</v>
      </c>
      <c r="J419" s="494" t="s">
        <v>5864</v>
      </c>
      <c r="K419" s="919">
        <v>46174</v>
      </c>
    </row>
    <row r="420" spans="2:11" ht="46.8" x14ac:dyDescent="0.3">
      <c r="B420" s="965" t="s">
        <v>508</v>
      </c>
      <c r="C420" s="130" t="s">
        <v>509</v>
      </c>
      <c r="D420" s="43" t="s">
        <v>190</v>
      </c>
      <c r="E420" s="126" t="s">
        <v>510</v>
      </c>
      <c r="F420" s="504">
        <v>1</v>
      </c>
      <c r="G420" s="248" t="s">
        <v>5865</v>
      </c>
      <c r="H420" s="542" t="s">
        <v>5866</v>
      </c>
      <c r="I420" s="784" t="s">
        <v>949</v>
      </c>
      <c r="J420" s="494" t="s">
        <v>5867</v>
      </c>
      <c r="K420" s="919">
        <v>46174</v>
      </c>
    </row>
    <row r="421" spans="2:11" ht="62.4" x14ac:dyDescent="0.3">
      <c r="B421" s="965" t="s">
        <v>561</v>
      </c>
      <c r="C421" s="130" t="s">
        <v>509</v>
      </c>
      <c r="D421" s="43" t="s">
        <v>190</v>
      </c>
      <c r="E421" s="126" t="s">
        <v>510</v>
      </c>
      <c r="F421" s="504">
        <v>1</v>
      </c>
      <c r="G421" s="248" t="s">
        <v>5868</v>
      </c>
      <c r="H421" s="542" t="s">
        <v>5869</v>
      </c>
      <c r="I421" s="784" t="s">
        <v>949</v>
      </c>
      <c r="J421" s="494" t="s">
        <v>5870</v>
      </c>
      <c r="K421" s="919">
        <v>46174</v>
      </c>
    </row>
    <row r="422" spans="2:11" ht="62.4" x14ac:dyDescent="0.3">
      <c r="B422" s="965" t="s">
        <v>508</v>
      </c>
      <c r="C422" s="130" t="s">
        <v>509</v>
      </c>
      <c r="D422" s="43" t="s">
        <v>190</v>
      </c>
      <c r="E422" s="126" t="s">
        <v>510</v>
      </c>
      <c r="F422" s="504">
        <v>1</v>
      </c>
      <c r="G422" s="248" t="s">
        <v>5871</v>
      </c>
      <c r="H422" s="542" t="s">
        <v>5872</v>
      </c>
      <c r="I422" s="784" t="s">
        <v>949</v>
      </c>
      <c r="J422" s="494" t="s">
        <v>5873</v>
      </c>
      <c r="K422" s="919">
        <v>46174</v>
      </c>
    </row>
    <row r="423" spans="2:11" ht="46.8" x14ac:dyDescent="0.3">
      <c r="B423" s="965" t="s">
        <v>561</v>
      </c>
      <c r="C423" s="130" t="s">
        <v>509</v>
      </c>
      <c r="D423" s="43" t="s">
        <v>190</v>
      </c>
      <c r="E423" s="126" t="s">
        <v>510</v>
      </c>
      <c r="F423" s="504">
        <v>1</v>
      </c>
      <c r="G423" s="248" t="s">
        <v>5874</v>
      </c>
      <c r="H423" s="542" t="s">
        <v>5875</v>
      </c>
      <c r="I423" s="784" t="s">
        <v>949</v>
      </c>
      <c r="J423" s="494" t="s">
        <v>5876</v>
      </c>
      <c r="K423" s="919">
        <v>46174</v>
      </c>
    </row>
    <row r="424" spans="2:11" ht="46.8" x14ac:dyDescent="0.3">
      <c r="B424" s="965" t="s">
        <v>508</v>
      </c>
      <c r="C424" s="130" t="s">
        <v>509</v>
      </c>
      <c r="D424" s="43" t="s">
        <v>190</v>
      </c>
      <c r="E424" s="126" t="s">
        <v>510</v>
      </c>
      <c r="F424" s="504">
        <v>1</v>
      </c>
      <c r="G424" s="248" t="s">
        <v>5877</v>
      </c>
      <c r="H424" s="542" t="s">
        <v>5878</v>
      </c>
      <c r="I424" s="784" t="s">
        <v>949</v>
      </c>
      <c r="J424" s="494" t="s">
        <v>5879</v>
      </c>
      <c r="K424" s="919">
        <v>46174</v>
      </c>
    </row>
    <row r="425" spans="2:11" ht="62.4" x14ac:dyDescent="0.3">
      <c r="B425" s="965" t="s">
        <v>561</v>
      </c>
      <c r="C425" s="130" t="s">
        <v>509</v>
      </c>
      <c r="D425" s="43" t="s">
        <v>190</v>
      </c>
      <c r="E425" s="126" t="s">
        <v>510</v>
      </c>
      <c r="F425" s="504">
        <v>1</v>
      </c>
      <c r="G425" s="248" t="s">
        <v>5880</v>
      </c>
      <c r="H425" s="542" t="s">
        <v>5881</v>
      </c>
      <c r="I425" s="784" t="s">
        <v>949</v>
      </c>
      <c r="J425" s="494" t="s">
        <v>5882</v>
      </c>
      <c r="K425" s="919">
        <v>46174</v>
      </c>
    </row>
    <row r="426" spans="2:11" ht="46.8" x14ac:dyDescent="0.3">
      <c r="B426" s="965" t="s">
        <v>508</v>
      </c>
      <c r="C426" s="130" t="s">
        <v>509</v>
      </c>
      <c r="D426" s="43" t="s">
        <v>190</v>
      </c>
      <c r="E426" s="126" t="s">
        <v>510</v>
      </c>
      <c r="F426" s="504">
        <v>1</v>
      </c>
      <c r="G426" s="248" t="s">
        <v>5883</v>
      </c>
      <c r="H426" s="542" t="s">
        <v>5884</v>
      </c>
      <c r="I426" s="784" t="s">
        <v>949</v>
      </c>
      <c r="J426" s="494" t="s">
        <v>5885</v>
      </c>
      <c r="K426" s="919">
        <v>46174</v>
      </c>
    </row>
    <row r="427" spans="2:11" ht="62.4" x14ac:dyDescent="0.3">
      <c r="B427" s="965" t="s">
        <v>561</v>
      </c>
      <c r="C427" s="130" t="s">
        <v>509</v>
      </c>
      <c r="D427" s="43" t="s">
        <v>190</v>
      </c>
      <c r="E427" s="126" t="s">
        <v>510</v>
      </c>
      <c r="F427" s="504">
        <v>1</v>
      </c>
      <c r="G427" s="248" t="s">
        <v>5886</v>
      </c>
      <c r="H427" s="542" t="s">
        <v>5887</v>
      </c>
      <c r="I427" s="784" t="s">
        <v>949</v>
      </c>
      <c r="J427" s="494" t="s">
        <v>5888</v>
      </c>
      <c r="K427" s="919">
        <v>46174</v>
      </c>
    </row>
    <row r="428" spans="2:11" ht="46.8" x14ac:dyDescent="0.3">
      <c r="B428" s="965" t="s">
        <v>561</v>
      </c>
      <c r="C428" s="130" t="s">
        <v>509</v>
      </c>
      <c r="D428" s="43" t="s">
        <v>190</v>
      </c>
      <c r="E428" s="126" t="s">
        <v>510</v>
      </c>
      <c r="F428" s="504">
        <v>1</v>
      </c>
      <c r="G428" s="248" t="s">
        <v>5889</v>
      </c>
      <c r="H428" s="542" t="s">
        <v>5890</v>
      </c>
      <c r="I428" s="588" t="s">
        <v>949</v>
      </c>
      <c r="J428" s="494" t="s">
        <v>5891</v>
      </c>
      <c r="K428" s="919">
        <v>46174</v>
      </c>
    </row>
    <row r="429" spans="2:11" ht="46.8" x14ac:dyDescent="0.3">
      <c r="B429" s="965" t="s">
        <v>508</v>
      </c>
      <c r="C429" s="130" t="s">
        <v>509</v>
      </c>
      <c r="D429" s="43" t="s">
        <v>190</v>
      </c>
      <c r="E429" s="126" t="s">
        <v>515</v>
      </c>
      <c r="F429" s="504">
        <v>1</v>
      </c>
      <c r="G429" s="248" t="s">
        <v>5892</v>
      </c>
      <c r="H429" s="542" t="s">
        <v>5893</v>
      </c>
      <c r="I429" s="588" t="s">
        <v>949</v>
      </c>
      <c r="J429" s="494" t="s">
        <v>5894</v>
      </c>
      <c r="K429" s="919">
        <v>46174</v>
      </c>
    </row>
    <row r="430" spans="2:11" ht="46.8" x14ac:dyDescent="0.3">
      <c r="B430" s="965" t="s">
        <v>561</v>
      </c>
      <c r="C430" s="130" t="s">
        <v>509</v>
      </c>
      <c r="D430" s="43" t="s">
        <v>190</v>
      </c>
      <c r="E430" s="126" t="s">
        <v>515</v>
      </c>
      <c r="F430" s="504">
        <v>1</v>
      </c>
      <c r="G430" s="248" t="s">
        <v>5895</v>
      </c>
      <c r="H430" s="542" t="s">
        <v>5896</v>
      </c>
      <c r="I430" s="588" t="s">
        <v>949</v>
      </c>
      <c r="J430" s="494" t="s">
        <v>5897</v>
      </c>
      <c r="K430" s="919">
        <v>46174</v>
      </c>
    </row>
    <row r="431" spans="2:11" ht="62.4" x14ac:dyDescent="0.3">
      <c r="B431" s="965" t="s">
        <v>508</v>
      </c>
      <c r="C431" s="130" t="s">
        <v>509</v>
      </c>
      <c r="D431" s="43" t="s">
        <v>190</v>
      </c>
      <c r="E431" s="126" t="s">
        <v>515</v>
      </c>
      <c r="F431" s="504">
        <v>1</v>
      </c>
      <c r="G431" s="248" t="s">
        <v>5898</v>
      </c>
      <c r="H431" s="542" t="s">
        <v>5899</v>
      </c>
      <c r="I431" s="784" t="s">
        <v>949</v>
      </c>
      <c r="J431" s="494" t="s">
        <v>5900</v>
      </c>
      <c r="K431" s="919">
        <v>46174</v>
      </c>
    </row>
    <row r="432" spans="2:11" ht="7.35" customHeight="1" x14ac:dyDescent="0.3">
      <c r="B432" s="965" t="s">
        <v>508</v>
      </c>
      <c r="C432" s="130" t="s">
        <v>509</v>
      </c>
      <c r="D432" s="43" t="s">
        <v>190</v>
      </c>
      <c r="E432" s="126" t="s">
        <v>515</v>
      </c>
      <c r="F432" s="504">
        <v>1</v>
      </c>
      <c r="G432" s="248" t="s">
        <v>5901</v>
      </c>
      <c r="H432" s="542" t="s">
        <v>5902</v>
      </c>
      <c r="I432" s="588" t="s">
        <v>949</v>
      </c>
      <c r="J432" s="494" t="s">
        <v>5903</v>
      </c>
      <c r="K432" s="919">
        <v>46174</v>
      </c>
    </row>
    <row r="433" spans="2:11" ht="62.4" x14ac:dyDescent="0.3">
      <c r="B433" s="965" t="s">
        <v>561</v>
      </c>
      <c r="C433" s="130" t="s">
        <v>509</v>
      </c>
      <c r="D433" s="43" t="s">
        <v>190</v>
      </c>
      <c r="E433" s="126" t="s">
        <v>515</v>
      </c>
      <c r="F433" s="504">
        <v>1</v>
      </c>
      <c r="G433" s="248" t="s">
        <v>5904</v>
      </c>
      <c r="H433" s="542" t="s">
        <v>5905</v>
      </c>
      <c r="I433" s="784" t="s">
        <v>949</v>
      </c>
      <c r="J433" s="494" t="s">
        <v>5906</v>
      </c>
      <c r="K433" s="919">
        <v>46174</v>
      </c>
    </row>
    <row r="434" spans="2:11" ht="46.8" x14ac:dyDescent="0.3">
      <c r="B434" s="965" t="s">
        <v>508</v>
      </c>
      <c r="C434" s="130" t="s">
        <v>509</v>
      </c>
      <c r="D434" s="43" t="s">
        <v>190</v>
      </c>
      <c r="E434" s="126" t="s">
        <v>515</v>
      </c>
      <c r="F434" s="504">
        <v>1</v>
      </c>
      <c r="G434" s="248" t="s">
        <v>5907</v>
      </c>
      <c r="H434" s="542" t="s">
        <v>5908</v>
      </c>
      <c r="I434" s="784" t="s">
        <v>949</v>
      </c>
      <c r="J434" s="494" t="s">
        <v>5909</v>
      </c>
      <c r="K434" s="919">
        <v>46174</v>
      </c>
    </row>
    <row r="435" spans="2:11" ht="46.8" x14ac:dyDescent="0.3">
      <c r="B435" s="965" t="s">
        <v>561</v>
      </c>
      <c r="C435" s="130" t="s">
        <v>509</v>
      </c>
      <c r="D435" s="43" t="s">
        <v>190</v>
      </c>
      <c r="E435" s="126" t="s">
        <v>515</v>
      </c>
      <c r="F435" s="504">
        <v>1</v>
      </c>
      <c r="G435" s="248" t="s">
        <v>5910</v>
      </c>
      <c r="H435" s="542" t="s">
        <v>5911</v>
      </c>
      <c r="I435" s="784" t="s">
        <v>949</v>
      </c>
      <c r="J435" s="494" t="s">
        <v>5912</v>
      </c>
      <c r="K435" s="919">
        <v>46174</v>
      </c>
    </row>
    <row r="436" spans="2:11" ht="62.4" x14ac:dyDescent="0.3">
      <c r="B436" s="965" t="s">
        <v>508</v>
      </c>
      <c r="C436" s="130" t="s">
        <v>509</v>
      </c>
      <c r="D436" s="43" t="s">
        <v>190</v>
      </c>
      <c r="E436" s="126" t="s">
        <v>515</v>
      </c>
      <c r="F436" s="504">
        <v>1</v>
      </c>
      <c r="G436" s="248" t="s">
        <v>5913</v>
      </c>
      <c r="H436" s="542" t="s">
        <v>5914</v>
      </c>
      <c r="I436" s="784" t="s">
        <v>949</v>
      </c>
      <c r="J436" s="494" t="s">
        <v>5915</v>
      </c>
      <c r="K436" s="919">
        <v>46174</v>
      </c>
    </row>
    <row r="437" spans="2:11" ht="62.4" x14ac:dyDescent="0.3">
      <c r="B437" s="965" t="s">
        <v>561</v>
      </c>
      <c r="C437" s="130" t="s">
        <v>509</v>
      </c>
      <c r="D437" s="43" t="s">
        <v>190</v>
      </c>
      <c r="E437" s="126" t="s">
        <v>515</v>
      </c>
      <c r="F437" s="504">
        <v>1</v>
      </c>
      <c r="G437" s="248" t="s">
        <v>5916</v>
      </c>
      <c r="H437" s="542" t="s">
        <v>5917</v>
      </c>
      <c r="I437" s="784" t="s">
        <v>949</v>
      </c>
      <c r="J437" s="494" t="s">
        <v>5918</v>
      </c>
      <c r="K437" s="919">
        <v>46174</v>
      </c>
    </row>
    <row r="438" spans="2:11" ht="46.8" x14ac:dyDescent="0.3">
      <c r="B438" s="965" t="s">
        <v>508</v>
      </c>
      <c r="C438" s="130" t="s">
        <v>509</v>
      </c>
      <c r="D438" s="43" t="s">
        <v>190</v>
      </c>
      <c r="E438" s="126" t="s">
        <v>515</v>
      </c>
      <c r="F438" s="504">
        <v>1</v>
      </c>
      <c r="G438" s="248" t="s">
        <v>5919</v>
      </c>
      <c r="H438" s="542" t="s">
        <v>5920</v>
      </c>
      <c r="I438" s="784" t="s">
        <v>949</v>
      </c>
      <c r="J438" s="494" t="s">
        <v>5921</v>
      </c>
      <c r="K438" s="919">
        <v>46174</v>
      </c>
    </row>
    <row r="439" spans="2:11" ht="62.4" x14ac:dyDescent="0.3">
      <c r="B439" s="965" t="s">
        <v>561</v>
      </c>
      <c r="C439" s="130" t="s">
        <v>509</v>
      </c>
      <c r="D439" s="43" t="s">
        <v>190</v>
      </c>
      <c r="E439" s="126" t="s">
        <v>515</v>
      </c>
      <c r="F439" s="504">
        <v>1</v>
      </c>
      <c r="G439" s="248" t="s">
        <v>5922</v>
      </c>
      <c r="H439" s="542" t="s">
        <v>5923</v>
      </c>
      <c r="I439" s="784" t="s">
        <v>949</v>
      </c>
      <c r="J439" s="494" t="s">
        <v>5924</v>
      </c>
      <c r="K439" s="919">
        <v>46174</v>
      </c>
    </row>
    <row r="440" spans="2:11" ht="46.8" x14ac:dyDescent="0.3">
      <c r="B440" s="965" t="s">
        <v>508</v>
      </c>
      <c r="C440" s="130" t="s">
        <v>509</v>
      </c>
      <c r="D440" s="43" t="s">
        <v>190</v>
      </c>
      <c r="E440" s="126" t="s">
        <v>515</v>
      </c>
      <c r="F440" s="504">
        <v>1</v>
      </c>
      <c r="G440" s="248" t="s">
        <v>5925</v>
      </c>
      <c r="H440" s="542" t="s">
        <v>5926</v>
      </c>
      <c r="I440" s="784" t="s">
        <v>949</v>
      </c>
      <c r="J440" s="494" t="s">
        <v>5927</v>
      </c>
      <c r="K440" s="919">
        <v>46174</v>
      </c>
    </row>
    <row r="441" spans="2:11" ht="62.4" x14ac:dyDescent="0.3">
      <c r="B441" s="965" t="s">
        <v>561</v>
      </c>
      <c r="C441" s="130" t="s">
        <v>509</v>
      </c>
      <c r="D441" s="43" t="s">
        <v>190</v>
      </c>
      <c r="E441" s="126" t="s">
        <v>515</v>
      </c>
      <c r="F441" s="504">
        <v>1</v>
      </c>
      <c r="G441" s="248" t="s">
        <v>5928</v>
      </c>
      <c r="H441" s="542" t="s">
        <v>5929</v>
      </c>
      <c r="I441" s="784" t="s">
        <v>949</v>
      </c>
      <c r="J441" s="494" t="s">
        <v>5930</v>
      </c>
      <c r="K441" s="919">
        <v>46174</v>
      </c>
    </row>
    <row r="442" spans="2:11" ht="46.8" x14ac:dyDescent="0.3">
      <c r="B442" s="965" t="s">
        <v>508</v>
      </c>
      <c r="C442" s="130" t="s">
        <v>509</v>
      </c>
      <c r="D442" s="43" t="s">
        <v>190</v>
      </c>
      <c r="E442" s="126" t="s">
        <v>515</v>
      </c>
      <c r="F442" s="504">
        <v>1</v>
      </c>
      <c r="G442" s="248" t="s">
        <v>5931</v>
      </c>
      <c r="H442" s="542" t="s">
        <v>5932</v>
      </c>
      <c r="I442" s="784" t="s">
        <v>949</v>
      </c>
      <c r="J442" s="494" t="s">
        <v>5933</v>
      </c>
      <c r="K442" s="919">
        <v>46174</v>
      </c>
    </row>
    <row r="443" spans="2:11" ht="62.4" x14ac:dyDescent="0.3">
      <c r="B443" s="965" t="s">
        <v>508</v>
      </c>
      <c r="C443" s="130" t="s">
        <v>509</v>
      </c>
      <c r="D443" s="43" t="s">
        <v>190</v>
      </c>
      <c r="E443" s="126" t="s">
        <v>515</v>
      </c>
      <c r="F443" s="504">
        <v>1</v>
      </c>
      <c r="G443" s="248" t="s">
        <v>5934</v>
      </c>
      <c r="H443" s="542" t="s">
        <v>5935</v>
      </c>
      <c r="I443" s="784" t="s">
        <v>949</v>
      </c>
      <c r="J443" s="494" t="s">
        <v>5936</v>
      </c>
      <c r="K443" s="919">
        <v>46174</v>
      </c>
    </row>
    <row r="444" spans="2:11" ht="46.8" x14ac:dyDescent="0.3">
      <c r="B444" s="965" t="s">
        <v>508</v>
      </c>
      <c r="C444" s="130" t="s">
        <v>509</v>
      </c>
      <c r="D444" s="43" t="s">
        <v>190</v>
      </c>
      <c r="E444" s="126" t="s">
        <v>515</v>
      </c>
      <c r="F444" s="504">
        <v>1</v>
      </c>
      <c r="G444" s="248" t="s">
        <v>5937</v>
      </c>
      <c r="H444" s="542" t="s">
        <v>4642</v>
      </c>
      <c r="I444" s="784" t="s">
        <v>949</v>
      </c>
      <c r="J444" s="494" t="s">
        <v>5938</v>
      </c>
      <c r="K444" s="919">
        <v>46174</v>
      </c>
    </row>
    <row r="445" spans="2:11" ht="46.8" x14ac:dyDescent="0.3">
      <c r="B445" s="965" t="s">
        <v>508</v>
      </c>
      <c r="C445" s="130" t="s">
        <v>509</v>
      </c>
      <c r="D445" s="43" t="s">
        <v>190</v>
      </c>
      <c r="E445" s="126" t="s">
        <v>515</v>
      </c>
      <c r="F445" s="504">
        <v>1</v>
      </c>
      <c r="G445" s="248" t="s">
        <v>5939</v>
      </c>
      <c r="H445" s="542" t="s">
        <v>5884</v>
      </c>
      <c r="I445" s="784" t="s">
        <v>949</v>
      </c>
      <c r="J445" s="494" t="s">
        <v>5940</v>
      </c>
      <c r="K445" s="919">
        <v>46174</v>
      </c>
    </row>
    <row r="446" spans="2:11" ht="46.8" x14ac:dyDescent="0.3">
      <c r="B446" s="965" t="s">
        <v>508</v>
      </c>
      <c r="C446" s="130" t="s">
        <v>509</v>
      </c>
      <c r="D446" s="43" t="s">
        <v>190</v>
      </c>
      <c r="E446" s="126" t="s">
        <v>515</v>
      </c>
      <c r="F446" s="504">
        <v>1</v>
      </c>
      <c r="G446" s="248" t="s">
        <v>5941</v>
      </c>
      <c r="H446" s="542" t="s">
        <v>5851</v>
      </c>
      <c r="I446" s="784" t="s">
        <v>949</v>
      </c>
      <c r="J446" s="494" t="s">
        <v>5942</v>
      </c>
      <c r="K446" s="919">
        <v>46174</v>
      </c>
    </row>
    <row r="447" spans="2:11" ht="46.8" x14ac:dyDescent="0.3">
      <c r="B447" s="965" t="s">
        <v>508</v>
      </c>
      <c r="C447" s="130" t="s">
        <v>509</v>
      </c>
      <c r="D447" s="43" t="s">
        <v>190</v>
      </c>
      <c r="E447" s="126" t="s">
        <v>515</v>
      </c>
      <c r="F447" s="504">
        <v>1</v>
      </c>
      <c r="G447" s="248" t="s">
        <v>5943</v>
      </c>
      <c r="H447" s="542" t="s">
        <v>5944</v>
      </c>
      <c r="I447" s="784" t="s">
        <v>949</v>
      </c>
      <c r="J447" s="494" t="s">
        <v>5945</v>
      </c>
      <c r="K447" s="919">
        <v>46174</v>
      </c>
    </row>
    <row r="448" spans="2:11" ht="46.8" x14ac:dyDescent="0.3">
      <c r="B448" s="965" t="s">
        <v>508</v>
      </c>
      <c r="C448" s="130" t="s">
        <v>509</v>
      </c>
      <c r="D448" s="43" t="s">
        <v>190</v>
      </c>
      <c r="E448" s="126" t="s">
        <v>515</v>
      </c>
      <c r="F448" s="504">
        <v>1</v>
      </c>
      <c r="G448" s="248" t="s">
        <v>5946</v>
      </c>
      <c r="H448" s="542" t="s">
        <v>5947</v>
      </c>
      <c r="I448" s="784" t="s">
        <v>949</v>
      </c>
      <c r="J448" s="494" t="s">
        <v>5948</v>
      </c>
      <c r="K448" s="919">
        <v>46174</v>
      </c>
    </row>
    <row r="449" spans="2:11" ht="46.8" x14ac:dyDescent="0.3">
      <c r="B449" s="965" t="s">
        <v>508</v>
      </c>
      <c r="C449" s="130" t="s">
        <v>509</v>
      </c>
      <c r="D449" s="43" t="s">
        <v>190</v>
      </c>
      <c r="E449" s="126" t="s">
        <v>515</v>
      </c>
      <c r="F449" s="504">
        <v>1</v>
      </c>
      <c r="G449" s="248" t="s">
        <v>5949</v>
      </c>
      <c r="H449" s="542" t="s">
        <v>5950</v>
      </c>
      <c r="I449" s="784" t="s">
        <v>949</v>
      </c>
      <c r="J449" s="494" t="s">
        <v>5951</v>
      </c>
      <c r="K449" s="919">
        <v>46174</v>
      </c>
    </row>
    <row r="450" spans="2:11" ht="46.8" x14ac:dyDescent="0.3">
      <c r="B450" s="965" t="s">
        <v>508</v>
      </c>
      <c r="C450" s="130" t="s">
        <v>509</v>
      </c>
      <c r="D450" s="43" t="s">
        <v>190</v>
      </c>
      <c r="E450" s="126" t="s">
        <v>515</v>
      </c>
      <c r="F450" s="504">
        <v>1</v>
      </c>
      <c r="G450" s="248" t="s">
        <v>5952</v>
      </c>
      <c r="H450" s="542" t="s">
        <v>5953</v>
      </c>
      <c r="I450" s="784" t="s">
        <v>949</v>
      </c>
      <c r="J450" s="494" t="s">
        <v>5954</v>
      </c>
      <c r="K450" s="919">
        <v>46174</v>
      </c>
    </row>
    <row r="451" spans="2:11" ht="62.4" x14ac:dyDescent="0.3">
      <c r="B451" s="965" t="s">
        <v>508</v>
      </c>
      <c r="C451" s="130" t="s">
        <v>509</v>
      </c>
      <c r="D451" s="43" t="s">
        <v>190</v>
      </c>
      <c r="E451" s="126" t="s">
        <v>515</v>
      </c>
      <c r="F451" s="504">
        <v>1</v>
      </c>
      <c r="G451" s="248" t="s">
        <v>5955</v>
      </c>
      <c r="H451" s="542" t="s">
        <v>5956</v>
      </c>
      <c r="I451" s="784" t="s">
        <v>949</v>
      </c>
      <c r="J451" s="494" t="s">
        <v>5957</v>
      </c>
      <c r="K451" s="919">
        <v>46174</v>
      </c>
    </row>
    <row r="452" spans="2:11" ht="62.4" x14ac:dyDescent="0.3">
      <c r="B452" s="965" t="s">
        <v>508</v>
      </c>
      <c r="C452" s="130" t="s">
        <v>509</v>
      </c>
      <c r="D452" s="43" t="s">
        <v>190</v>
      </c>
      <c r="E452" s="126" t="s">
        <v>515</v>
      </c>
      <c r="F452" s="504">
        <v>1</v>
      </c>
      <c r="G452" s="248" t="s">
        <v>5958</v>
      </c>
      <c r="H452" s="542" t="s">
        <v>5959</v>
      </c>
      <c r="I452" s="784" t="s">
        <v>949</v>
      </c>
      <c r="J452" s="494" t="s">
        <v>5960</v>
      </c>
      <c r="K452" s="919">
        <v>46174</v>
      </c>
    </row>
    <row r="453" spans="2:11" ht="62.4" x14ac:dyDescent="0.3">
      <c r="B453" s="965" t="s">
        <v>508</v>
      </c>
      <c r="C453" s="130" t="s">
        <v>509</v>
      </c>
      <c r="D453" s="43" t="s">
        <v>190</v>
      </c>
      <c r="E453" s="126" t="s">
        <v>510</v>
      </c>
      <c r="F453" s="1195">
        <v>1</v>
      </c>
      <c r="G453" s="587" t="s">
        <v>5961</v>
      </c>
      <c r="H453" s="542" t="s">
        <v>5962</v>
      </c>
      <c r="I453" s="1306" t="s">
        <v>119</v>
      </c>
      <c r="J453" s="494" t="s">
        <v>512</v>
      </c>
      <c r="K453" s="919">
        <v>46204</v>
      </c>
    </row>
    <row r="454" spans="2:11" ht="46.8" x14ac:dyDescent="0.3">
      <c r="B454" s="965" t="s">
        <v>508</v>
      </c>
      <c r="C454" s="130" t="s">
        <v>509</v>
      </c>
      <c r="D454" s="43" t="s">
        <v>190</v>
      </c>
      <c r="E454" s="126" t="s">
        <v>510</v>
      </c>
      <c r="F454" s="1195">
        <v>1</v>
      </c>
      <c r="G454" s="248" t="s">
        <v>5963</v>
      </c>
      <c r="H454" s="542" t="s">
        <v>5964</v>
      </c>
      <c r="I454" s="1984" t="s">
        <v>119</v>
      </c>
      <c r="J454" s="494" t="s">
        <v>548</v>
      </c>
      <c r="K454" s="919">
        <v>46204</v>
      </c>
    </row>
    <row r="455" spans="2:11" ht="46.8" x14ac:dyDescent="0.3">
      <c r="B455" s="965" t="s">
        <v>508</v>
      </c>
      <c r="C455" s="130" t="s">
        <v>509</v>
      </c>
      <c r="D455" s="43" t="s">
        <v>190</v>
      </c>
      <c r="E455" s="126" t="s">
        <v>510</v>
      </c>
      <c r="F455" s="1195">
        <v>1</v>
      </c>
      <c r="G455" s="248" t="s">
        <v>5965</v>
      </c>
      <c r="H455" s="542" t="s">
        <v>5966</v>
      </c>
      <c r="I455" s="1984" t="s">
        <v>119</v>
      </c>
      <c r="J455" s="494" t="s">
        <v>608</v>
      </c>
      <c r="K455" s="919">
        <v>46204</v>
      </c>
    </row>
    <row r="456" spans="2:11" ht="46.8" x14ac:dyDescent="0.3">
      <c r="B456" s="965" t="s">
        <v>508</v>
      </c>
      <c r="C456" s="130" t="s">
        <v>509</v>
      </c>
      <c r="D456" s="43" t="s">
        <v>190</v>
      </c>
      <c r="E456" s="126" t="s">
        <v>510</v>
      </c>
      <c r="F456" s="1195">
        <v>1</v>
      </c>
      <c r="G456" s="248" t="s">
        <v>5967</v>
      </c>
      <c r="H456" s="542" t="s">
        <v>5968</v>
      </c>
      <c r="I456" s="1984" t="s">
        <v>119</v>
      </c>
      <c r="J456" s="494" t="s">
        <v>640</v>
      </c>
      <c r="K456" s="919">
        <v>46204</v>
      </c>
    </row>
    <row r="457" spans="2:11" ht="62.4" x14ac:dyDescent="0.3">
      <c r="B457" s="965" t="s">
        <v>508</v>
      </c>
      <c r="C457" s="130" t="s">
        <v>509</v>
      </c>
      <c r="D457" s="43" t="s">
        <v>190</v>
      </c>
      <c r="E457" s="126" t="s">
        <v>510</v>
      </c>
      <c r="F457" s="1195">
        <v>1</v>
      </c>
      <c r="G457" s="248" t="s">
        <v>5969</v>
      </c>
      <c r="H457" s="542" t="s">
        <v>5970</v>
      </c>
      <c r="I457" s="1306" t="s">
        <v>119</v>
      </c>
      <c r="J457" s="494" t="s">
        <v>654</v>
      </c>
      <c r="K457" s="919">
        <v>46204</v>
      </c>
    </row>
    <row r="458" spans="2:11" ht="7.35" customHeight="1" x14ac:dyDescent="0.3">
      <c r="B458" s="965" t="s">
        <v>508</v>
      </c>
      <c r="C458" s="130" t="s">
        <v>509</v>
      </c>
      <c r="D458" s="43" t="s">
        <v>190</v>
      </c>
      <c r="E458" s="126" t="s">
        <v>510</v>
      </c>
      <c r="F458" s="1195">
        <v>1</v>
      </c>
      <c r="G458" s="248" t="s">
        <v>5971</v>
      </c>
      <c r="H458" s="542" t="s">
        <v>5972</v>
      </c>
      <c r="I458" s="1984" t="s">
        <v>119</v>
      </c>
      <c r="J458" s="494" t="s">
        <v>704</v>
      </c>
      <c r="K458" s="919">
        <v>46204</v>
      </c>
    </row>
    <row r="459" spans="2:11" ht="46.8" x14ac:dyDescent="0.3">
      <c r="B459" s="965" t="s">
        <v>508</v>
      </c>
      <c r="C459" s="130" t="s">
        <v>509</v>
      </c>
      <c r="D459" s="43" t="s">
        <v>190</v>
      </c>
      <c r="E459" s="126" t="s">
        <v>510</v>
      </c>
      <c r="F459" s="1195">
        <v>1</v>
      </c>
      <c r="G459" s="248" t="s">
        <v>5973</v>
      </c>
      <c r="H459" s="542" t="s">
        <v>5974</v>
      </c>
      <c r="I459" s="1306" t="s">
        <v>119</v>
      </c>
      <c r="J459" s="494" t="s">
        <v>556</v>
      </c>
      <c r="K459" s="919">
        <v>46204</v>
      </c>
    </row>
    <row r="460" spans="2:11" ht="46.8" x14ac:dyDescent="0.3">
      <c r="B460" s="965" t="s">
        <v>561</v>
      </c>
      <c r="C460" s="130" t="s">
        <v>509</v>
      </c>
      <c r="D460" s="43" t="s">
        <v>190</v>
      </c>
      <c r="E460" s="126" t="s">
        <v>510</v>
      </c>
      <c r="F460" s="1195">
        <v>1</v>
      </c>
      <c r="G460" s="248" t="s">
        <v>5975</v>
      </c>
      <c r="H460" s="542" t="s">
        <v>5976</v>
      </c>
      <c r="I460" s="1306" t="s">
        <v>119</v>
      </c>
      <c r="J460" s="494" t="s">
        <v>620</v>
      </c>
      <c r="K460" s="919">
        <v>46204</v>
      </c>
    </row>
    <row r="461" spans="2:11" ht="46.8" x14ac:dyDescent="0.3">
      <c r="B461" s="965" t="s">
        <v>508</v>
      </c>
      <c r="C461" s="130" t="s">
        <v>509</v>
      </c>
      <c r="D461" s="43" t="s">
        <v>190</v>
      </c>
      <c r="E461" s="126" t="s">
        <v>510</v>
      </c>
      <c r="F461" s="1195">
        <v>1</v>
      </c>
      <c r="G461" s="248" t="s">
        <v>5977</v>
      </c>
      <c r="H461" s="542" t="s">
        <v>5978</v>
      </c>
      <c r="I461" s="1306" t="s">
        <v>119</v>
      </c>
      <c r="J461" s="494" t="s">
        <v>650</v>
      </c>
      <c r="K461" s="919">
        <v>46204</v>
      </c>
    </row>
    <row r="462" spans="2:11" ht="46.8" x14ac:dyDescent="0.3">
      <c r="B462" s="965" t="s">
        <v>508</v>
      </c>
      <c r="C462" s="130" t="s">
        <v>509</v>
      </c>
      <c r="D462" s="43" t="s">
        <v>190</v>
      </c>
      <c r="E462" s="126" t="s">
        <v>510</v>
      </c>
      <c r="F462" s="1195">
        <v>1</v>
      </c>
      <c r="G462" s="248" t="s">
        <v>5979</v>
      </c>
      <c r="H462" s="542" t="s">
        <v>5980</v>
      </c>
      <c r="I462" s="1306" t="s">
        <v>119</v>
      </c>
      <c r="J462" s="494" t="s">
        <v>550</v>
      </c>
      <c r="K462" s="919">
        <v>46204</v>
      </c>
    </row>
    <row r="463" spans="2:11" ht="46.8" x14ac:dyDescent="0.3">
      <c r="B463" s="965" t="s">
        <v>561</v>
      </c>
      <c r="C463" s="130" t="s">
        <v>509</v>
      </c>
      <c r="D463" s="43" t="s">
        <v>190</v>
      </c>
      <c r="E463" s="126" t="s">
        <v>510</v>
      </c>
      <c r="F463" s="1195">
        <v>1</v>
      </c>
      <c r="G463" s="248" t="s">
        <v>5981</v>
      </c>
      <c r="H463" s="542" t="s">
        <v>5982</v>
      </c>
      <c r="I463" s="1306" t="s">
        <v>119</v>
      </c>
      <c r="J463" s="494" t="s">
        <v>589</v>
      </c>
      <c r="K463" s="919">
        <v>46204</v>
      </c>
    </row>
    <row r="464" spans="2:11" ht="62.4" x14ac:dyDescent="0.3">
      <c r="B464" s="965" t="s">
        <v>508</v>
      </c>
      <c r="C464" s="130" t="s">
        <v>509</v>
      </c>
      <c r="D464" s="43" t="s">
        <v>190</v>
      </c>
      <c r="E464" s="126" t="s">
        <v>510</v>
      </c>
      <c r="F464" s="1195">
        <v>1</v>
      </c>
      <c r="G464" s="248" t="s">
        <v>5983</v>
      </c>
      <c r="H464" s="542" t="s">
        <v>5984</v>
      </c>
      <c r="I464" s="1306" t="s">
        <v>119</v>
      </c>
      <c r="J464" s="494" t="s">
        <v>638</v>
      </c>
      <c r="K464" s="919">
        <v>46204</v>
      </c>
    </row>
    <row r="465" spans="2:11" ht="62.4" x14ac:dyDescent="0.3">
      <c r="B465" s="965" t="s">
        <v>561</v>
      </c>
      <c r="C465" s="130" t="s">
        <v>509</v>
      </c>
      <c r="D465" s="43" t="s">
        <v>190</v>
      </c>
      <c r="E465" s="126" t="s">
        <v>510</v>
      </c>
      <c r="F465" s="1195">
        <v>1</v>
      </c>
      <c r="G465" s="248" t="s">
        <v>5985</v>
      </c>
      <c r="H465" s="542" t="s">
        <v>5970</v>
      </c>
      <c r="I465" s="1306" t="s">
        <v>119</v>
      </c>
      <c r="J465" s="494" t="s">
        <v>658</v>
      </c>
      <c r="K465" s="919">
        <v>46204</v>
      </c>
    </row>
    <row r="466" spans="2:11" ht="46.8" x14ac:dyDescent="0.3">
      <c r="B466" s="965" t="s">
        <v>508</v>
      </c>
      <c r="C466" s="130" t="s">
        <v>509</v>
      </c>
      <c r="D466" s="43" t="s">
        <v>190</v>
      </c>
      <c r="E466" s="126" t="s">
        <v>510</v>
      </c>
      <c r="F466" s="1195">
        <v>1</v>
      </c>
      <c r="G466" s="248" t="s">
        <v>5986</v>
      </c>
      <c r="H466" s="542" t="s">
        <v>5987</v>
      </c>
      <c r="I466" s="1306" t="s">
        <v>119</v>
      </c>
      <c r="J466" s="494" t="s">
        <v>687</v>
      </c>
      <c r="K466" s="919">
        <v>46204</v>
      </c>
    </row>
    <row r="467" spans="2:11" ht="62.4" x14ac:dyDescent="0.3">
      <c r="B467" s="965" t="s">
        <v>561</v>
      </c>
      <c r="C467" s="130" t="s">
        <v>509</v>
      </c>
      <c r="D467" s="43" t="s">
        <v>190</v>
      </c>
      <c r="E467" s="126" t="s">
        <v>510</v>
      </c>
      <c r="F467" s="1195">
        <v>1</v>
      </c>
      <c r="G467" s="248" t="s">
        <v>5988</v>
      </c>
      <c r="H467" s="542" t="s">
        <v>5989</v>
      </c>
      <c r="I467" s="1306" t="s">
        <v>119</v>
      </c>
      <c r="J467" s="494" t="s">
        <v>722</v>
      </c>
      <c r="K467" s="919">
        <v>46204</v>
      </c>
    </row>
    <row r="468" spans="2:11" ht="46.8" x14ac:dyDescent="0.3">
      <c r="B468" s="965" t="s">
        <v>508</v>
      </c>
      <c r="C468" s="130" t="s">
        <v>509</v>
      </c>
      <c r="D468" s="43" t="s">
        <v>190</v>
      </c>
      <c r="E468" s="126" t="s">
        <v>510</v>
      </c>
      <c r="F468" s="1195">
        <v>1</v>
      </c>
      <c r="G468" s="248" t="s">
        <v>5990</v>
      </c>
      <c r="H468" s="542" t="s">
        <v>5991</v>
      </c>
      <c r="I468" s="1306" t="s">
        <v>119</v>
      </c>
      <c r="J468" s="494" t="s">
        <v>734</v>
      </c>
      <c r="K468" s="919">
        <v>46204</v>
      </c>
    </row>
    <row r="469" spans="2:11" ht="62.4" x14ac:dyDescent="0.3">
      <c r="B469" s="965" t="s">
        <v>561</v>
      </c>
      <c r="C469" s="130" t="s">
        <v>509</v>
      </c>
      <c r="D469" s="43" t="s">
        <v>190</v>
      </c>
      <c r="E469" s="126" t="s">
        <v>510</v>
      </c>
      <c r="F469" s="1195">
        <v>1</v>
      </c>
      <c r="G469" s="248" t="s">
        <v>5992</v>
      </c>
      <c r="H469" s="542" t="s">
        <v>5989</v>
      </c>
      <c r="I469" s="1306" t="s">
        <v>119</v>
      </c>
      <c r="J469" s="494" t="s">
        <v>724</v>
      </c>
      <c r="K469" s="919">
        <v>46204</v>
      </c>
    </row>
    <row r="470" spans="2:11" ht="46.8" x14ac:dyDescent="0.3">
      <c r="B470" s="965" t="s">
        <v>508</v>
      </c>
      <c r="C470" s="130" t="s">
        <v>509</v>
      </c>
      <c r="D470" s="43" t="s">
        <v>190</v>
      </c>
      <c r="E470" s="126" t="s">
        <v>510</v>
      </c>
      <c r="F470" s="1195">
        <v>1</v>
      </c>
      <c r="G470" s="248" t="s">
        <v>5993</v>
      </c>
      <c r="H470" s="542" t="s">
        <v>5991</v>
      </c>
      <c r="I470" s="1306" t="s">
        <v>119</v>
      </c>
      <c r="J470" s="494" t="s">
        <v>732</v>
      </c>
      <c r="K470" s="919">
        <v>46204</v>
      </c>
    </row>
    <row r="471" spans="2:11" ht="62.4" x14ac:dyDescent="0.3">
      <c r="B471" s="965" t="s">
        <v>508</v>
      </c>
      <c r="C471" s="130" t="s">
        <v>509</v>
      </c>
      <c r="D471" s="43" t="s">
        <v>190</v>
      </c>
      <c r="E471" s="126" t="s">
        <v>510</v>
      </c>
      <c r="F471" s="1195">
        <v>1</v>
      </c>
      <c r="G471" s="248" t="s">
        <v>5994</v>
      </c>
      <c r="H471" s="542" t="s">
        <v>5995</v>
      </c>
      <c r="I471" s="1306" t="s">
        <v>119</v>
      </c>
      <c r="J471" s="494" t="s">
        <v>585</v>
      </c>
      <c r="K471" s="919">
        <v>46204</v>
      </c>
    </row>
    <row r="472" spans="2:11" ht="62.4" x14ac:dyDescent="0.3">
      <c r="B472" s="965" t="s">
        <v>508</v>
      </c>
      <c r="C472" s="130" t="s">
        <v>509</v>
      </c>
      <c r="D472" s="43" t="s">
        <v>190</v>
      </c>
      <c r="E472" s="126" t="s">
        <v>510</v>
      </c>
      <c r="F472" s="1195">
        <v>1</v>
      </c>
      <c r="G472" s="248" t="s">
        <v>5996</v>
      </c>
      <c r="H472" s="542" t="s">
        <v>5997</v>
      </c>
      <c r="I472" s="1306" t="s">
        <v>119</v>
      </c>
      <c r="J472" s="494" t="s">
        <v>622</v>
      </c>
      <c r="K472" s="919">
        <v>46204</v>
      </c>
    </row>
    <row r="473" spans="2:11" ht="62.4" x14ac:dyDescent="0.3">
      <c r="B473" s="965" t="s">
        <v>508</v>
      </c>
      <c r="C473" s="130" t="s">
        <v>509</v>
      </c>
      <c r="D473" s="43" t="s">
        <v>190</v>
      </c>
      <c r="E473" s="126" t="s">
        <v>510</v>
      </c>
      <c r="F473" s="1195">
        <v>1</v>
      </c>
      <c r="G473" s="248" t="s">
        <v>5998</v>
      </c>
      <c r="H473" s="542" t="s">
        <v>5964</v>
      </c>
      <c r="I473" s="1306" t="s">
        <v>119</v>
      </c>
      <c r="J473" s="494" t="s">
        <v>546</v>
      </c>
      <c r="K473" s="919">
        <v>46204</v>
      </c>
    </row>
    <row r="474" spans="2:11" ht="62.4" x14ac:dyDescent="0.3">
      <c r="B474" s="965" t="s">
        <v>561</v>
      </c>
      <c r="C474" s="130" t="s">
        <v>509</v>
      </c>
      <c r="D474" s="43" t="s">
        <v>190</v>
      </c>
      <c r="E474" s="126" t="s">
        <v>510</v>
      </c>
      <c r="F474" s="1195">
        <v>1</v>
      </c>
      <c r="G474" s="248" t="s">
        <v>5999</v>
      </c>
      <c r="H474" s="542" t="s">
        <v>5976</v>
      </c>
      <c r="I474" s="1306" t="s">
        <v>119</v>
      </c>
      <c r="J474" s="494" t="s">
        <v>573</v>
      </c>
      <c r="K474" s="919">
        <v>46204</v>
      </c>
    </row>
    <row r="475" spans="2:11" ht="46.8" x14ac:dyDescent="0.3">
      <c r="B475" s="965" t="s">
        <v>508</v>
      </c>
      <c r="C475" s="130" t="s">
        <v>509</v>
      </c>
      <c r="D475" s="43" t="s">
        <v>190</v>
      </c>
      <c r="E475" s="126" t="s">
        <v>510</v>
      </c>
      <c r="F475" s="1195">
        <v>1</v>
      </c>
      <c r="G475" s="248" t="s">
        <v>6000</v>
      </c>
      <c r="H475" s="542" t="s">
        <v>6001</v>
      </c>
      <c r="I475" s="1306" t="s">
        <v>119</v>
      </c>
      <c r="J475" s="494" t="s">
        <v>642</v>
      </c>
      <c r="K475" s="919">
        <v>46204</v>
      </c>
    </row>
    <row r="476" spans="2:11" ht="46.8" x14ac:dyDescent="0.3">
      <c r="B476" s="965" t="s">
        <v>561</v>
      </c>
      <c r="C476" s="130" t="s">
        <v>509</v>
      </c>
      <c r="D476" s="43" t="s">
        <v>190</v>
      </c>
      <c r="E476" s="126" t="s">
        <v>510</v>
      </c>
      <c r="F476" s="1195">
        <v>1</v>
      </c>
      <c r="G476" s="248" t="s">
        <v>6002</v>
      </c>
      <c r="H476" s="542" t="s">
        <v>5970</v>
      </c>
      <c r="I476" s="1306" t="s">
        <v>119</v>
      </c>
      <c r="J476" s="494" t="s">
        <v>680</v>
      </c>
      <c r="K476" s="919">
        <v>46204</v>
      </c>
    </row>
    <row r="477" spans="2:11" ht="62.4" x14ac:dyDescent="0.3">
      <c r="B477" s="965" t="s">
        <v>508</v>
      </c>
      <c r="C477" s="130" t="s">
        <v>509</v>
      </c>
      <c r="D477" s="43" t="s">
        <v>190</v>
      </c>
      <c r="E477" s="126" t="s">
        <v>510</v>
      </c>
      <c r="F477" s="1195">
        <v>1</v>
      </c>
      <c r="G477" s="248" t="s">
        <v>6003</v>
      </c>
      <c r="H477" s="542" t="s">
        <v>5987</v>
      </c>
      <c r="I477" s="1306" t="s">
        <v>119</v>
      </c>
      <c r="J477" s="494" t="s">
        <v>706</v>
      </c>
      <c r="K477" s="919">
        <v>46204</v>
      </c>
    </row>
    <row r="478" spans="2:11" ht="46.8" x14ac:dyDescent="0.3">
      <c r="B478" s="965" t="s">
        <v>561</v>
      </c>
      <c r="C478" s="130" t="s">
        <v>509</v>
      </c>
      <c r="D478" s="43" t="s">
        <v>190</v>
      </c>
      <c r="E478" s="126" t="s">
        <v>510</v>
      </c>
      <c r="F478" s="1195">
        <v>1</v>
      </c>
      <c r="G478" s="248" t="s">
        <v>6004</v>
      </c>
      <c r="H478" s="542" t="s">
        <v>5991</v>
      </c>
      <c r="I478" s="1306" t="s">
        <v>119</v>
      </c>
      <c r="J478" s="494" t="s">
        <v>726</v>
      </c>
      <c r="K478" s="919">
        <v>46204</v>
      </c>
    </row>
    <row r="479" spans="2:11" ht="62.4" x14ac:dyDescent="0.3">
      <c r="B479" s="965" t="s">
        <v>561</v>
      </c>
      <c r="C479" s="130" t="s">
        <v>509</v>
      </c>
      <c r="D479" s="43" t="s">
        <v>190</v>
      </c>
      <c r="E479" s="126" t="s">
        <v>515</v>
      </c>
      <c r="F479" s="1195">
        <v>1</v>
      </c>
      <c r="G479" s="248" t="s">
        <v>6005</v>
      </c>
      <c r="H479" s="542" t="s">
        <v>5991</v>
      </c>
      <c r="I479" s="1306" t="s">
        <v>119</v>
      </c>
      <c r="J479" s="494" t="s">
        <v>728</v>
      </c>
      <c r="K479" s="919">
        <v>46204</v>
      </c>
    </row>
    <row r="480" spans="2:11" ht="46.8" x14ac:dyDescent="0.3">
      <c r="B480" s="965" t="s">
        <v>561</v>
      </c>
      <c r="C480" s="130" t="s">
        <v>509</v>
      </c>
      <c r="D480" s="43" t="s">
        <v>190</v>
      </c>
      <c r="E480" s="126" t="s">
        <v>515</v>
      </c>
      <c r="F480" s="1195">
        <v>1</v>
      </c>
      <c r="G480" s="248" t="s">
        <v>6006</v>
      </c>
      <c r="H480" s="542" t="s">
        <v>6007</v>
      </c>
      <c r="I480" s="1984" t="s">
        <v>119</v>
      </c>
      <c r="J480" s="494" t="s">
        <v>614</v>
      </c>
      <c r="K480" s="919">
        <v>46204</v>
      </c>
    </row>
    <row r="481" spans="2:11" ht="46.8" x14ac:dyDescent="0.3">
      <c r="B481" s="965" t="s">
        <v>561</v>
      </c>
      <c r="C481" s="130" t="s">
        <v>509</v>
      </c>
      <c r="D481" s="43" t="s">
        <v>190</v>
      </c>
      <c r="E481" s="126" t="s">
        <v>515</v>
      </c>
      <c r="F481" s="1195">
        <v>1</v>
      </c>
      <c r="G481" s="248" t="s">
        <v>6008</v>
      </c>
      <c r="H481" s="542" t="s">
        <v>6009</v>
      </c>
      <c r="I481" s="1984" t="s">
        <v>119</v>
      </c>
      <c r="J481" s="494" t="s">
        <v>565</v>
      </c>
      <c r="K481" s="919">
        <v>46204</v>
      </c>
    </row>
    <row r="482" spans="2:11" ht="46.8" x14ac:dyDescent="0.3">
      <c r="B482" s="965" t="s">
        <v>508</v>
      </c>
      <c r="C482" s="130" t="s">
        <v>509</v>
      </c>
      <c r="D482" s="43" t="s">
        <v>190</v>
      </c>
      <c r="E482" s="126" t="s">
        <v>515</v>
      </c>
      <c r="F482" s="1195">
        <v>1</v>
      </c>
      <c r="G482" s="248" t="s">
        <v>6010</v>
      </c>
      <c r="H482" s="542" t="s">
        <v>6011</v>
      </c>
      <c r="I482" s="1984" t="s">
        <v>119</v>
      </c>
      <c r="J482" s="494" t="s">
        <v>626</v>
      </c>
      <c r="K482" s="919">
        <v>46204</v>
      </c>
    </row>
    <row r="483" spans="2:11" ht="46.8" x14ac:dyDescent="0.3">
      <c r="B483" s="965" t="s">
        <v>561</v>
      </c>
      <c r="C483" s="130" t="s">
        <v>509</v>
      </c>
      <c r="D483" s="43" t="s">
        <v>190</v>
      </c>
      <c r="E483" s="126" t="s">
        <v>515</v>
      </c>
      <c r="F483" s="1195">
        <v>1</v>
      </c>
      <c r="G483" s="248" t="s">
        <v>6012</v>
      </c>
      <c r="H483" s="542" t="s">
        <v>6013</v>
      </c>
      <c r="I483" s="1306" t="s">
        <v>119</v>
      </c>
      <c r="J483" s="494" t="s">
        <v>656</v>
      </c>
      <c r="K483" s="919">
        <v>46204</v>
      </c>
    </row>
    <row r="484" spans="2:11" ht="7.35" customHeight="1" x14ac:dyDescent="0.3">
      <c r="B484" s="965" t="s">
        <v>508</v>
      </c>
      <c r="C484" s="130" t="s">
        <v>509</v>
      </c>
      <c r="D484" s="43" t="s">
        <v>190</v>
      </c>
      <c r="E484" s="126" t="s">
        <v>515</v>
      </c>
      <c r="F484" s="1195">
        <v>1</v>
      </c>
      <c r="G484" s="248" t="s">
        <v>6014</v>
      </c>
      <c r="H484" s="542" t="s">
        <v>6015</v>
      </c>
      <c r="I484" s="1984" t="s">
        <v>119</v>
      </c>
      <c r="J484" s="494" t="s">
        <v>672</v>
      </c>
      <c r="K484" s="919">
        <v>46204</v>
      </c>
    </row>
    <row r="485" spans="2:11" ht="46.8" x14ac:dyDescent="0.3">
      <c r="B485" s="965" t="s">
        <v>561</v>
      </c>
      <c r="C485" s="130" t="s">
        <v>509</v>
      </c>
      <c r="D485" s="43" t="s">
        <v>190</v>
      </c>
      <c r="E485" s="126" t="s">
        <v>515</v>
      </c>
      <c r="F485" s="1195">
        <v>1</v>
      </c>
      <c r="G485" s="248" t="s">
        <v>6016</v>
      </c>
      <c r="H485" s="542" t="s">
        <v>5972</v>
      </c>
      <c r="I485" s="1306" t="s">
        <v>119</v>
      </c>
      <c r="J485" s="494" t="s">
        <v>689</v>
      </c>
      <c r="K485" s="919">
        <v>46204</v>
      </c>
    </row>
    <row r="486" spans="2:11" ht="62.4" x14ac:dyDescent="0.3">
      <c r="B486" s="965" t="s">
        <v>508</v>
      </c>
      <c r="C486" s="130" t="s">
        <v>509</v>
      </c>
      <c r="D486" s="43" t="s">
        <v>190</v>
      </c>
      <c r="E486" s="126" t="s">
        <v>515</v>
      </c>
      <c r="F486" s="1195">
        <v>1</v>
      </c>
      <c r="G486" s="248" t="s">
        <v>6017</v>
      </c>
      <c r="H486" s="542" t="s">
        <v>6018</v>
      </c>
      <c r="I486" s="1306" t="s">
        <v>119</v>
      </c>
      <c r="J486" s="494" t="s">
        <v>736</v>
      </c>
      <c r="K486" s="919">
        <v>46204</v>
      </c>
    </row>
    <row r="487" spans="2:11" ht="62.4" x14ac:dyDescent="0.3">
      <c r="B487" s="965" t="s">
        <v>561</v>
      </c>
      <c r="C487" s="130" t="s">
        <v>509</v>
      </c>
      <c r="D487" s="43" t="s">
        <v>190</v>
      </c>
      <c r="E487" s="126" t="s">
        <v>515</v>
      </c>
      <c r="F487" s="1195">
        <v>1</v>
      </c>
      <c r="G487" s="248" t="s">
        <v>6019</v>
      </c>
      <c r="H487" s="542" t="s">
        <v>5991</v>
      </c>
      <c r="I487" s="1306" t="s">
        <v>119</v>
      </c>
      <c r="J487" s="494" t="s">
        <v>730</v>
      </c>
      <c r="K487" s="919">
        <v>46204</v>
      </c>
    </row>
    <row r="488" spans="2:11" ht="62.4" x14ac:dyDescent="0.3">
      <c r="B488" s="965" t="s">
        <v>561</v>
      </c>
      <c r="C488" s="130" t="s">
        <v>509</v>
      </c>
      <c r="D488" s="43" t="s">
        <v>190</v>
      </c>
      <c r="E488" s="126" t="s">
        <v>515</v>
      </c>
      <c r="F488" s="1195">
        <v>1</v>
      </c>
      <c r="G488" s="248" t="s">
        <v>6020</v>
      </c>
      <c r="H488" s="542" t="s">
        <v>6021</v>
      </c>
      <c r="I488" s="1306" t="s">
        <v>119</v>
      </c>
      <c r="J488" s="494" t="s">
        <v>563</v>
      </c>
      <c r="K488" s="919">
        <v>46204</v>
      </c>
    </row>
    <row r="489" spans="2:11" ht="46.8" x14ac:dyDescent="0.3">
      <c r="B489" s="965" t="s">
        <v>508</v>
      </c>
      <c r="C489" s="130" t="s">
        <v>509</v>
      </c>
      <c r="D489" s="43" t="s">
        <v>190</v>
      </c>
      <c r="E489" s="126" t="s">
        <v>515</v>
      </c>
      <c r="F489" s="1195">
        <v>1</v>
      </c>
      <c r="G489" s="248" t="s">
        <v>6022</v>
      </c>
      <c r="H489" s="542" t="s">
        <v>6023</v>
      </c>
      <c r="I489" s="1306" t="s">
        <v>119</v>
      </c>
      <c r="J489" s="494" t="s">
        <v>610</v>
      </c>
      <c r="K489" s="919">
        <v>46204</v>
      </c>
    </row>
    <row r="490" spans="2:11" ht="46.8" x14ac:dyDescent="0.3">
      <c r="B490" s="965" t="s">
        <v>508</v>
      </c>
      <c r="C490" s="130" t="s">
        <v>509</v>
      </c>
      <c r="D490" s="43" t="s">
        <v>190</v>
      </c>
      <c r="E490" s="126" t="s">
        <v>515</v>
      </c>
      <c r="F490" s="1195">
        <v>1</v>
      </c>
      <c r="G490" s="248" t="s">
        <v>6024</v>
      </c>
      <c r="H490" s="542" t="s">
        <v>6025</v>
      </c>
      <c r="I490" s="1306" t="s">
        <v>119</v>
      </c>
      <c r="J490" s="494" t="s">
        <v>587</v>
      </c>
      <c r="K490" s="919">
        <v>46204</v>
      </c>
    </row>
    <row r="491" spans="2:11" ht="62.4" x14ac:dyDescent="0.3">
      <c r="B491" s="965" t="s">
        <v>508</v>
      </c>
      <c r="C491" s="130" t="s">
        <v>509</v>
      </c>
      <c r="D491" s="43" t="s">
        <v>190</v>
      </c>
      <c r="E491" s="126" t="s">
        <v>515</v>
      </c>
      <c r="F491" s="1195">
        <v>1</v>
      </c>
      <c r="G491" s="248" t="s">
        <v>6026</v>
      </c>
      <c r="H491" s="542" t="s">
        <v>6027</v>
      </c>
      <c r="I491" s="1306" t="s">
        <v>119</v>
      </c>
      <c r="J491" s="494" t="s">
        <v>612</v>
      </c>
      <c r="K491" s="919">
        <v>46204</v>
      </c>
    </row>
    <row r="492" spans="2:11" ht="62.4" x14ac:dyDescent="0.3">
      <c r="B492" s="965" t="s">
        <v>508</v>
      </c>
      <c r="C492" s="130" t="s">
        <v>509</v>
      </c>
      <c r="D492" s="43" t="s">
        <v>190</v>
      </c>
      <c r="E492" s="126" t="s">
        <v>515</v>
      </c>
      <c r="F492" s="1195">
        <v>1</v>
      </c>
      <c r="G492" s="248" t="s">
        <v>6028</v>
      </c>
      <c r="H492" s="542" t="s">
        <v>6029</v>
      </c>
      <c r="I492" s="1306" t="s">
        <v>119</v>
      </c>
      <c r="J492" s="494" t="s">
        <v>660</v>
      </c>
      <c r="K492" s="919">
        <v>46204</v>
      </c>
    </row>
    <row r="493" spans="2:11" ht="46.8" x14ac:dyDescent="0.3">
      <c r="B493" s="965" t="s">
        <v>508</v>
      </c>
      <c r="C493" s="130" t="s">
        <v>509</v>
      </c>
      <c r="D493" s="43" t="s">
        <v>190</v>
      </c>
      <c r="E493" s="126" t="s">
        <v>515</v>
      </c>
      <c r="F493" s="1195">
        <v>1</v>
      </c>
      <c r="G493" s="248" t="s">
        <v>6030</v>
      </c>
      <c r="H493" s="542" t="s">
        <v>6031</v>
      </c>
      <c r="I493" s="1306" t="s">
        <v>119</v>
      </c>
      <c r="J493" s="494" t="s">
        <v>628</v>
      </c>
      <c r="K493" s="919">
        <v>46204</v>
      </c>
    </row>
    <row r="494" spans="2:11" ht="46.8" x14ac:dyDescent="0.3">
      <c r="B494" s="965" t="s">
        <v>508</v>
      </c>
      <c r="C494" s="130" t="s">
        <v>509</v>
      </c>
      <c r="D494" s="43" t="s">
        <v>190</v>
      </c>
      <c r="E494" s="126" t="s">
        <v>515</v>
      </c>
      <c r="F494" s="1195">
        <v>1</v>
      </c>
      <c r="G494" s="248" t="s">
        <v>6032</v>
      </c>
      <c r="H494" s="542" t="s">
        <v>6033</v>
      </c>
      <c r="I494" s="1306" t="s">
        <v>119</v>
      </c>
      <c r="J494" s="494" t="s">
        <v>674</v>
      </c>
      <c r="K494" s="919">
        <v>46204</v>
      </c>
    </row>
    <row r="495" spans="2:11" ht="46.8" x14ac:dyDescent="0.3">
      <c r="B495" s="965" t="s">
        <v>508</v>
      </c>
      <c r="C495" s="130" t="s">
        <v>509</v>
      </c>
      <c r="D495" s="43" t="s">
        <v>190</v>
      </c>
      <c r="E495" s="126" t="s">
        <v>515</v>
      </c>
      <c r="F495" s="1195">
        <v>1</v>
      </c>
      <c r="G495" s="248" t="s">
        <v>6034</v>
      </c>
      <c r="H495" s="542" t="s">
        <v>6035</v>
      </c>
      <c r="I495" s="1306" t="s">
        <v>119</v>
      </c>
      <c r="J495" s="494" t="s">
        <v>738</v>
      </c>
      <c r="K495" s="919">
        <v>46204</v>
      </c>
    </row>
    <row r="496" spans="2:11" ht="46.8" x14ac:dyDescent="0.3">
      <c r="B496" s="965" t="s">
        <v>508</v>
      </c>
      <c r="C496" s="130" t="s">
        <v>509</v>
      </c>
      <c r="D496" s="43" t="s">
        <v>190</v>
      </c>
      <c r="E496" s="126" t="s">
        <v>515</v>
      </c>
      <c r="F496" s="1195">
        <v>1</v>
      </c>
      <c r="G496" s="248" t="s">
        <v>6036</v>
      </c>
      <c r="H496" s="542" t="s">
        <v>5991</v>
      </c>
      <c r="I496" s="1306" t="s">
        <v>119</v>
      </c>
      <c r="J496" s="494" t="s">
        <v>740</v>
      </c>
      <c r="K496" s="919">
        <v>46204</v>
      </c>
    </row>
    <row r="497" spans="2:12" ht="46.8" x14ac:dyDescent="0.3">
      <c r="B497" s="31" t="s">
        <v>3058</v>
      </c>
      <c r="C497" s="130" t="s">
        <v>369</v>
      </c>
      <c r="D497" s="43" t="s">
        <v>190</v>
      </c>
      <c r="E497" s="126" t="s">
        <v>510</v>
      </c>
      <c r="F497" s="504">
        <v>1</v>
      </c>
      <c r="G497" s="126" t="s">
        <v>3077</v>
      </c>
      <c r="H497" s="304">
        <v>45681</v>
      </c>
      <c r="I497" s="319" t="s">
        <v>1326</v>
      </c>
      <c r="J497" s="494" t="s">
        <v>1901</v>
      </c>
      <c r="K497" s="132" t="s">
        <v>1901</v>
      </c>
    </row>
    <row r="498" spans="2:12" ht="62.4" x14ac:dyDescent="0.3">
      <c r="B498" s="31" t="s">
        <v>3087</v>
      </c>
      <c r="C498" s="130" t="s">
        <v>3088</v>
      </c>
      <c r="D498" s="43" t="s">
        <v>190</v>
      </c>
      <c r="E498" s="126" t="s">
        <v>510</v>
      </c>
      <c r="F498" s="504">
        <v>1</v>
      </c>
      <c r="G498" s="126" t="s">
        <v>3105</v>
      </c>
      <c r="H498" s="304">
        <v>45684</v>
      </c>
      <c r="I498" s="319" t="s">
        <v>1326</v>
      </c>
      <c r="J498" s="494" t="s">
        <v>1901</v>
      </c>
      <c r="K498" s="132" t="s">
        <v>1901</v>
      </c>
      <c r="L498" s="58"/>
    </row>
    <row r="499" spans="2:12" ht="62.4" x14ac:dyDescent="0.3">
      <c r="B499" s="31" t="s">
        <v>3116</v>
      </c>
      <c r="C499" s="130" t="s">
        <v>372</v>
      </c>
      <c r="D499" s="43" t="s">
        <v>320</v>
      </c>
      <c r="E499" s="126" t="s">
        <v>510</v>
      </c>
      <c r="F499" s="504">
        <v>4.32</v>
      </c>
      <c r="G499" s="248" t="s">
        <v>3160</v>
      </c>
      <c r="H499" s="542" t="s">
        <v>3161</v>
      </c>
      <c r="I499" s="319" t="s">
        <v>1250</v>
      </c>
      <c r="J499" s="494" t="s">
        <v>3162</v>
      </c>
      <c r="K499" s="132" t="s">
        <v>1901</v>
      </c>
    </row>
    <row r="500" spans="2:12" ht="62.4" x14ac:dyDescent="0.3">
      <c r="B500" s="31" t="s">
        <v>3116</v>
      </c>
      <c r="C500" s="130" t="s">
        <v>372</v>
      </c>
      <c r="D500" s="43" t="s">
        <v>320</v>
      </c>
      <c r="E500" s="126" t="s">
        <v>510</v>
      </c>
      <c r="F500" s="504">
        <v>2.5</v>
      </c>
      <c r="G500" s="248" t="s">
        <v>3236</v>
      </c>
      <c r="H500" s="542" t="s">
        <v>3237</v>
      </c>
      <c r="I500" s="319" t="s">
        <v>1250</v>
      </c>
      <c r="J500" s="494" t="s">
        <v>3238</v>
      </c>
      <c r="K500" s="132" t="s">
        <v>1901</v>
      </c>
    </row>
    <row r="501" spans="2:12" ht="46.8" x14ac:dyDescent="0.3">
      <c r="B501" s="31" t="s">
        <v>3116</v>
      </c>
      <c r="C501" s="130" t="s">
        <v>372</v>
      </c>
      <c r="D501" s="43" t="s">
        <v>320</v>
      </c>
      <c r="E501" s="126" t="s">
        <v>510</v>
      </c>
      <c r="F501" s="504">
        <v>2.5</v>
      </c>
      <c r="G501" s="248" t="s">
        <v>3315</v>
      </c>
      <c r="H501" s="542" t="s">
        <v>3251</v>
      </c>
      <c r="I501" s="319" t="s">
        <v>1250</v>
      </c>
      <c r="J501" s="494" t="s">
        <v>3316</v>
      </c>
      <c r="K501" s="132" t="s">
        <v>1901</v>
      </c>
    </row>
    <row r="502" spans="2:12" ht="62.4" x14ac:dyDescent="0.3">
      <c r="B502" s="31" t="s">
        <v>3116</v>
      </c>
      <c r="C502" s="130" t="s">
        <v>372</v>
      </c>
      <c r="D502" s="43" t="s">
        <v>320</v>
      </c>
      <c r="E502" s="126" t="s">
        <v>510</v>
      </c>
      <c r="F502" s="504">
        <v>2.5</v>
      </c>
      <c r="G502" s="248" t="s">
        <v>3385</v>
      </c>
      <c r="H502" s="542" t="s">
        <v>3240</v>
      </c>
      <c r="I502" s="319" t="s">
        <v>1250</v>
      </c>
      <c r="J502" s="494" t="s">
        <v>3386</v>
      </c>
      <c r="K502" s="132" t="s">
        <v>1901</v>
      </c>
    </row>
    <row r="503" spans="2:12" ht="62.4" x14ac:dyDescent="0.3">
      <c r="B503" s="31" t="s">
        <v>3116</v>
      </c>
      <c r="C503" s="130" t="s">
        <v>372</v>
      </c>
      <c r="D503" s="43" t="s">
        <v>320</v>
      </c>
      <c r="E503" s="126" t="s">
        <v>510</v>
      </c>
      <c r="F503" s="504">
        <f>2.65-0.015-0.02</f>
        <v>2.6149999999999998</v>
      </c>
      <c r="G503" s="248" t="s">
        <v>3469</v>
      </c>
      <c r="H503" s="542" t="s">
        <v>3470</v>
      </c>
      <c r="I503" s="319" t="s">
        <v>934</v>
      </c>
      <c r="J503" s="494" t="s">
        <v>3471</v>
      </c>
      <c r="K503" s="132" t="s">
        <v>1901</v>
      </c>
    </row>
    <row r="504" spans="2:12" ht="62.4" x14ac:dyDescent="0.3">
      <c r="B504" s="31" t="s">
        <v>3116</v>
      </c>
      <c r="C504" s="130" t="s">
        <v>372</v>
      </c>
      <c r="D504" s="43" t="s">
        <v>320</v>
      </c>
      <c r="E504" s="126" t="s">
        <v>510</v>
      </c>
      <c r="F504" s="504">
        <v>2.3199999999999998</v>
      </c>
      <c r="G504" s="248" t="s">
        <v>3540</v>
      </c>
      <c r="H504" s="542" t="s">
        <v>3541</v>
      </c>
      <c r="I504" s="319" t="s">
        <v>934</v>
      </c>
      <c r="J504" s="494" t="s">
        <v>3542</v>
      </c>
      <c r="K504" s="132" t="s">
        <v>1901</v>
      </c>
    </row>
    <row r="505" spans="2:12" ht="46.8" x14ac:dyDescent="0.3">
      <c r="B505" s="31" t="s">
        <v>3116</v>
      </c>
      <c r="C505" s="130" t="s">
        <v>372</v>
      </c>
      <c r="D505" s="43" t="s">
        <v>320</v>
      </c>
      <c r="E505" s="126" t="s">
        <v>510</v>
      </c>
      <c r="F505" s="504">
        <v>2.5</v>
      </c>
      <c r="G505" s="248" t="s">
        <v>3610</v>
      </c>
      <c r="H505" s="542" t="s">
        <v>3473</v>
      </c>
      <c r="I505" s="319" t="s">
        <v>934</v>
      </c>
      <c r="J505" s="494" t="s">
        <v>3611</v>
      </c>
      <c r="K505" s="132" t="s">
        <v>1901</v>
      </c>
    </row>
    <row r="506" spans="2:12" ht="46.8" x14ac:dyDescent="0.3">
      <c r="B506" s="31" t="s">
        <v>3116</v>
      </c>
      <c r="C506" s="130" t="s">
        <v>372</v>
      </c>
      <c r="D506" s="43" t="s">
        <v>320</v>
      </c>
      <c r="E506" s="126" t="s">
        <v>510</v>
      </c>
      <c r="F506" s="504">
        <v>2.5</v>
      </c>
      <c r="G506" s="248" t="s">
        <v>3661</v>
      </c>
      <c r="H506" s="542" t="s">
        <v>3662</v>
      </c>
      <c r="I506" s="151" t="s">
        <v>1302</v>
      </c>
      <c r="J506" s="494" t="s">
        <v>3663</v>
      </c>
      <c r="K506" s="132" t="s">
        <v>1901</v>
      </c>
    </row>
    <row r="507" spans="2:12" ht="46.8" x14ac:dyDescent="0.3">
      <c r="B507" s="31" t="s">
        <v>3116</v>
      </c>
      <c r="C507" s="130" t="s">
        <v>372</v>
      </c>
      <c r="D507" s="43" t="s">
        <v>320</v>
      </c>
      <c r="E507" s="126" t="s">
        <v>510</v>
      </c>
      <c r="F507" s="504">
        <v>0.54500000000000004</v>
      </c>
      <c r="G507" s="248" t="s">
        <v>3762</v>
      </c>
      <c r="H507" s="542" t="s">
        <v>3618</v>
      </c>
      <c r="I507" s="319" t="s">
        <v>1302</v>
      </c>
      <c r="J507" s="494" t="s">
        <v>3763</v>
      </c>
      <c r="K507" s="132" t="s">
        <v>1901</v>
      </c>
    </row>
    <row r="508" spans="2:12" ht="46.8" x14ac:dyDescent="0.3">
      <c r="B508" s="31" t="s">
        <v>3116</v>
      </c>
      <c r="C508" s="130" t="s">
        <v>372</v>
      </c>
      <c r="D508" s="43" t="s">
        <v>320</v>
      </c>
      <c r="E508" s="126" t="s">
        <v>510</v>
      </c>
      <c r="F508" s="504">
        <v>2.81</v>
      </c>
      <c r="G508" s="248" t="s">
        <v>3825</v>
      </c>
      <c r="H508" s="542" t="s">
        <v>3826</v>
      </c>
      <c r="I508" s="319" t="s">
        <v>1302</v>
      </c>
      <c r="J508" s="494" t="s">
        <v>3827</v>
      </c>
      <c r="K508" s="132" t="s">
        <v>1901</v>
      </c>
    </row>
    <row r="509" spans="2:12" ht="46.8" x14ac:dyDescent="0.3">
      <c r="B509" s="31" t="s">
        <v>3116</v>
      </c>
      <c r="C509" s="130" t="s">
        <v>372</v>
      </c>
      <c r="D509" s="43" t="s">
        <v>320</v>
      </c>
      <c r="E509" s="126" t="s">
        <v>510</v>
      </c>
      <c r="F509" s="504">
        <v>2.5</v>
      </c>
      <c r="G509" s="248" t="s">
        <v>3896</v>
      </c>
      <c r="H509" s="542" t="s">
        <v>3701</v>
      </c>
      <c r="I509" s="319" t="s">
        <v>97</v>
      </c>
      <c r="J509" s="494" t="s">
        <v>3897</v>
      </c>
      <c r="K509" s="132" t="s">
        <v>1901</v>
      </c>
    </row>
    <row r="510" spans="2:12" ht="7.35" customHeight="1" x14ac:dyDescent="0.3">
      <c r="B510" s="31" t="s">
        <v>3116</v>
      </c>
      <c r="C510" s="130" t="s">
        <v>372</v>
      </c>
      <c r="D510" s="43" t="s">
        <v>320</v>
      </c>
      <c r="E510" s="126" t="s">
        <v>510</v>
      </c>
      <c r="F510" s="504">
        <v>2.5</v>
      </c>
      <c r="G510" s="248" t="s">
        <v>3957</v>
      </c>
      <c r="H510" s="542" t="s">
        <v>3958</v>
      </c>
      <c r="I510" s="151" t="s">
        <v>97</v>
      </c>
      <c r="J510" s="494" t="s">
        <v>3959</v>
      </c>
      <c r="K510" s="132" t="s">
        <v>1901</v>
      </c>
    </row>
    <row r="511" spans="2:12" ht="62.4" x14ac:dyDescent="0.3">
      <c r="B511" s="31" t="s">
        <v>3116</v>
      </c>
      <c r="C511" s="130" t="s">
        <v>372</v>
      </c>
      <c r="D511" s="43" t="s">
        <v>320</v>
      </c>
      <c r="E511" s="126" t="s">
        <v>510</v>
      </c>
      <c r="F511" s="504">
        <v>2.2000000000000002</v>
      </c>
      <c r="G511" s="248" t="s">
        <v>4017</v>
      </c>
      <c r="H511" s="542" t="s">
        <v>4018</v>
      </c>
      <c r="I511" s="319" t="s">
        <v>97</v>
      </c>
      <c r="J511" s="494" t="s">
        <v>4019</v>
      </c>
      <c r="K511" s="132" t="s">
        <v>1901</v>
      </c>
    </row>
    <row r="512" spans="2:12" ht="46.8" x14ac:dyDescent="0.3">
      <c r="B512" s="31" t="s">
        <v>3116</v>
      </c>
      <c r="C512" s="130" t="s">
        <v>372</v>
      </c>
      <c r="D512" s="43" t="s">
        <v>320</v>
      </c>
      <c r="E512" s="126" t="s">
        <v>510</v>
      </c>
      <c r="F512" s="504">
        <v>2.8</v>
      </c>
      <c r="G512" s="248" t="s">
        <v>4090</v>
      </c>
      <c r="H512" s="542" t="s">
        <v>4091</v>
      </c>
      <c r="I512" s="319" t="s">
        <v>937</v>
      </c>
      <c r="J512" s="494" t="s">
        <v>4092</v>
      </c>
      <c r="K512" s="132" t="s">
        <v>1901</v>
      </c>
    </row>
    <row r="513" spans="1:37" ht="46.8" x14ac:dyDescent="0.3">
      <c r="B513" s="31" t="s">
        <v>3116</v>
      </c>
      <c r="C513" s="130" t="s">
        <v>372</v>
      </c>
      <c r="D513" s="43" t="s">
        <v>320</v>
      </c>
      <c r="E513" s="126" t="s">
        <v>510</v>
      </c>
      <c r="F513" s="504">
        <v>2.7</v>
      </c>
      <c r="G513" s="248" t="s">
        <v>4164</v>
      </c>
      <c r="H513" s="542" t="s">
        <v>4165</v>
      </c>
      <c r="I513" s="319" t="s">
        <v>937</v>
      </c>
      <c r="J513" s="494" t="s">
        <v>4166</v>
      </c>
      <c r="K513" s="132" t="s">
        <v>1901</v>
      </c>
    </row>
    <row r="514" spans="1:37" ht="62.4" x14ac:dyDescent="0.3">
      <c r="B514" s="31" t="s">
        <v>3116</v>
      </c>
      <c r="C514" s="130" t="s">
        <v>372</v>
      </c>
      <c r="D514" s="43" t="s">
        <v>320</v>
      </c>
      <c r="E514" s="126" t="s">
        <v>510</v>
      </c>
      <c r="F514" s="504">
        <v>2.5</v>
      </c>
      <c r="G514" s="248" t="s">
        <v>4235</v>
      </c>
      <c r="H514" s="542" t="s">
        <v>4236</v>
      </c>
      <c r="I514" s="319" t="s">
        <v>937</v>
      </c>
      <c r="J514" s="494" t="s">
        <v>4237</v>
      </c>
      <c r="K514" s="132" t="s">
        <v>1901</v>
      </c>
    </row>
    <row r="515" spans="1:37" ht="46.8" x14ac:dyDescent="0.3">
      <c r="B515" s="31" t="s">
        <v>3116</v>
      </c>
      <c r="C515" s="130" t="s">
        <v>372</v>
      </c>
      <c r="D515" s="43" t="s">
        <v>320</v>
      </c>
      <c r="E515" s="126" t="s">
        <v>510</v>
      </c>
      <c r="F515" s="504">
        <v>2.5</v>
      </c>
      <c r="G515" s="248" t="s">
        <v>4302</v>
      </c>
      <c r="H515" s="542" t="s">
        <v>4303</v>
      </c>
      <c r="I515" s="319" t="s">
        <v>1262</v>
      </c>
      <c r="J515" s="494" t="s">
        <v>4304</v>
      </c>
      <c r="K515" s="132" t="s">
        <v>1901</v>
      </c>
    </row>
    <row r="516" spans="1:37" ht="62.4" x14ac:dyDescent="0.3">
      <c r="A516" s="58"/>
      <c r="B516" s="31" t="s">
        <v>3116</v>
      </c>
      <c r="C516" s="130" t="s">
        <v>372</v>
      </c>
      <c r="D516" s="43" t="s">
        <v>320</v>
      </c>
      <c r="E516" s="126" t="s">
        <v>510</v>
      </c>
      <c r="F516" s="504">
        <v>2.5</v>
      </c>
      <c r="G516" s="248" t="s">
        <v>4365</v>
      </c>
      <c r="H516" s="542" t="s">
        <v>4366</v>
      </c>
      <c r="I516" s="319" t="s">
        <v>1262</v>
      </c>
      <c r="J516" s="494" t="s">
        <v>4367</v>
      </c>
      <c r="K516" s="132" t="s">
        <v>1901</v>
      </c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46.8" x14ac:dyDescent="0.3">
      <c r="B517" s="31" t="s">
        <v>3116</v>
      </c>
      <c r="C517" s="130" t="s">
        <v>372</v>
      </c>
      <c r="D517" s="43" t="s">
        <v>320</v>
      </c>
      <c r="E517" s="126" t="s">
        <v>515</v>
      </c>
      <c r="F517" s="504">
        <v>2.66</v>
      </c>
      <c r="G517" s="248" t="s">
        <v>4437</v>
      </c>
      <c r="H517" s="542" t="s">
        <v>4335</v>
      </c>
      <c r="I517" s="319" t="s">
        <v>1282</v>
      </c>
      <c r="J517" s="494" t="s">
        <v>4438</v>
      </c>
      <c r="K517" s="132" t="s">
        <v>1901</v>
      </c>
    </row>
    <row r="518" spans="1:37" ht="62.4" x14ac:dyDescent="0.3">
      <c r="B518" s="31" t="s">
        <v>3116</v>
      </c>
      <c r="C518" s="130" t="s">
        <v>372</v>
      </c>
      <c r="D518" s="43" t="s">
        <v>320</v>
      </c>
      <c r="E518" s="126" t="s">
        <v>515</v>
      </c>
      <c r="F518" s="504">
        <v>2.58</v>
      </c>
      <c r="G518" s="248" t="s">
        <v>4485</v>
      </c>
      <c r="H518" s="542" t="s">
        <v>4062</v>
      </c>
      <c r="I518" s="319" t="s">
        <v>1282</v>
      </c>
      <c r="J518" s="494" t="s">
        <v>4486</v>
      </c>
      <c r="K518" s="132" t="s">
        <v>1901</v>
      </c>
    </row>
    <row r="519" spans="1:37" ht="46.8" x14ac:dyDescent="0.3">
      <c r="B519" s="31" t="s">
        <v>3058</v>
      </c>
      <c r="C519" s="130" t="s">
        <v>369</v>
      </c>
      <c r="D519" s="43" t="s">
        <v>190</v>
      </c>
      <c r="E519" s="126" t="s">
        <v>510</v>
      </c>
      <c r="F519" s="504">
        <v>1</v>
      </c>
      <c r="G519" s="126" t="s">
        <v>3083</v>
      </c>
      <c r="H519" s="304">
        <v>46021</v>
      </c>
      <c r="I519" s="319" t="s">
        <v>1417</v>
      </c>
      <c r="J519" s="494" t="s">
        <v>1902</v>
      </c>
      <c r="K519" s="132" t="s">
        <v>1902</v>
      </c>
    </row>
    <row r="520" spans="1:37" ht="46.8" x14ac:dyDescent="0.3">
      <c r="B520" s="31" t="s">
        <v>3087</v>
      </c>
      <c r="C520" s="130" t="s">
        <v>3088</v>
      </c>
      <c r="D520" s="43" t="s">
        <v>190</v>
      </c>
      <c r="E520" s="126" t="s">
        <v>510</v>
      </c>
      <c r="F520" s="504">
        <v>1</v>
      </c>
      <c r="G520" s="126" t="s">
        <v>3112</v>
      </c>
      <c r="H520" s="304">
        <v>46031</v>
      </c>
      <c r="I520" s="319" t="s">
        <v>1417</v>
      </c>
      <c r="J520" s="494" t="s">
        <v>1902</v>
      </c>
      <c r="K520" s="132" t="s">
        <v>1902</v>
      </c>
      <c r="L520" s="58"/>
    </row>
    <row r="521" spans="1:37" ht="46.8" x14ac:dyDescent="0.3">
      <c r="B521" s="31" t="s">
        <v>3116</v>
      </c>
      <c r="C521" s="130" t="s">
        <v>372</v>
      </c>
      <c r="D521" s="43" t="s">
        <v>320</v>
      </c>
      <c r="E521" s="126" t="s">
        <v>510</v>
      </c>
      <c r="F521" s="504">
        <v>6.2</v>
      </c>
      <c r="G521" s="248" t="s">
        <v>3187</v>
      </c>
      <c r="H521" s="542" t="s">
        <v>3188</v>
      </c>
      <c r="I521" s="319" t="s">
        <v>1417</v>
      </c>
      <c r="J521" s="494" t="s">
        <v>3189</v>
      </c>
      <c r="K521" s="132" t="s">
        <v>1902</v>
      </c>
    </row>
    <row r="522" spans="1:37" ht="62.4" x14ac:dyDescent="0.3">
      <c r="B522" s="31" t="s">
        <v>3116</v>
      </c>
      <c r="C522" s="130" t="s">
        <v>372</v>
      </c>
      <c r="D522" s="43" t="s">
        <v>320</v>
      </c>
      <c r="E522" s="126" t="s">
        <v>510</v>
      </c>
      <c r="F522" s="504">
        <v>2.5</v>
      </c>
      <c r="G522" s="1128" t="s">
        <v>3268</v>
      </c>
      <c r="H522" s="542" t="s">
        <v>3269</v>
      </c>
      <c r="I522" s="319" t="s">
        <v>1417</v>
      </c>
      <c r="J522" s="494" t="s">
        <v>3270</v>
      </c>
      <c r="K522" s="132" t="s">
        <v>1902</v>
      </c>
    </row>
    <row r="523" spans="1:37" ht="62.4" x14ac:dyDescent="0.3">
      <c r="B523" s="31" t="s">
        <v>3116</v>
      </c>
      <c r="C523" s="130" t="s">
        <v>372</v>
      </c>
      <c r="D523" s="43" t="s">
        <v>320</v>
      </c>
      <c r="E523" s="126" t="s">
        <v>510</v>
      </c>
      <c r="F523" s="504">
        <v>2.5</v>
      </c>
      <c r="G523" s="587" t="s">
        <v>3347</v>
      </c>
      <c r="H523" s="585" t="s">
        <v>3348</v>
      </c>
      <c r="I523" s="784" t="s">
        <v>1315</v>
      </c>
      <c r="J523" s="494" t="s">
        <v>3349</v>
      </c>
      <c r="K523" s="132" t="s">
        <v>1902</v>
      </c>
    </row>
    <row r="524" spans="1:37" ht="62.4" x14ac:dyDescent="0.3">
      <c r="B524" s="31" t="s">
        <v>3116</v>
      </c>
      <c r="C524" s="130" t="s">
        <v>372</v>
      </c>
      <c r="D524" s="43" t="s">
        <v>320</v>
      </c>
      <c r="E524" s="126" t="s">
        <v>510</v>
      </c>
      <c r="F524" s="504">
        <v>2.5</v>
      </c>
      <c r="G524" s="587" t="s">
        <v>3425</v>
      </c>
      <c r="H524" s="585" t="s">
        <v>3426</v>
      </c>
      <c r="I524" s="784" t="s">
        <v>1315</v>
      </c>
      <c r="J524" s="494" t="s">
        <v>3427</v>
      </c>
      <c r="K524" s="132" t="s">
        <v>1902</v>
      </c>
    </row>
    <row r="525" spans="1:37" ht="46.8" x14ac:dyDescent="0.3">
      <c r="B525" s="31" t="s">
        <v>3116</v>
      </c>
      <c r="C525" s="130" t="s">
        <v>372</v>
      </c>
      <c r="D525" s="43" t="s">
        <v>320</v>
      </c>
      <c r="E525" s="126" t="s">
        <v>510</v>
      </c>
      <c r="F525" s="504">
        <v>2.5</v>
      </c>
      <c r="G525" s="587" t="s">
        <v>3503</v>
      </c>
      <c r="H525" s="585" t="s">
        <v>3504</v>
      </c>
      <c r="I525" s="784" t="s">
        <v>1315</v>
      </c>
      <c r="J525" s="494" t="s">
        <v>3505</v>
      </c>
      <c r="K525" s="132" t="s">
        <v>1902</v>
      </c>
    </row>
    <row r="526" spans="1:37" ht="62.4" x14ac:dyDescent="0.3">
      <c r="B526" s="31" t="s">
        <v>3116</v>
      </c>
      <c r="C526" s="130" t="s">
        <v>372</v>
      </c>
      <c r="D526" s="43" t="s">
        <v>320</v>
      </c>
      <c r="E526" s="126" t="s">
        <v>510</v>
      </c>
      <c r="F526" s="504">
        <v>2.5</v>
      </c>
      <c r="G526" s="587" t="s">
        <v>3578</v>
      </c>
      <c r="H526" s="585" t="s">
        <v>3579</v>
      </c>
      <c r="I526" s="784" t="s">
        <v>1315</v>
      </c>
      <c r="J526" s="494" t="s">
        <v>3580</v>
      </c>
      <c r="K526" s="132" t="s">
        <v>1902</v>
      </c>
    </row>
    <row r="527" spans="1:37" ht="46.8" x14ac:dyDescent="0.3">
      <c r="B527" s="31" t="s">
        <v>3116</v>
      </c>
      <c r="C527" s="130" t="s">
        <v>372</v>
      </c>
      <c r="D527" s="43" t="s">
        <v>320</v>
      </c>
      <c r="E527" s="126" t="s">
        <v>510</v>
      </c>
      <c r="F527" s="504">
        <v>2.5</v>
      </c>
      <c r="G527" s="587" t="s">
        <v>3652</v>
      </c>
      <c r="H527" s="585" t="s">
        <v>3653</v>
      </c>
      <c r="I527" s="784" t="s">
        <v>946</v>
      </c>
      <c r="J527" s="494" t="s">
        <v>3654</v>
      </c>
      <c r="K527" s="132" t="s">
        <v>1902</v>
      </c>
    </row>
    <row r="528" spans="1:37" ht="46.8" x14ac:dyDescent="0.3">
      <c r="B528" s="31" t="s">
        <v>3116</v>
      </c>
      <c r="C528" s="130" t="s">
        <v>372</v>
      </c>
      <c r="D528" s="43" t="s">
        <v>320</v>
      </c>
      <c r="E528" s="126" t="s">
        <v>510</v>
      </c>
      <c r="F528" s="504">
        <v>2.5</v>
      </c>
      <c r="G528" s="587" t="s">
        <v>3664</v>
      </c>
      <c r="H528" s="585" t="s">
        <v>3665</v>
      </c>
      <c r="I528" s="784" t="s">
        <v>946</v>
      </c>
      <c r="J528" s="494" t="s">
        <v>3666</v>
      </c>
      <c r="K528" s="132" t="s">
        <v>1902</v>
      </c>
    </row>
    <row r="529" spans="2:12" ht="62.4" x14ac:dyDescent="0.3">
      <c r="B529" s="31" t="s">
        <v>3116</v>
      </c>
      <c r="C529" s="130" t="s">
        <v>372</v>
      </c>
      <c r="D529" s="43" t="s">
        <v>320</v>
      </c>
      <c r="E529" s="126" t="s">
        <v>510</v>
      </c>
      <c r="F529" s="504">
        <v>2.5</v>
      </c>
      <c r="G529" s="587" t="s">
        <v>3795</v>
      </c>
      <c r="H529" s="585" t="s">
        <v>3796</v>
      </c>
      <c r="I529" s="784" t="s">
        <v>946</v>
      </c>
      <c r="J529" s="494" t="s">
        <v>3797</v>
      </c>
      <c r="K529" s="132" t="s">
        <v>1902</v>
      </c>
    </row>
    <row r="530" spans="2:12" ht="62.4" x14ac:dyDescent="0.3">
      <c r="B530" s="31" t="s">
        <v>3116</v>
      </c>
      <c r="C530" s="130" t="s">
        <v>372</v>
      </c>
      <c r="D530" s="43" t="s">
        <v>320</v>
      </c>
      <c r="E530" s="126" t="s">
        <v>510</v>
      </c>
      <c r="F530" s="504">
        <v>2.7</v>
      </c>
      <c r="G530" s="587" t="s">
        <v>3865</v>
      </c>
      <c r="H530" s="585" t="s">
        <v>3866</v>
      </c>
      <c r="I530" s="784" t="s">
        <v>1053</v>
      </c>
      <c r="J530" s="494" t="s">
        <v>3867</v>
      </c>
      <c r="K530" s="132" t="s">
        <v>1902</v>
      </c>
    </row>
    <row r="531" spans="2:12" ht="62.4" x14ac:dyDescent="0.3">
      <c r="B531" s="31" t="s">
        <v>3116</v>
      </c>
      <c r="C531" s="130" t="s">
        <v>372</v>
      </c>
      <c r="D531" s="43" t="s">
        <v>320</v>
      </c>
      <c r="E531" s="126" t="s">
        <v>510</v>
      </c>
      <c r="F531" s="504">
        <v>2.8</v>
      </c>
      <c r="G531" s="587" t="s">
        <v>3933</v>
      </c>
      <c r="H531" s="585" t="s">
        <v>3934</v>
      </c>
      <c r="I531" s="784" t="s">
        <v>1053</v>
      </c>
      <c r="J531" s="494" t="s">
        <v>3935</v>
      </c>
      <c r="K531" s="132" t="s">
        <v>1902</v>
      </c>
    </row>
    <row r="532" spans="2:12" ht="46.8" x14ac:dyDescent="0.3">
      <c r="B532" s="31" t="s">
        <v>3116</v>
      </c>
      <c r="C532" s="130" t="s">
        <v>372</v>
      </c>
      <c r="D532" s="43" t="s">
        <v>320</v>
      </c>
      <c r="E532" s="126" t="s">
        <v>510</v>
      </c>
      <c r="F532" s="504">
        <v>2.5</v>
      </c>
      <c r="G532" s="587" t="s">
        <v>4003</v>
      </c>
      <c r="H532" s="585" t="s">
        <v>4004</v>
      </c>
      <c r="I532" s="588" t="s">
        <v>1053</v>
      </c>
      <c r="J532" s="494" t="s">
        <v>4005</v>
      </c>
      <c r="K532" s="132" t="s">
        <v>1902</v>
      </c>
    </row>
    <row r="533" spans="2:12" ht="46.8" x14ac:dyDescent="0.3">
      <c r="B533" s="31" t="s">
        <v>3116</v>
      </c>
      <c r="C533" s="130" t="s">
        <v>372</v>
      </c>
      <c r="D533" s="43" t="s">
        <v>320</v>
      </c>
      <c r="E533" s="126" t="s">
        <v>510</v>
      </c>
      <c r="F533" s="504">
        <v>2.5</v>
      </c>
      <c r="G533" s="587" t="s">
        <v>4079</v>
      </c>
      <c r="H533" s="585" t="s">
        <v>4080</v>
      </c>
      <c r="I533" s="784" t="s">
        <v>1579</v>
      </c>
      <c r="J533" s="494" t="s">
        <v>4081</v>
      </c>
      <c r="K533" s="132" t="s">
        <v>1902</v>
      </c>
    </row>
    <row r="534" spans="2:12" ht="46.8" x14ac:dyDescent="0.3">
      <c r="B534" s="31" t="s">
        <v>3116</v>
      </c>
      <c r="C534" s="130" t="s">
        <v>372</v>
      </c>
      <c r="D534" s="43" t="s">
        <v>320</v>
      </c>
      <c r="E534" s="126" t="s">
        <v>510</v>
      </c>
      <c r="F534" s="504">
        <v>2.5</v>
      </c>
      <c r="G534" s="587" t="s">
        <v>4149</v>
      </c>
      <c r="H534" s="585" t="s">
        <v>4150</v>
      </c>
      <c r="I534" s="784" t="s">
        <v>1579</v>
      </c>
      <c r="J534" s="494" t="s">
        <v>4151</v>
      </c>
      <c r="K534" s="132" t="s">
        <v>1902</v>
      </c>
    </row>
    <row r="535" spans="2:12" ht="7.35" customHeight="1" x14ac:dyDescent="0.3">
      <c r="B535" s="31" t="s">
        <v>3116</v>
      </c>
      <c r="C535" s="130" t="s">
        <v>372</v>
      </c>
      <c r="D535" s="43" t="s">
        <v>320</v>
      </c>
      <c r="E535" s="126" t="s">
        <v>510</v>
      </c>
      <c r="F535" s="504">
        <v>2.5</v>
      </c>
      <c r="G535" s="587" t="s">
        <v>4224</v>
      </c>
      <c r="H535" s="585" t="s">
        <v>4225</v>
      </c>
      <c r="I535" s="151" t="s">
        <v>949</v>
      </c>
      <c r="J535" s="494" t="s">
        <v>4226</v>
      </c>
      <c r="K535" s="132" t="s">
        <v>1902</v>
      </c>
    </row>
    <row r="536" spans="2:12" ht="46.8" x14ac:dyDescent="0.3">
      <c r="B536" s="31" t="s">
        <v>3116</v>
      </c>
      <c r="C536" s="130" t="s">
        <v>372</v>
      </c>
      <c r="D536" s="43" t="s">
        <v>320</v>
      </c>
      <c r="E536" s="126" t="s">
        <v>510</v>
      </c>
      <c r="F536" s="504">
        <v>2.5</v>
      </c>
      <c r="G536" s="587" t="s">
        <v>4294</v>
      </c>
      <c r="H536" s="585" t="s">
        <v>4295</v>
      </c>
      <c r="I536" s="319" t="s">
        <v>949</v>
      </c>
      <c r="J536" s="494" t="s">
        <v>4296</v>
      </c>
      <c r="K536" s="132" t="s">
        <v>1902</v>
      </c>
    </row>
    <row r="537" spans="2:12" ht="46.8" x14ac:dyDescent="0.3">
      <c r="B537" s="31" t="s">
        <v>3058</v>
      </c>
      <c r="C537" s="130" t="s">
        <v>369</v>
      </c>
      <c r="D537" s="43" t="s">
        <v>190</v>
      </c>
      <c r="E537" s="126" t="s">
        <v>510</v>
      </c>
      <c r="F537" s="504">
        <v>1</v>
      </c>
      <c r="G537" s="126" t="s">
        <v>3079</v>
      </c>
      <c r="H537" s="304">
        <v>45704</v>
      </c>
      <c r="I537" s="319" t="s">
        <v>1250</v>
      </c>
      <c r="J537" s="494" t="s">
        <v>1903</v>
      </c>
      <c r="K537" s="132" t="s">
        <v>1903</v>
      </c>
    </row>
    <row r="538" spans="2:12" ht="62.4" x14ac:dyDescent="0.3">
      <c r="B538" s="31" t="s">
        <v>3087</v>
      </c>
      <c r="C538" s="130" t="s">
        <v>3088</v>
      </c>
      <c r="D538" s="43" t="s">
        <v>190</v>
      </c>
      <c r="E538" s="126" t="s">
        <v>510</v>
      </c>
      <c r="F538" s="504">
        <v>1</v>
      </c>
      <c r="G538" s="126" t="s">
        <v>3109</v>
      </c>
      <c r="H538" s="304">
        <v>45707</v>
      </c>
      <c r="I538" s="319" t="s">
        <v>1250</v>
      </c>
      <c r="J538" s="494" t="s">
        <v>1903</v>
      </c>
      <c r="K538" s="132" t="s">
        <v>1903</v>
      </c>
      <c r="L538" s="58"/>
    </row>
    <row r="539" spans="2:12" ht="62.4" x14ac:dyDescent="0.3">
      <c r="B539" s="31" t="s">
        <v>3116</v>
      </c>
      <c r="C539" s="130" t="s">
        <v>372</v>
      </c>
      <c r="D539" s="43" t="s">
        <v>320</v>
      </c>
      <c r="E539" s="126" t="s">
        <v>510</v>
      </c>
      <c r="F539" s="504">
        <v>4.4800000000000004</v>
      </c>
      <c r="G539" s="248" t="s">
        <v>3163</v>
      </c>
      <c r="H539" s="542" t="s">
        <v>3164</v>
      </c>
      <c r="I539" s="319" t="s">
        <v>1250</v>
      </c>
      <c r="J539" s="494" t="s">
        <v>3165</v>
      </c>
      <c r="K539" s="132" t="s">
        <v>1903</v>
      </c>
    </row>
    <row r="540" spans="2:12" ht="62.4" x14ac:dyDescent="0.3">
      <c r="B540" s="31" t="s">
        <v>3116</v>
      </c>
      <c r="C540" s="130" t="s">
        <v>372</v>
      </c>
      <c r="D540" s="43" t="s">
        <v>320</v>
      </c>
      <c r="E540" s="126" t="s">
        <v>510</v>
      </c>
      <c r="F540" s="1127">
        <f>-F530</f>
        <v>-2.7</v>
      </c>
      <c r="G540" s="587"/>
      <c r="H540" s="585"/>
      <c r="I540" s="319" t="s">
        <v>1417</v>
      </c>
      <c r="J540" s="494" t="s">
        <v>3165</v>
      </c>
      <c r="K540" s="132" t="s">
        <v>1903</v>
      </c>
    </row>
    <row r="541" spans="2:12" ht="62.4" x14ac:dyDescent="0.3">
      <c r="B541" s="31" t="s">
        <v>3116</v>
      </c>
      <c r="C541" s="130" t="s">
        <v>372</v>
      </c>
      <c r="D541" s="43" t="s">
        <v>320</v>
      </c>
      <c r="E541" s="126" t="s">
        <v>510</v>
      </c>
      <c r="F541" s="504">
        <f>2.5-0.025</f>
        <v>2.4750000000000001</v>
      </c>
      <c r="G541" s="248" t="s">
        <v>3253</v>
      </c>
      <c r="H541" s="542" t="s">
        <v>3254</v>
      </c>
      <c r="I541" s="319" t="s">
        <v>934</v>
      </c>
      <c r="J541" s="494" t="s">
        <v>3255</v>
      </c>
      <c r="K541" s="132" t="s">
        <v>1903</v>
      </c>
    </row>
    <row r="542" spans="2:12" ht="46.8" x14ac:dyDescent="0.3">
      <c r="B542" s="31" t="s">
        <v>3116</v>
      </c>
      <c r="C542" s="130" t="s">
        <v>372</v>
      </c>
      <c r="D542" s="43" t="s">
        <v>320</v>
      </c>
      <c r="E542" s="126" t="s">
        <v>510</v>
      </c>
      <c r="F542" s="1127">
        <f>-F536</f>
        <v>-2.5</v>
      </c>
      <c r="G542" s="1128"/>
      <c r="H542" s="542"/>
      <c r="I542" s="319" t="s">
        <v>1417</v>
      </c>
      <c r="J542" s="494" t="s">
        <v>3255</v>
      </c>
      <c r="K542" s="132" t="s">
        <v>1903</v>
      </c>
    </row>
    <row r="543" spans="2:12" ht="46.8" x14ac:dyDescent="0.3">
      <c r="B543" s="31" t="s">
        <v>3116</v>
      </c>
      <c r="C543" s="130" t="s">
        <v>372</v>
      </c>
      <c r="D543" s="43" t="s">
        <v>320</v>
      </c>
      <c r="E543" s="126" t="s">
        <v>510</v>
      </c>
      <c r="F543" s="504">
        <v>2.5</v>
      </c>
      <c r="G543" s="248" t="s">
        <v>3324</v>
      </c>
      <c r="H543" s="542" t="s">
        <v>3325</v>
      </c>
      <c r="I543" s="319" t="s">
        <v>934</v>
      </c>
      <c r="J543" s="494" t="s">
        <v>3326</v>
      </c>
      <c r="K543" s="132" t="s">
        <v>1903</v>
      </c>
    </row>
    <row r="544" spans="2:12" ht="46.8" x14ac:dyDescent="0.3">
      <c r="B544" s="31" t="s">
        <v>3116</v>
      </c>
      <c r="C544" s="130" t="s">
        <v>372</v>
      </c>
      <c r="D544" s="43" t="s">
        <v>320</v>
      </c>
      <c r="E544" s="126" t="s">
        <v>510</v>
      </c>
      <c r="F544" s="1127">
        <f>-F537</f>
        <v>-1</v>
      </c>
      <c r="G544" s="1128"/>
      <c r="H544" s="542"/>
      <c r="I544" s="319" t="s">
        <v>1417</v>
      </c>
      <c r="J544" s="494" t="s">
        <v>3326</v>
      </c>
      <c r="K544" s="132" t="s">
        <v>1903</v>
      </c>
    </row>
    <row r="545" spans="1:37" ht="46.8" x14ac:dyDescent="0.3">
      <c r="B545" s="31" t="s">
        <v>3116</v>
      </c>
      <c r="C545" s="130" t="s">
        <v>372</v>
      </c>
      <c r="D545" s="43" t="s">
        <v>320</v>
      </c>
      <c r="E545" s="126" t="s">
        <v>510</v>
      </c>
      <c r="F545" s="504">
        <v>2.3199999999999998</v>
      </c>
      <c r="G545" s="248" t="s">
        <v>3395</v>
      </c>
      <c r="H545" s="542" t="s">
        <v>3396</v>
      </c>
      <c r="I545" s="319" t="s">
        <v>934</v>
      </c>
      <c r="J545" s="494" t="s">
        <v>3397</v>
      </c>
      <c r="K545" s="132" t="s">
        <v>1903</v>
      </c>
    </row>
    <row r="546" spans="1:37" ht="46.8" x14ac:dyDescent="0.3">
      <c r="B546" s="31" t="s">
        <v>3116</v>
      </c>
      <c r="C546" s="130" t="s">
        <v>372</v>
      </c>
      <c r="D546" s="43" t="s">
        <v>320</v>
      </c>
      <c r="E546" s="126" t="s">
        <v>510</v>
      </c>
      <c r="F546" s="1127">
        <f>-F537</f>
        <v>-1</v>
      </c>
      <c r="G546" s="1128"/>
      <c r="H546" s="542"/>
      <c r="I546" s="319" t="s">
        <v>1417</v>
      </c>
      <c r="J546" s="494" t="s">
        <v>3397</v>
      </c>
      <c r="K546" s="132" t="s">
        <v>1903</v>
      </c>
    </row>
    <row r="547" spans="1:37" ht="46.8" x14ac:dyDescent="0.3">
      <c r="B547" s="31" t="s">
        <v>3116</v>
      </c>
      <c r="C547" s="130" t="s">
        <v>372</v>
      </c>
      <c r="D547" s="43" t="s">
        <v>320</v>
      </c>
      <c r="E547" s="126" t="s">
        <v>510</v>
      </c>
      <c r="F547" s="504">
        <v>2.5</v>
      </c>
      <c r="G547" s="248" t="s">
        <v>3472</v>
      </c>
      <c r="H547" s="542" t="s">
        <v>3473</v>
      </c>
      <c r="I547" s="319" t="s">
        <v>934</v>
      </c>
      <c r="J547" s="494" t="s">
        <v>3474</v>
      </c>
      <c r="K547" s="132" t="s">
        <v>1903</v>
      </c>
    </row>
    <row r="548" spans="1:37" ht="46.8" x14ac:dyDescent="0.3">
      <c r="B548" s="31" t="s">
        <v>3116</v>
      </c>
      <c r="C548" s="130" t="s">
        <v>372</v>
      </c>
      <c r="D548" s="43" t="s">
        <v>320</v>
      </c>
      <c r="E548" s="126" t="s">
        <v>510</v>
      </c>
      <c r="F548" s="1127">
        <f>-F538</f>
        <v>-1</v>
      </c>
      <c r="G548" s="1128"/>
      <c r="H548" s="542"/>
      <c r="I548" s="319" t="s">
        <v>1417</v>
      </c>
      <c r="J548" s="494" t="s">
        <v>3474</v>
      </c>
      <c r="K548" s="132" t="s">
        <v>1903</v>
      </c>
    </row>
    <row r="549" spans="1:37" ht="46.8" x14ac:dyDescent="0.3">
      <c r="B549" s="31" t="s">
        <v>3116</v>
      </c>
      <c r="C549" s="130" t="s">
        <v>372</v>
      </c>
      <c r="D549" s="43" t="s">
        <v>320</v>
      </c>
      <c r="E549" s="126" t="s">
        <v>510</v>
      </c>
      <c r="F549" s="504">
        <v>2.4</v>
      </c>
      <c r="G549" s="248" t="s">
        <v>3558</v>
      </c>
      <c r="H549" s="542" t="s">
        <v>3559</v>
      </c>
      <c r="I549" s="319" t="s">
        <v>1302</v>
      </c>
      <c r="J549" s="494" t="s">
        <v>3560</v>
      </c>
      <c r="K549" s="132" t="s">
        <v>1903</v>
      </c>
    </row>
    <row r="550" spans="1:37" ht="46.8" x14ac:dyDescent="0.3">
      <c r="B550" s="31" t="s">
        <v>3116</v>
      </c>
      <c r="C550" s="130" t="s">
        <v>372</v>
      </c>
      <c r="D550" s="43" t="s">
        <v>320</v>
      </c>
      <c r="E550" s="126" t="s">
        <v>510</v>
      </c>
      <c r="F550" s="1127">
        <f>-F544</f>
        <v>1</v>
      </c>
      <c r="G550" s="1128"/>
      <c r="H550" s="542"/>
      <c r="I550" s="319" t="s">
        <v>1417</v>
      </c>
      <c r="J550" s="494" t="s">
        <v>3560</v>
      </c>
      <c r="K550" s="132" t="s">
        <v>1903</v>
      </c>
    </row>
    <row r="551" spans="1:37" ht="46.8" x14ac:dyDescent="0.3">
      <c r="B551" s="31" t="s">
        <v>3116</v>
      </c>
      <c r="C551" s="130" t="s">
        <v>372</v>
      </c>
      <c r="D551" s="43" t="s">
        <v>320</v>
      </c>
      <c r="E551" s="126" t="s">
        <v>510</v>
      </c>
      <c r="F551" s="504">
        <v>2.6</v>
      </c>
      <c r="G551" s="248" t="s">
        <v>3623</v>
      </c>
      <c r="H551" s="542" t="s">
        <v>3624</v>
      </c>
      <c r="I551" s="319" t="s">
        <v>1302</v>
      </c>
      <c r="J551" s="494" t="s">
        <v>3625</v>
      </c>
      <c r="K551" s="132" t="s">
        <v>1903</v>
      </c>
    </row>
    <row r="552" spans="1:37" ht="46.8" x14ac:dyDescent="0.3">
      <c r="B552" s="31" t="s">
        <v>3116</v>
      </c>
      <c r="C552" s="130" t="s">
        <v>372</v>
      </c>
      <c r="D552" s="43" t="s">
        <v>320</v>
      </c>
      <c r="E552" s="126" t="s">
        <v>510</v>
      </c>
      <c r="F552" s="1127">
        <f>-F543</f>
        <v>-2.5</v>
      </c>
      <c r="G552" s="1128"/>
      <c r="H552" s="542"/>
      <c r="I552" s="319" t="s">
        <v>1417</v>
      </c>
      <c r="J552" s="494" t="s">
        <v>3625</v>
      </c>
      <c r="K552" s="132" t="s">
        <v>1903</v>
      </c>
    </row>
    <row r="553" spans="1:37" ht="46.8" x14ac:dyDescent="0.3">
      <c r="B553" s="31" t="s">
        <v>3116</v>
      </c>
      <c r="C553" s="130" t="s">
        <v>372</v>
      </c>
      <c r="D553" s="43" t="s">
        <v>320</v>
      </c>
      <c r="E553" s="126" t="s">
        <v>510</v>
      </c>
      <c r="F553" s="504">
        <v>2.5</v>
      </c>
      <c r="G553" s="248" t="s">
        <v>3667</v>
      </c>
      <c r="H553" s="542" t="s">
        <v>3668</v>
      </c>
      <c r="I553" s="319" t="s">
        <v>1302</v>
      </c>
      <c r="J553" s="494" t="s">
        <v>3669</v>
      </c>
      <c r="K553" s="132" t="s">
        <v>1903</v>
      </c>
    </row>
    <row r="554" spans="1:37" ht="62.4" x14ac:dyDescent="0.3">
      <c r="B554" s="31" t="s">
        <v>3116</v>
      </c>
      <c r="C554" s="130" t="s">
        <v>372</v>
      </c>
      <c r="D554" s="43" t="s">
        <v>320</v>
      </c>
      <c r="E554" s="126" t="s">
        <v>510</v>
      </c>
      <c r="F554" s="1127">
        <f>-F543</f>
        <v>-2.5</v>
      </c>
      <c r="G554" s="1128"/>
      <c r="H554" s="542"/>
      <c r="I554" s="319" t="s">
        <v>1417</v>
      </c>
      <c r="J554" s="494" t="s">
        <v>3669</v>
      </c>
      <c r="K554" s="132" t="s">
        <v>1903</v>
      </c>
    </row>
    <row r="555" spans="1:37" ht="62.4" x14ac:dyDescent="0.3">
      <c r="B555" s="31" t="s">
        <v>3058</v>
      </c>
      <c r="C555" s="130" t="s">
        <v>369</v>
      </c>
      <c r="D555" s="43" t="s">
        <v>190</v>
      </c>
      <c r="E555" s="126" t="s">
        <v>510</v>
      </c>
      <c r="F555" s="1127">
        <v>1</v>
      </c>
      <c r="G555" s="126" t="s">
        <v>3086</v>
      </c>
      <c r="H555" s="304">
        <v>46046</v>
      </c>
      <c r="I555" s="319" t="s">
        <v>949</v>
      </c>
      <c r="J555" s="537" t="s">
        <v>3056</v>
      </c>
      <c r="K555" s="132" t="s">
        <v>3056</v>
      </c>
    </row>
    <row r="556" spans="1:37" ht="46.8" x14ac:dyDescent="0.3">
      <c r="B556" s="31" t="s">
        <v>3087</v>
      </c>
      <c r="C556" s="130" t="s">
        <v>3088</v>
      </c>
      <c r="D556" s="43" t="s">
        <v>190</v>
      </c>
      <c r="E556" s="126" t="s">
        <v>510</v>
      </c>
      <c r="F556" s="504">
        <v>1</v>
      </c>
      <c r="G556" s="126" t="s">
        <v>3115</v>
      </c>
      <c r="H556" s="304">
        <v>46050</v>
      </c>
      <c r="I556" s="319" t="s">
        <v>949</v>
      </c>
      <c r="J556" s="537" t="s">
        <v>3056</v>
      </c>
      <c r="K556" s="132" t="s">
        <v>3056</v>
      </c>
      <c r="L556" s="58"/>
    </row>
    <row r="557" spans="1:37" ht="46.8" x14ac:dyDescent="0.3">
      <c r="B557" s="31" t="s">
        <v>3116</v>
      </c>
      <c r="C557" s="130" t="s">
        <v>372</v>
      </c>
      <c r="D557" s="43" t="s">
        <v>320</v>
      </c>
      <c r="E557" s="126" t="s">
        <v>510</v>
      </c>
      <c r="F557" s="504">
        <v>4.4800000000000004</v>
      </c>
      <c r="G557" s="587" t="s">
        <v>3196</v>
      </c>
      <c r="H557" s="585" t="s">
        <v>3197</v>
      </c>
      <c r="I557" s="151" t="s">
        <v>949</v>
      </c>
      <c r="J557" s="494" t="s">
        <v>3198</v>
      </c>
      <c r="K557" s="132" t="s">
        <v>3056</v>
      </c>
      <c r="L557" s="62"/>
    </row>
    <row r="558" spans="1:37" ht="7.35" customHeight="1" x14ac:dyDescent="0.3">
      <c r="B558" s="31" t="s">
        <v>3116</v>
      </c>
      <c r="C558" s="130" t="s">
        <v>372</v>
      </c>
      <c r="D558" s="43" t="s">
        <v>320</v>
      </c>
      <c r="E558" s="126" t="s">
        <v>510</v>
      </c>
      <c r="F558" s="504">
        <v>2.8</v>
      </c>
      <c r="G558" s="587" t="s">
        <v>3277</v>
      </c>
      <c r="H558" s="585" t="s">
        <v>3278</v>
      </c>
      <c r="I558" s="151" t="s">
        <v>949</v>
      </c>
      <c r="J558" s="494" t="s">
        <v>3279</v>
      </c>
      <c r="K558" s="132" t="s">
        <v>3056</v>
      </c>
    </row>
    <row r="559" spans="1:37" s="58" customFormat="1" ht="62.4" x14ac:dyDescent="0.3">
      <c r="A559" s="132"/>
      <c r="B559" s="31" t="s">
        <v>3116</v>
      </c>
      <c r="C559" s="130" t="s">
        <v>372</v>
      </c>
      <c r="D559" s="43" t="s">
        <v>320</v>
      </c>
      <c r="E559" s="126" t="s">
        <v>510</v>
      </c>
      <c r="F559" s="504">
        <v>2.8</v>
      </c>
      <c r="G559" s="587" t="s">
        <v>3353</v>
      </c>
      <c r="H559" s="585" t="s">
        <v>3354</v>
      </c>
      <c r="I559" s="319" t="s">
        <v>949</v>
      </c>
      <c r="J559" s="494" t="s">
        <v>3355</v>
      </c>
      <c r="K559" s="132" t="s">
        <v>3056</v>
      </c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  <c r="AC559" s="132"/>
      <c r="AD559" s="132"/>
      <c r="AE559" s="132"/>
      <c r="AF559" s="132"/>
      <c r="AG559" s="132"/>
      <c r="AH559" s="132"/>
      <c r="AI559" s="132"/>
      <c r="AJ559" s="132"/>
      <c r="AK559" s="132"/>
    </row>
    <row r="560" spans="1:37" s="58" customFormat="1" ht="46.8" x14ac:dyDescent="0.3">
      <c r="A560" s="132"/>
      <c r="B560" s="31" t="s">
        <v>3116</v>
      </c>
      <c r="C560" s="130" t="s">
        <v>372</v>
      </c>
      <c r="D560" s="43" t="s">
        <v>320</v>
      </c>
      <c r="E560" s="126" t="s">
        <v>510</v>
      </c>
      <c r="F560" s="504">
        <v>2.8</v>
      </c>
      <c r="G560" s="587" t="s">
        <v>3431</v>
      </c>
      <c r="H560" s="585" t="s">
        <v>3432</v>
      </c>
      <c r="I560" s="319" t="s">
        <v>949</v>
      </c>
      <c r="J560" s="494" t="s">
        <v>3433</v>
      </c>
      <c r="K560" s="132" t="s">
        <v>3056</v>
      </c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  <c r="AC560" s="132"/>
      <c r="AD560" s="132"/>
      <c r="AE560" s="132"/>
      <c r="AF560" s="132"/>
      <c r="AG560" s="132"/>
      <c r="AH560" s="132"/>
      <c r="AI560" s="132"/>
      <c r="AJ560" s="132"/>
      <c r="AK560" s="132"/>
    </row>
    <row r="561" spans="1:37" s="58" customFormat="1" ht="46.8" x14ac:dyDescent="0.3">
      <c r="A561" s="132"/>
      <c r="B561" s="31" t="s">
        <v>3116</v>
      </c>
      <c r="C561" s="130" t="s">
        <v>372</v>
      </c>
      <c r="D561" s="43" t="s">
        <v>320</v>
      </c>
      <c r="E561" s="126" t="s">
        <v>510</v>
      </c>
      <c r="F561" s="504">
        <v>2.8</v>
      </c>
      <c r="G561" s="587" t="s">
        <v>3509</v>
      </c>
      <c r="H561" s="585" t="s">
        <v>3510</v>
      </c>
      <c r="I561" s="319" t="s">
        <v>949</v>
      </c>
      <c r="J561" s="494" t="s">
        <v>3511</v>
      </c>
      <c r="K561" s="132" t="s">
        <v>3056</v>
      </c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  <c r="AC561" s="132"/>
      <c r="AD561" s="132"/>
      <c r="AE561" s="132"/>
      <c r="AF561" s="132"/>
      <c r="AG561" s="132"/>
      <c r="AH561" s="132"/>
      <c r="AI561" s="132"/>
      <c r="AJ561" s="132"/>
      <c r="AK561" s="132"/>
    </row>
    <row r="562" spans="1:37" ht="46.8" x14ac:dyDescent="0.3">
      <c r="B562" s="31" t="s">
        <v>3116</v>
      </c>
      <c r="C562" s="130" t="s">
        <v>372</v>
      </c>
      <c r="D562" s="43" t="s">
        <v>320</v>
      </c>
      <c r="E562" s="126" t="s">
        <v>510</v>
      </c>
      <c r="F562" s="504">
        <v>2.8</v>
      </c>
      <c r="G562" s="587" t="s">
        <v>3584</v>
      </c>
      <c r="H562" s="585" t="s">
        <v>3585</v>
      </c>
      <c r="I562" s="319" t="s">
        <v>949</v>
      </c>
      <c r="J562" s="494" t="s">
        <v>3586</v>
      </c>
      <c r="K562" s="132" t="s">
        <v>3056</v>
      </c>
    </row>
    <row r="563" spans="1:37" ht="46.8" x14ac:dyDescent="0.3">
      <c r="B563" s="31" t="s">
        <v>3116</v>
      </c>
      <c r="C563" s="130" t="s">
        <v>372</v>
      </c>
      <c r="D563" s="43" t="s">
        <v>320</v>
      </c>
      <c r="E563" s="126" t="s">
        <v>510</v>
      </c>
      <c r="F563" s="504">
        <v>2.8</v>
      </c>
      <c r="G563" s="587" t="s">
        <v>3658</v>
      </c>
      <c r="H563" s="585" t="s">
        <v>3659</v>
      </c>
      <c r="I563" s="319" t="s">
        <v>949</v>
      </c>
      <c r="J563" s="494" t="s">
        <v>3660</v>
      </c>
      <c r="K563" s="132" t="s">
        <v>3056</v>
      </c>
    </row>
    <row r="564" spans="1:37" ht="46.8" x14ac:dyDescent="0.3">
      <c r="B564" s="31" t="s">
        <v>3116</v>
      </c>
      <c r="C564" s="130" t="s">
        <v>372</v>
      </c>
      <c r="D564" s="43" t="s">
        <v>320</v>
      </c>
      <c r="E564" s="126" t="s">
        <v>510</v>
      </c>
      <c r="F564" s="504">
        <v>2.8</v>
      </c>
      <c r="G564" s="587" t="s">
        <v>3670</v>
      </c>
      <c r="H564" s="585" t="s">
        <v>3671</v>
      </c>
      <c r="I564" s="319" t="s">
        <v>949</v>
      </c>
      <c r="J564" s="494" t="s">
        <v>3672</v>
      </c>
      <c r="K564" s="132" t="s">
        <v>3056</v>
      </c>
    </row>
    <row r="565" spans="1:37" ht="62.4" x14ac:dyDescent="0.3">
      <c r="B565" s="31" t="s">
        <v>3116</v>
      </c>
      <c r="C565" s="130" t="s">
        <v>372</v>
      </c>
      <c r="D565" s="43" t="s">
        <v>320</v>
      </c>
      <c r="E565" s="126" t="s">
        <v>510</v>
      </c>
      <c r="F565" s="504">
        <v>3.45</v>
      </c>
      <c r="G565" s="587" t="s">
        <v>3801</v>
      </c>
      <c r="H565" s="585" t="s">
        <v>3802</v>
      </c>
      <c r="I565" s="319" t="s">
        <v>949</v>
      </c>
      <c r="J565" s="494" t="s">
        <v>3803</v>
      </c>
      <c r="K565" s="132" t="s">
        <v>3056</v>
      </c>
    </row>
    <row r="566" spans="1:37" ht="62.4" x14ac:dyDescent="0.3">
      <c r="B566" s="31" t="s">
        <v>3116</v>
      </c>
      <c r="C566" s="130" t="s">
        <v>372</v>
      </c>
      <c r="D566" s="43" t="s">
        <v>320</v>
      </c>
      <c r="E566" s="126" t="s">
        <v>510</v>
      </c>
      <c r="F566" s="504">
        <v>2.8</v>
      </c>
      <c r="G566" s="587" t="s">
        <v>3871</v>
      </c>
      <c r="H566" s="585" t="s">
        <v>3872</v>
      </c>
      <c r="I566" s="319" t="s">
        <v>949</v>
      </c>
      <c r="J566" s="494" t="s">
        <v>3873</v>
      </c>
      <c r="K566" s="132" t="s">
        <v>3056</v>
      </c>
    </row>
    <row r="567" spans="1:37" ht="46.8" x14ac:dyDescent="0.3">
      <c r="B567" s="31" t="s">
        <v>3116</v>
      </c>
      <c r="C567" s="130" t="s">
        <v>372</v>
      </c>
      <c r="D567" s="43" t="s">
        <v>320</v>
      </c>
      <c r="E567" s="126" t="s">
        <v>510</v>
      </c>
      <c r="F567" s="504">
        <v>2.8</v>
      </c>
      <c r="G567" s="587" t="s">
        <v>3939</v>
      </c>
      <c r="H567" s="585" t="s">
        <v>3940</v>
      </c>
      <c r="I567" s="319" t="s">
        <v>949</v>
      </c>
      <c r="J567" s="494" t="s">
        <v>3941</v>
      </c>
      <c r="K567" s="132" t="s">
        <v>3056</v>
      </c>
    </row>
    <row r="568" spans="1:37" ht="46.8" x14ac:dyDescent="0.3">
      <c r="B568" s="31" t="s">
        <v>3116</v>
      </c>
      <c r="C568" s="130" t="s">
        <v>372</v>
      </c>
      <c r="D568" s="43" t="s">
        <v>320</v>
      </c>
      <c r="E568" s="126" t="s">
        <v>510</v>
      </c>
      <c r="F568" s="504">
        <v>2.8</v>
      </c>
      <c r="G568" s="587" t="s">
        <v>4009</v>
      </c>
      <c r="H568" s="585" t="s">
        <v>4010</v>
      </c>
      <c r="I568" s="319" t="s">
        <v>949</v>
      </c>
      <c r="J568" s="494" t="s">
        <v>4011</v>
      </c>
      <c r="K568" s="132" t="s">
        <v>3056</v>
      </c>
    </row>
    <row r="569" spans="1:37" ht="62.4" x14ac:dyDescent="0.3">
      <c r="B569" s="31" t="s">
        <v>3116</v>
      </c>
      <c r="C569" s="130" t="s">
        <v>372</v>
      </c>
      <c r="D569" s="43" t="s">
        <v>320</v>
      </c>
      <c r="E569" s="126" t="s">
        <v>510</v>
      </c>
      <c r="F569" s="504">
        <v>2.8</v>
      </c>
      <c r="G569" s="587" t="s">
        <v>4082</v>
      </c>
      <c r="H569" s="585" t="s">
        <v>4083</v>
      </c>
      <c r="I569" s="319" t="s">
        <v>949</v>
      </c>
      <c r="J569" s="494" t="s">
        <v>4084</v>
      </c>
      <c r="K569" s="132" t="s">
        <v>3056</v>
      </c>
    </row>
    <row r="570" spans="1:37" ht="62.4" x14ac:dyDescent="0.3">
      <c r="B570" s="31" t="s">
        <v>3116</v>
      </c>
      <c r="C570" s="130" t="s">
        <v>372</v>
      </c>
      <c r="D570" s="43" t="s">
        <v>320</v>
      </c>
      <c r="E570" s="126" t="s">
        <v>510</v>
      </c>
      <c r="F570" s="504">
        <v>2.8</v>
      </c>
      <c r="G570" s="587" t="s">
        <v>4155</v>
      </c>
      <c r="H570" s="585" t="s">
        <v>4156</v>
      </c>
      <c r="I570" s="319" t="s">
        <v>949</v>
      </c>
      <c r="J570" s="494" t="s">
        <v>4157</v>
      </c>
      <c r="K570" s="132" t="s">
        <v>3056</v>
      </c>
    </row>
    <row r="571" spans="1:37" ht="46.8" x14ac:dyDescent="0.3">
      <c r="B571" s="31" t="s">
        <v>3116</v>
      </c>
      <c r="C571" s="130" t="s">
        <v>372</v>
      </c>
      <c r="D571" s="43" t="s">
        <v>320</v>
      </c>
      <c r="E571" s="126" t="s">
        <v>510</v>
      </c>
      <c r="F571" s="504">
        <v>2.8</v>
      </c>
      <c r="G571" s="587" t="s">
        <v>4221</v>
      </c>
      <c r="H571" s="585" t="s">
        <v>4222</v>
      </c>
      <c r="I571" s="319" t="s">
        <v>949</v>
      </c>
      <c r="J571" s="494" t="s">
        <v>4223</v>
      </c>
      <c r="K571" s="132" t="s">
        <v>3056</v>
      </c>
    </row>
    <row r="572" spans="1:37" ht="46.8" x14ac:dyDescent="0.3">
      <c r="B572" s="31" t="s">
        <v>3116</v>
      </c>
      <c r="C572" s="130" t="s">
        <v>372</v>
      </c>
      <c r="D572" s="43" t="s">
        <v>320</v>
      </c>
      <c r="E572" s="126" t="s">
        <v>510</v>
      </c>
      <c r="F572" s="504">
        <v>2.8</v>
      </c>
      <c r="G572" s="587" t="s">
        <v>4291</v>
      </c>
      <c r="H572" s="585" t="s">
        <v>4292</v>
      </c>
      <c r="I572" s="319" t="s">
        <v>949</v>
      </c>
      <c r="J572" s="494" t="s">
        <v>4293</v>
      </c>
      <c r="K572" s="132" t="s">
        <v>3056</v>
      </c>
    </row>
    <row r="573" spans="1:37" ht="62.4" x14ac:dyDescent="0.3">
      <c r="B573" s="31" t="s">
        <v>3058</v>
      </c>
      <c r="C573" s="130" t="s">
        <v>369</v>
      </c>
      <c r="D573" s="43" t="s">
        <v>190</v>
      </c>
      <c r="E573" s="126" t="s">
        <v>510</v>
      </c>
      <c r="F573" s="504">
        <v>1</v>
      </c>
      <c r="G573" s="126" t="s">
        <v>3084</v>
      </c>
      <c r="H573" s="304">
        <v>46032</v>
      </c>
      <c r="I573" s="319" t="s">
        <v>1417</v>
      </c>
      <c r="J573" s="494" t="s">
        <v>1904</v>
      </c>
      <c r="K573" s="132" t="s">
        <v>1904</v>
      </c>
    </row>
    <row r="574" spans="1:37" ht="46.8" x14ac:dyDescent="0.3">
      <c r="B574" s="31" t="s">
        <v>3087</v>
      </c>
      <c r="C574" s="130" t="s">
        <v>3088</v>
      </c>
      <c r="D574" s="43" t="s">
        <v>190</v>
      </c>
      <c r="E574" s="126" t="s">
        <v>510</v>
      </c>
      <c r="F574" s="504">
        <v>1</v>
      </c>
      <c r="G574" s="126" t="s">
        <v>3113</v>
      </c>
      <c r="H574" s="304">
        <v>46038</v>
      </c>
      <c r="I574" s="319" t="s">
        <v>1417</v>
      </c>
      <c r="J574" s="494" t="s">
        <v>1904</v>
      </c>
      <c r="K574" s="132" t="s">
        <v>1904</v>
      </c>
      <c r="L574" s="58"/>
    </row>
    <row r="575" spans="1:37" ht="62.4" x14ac:dyDescent="0.3">
      <c r="B575" s="31" t="s">
        <v>3116</v>
      </c>
      <c r="C575" s="130" t="s">
        <v>372</v>
      </c>
      <c r="D575" s="43" t="s">
        <v>320</v>
      </c>
      <c r="E575" s="126" t="s">
        <v>510</v>
      </c>
      <c r="F575" s="504">
        <v>6.2</v>
      </c>
      <c r="G575" s="587" t="s">
        <v>3190</v>
      </c>
      <c r="H575" s="585" t="s">
        <v>3191</v>
      </c>
      <c r="I575" s="319" t="s">
        <v>1417</v>
      </c>
      <c r="J575" s="494" t="s">
        <v>3192</v>
      </c>
      <c r="K575" s="132" t="s">
        <v>1904</v>
      </c>
    </row>
    <row r="576" spans="1:37" ht="62.4" x14ac:dyDescent="0.3">
      <c r="B576" s="31" t="s">
        <v>3116</v>
      </c>
      <c r="C576" s="130" t="s">
        <v>372</v>
      </c>
      <c r="D576" s="43" t="s">
        <v>320</v>
      </c>
      <c r="E576" s="126" t="s">
        <v>510</v>
      </c>
      <c r="F576" s="504">
        <v>2.5</v>
      </c>
      <c r="G576" s="587" t="s">
        <v>3274</v>
      </c>
      <c r="H576" s="585" t="s">
        <v>3275</v>
      </c>
      <c r="I576" s="784" t="s">
        <v>1315</v>
      </c>
      <c r="J576" s="494" t="s">
        <v>3276</v>
      </c>
      <c r="K576" s="132" t="s">
        <v>1904</v>
      </c>
    </row>
    <row r="577" spans="1:37" ht="46.8" x14ac:dyDescent="0.3">
      <c r="B577" s="31" t="s">
        <v>3116</v>
      </c>
      <c r="C577" s="130" t="s">
        <v>372</v>
      </c>
      <c r="D577" s="43" t="s">
        <v>320</v>
      </c>
      <c r="E577" s="126" t="s">
        <v>510</v>
      </c>
      <c r="F577" s="504">
        <v>2.5</v>
      </c>
      <c r="G577" s="587" t="s">
        <v>3350</v>
      </c>
      <c r="H577" s="585" t="s">
        <v>3351</v>
      </c>
      <c r="I577" s="784" t="s">
        <v>1315</v>
      </c>
      <c r="J577" s="494" t="s">
        <v>3352</v>
      </c>
      <c r="K577" s="132" t="s">
        <v>1904</v>
      </c>
    </row>
    <row r="578" spans="1:37" ht="62.4" x14ac:dyDescent="0.3">
      <c r="B578" s="31" t="s">
        <v>3116</v>
      </c>
      <c r="C578" s="130" t="s">
        <v>372</v>
      </c>
      <c r="D578" s="43" t="s">
        <v>320</v>
      </c>
      <c r="E578" s="126" t="s">
        <v>510</v>
      </c>
      <c r="F578" s="504">
        <v>2.5</v>
      </c>
      <c r="G578" s="587" t="s">
        <v>3428</v>
      </c>
      <c r="H578" s="585" t="s">
        <v>3429</v>
      </c>
      <c r="I578" s="784" t="s">
        <v>1315</v>
      </c>
      <c r="J578" s="494" t="s">
        <v>3430</v>
      </c>
      <c r="K578" s="132" t="s">
        <v>1904</v>
      </c>
    </row>
    <row r="579" spans="1:37" ht="46.8" x14ac:dyDescent="0.3">
      <c r="B579" s="31" t="s">
        <v>3116</v>
      </c>
      <c r="C579" s="130" t="s">
        <v>372</v>
      </c>
      <c r="D579" s="43" t="s">
        <v>320</v>
      </c>
      <c r="E579" s="126" t="s">
        <v>510</v>
      </c>
      <c r="F579" s="504">
        <v>2.5</v>
      </c>
      <c r="G579" s="587" t="s">
        <v>3506</v>
      </c>
      <c r="H579" s="585" t="s">
        <v>3507</v>
      </c>
      <c r="I579" s="784" t="s">
        <v>1315</v>
      </c>
      <c r="J579" s="494" t="s">
        <v>3508</v>
      </c>
      <c r="K579" s="132" t="s">
        <v>1904</v>
      </c>
    </row>
    <row r="580" spans="1:37" ht="46.8" x14ac:dyDescent="0.3">
      <c r="B580" s="31" t="s">
        <v>3116</v>
      </c>
      <c r="C580" s="130" t="s">
        <v>372</v>
      </c>
      <c r="D580" s="43" t="s">
        <v>320</v>
      </c>
      <c r="E580" s="126" t="s">
        <v>510</v>
      </c>
      <c r="F580" s="504">
        <v>2.5</v>
      </c>
      <c r="G580" s="587" t="s">
        <v>3581</v>
      </c>
      <c r="H580" s="585" t="s">
        <v>3582</v>
      </c>
      <c r="I580" s="588" t="s">
        <v>946</v>
      </c>
      <c r="J580" s="494" t="s">
        <v>3583</v>
      </c>
      <c r="K580" s="132" t="s">
        <v>1904</v>
      </c>
    </row>
    <row r="581" spans="1:37" ht="33.6" customHeight="1" x14ac:dyDescent="0.3">
      <c r="B581" s="31" t="s">
        <v>3116</v>
      </c>
      <c r="C581" s="130" t="s">
        <v>372</v>
      </c>
      <c r="D581" s="43" t="s">
        <v>320</v>
      </c>
      <c r="E581" s="126" t="s">
        <v>510</v>
      </c>
      <c r="F581" s="504">
        <v>2.5</v>
      </c>
      <c r="G581" s="587" t="s">
        <v>3655</v>
      </c>
      <c r="H581" s="585" t="s">
        <v>3656</v>
      </c>
      <c r="I581" s="588" t="s">
        <v>946</v>
      </c>
      <c r="J581" s="494" t="s">
        <v>3657</v>
      </c>
      <c r="K581" s="132" t="s">
        <v>1904</v>
      </c>
    </row>
    <row r="582" spans="1:37" s="58" customFormat="1" ht="33.6" customHeight="1" x14ac:dyDescent="0.3">
      <c r="A582" s="132"/>
      <c r="B582" s="31" t="s">
        <v>3116</v>
      </c>
      <c r="C582" s="130" t="s">
        <v>372</v>
      </c>
      <c r="D582" s="43" t="s">
        <v>320</v>
      </c>
      <c r="E582" s="126" t="s">
        <v>510</v>
      </c>
      <c r="F582" s="504">
        <v>2.5</v>
      </c>
      <c r="G582" s="587" t="s">
        <v>3673</v>
      </c>
      <c r="H582" s="585" t="s">
        <v>3674</v>
      </c>
      <c r="I582" s="784" t="s">
        <v>946</v>
      </c>
      <c r="J582" s="494" t="s">
        <v>3675</v>
      </c>
      <c r="K582" s="132" t="s">
        <v>1904</v>
      </c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  <c r="AC582" s="132"/>
      <c r="AD582" s="132"/>
      <c r="AE582" s="132"/>
      <c r="AF582" s="132"/>
      <c r="AG582" s="132"/>
      <c r="AH582" s="132"/>
      <c r="AI582" s="132"/>
      <c r="AJ582" s="132"/>
      <c r="AK582" s="132"/>
    </row>
    <row r="583" spans="1:37" s="58" customFormat="1" ht="46.8" x14ac:dyDescent="0.3">
      <c r="A583" s="132"/>
      <c r="B583" s="31" t="s">
        <v>3116</v>
      </c>
      <c r="C583" s="130" t="s">
        <v>372</v>
      </c>
      <c r="D583" s="43" t="s">
        <v>320</v>
      </c>
      <c r="E583" s="126" t="s">
        <v>510</v>
      </c>
      <c r="F583" s="504">
        <v>2.5</v>
      </c>
      <c r="G583" s="248" t="s">
        <v>3798</v>
      </c>
      <c r="H583" s="585" t="s">
        <v>3799</v>
      </c>
      <c r="I583" s="784" t="s">
        <v>946</v>
      </c>
      <c r="J583" s="494" t="s">
        <v>3800</v>
      </c>
      <c r="K583" s="132" t="s">
        <v>1904</v>
      </c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2"/>
      <c r="AC583" s="132"/>
      <c r="AD583" s="132"/>
      <c r="AE583" s="132"/>
      <c r="AF583" s="132"/>
      <c r="AG583" s="132"/>
      <c r="AH583" s="132"/>
      <c r="AI583" s="132"/>
      <c r="AJ583" s="132"/>
      <c r="AK583" s="132"/>
    </row>
    <row r="584" spans="1:37" ht="46.8" x14ac:dyDescent="0.3">
      <c r="B584" s="31" t="s">
        <v>3116</v>
      </c>
      <c r="C584" s="130" t="s">
        <v>372</v>
      </c>
      <c r="D584" s="43" t="s">
        <v>320</v>
      </c>
      <c r="E584" s="126" t="s">
        <v>510</v>
      </c>
      <c r="F584" s="504">
        <v>2.5</v>
      </c>
      <c r="G584" s="587" t="s">
        <v>3868</v>
      </c>
      <c r="H584" s="585" t="s">
        <v>3869</v>
      </c>
      <c r="I584" s="784" t="s">
        <v>1053</v>
      </c>
      <c r="J584" s="494" t="s">
        <v>3870</v>
      </c>
      <c r="K584" s="132" t="s">
        <v>1904</v>
      </c>
    </row>
    <row r="585" spans="1:37" ht="46.8" x14ac:dyDescent="0.3">
      <c r="B585" s="31" t="s">
        <v>3116</v>
      </c>
      <c r="C585" s="130" t="s">
        <v>372</v>
      </c>
      <c r="D585" s="43" t="s">
        <v>320</v>
      </c>
      <c r="E585" s="126" t="s">
        <v>510</v>
      </c>
      <c r="F585" s="504">
        <v>2.5</v>
      </c>
      <c r="G585" s="587" t="s">
        <v>3936</v>
      </c>
      <c r="H585" s="585" t="s">
        <v>3937</v>
      </c>
      <c r="I585" s="784" t="s">
        <v>1053</v>
      </c>
      <c r="J585" s="494" t="s">
        <v>3938</v>
      </c>
      <c r="K585" s="132" t="s">
        <v>1904</v>
      </c>
    </row>
    <row r="586" spans="1:37" ht="46.8" x14ac:dyDescent="0.3">
      <c r="B586" s="31" t="s">
        <v>3116</v>
      </c>
      <c r="C586" s="130" t="s">
        <v>372</v>
      </c>
      <c r="D586" s="43" t="s">
        <v>320</v>
      </c>
      <c r="E586" s="126" t="s">
        <v>510</v>
      </c>
      <c r="F586" s="504">
        <v>2.7</v>
      </c>
      <c r="G586" s="587" t="s">
        <v>4006</v>
      </c>
      <c r="H586" s="585" t="s">
        <v>4007</v>
      </c>
      <c r="I586" s="784" t="s">
        <v>1053</v>
      </c>
      <c r="J586" s="494" t="s">
        <v>4008</v>
      </c>
      <c r="K586" s="132" t="s">
        <v>1904</v>
      </c>
    </row>
    <row r="587" spans="1:37" ht="62.4" x14ac:dyDescent="0.3">
      <c r="B587" s="31" t="s">
        <v>3116</v>
      </c>
      <c r="C587" s="130" t="s">
        <v>372</v>
      </c>
      <c r="D587" s="43" t="s">
        <v>320</v>
      </c>
      <c r="E587" s="126" t="s">
        <v>510</v>
      </c>
      <c r="F587" s="504">
        <v>2.5</v>
      </c>
      <c r="G587" s="587" t="s">
        <v>4073</v>
      </c>
      <c r="H587" s="585" t="s">
        <v>4074</v>
      </c>
      <c r="I587" s="784" t="s">
        <v>1053</v>
      </c>
      <c r="J587" s="494" t="s">
        <v>4075</v>
      </c>
      <c r="K587" s="132" t="s">
        <v>1904</v>
      </c>
    </row>
    <row r="588" spans="1:37" ht="46.8" x14ac:dyDescent="0.3">
      <c r="B588" s="31" t="s">
        <v>3116</v>
      </c>
      <c r="C588" s="130" t="s">
        <v>372</v>
      </c>
      <c r="D588" s="43" t="s">
        <v>320</v>
      </c>
      <c r="E588" s="126" t="s">
        <v>510</v>
      </c>
      <c r="F588" s="504">
        <v>2.5</v>
      </c>
      <c r="G588" s="587" t="s">
        <v>4152</v>
      </c>
      <c r="H588" s="585" t="s">
        <v>4153</v>
      </c>
      <c r="I588" s="784" t="s">
        <v>1579</v>
      </c>
      <c r="J588" s="494" t="s">
        <v>4154</v>
      </c>
      <c r="K588" s="132" t="s">
        <v>1904</v>
      </c>
    </row>
    <row r="589" spans="1:37" ht="46.8" x14ac:dyDescent="0.3">
      <c r="B589" s="31" t="s">
        <v>3116</v>
      </c>
      <c r="C589" s="130" t="s">
        <v>372</v>
      </c>
      <c r="D589" s="43" t="s">
        <v>320</v>
      </c>
      <c r="E589" s="126" t="s">
        <v>510</v>
      </c>
      <c r="F589" s="504">
        <v>2.5</v>
      </c>
      <c r="G589" s="587" t="s">
        <v>4227</v>
      </c>
      <c r="H589" s="585" t="s">
        <v>4228</v>
      </c>
      <c r="I589" s="319" t="s">
        <v>949</v>
      </c>
      <c r="J589" s="494" t="s">
        <v>4229</v>
      </c>
      <c r="K589" s="132" t="s">
        <v>1904</v>
      </c>
    </row>
    <row r="590" spans="1:37" ht="46.8" x14ac:dyDescent="0.3">
      <c r="B590" s="31" t="s">
        <v>3058</v>
      </c>
      <c r="C590" s="130" t="s">
        <v>369</v>
      </c>
      <c r="D590" s="43" t="s">
        <v>190</v>
      </c>
      <c r="E590" s="126" t="s">
        <v>510</v>
      </c>
      <c r="F590" s="504">
        <v>1</v>
      </c>
      <c r="G590" s="126" t="s">
        <v>3078</v>
      </c>
      <c r="H590" s="304">
        <v>45696</v>
      </c>
      <c r="I590" s="319" t="s">
        <v>1250</v>
      </c>
      <c r="J590" s="494" t="s">
        <v>1905</v>
      </c>
      <c r="K590" s="132" t="s">
        <v>1905</v>
      </c>
    </row>
    <row r="591" spans="1:37" ht="62.4" x14ac:dyDescent="0.3">
      <c r="B591" s="31" t="s">
        <v>3087</v>
      </c>
      <c r="C591" s="130" t="s">
        <v>3088</v>
      </c>
      <c r="D591" s="43" t="s">
        <v>190</v>
      </c>
      <c r="E591" s="126" t="s">
        <v>510</v>
      </c>
      <c r="F591" s="504">
        <v>1</v>
      </c>
      <c r="G591" s="126" t="s">
        <v>3107</v>
      </c>
      <c r="H591" s="304">
        <v>45700</v>
      </c>
      <c r="I591" s="319" t="s">
        <v>1250</v>
      </c>
      <c r="J591" s="494" t="s">
        <v>1905</v>
      </c>
      <c r="K591" s="132" t="s">
        <v>1905</v>
      </c>
      <c r="L591" s="58"/>
    </row>
    <row r="592" spans="1:37" ht="46.8" x14ac:dyDescent="0.3">
      <c r="B592" s="31" t="s">
        <v>3116</v>
      </c>
      <c r="C592" s="130" t="s">
        <v>372</v>
      </c>
      <c r="D592" s="43" t="s">
        <v>320</v>
      </c>
      <c r="E592" s="126" t="s">
        <v>510</v>
      </c>
      <c r="F592" s="504">
        <v>4.32</v>
      </c>
      <c r="G592" s="248" t="s">
        <v>3166</v>
      </c>
      <c r="H592" s="542" t="s">
        <v>3167</v>
      </c>
      <c r="I592" s="319" t="s">
        <v>1250</v>
      </c>
      <c r="J592" s="494" t="s">
        <v>3168</v>
      </c>
      <c r="K592" s="132" t="s">
        <v>1905</v>
      </c>
    </row>
    <row r="593" spans="1:37" ht="62.4" x14ac:dyDescent="0.3">
      <c r="B593" s="31" t="s">
        <v>3116</v>
      </c>
      <c r="C593" s="130" t="s">
        <v>372</v>
      </c>
      <c r="D593" s="43" t="s">
        <v>320</v>
      </c>
      <c r="E593" s="126" t="s">
        <v>510</v>
      </c>
      <c r="F593" s="1127">
        <f>-F583</f>
        <v>-2.5</v>
      </c>
      <c r="G593" s="587"/>
      <c r="H593" s="585"/>
      <c r="I593" s="319" t="s">
        <v>1417</v>
      </c>
      <c r="J593" s="494" t="s">
        <v>3168</v>
      </c>
      <c r="K593" s="132" t="s">
        <v>1905</v>
      </c>
    </row>
    <row r="594" spans="1:37" ht="46.8" x14ac:dyDescent="0.3">
      <c r="B594" s="31" t="s">
        <v>3116</v>
      </c>
      <c r="C594" s="130" t="s">
        <v>372</v>
      </c>
      <c r="D594" s="43" t="s">
        <v>320</v>
      </c>
      <c r="E594" s="126" t="s">
        <v>510</v>
      </c>
      <c r="F594" s="504">
        <v>2.65</v>
      </c>
      <c r="G594" s="248" t="s">
        <v>3239</v>
      </c>
      <c r="H594" s="542" t="s">
        <v>3240</v>
      </c>
      <c r="I594" s="319" t="s">
        <v>1250</v>
      </c>
      <c r="J594" s="494" t="s">
        <v>3241</v>
      </c>
      <c r="K594" s="132" t="s">
        <v>1905</v>
      </c>
    </row>
    <row r="595" spans="1:37" ht="62.4" x14ac:dyDescent="0.3">
      <c r="B595" s="31" t="s">
        <v>3116</v>
      </c>
      <c r="C595" s="130" t="s">
        <v>372</v>
      </c>
      <c r="D595" s="43" t="s">
        <v>320</v>
      </c>
      <c r="E595" s="126" t="s">
        <v>510</v>
      </c>
      <c r="F595" s="1127">
        <f>-F583</f>
        <v>-2.5</v>
      </c>
      <c r="G595" s="1128"/>
      <c r="H595" s="542"/>
      <c r="I595" s="319" t="s">
        <v>1417</v>
      </c>
      <c r="J595" s="494" t="s">
        <v>3241</v>
      </c>
      <c r="K595" s="132" t="s">
        <v>1905</v>
      </c>
    </row>
    <row r="596" spans="1:37" ht="62.4" x14ac:dyDescent="0.3">
      <c r="B596" s="31" t="s">
        <v>3116</v>
      </c>
      <c r="C596" s="130" t="s">
        <v>372</v>
      </c>
      <c r="D596" s="43" t="s">
        <v>320</v>
      </c>
      <c r="E596" s="126" t="s">
        <v>510</v>
      </c>
      <c r="F596" s="504">
        <f>2.5-0.015</f>
        <v>2.4849999999999999</v>
      </c>
      <c r="G596" s="248" t="s">
        <v>3327</v>
      </c>
      <c r="H596" s="542" t="s">
        <v>3328</v>
      </c>
      <c r="I596" s="319" t="s">
        <v>934</v>
      </c>
      <c r="J596" s="494" t="s">
        <v>3329</v>
      </c>
      <c r="K596" s="132" t="s">
        <v>1905</v>
      </c>
    </row>
    <row r="597" spans="1:37" ht="62.4" x14ac:dyDescent="0.3">
      <c r="B597" s="31" t="s">
        <v>3116</v>
      </c>
      <c r="C597" s="130" t="s">
        <v>372</v>
      </c>
      <c r="D597" s="43" t="s">
        <v>320</v>
      </c>
      <c r="E597" s="126" t="s">
        <v>510</v>
      </c>
      <c r="F597" s="1127">
        <f>-F590</f>
        <v>-1</v>
      </c>
      <c r="G597" s="1128"/>
      <c r="H597" s="542"/>
      <c r="I597" s="319" t="s">
        <v>1417</v>
      </c>
      <c r="J597" s="494" t="s">
        <v>3329</v>
      </c>
      <c r="K597" s="132" t="s">
        <v>1905</v>
      </c>
    </row>
    <row r="598" spans="1:37" ht="46.8" x14ac:dyDescent="0.3">
      <c r="B598" s="31" t="s">
        <v>3116</v>
      </c>
      <c r="C598" s="130" t="s">
        <v>372</v>
      </c>
      <c r="D598" s="43" t="s">
        <v>320</v>
      </c>
      <c r="E598" s="126" t="s">
        <v>510</v>
      </c>
      <c r="F598" s="504">
        <v>2.5</v>
      </c>
      <c r="G598" s="248" t="s">
        <v>3398</v>
      </c>
      <c r="H598" s="542" t="s">
        <v>3399</v>
      </c>
      <c r="I598" s="319" t="s">
        <v>934</v>
      </c>
      <c r="J598" s="494" t="s">
        <v>3400</v>
      </c>
      <c r="K598" s="132" t="s">
        <v>1905</v>
      </c>
    </row>
    <row r="599" spans="1:37" ht="62.4" x14ac:dyDescent="0.3">
      <c r="B599" s="31" t="s">
        <v>3116</v>
      </c>
      <c r="C599" s="130" t="s">
        <v>372</v>
      </c>
      <c r="D599" s="43" t="s">
        <v>320</v>
      </c>
      <c r="E599" s="126" t="s">
        <v>510</v>
      </c>
      <c r="F599" s="1127">
        <f>-F590</f>
        <v>-1</v>
      </c>
      <c r="G599" s="1128"/>
      <c r="H599" s="542"/>
      <c r="I599" s="319" t="s">
        <v>1417</v>
      </c>
      <c r="J599" s="494" t="s">
        <v>3400</v>
      </c>
      <c r="K599" s="132" t="s">
        <v>1905</v>
      </c>
    </row>
    <row r="600" spans="1:37" ht="62.4" x14ac:dyDescent="0.3">
      <c r="B600" s="31" t="s">
        <v>3116</v>
      </c>
      <c r="C600" s="130" t="s">
        <v>372</v>
      </c>
      <c r="D600" s="43" t="s">
        <v>320</v>
      </c>
      <c r="E600" s="126" t="s">
        <v>510</v>
      </c>
      <c r="F600" s="504">
        <v>2.5</v>
      </c>
      <c r="G600" s="248" t="s">
        <v>3475</v>
      </c>
      <c r="H600" s="542" t="s">
        <v>3476</v>
      </c>
      <c r="I600" s="319" t="s">
        <v>934</v>
      </c>
      <c r="J600" s="494" t="s">
        <v>3477</v>
      </c>
      <c r="K600" s="132" t="s">
        <v>1905</v>
      </c>
    </row>
    <row r="601" spans="1:37" ht="46.8" x14ac:dyDescent="0.3">
      <c r="B601" s="31" t="s">
        <v>3116</v>
      </c>
      <c r="C601" s="130" t="s">
        <v>372</v>
      </c>
      <c r="D601" s="43" t="s">
        <v>320</v>
      </c>
      <c r="E601" s="126" t="s">
        <v>510</v>
      </c>
      <c r="F601" s="1127">
        <f>-F591</f>
        <v>-1</v>
      </c>
      <c r="G601" s="1128"/>
      <c r="H601" s="542"/>
      <c r="I601" s="151" t="s">
        <v>1417</v>
      </c>
      <c r="J601" s="494" t="s">
        <v>3477</v>
      </c>
      <c r="K601" s="132" t="s">
        <v>1905</v>
      </c>
    </row>
    <row r="602" spans="1:37" ht="7.35" customHeight="1" x14ac:dyDescent="0.3">
      <c r="B602" s="31" t="s">
        <v>3116</v>
      </c>
      <c r="C602" s="130" t="s">
        <v>372</v>
      </c>
      <c r="D602" s="43" t="s">
        <v>320</v>
      </c>
      <c r="E602" s="126" t="s">
        <v>510</v>
      </c>
      <c r="F602" s="504">
        <v>2.5</v>
      </c>
      <c r="G602" s="248" t="s">
        <v>3543</v>
      </c>
      <c r="H602" s="542" t="s">
        <v>3473</v>
      </c>
      <c r="I602" s="151" t="s">
        <v>934</v>
      </c>
      <c r="J602" s="494" t="s">
        <v>3544</v>
      </c>
      <c r="K602" s="132" t="s">
        <v>1905</v>
      </c>
    </row>
    <row r="603" spans="1:37" s="58" customFormat="1" ht="46.8" x14ac:dyDescent="0.3">
      <c r="A603" s="132"/>
      <c r="B603" s="31" t="s">
        <v>3116</v>
      </c>
      <c r="C603" s="130" t="s">
        <v>372</v>
      </c>
      <c r="D603" s="43" t="s">
        <v>320</v>
      </c>
      <c r="E603" s="126" t="s">
        <v>510</v>
      </c>
      <c r="F603" s="1127">
        <f>-F590</f>
        <v>-1</v>
      </c>
      <c r="G603" s="1128"/>
      <c r="H603" s="542"/>
      <c r="I603" s="319" t="s">
        <v>1417</v>
      </c>
      <c r="J603" s="494" t="s">
        <v>3544</v>
      </c>
      <c r="K603" s="132" t="s">
        <v>1905</v>
      </c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2"/>
      <c r="AC603" s="132"/>
      <c r="AD603" s="132"/>
      <c r="AE603" s="132"/>
      <c r="AF603" s="132"/>
      <c r="AG603" s="132"/>
      <c r="AH603" s="132"/>
      <c r="AI603" s="132"/>
      <c r="AJ603" s="132"/>
      <c r="AK603" s="132"/>
    </row>
    <row r="604" spans="1:37" s="58" customFormat="1" ht="46.8" x14ac:dyDescent="0.3">
      <c r="A604" s="132"/>
      <c r="B604" s="31" t="s">
        <v>3116</v>
      </c>
      <c r="C604" s="130" t="s">
        <v>372</v>
      </c>
      <c r="D604" s="43" t="s">
        <v>320</v>
      </c>
      <c r="E604" s="126" t="s">
        <v>510</v>
      </c>
      <c r="F604" s="504">
        <v>2.5</v>
      </c>
      <c r="G604" s="248" t="s">
        <v>3626</v>
      </c>
      <c r="H604" s="542" t="s">
        <v>3627</v>
      </c>
      <c r="I604" s="319" t="s">
        <v>1302</v>
      </c>
      <c r="J604" s="494" t="s">
        <v>3628</v>
      </c>
      <c r="K604" s="132" t="s">
        <v>1905</v>
      </c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  <c r="AC604" s="132"/>
      <c r="AD604" s="132"/>
      <c r="AE604" s="132"/>
      <c r="AF604" s="132"/>
      <c r="AG604" s="132"/>
      <c r="AH604" s="132"/>
      <c r="AI604" s="132"/>
      <c r="AJ604" s="132"/>
      <c r="AK604" s="132"/>
    </row>
    <row r="605" spans="1:37" ht="46.8" x14ac:dyDescent="0.3">
      <c r="B605" s="31" t="s">
        <v>3116</v>
      </c>
      <c r="C605" s="130" t="s">
        <v>372</v>
      </c>
      <c r="D605" s="43" t="s">
        <v>320</v>
      </c>
      <c r="E605" s="126" t="s">
        <v>510</v>
      </c>
      <c r="F605" s="1127">
        <f>-F596</f>
        <v>-2.4849999999999999</v>
      </c>
      <c r="G605" s="1128"/>
      <c r="H605" s="542"/>
      <c r="I605" s="319" t="s">
        <v>1417</v>
      </c>
      <c r="J605" s="494" t="s">
        <v>3628</v>
      </c>
      <c r="K605" s="132" t="s">
        <v>1905</v>
      </c>
    </row>
    <row r="606" spans="1:37" s="58" customFormat="1" ht="62.4" x14ac:dyDescent="0.3">
      <c r="A606" s="132"/>
      <c r="B606" s="31" t="s">
        <v>3116</v>
      </c>
      <c r="C606" s="130" t="s">
        <v>372</v>
      </c>
      <c r="D606" s="43" t="s">
        <v>320</v>
      </c>
      <c r="E606" s="126" t="s">
        <v>510</v>
      </c>
      <c r="F606" s="504">
        <v>2.5</v>
      </c>
      <c r="G606" s="248" t="s">
        <v>3676</v>
      </c>
      <c r="H606" s="542" t="s">
        <v>3677</v>
      </c>
      <c r="I606" s="319" t="s">
        <v>1302</v>
      </c>
      <c r="J606" s="494" t="s">
        <v>3678</v>
      </c>
      <c r="K606" s="132" t="s">
        <v>1905</v>
      </c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2"/>
      <c r="AC606" s="132"/>
      <c r="AD606" s="132"/>
      <c r="AE606" s="132"/>
      <c r="AF606" s="132"/>
      <c r="AG606" s="132"/>
      <c r="AH606" s="132"/>
      <c r="AI606" s="132"/>
      <c r="AJ606" s="132"/>
      <c r="AK606" s="132"/>
    </row>
    <row r="607" spans="1:37" s="58" customFormat="1" ht="46.8" x14ac:dyDescent="0.3">
      <c r="A607" s="132"/>
      <c r="B607" s="31" t="s">
        <v>3116</v>
      </c>
      <c r="C607" s="130" t="s">
        <v>372</v>
      </c>
      <c r="D607" s="43" t="s">
        <v>320</v>
      </c>
      <c r="E607" s="126" t="s">
        <v>510</v>
      </c>
      <c r="F607" s="1127">
        <f>-F596</f>
        <v>-2.4849999999999999</v>
      </c>
      <c r="G607" s="1128"/>
      <c r="H607" s="542"/>
      <c r="I607" s="319" t="s">
        <v>1417</v>
      </c>
      <c r="J607" s="494" t="s">
        <v>3678</v>
      </c>
      <c r="K607" s="132" t="s">
        <v>1905</v>
      </c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2"/>
      <c r="AC607" s="132"/>
      <c r="AD607" s="132"/>
      <c r="AE607" s="132"/>
      <c r="AF607" s="132"/>
      <c r="AG607" s="132"/>
      <c r="AH607" s="132"/>
      <c r="AI607" s="132"/>
      <c r="AJ607" s="132"/>
      <c r="AK607" s="132"/>
    </row>
    <row r="608" spans="1:37" ht="46.8" x14ac:dyDescent="0.3">
      <c r="B608" s="31" t="s">
        <v>3058</v>
      </c>
      <c r="C608" s="130" t="s">
        <v>369</v>
      </c>
      <c r="D608" s="43" t="s">
        <v>190</v>
      </c>
      <c r="E608" s="126" t="s">
        <v>510</v>
      </c>
      <c r="F608" s="1127">
        <v>1</v>
      </c>
      <c r="G608" s="126" t="s">
        <v>3085</v>
      </c>
      <c r="H608" s="304">
        <v>46008</v>
      </c>
      <c r="I608" s="319" t="s">
        <v>1417</v>
      </c>
      <c r="J608" s="494" t="s">
        <v>3054</v>
      </c>
      <c r="K608" s="132" t="s">
        <v>3054</v>
      </c>
    </row>
    <row r="609" spans="1:37" ht="62.4" x14ac:dyDescent="0.3">
      <c r="B609" s="31" t="s">
        <v>3087</v>
      </c>
      <c r="C609" s="130" t="s">
        <v>3088</v>
      </c>
      <c r="D609" s="43" t="s">
        <v>190</v>
      </c>
      <c r="E609" s="126" t="s">
        <v>510</v>
      </c>
      <c r="F609" s="504">
        <v>1</v>
      </c>
      <c r="G609" s="126" t="s">
        <v>3114</v>
      </c>
      <c r="H609" s="304">
        <v>46013</v>
      </c>
      <c r="I609" s="319" t="s">
        <v>1417</v>
      </c>
      <c r="J609" s="494" t="s">
        <v>3054</v>
      </c>
      <c r="K609" s="132" t="s">
        <v>3054</v>
      </c>
      <c r="L609" s="58"/>
    </row>
    <row r="610" spans="1:37" ht="46.8" x14ac:dyDescent="0.3">
      <c r="B610" s="31" t="s">
        <v>3116</v>
      </c>
      <c r="C610" s="130" t="s">
        <v>372</v>
      </c>
      <c r="D610" s="43" t="s">
        <v>320</v>
      </c>
      <c r="E610" s="126" t="s">
        <v>510</v>
      </c>
      <c r="F610" s="504">
        <v>4.4800000000000004</v>
      </c>
      <c r="G610" s="587" t="s">
        <v>3193</v>
      </c>
      <c r="H610" s="585" t="s">
        <v>3194</v>
      </c>
      <c r="I610" s="319" t="s">
        <v>1417</v>
      </c>
      <c r="J610" s="494" t="s">
        <v>3195</v>
      </c>
      <c r="K610" s="132" t="s">
        <v>3054</v>
      </c>
    </row>
    <row r="611" spans="1:37" ht="46.8" x14ac:dyDescent="0.3">
      <c r="B611" s="31" t="s">
        <v>3116</v>
      </c>
      <c r="C611" s="130" t="s">
        <v>372</v>
      </c>
      <c r="D611" s="43" t="s">
        <v>320</v>
      </c>
      <c r="E611" s="126" t="s">
        <v>510</v>
      </c>
      <c r="F611" s="504">
        <v>2.5</v>
      </c>
      <c r="G611" s="1128" t="s">
        <v>3271</v>
      </c>
      <c r="H611" s="542" t="s">
        <v>3272</v>
      </c>
      <c r="I611" s="319" t="s">
        <v>1417</v>
      </c>
      <c r="J611" s="494" t="s">
        <v>3273</v>
      </c>
      <c r="K611" s="132" t="s">
        <v>3054</v>
      </c>
    </row>
    <row r="612" spans="1:37" ht="46.8" x14ac:dyDescent="0.3">
      <c r="B612" s="31" t="s">
        <v>3116</v>
      </c>
      <c r="C612" s="130" t="s">
        <v>372</v>
      </c>
      <c r="D612" s="43" t="s">
        <v>320</v>
      </c>
      <c r="E612" s="126" t="s">
        <v>510</v>
      </c>
      <c r="F612" s="504">
        <v>2.5</v>
      </c>
      <c r="G612" s="1128" t="s">
        <v>3344</v>
      </c>
      <c r="H612" s="542" t="s">
        <v>3345</v>
      </c>
      <c r="I612" s="319" t="s">
        <v>1417</v>
      </c>
      <c r="J612" s="494" t="s">
        <v>3346</v>
      </c>
      <c r="K612" s="132" t="s">
        <v>3054</v>
      </c>
    </row>
    <row r="613" spans="1:37" ht="62.4" x14ac:dyDescent="0.3">
      <c r="B613" s="31" t="s">
        <v>3116</v>
      </c>
      <c r="C613" s="130" t="s">
        <v>372</v>
      </c>
      <c r="D613" s="43" t="s">
        <v>320</v>
      </c>
      <c r="E613" s="126" t="s">
        <v>510</v>
      </c>
      <c r="F613" s="504">
        <v>2.5</v>
      </c>
      <c r="G613" s="1128" t="s">
        <v>3422</v>
      </c>
      <c r="H613" s="542" t="s">
        <v>3423</v>
      </c>
      <c r="I613" s="319" t="s">
        <v>1417</v>
      </c>
      <c r="J613" s="494" t="s">
        <v>3424</v>
      </c>
      <c r="K613" s="132" t="s">
        <v>3054</v>
      </c>
    </row>
    <row r="614" spans="1:37" ht="46.8" x14ac:dyDescent="0.3">
      <c r="B614" s="31" t="s">
        <v>3116</v>
      </c>
      <c r="C614" s="130" t="s">
        <v>372</v>
      </c>
      <c r="D614" s="43" t="s">
        <v>320</v>
      </c>
      <c r="E614" s="126" t="s">
        <v>510</v>
      </c>
      <c r="F614" s="504">
        <v>2.5</v>
      </c>
      <c r="G614" s="1128" t="s">
        <v>3500</v>
      </c>
      <c r="H614" s="542" t="s">
        <v>3501</v>
      </c>
      <c r="I614" s="319" t="s">
        <v>1417</v>
      </c>
      <c r="J614" s="494" t="s">
        <v>3502</v>
      </c>
      <c r="K614" s="132" t="s">
        <v>3054</v>
      </c>
    </row>
    <row r="615" spans="1:37" ht="62.4" x14ac:dyDescent="0.3">
      <c r="B615" s="31" t="s">
        <v>3116</v>
      </c>
      <c r="C615" s="130" t="s">
        <v>372</v>
      </c>
      <c r="D615" s="43" t="s">
        <v>320</v>
      </c>
      <c r="E615" s="126" t="s">
        <v>510</v>
      </c>
      <c r="F615" s="504">
        <v>2.5</v>
      </c>
      <c r="G615" s="1128" t="s">
        <v>3575</v>
      </c>
      <c r="H615" s="542" t="s">
        <v>3576</v>
      </c>
      <c r="I615" s="319" t="s">
        <v>1417</v>
      </c>
      <c r="J615" s="494" t="s">
        <v>3577</v>
      </c>
      <c r="K615" s="132" t="s">
        <v>3054</v>
      </c>
    </row>
    <row r="616" spans="1:37" ht="62.4" x14ac:dyDescent="0.3">
      <c r="B616" s="31" t="s">
        <v>3116</v>
      </c>
      <c r="C616" s="130" t="s">
        <v>372</v>
      </c>
      <c r="D616" s="43" t="s">
        <v>320</v>
      </c>
      <c r="E616" s="126" t="s">
        <v>510</v>
      </c>
      <c r="F616" s="504">
        <v>2.5</v>
      </c>
      <c r="G616" s="1128" t="s">
        <v>3650</v>
      </c>
      <c r="H616" s="542" t="s">
        <v>3269</v>
      </c>
      <c r="I616" s="319" t="s">
        <v>1417</v>
      </c>
      <c r="J616" s="494" t="s">
        <v>3651</v>
      </c>
      <c r="K616" s="132" t="s">
        <v>3054</v>
      </c>
    </row>
    <row r="617" spans="1:37" ht="46.8" x14ac:dyDescent="0.3">
      <c r="B617" s="31" t="s">
        <v>3116</v>
      </c>
      <c r="C617" s="130" t="s">
        <v>372</v>
      </c>
      <c r="D617" s="43" t="s">
        <v>320</v>
      </c>
      <c r="E617" s="126" t="s">
        <v>510</v>
      </c>
      <c r="F617" s="504">
        <v>2.5</v>
      </c>
      <c r="G617" s="587" t="s">
        <v>3679</v>
      </c>
      <c r="H617" s="585" t="s">
        <v>3680</v>
      </c>
      <c r="I617" s="784" t="s">
        <v>1315</v>
      </c>
      <c r="J617" s="494" t="s">
        <v>3681</v>
      </c>
      <c r="K617" s="132" t="s">
        <v>3054</v>
      </c>
    </row>
    <row r="618" spans="1:37" ht="62.4" x14ac:dyDescent="0.3">
      <c r="B618" s="31" t="s">
        <v>3116</v>
      </c>
      <c r="C618" s="130" t="s">
        <v>372</v>
      </c>
      <c r="D618" s="43" t="s">
        <v>320</v>
      </c>
      <c r="E618" s="126" t="s">
        <v>510</v>
      </c>
      <c r="F618" s="504">
        <f>2.5+0.82</f>
        <v>3.32</v>
      </c>
      <c r="G618" s="587" t="s">
        <v>3793</v>
      </c>
      <c r="H618" s="585" t="s">
        <v>3507</v>
      </c>
      <c r="I618" s="784" t="s">
        <v>1315</v>
      </c>
      <c r="J618" s="494" t="s">
        <v>3794</v>
      </c>
      <c r="K618" s="132" t="s">
        <v>3054</v>
      </c>
    </row>
    <row r="619" spans="1:37" ht="62.4" x14ac:dyDescent="0.3">
      <c r="B619" s="31" t="s">
        <v>3116</v>
      </c>
      <c r="C619" s="130" t="s">
        <v>372</v>
      </c>
      <c r="D619" s="43" t="s">
        <v>320</v>
      </c>
      <c r="E619" s="126" t="s">
        <v>510</v>
      </c>
      <c r="F619" s="504">
        <v>2.5</v>
      </c>
      <c r="G619" s="587" t="s">
        <v>3862</v>
      </c>
      <c r="H619" s="585" t="s">
        <v>3863</v>
      </c>
      <c r="I619" s="784" t="s">
        <v>946</v>
      </c>
      <c r="J619" s="494" t="s">
        <v>3864</v>
      </c>
      <c r="K619" s="132" t="s">
        <v>3054</v>
      </c>
    </row>
    <row r="620" spans="1:37" ht="46.8" x14ac:dyDescent="0.3">
      <c r="B620" s="31" t="s">
        <v>3116</v>
      </c>
      <c r="C620" s="130" t="s">
        <v>372</v>
      </c>
      <c r="D620" s="43" t="s">
        <v>320</v>
      </c>
      <c r="E620" s="126" t="s">
        <v>510</v>
      </c>
      <c r="F620" s="504">
        <v>2.5</v>
      </c>
      <c r="G620" s="587" t="s">
        <v>3930</v>
      </c>
      <c r="H620" s="585" t="s">
        <v>3931</v>
      </c>
      <c r="I620" s="784" t="s">
        <v>946</v>
      </c>
      <c r="J620" s="494" t="s">
        <v>3932</v>
      </c>
      <c r="K620" s="132" t="s">
        <v>3054</v>
      </c>
    </row>
    <row r="621" spans="1:37" ht="46.8" x14ac:dyDescent="0.3">
      <c r="B621" s="31" t="s">
        <v>3116</v>
      </c>
      <c r="C621" s="130" t="s">
        <v>372</v>
      </c>
      <c r="D621" s="43" t="s">
        <v>320</v>
      </c>
      <c r="E621" s="126" t="s">
        <v>510</v>
      </c>
      <c r="F621" s="504">
        <v>2.5</v>
      </c>
      <c r="G621" s="248" t="s">
        <v>4000</v>
      </c>
      <c r="H621" s="585" t="s">
        <v>4001</v>
      </c>
      <c r="I621" s="784" t="s">
        <v>946</v>
      </c>
      <c r="J621" s="494" t="s">
        <v>4002</v>
      </c>
      <c r="K621" s="132" t="s">
        <v>3054</v>
      </c>
    </row>
    <row r="622" spans="1:37" ht="46.8" x14ac:dyDescent="0.3">
      <c r="B622" s="31" t="s">
        <v>3116</v>
      </c>
      <c r="C622" s="130" t="s">
        <v>372</v>
      </c>
      <c r="D622" s="43" t="s">
        <v>320</v>
      </c>
      <c r="E622" s="126" t="s">
        <v>510</v>
      </c>
      <c r="F622" s="504">
        <v>2.8</v>
      </c>
      <c r="G622" s="587" t="s">
        <v>4076</v>
      </c>
      <c r="H622" s="585" t="s">
        <v>4077</v>
      </c>
      <c r="I622" s="784" t="s">
        <v>1053</v>
      </c>
      <c r="J622" s="494" t="s">
        <v>4078</v>
      </c>
      <c r="K622" s="132" t="s">
        <v>3054</v>
      </c>
    </row>
    <row r="623" spans="1:37" ht="6.6" customHeight="1" x14ac:dyDescent="0.3">
      <c r="B623" s="31" t="s">
        <v>3116</v>
      </c>
      <c r="C623" s="130" t="s">
        <v>372</v>
      </c>
      <c r="D623" s="43" t="s">
        <v>320</v>
      </c>
      <c r="E623" s="126" t="s">
        <v>510</v>
      </c>
      <c r="F623" s="504">
        <v>2.2000000000000002</v>
      </c>
      <c r="G623" s="587" t="s">
        <v>4146</v>
      </c>
      <c r="H623" s="585" t="s">
        <v>4147</v>
      </c>
      <c r="I623" s="588" t="s">
        <v>1053</v>
      </c>
      <c r="J623" s="494" t="s">
        <v>4148</v>
      </c>
      <c r="K623" s="132" t="s">
        <v>3054</v>
      </c>
    </row>
    <row r="624" spans="1:37" s="58" customFormat="1" ht="46.8" x14ac:dyDescent="0.3">
      <c r="A624" s="132"/>
      <c r="B624" s="31" t="s">
        <v>3116</v>
      </c>
      <c r="C624" s="130" t="s">
        <v>372</v>
      </c>
      <c r="D624" s="43" t="s">
        <v>320</v>
      </c>
      <c r="E624" s="126" t="s">
        <v>510</v>
      </c>
      <c r="F624" s="504">
        <v>2.8</v>
      </c>
      <c r="G624" s="587" t="s">
        <v>4218</v>
      </c>
      <c r="H624" s="585" t="s">
        <v>4219</v>
      </c>
      <c r="I624" s="784" t="s">
        <v>1053</v>
      </c>
      <c r="J624" s="494" t="s">
        <v>4220</v>
      </c>
      <c r="K624" s="132" t="s">
        <v>3054</v>
      </c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2"/>
      <c r="AC624" s="132"/>
      <c r="AD624" s="132"/>
      <c r="AE624" s="132"/>
      <c r="AF624" s="132"/>
      <c r="AG624" s="132"/>
      <c r="AH624" s="132"/>
      <c r="AI624" s="132"/>
      <c r="AJ624" s="132"/>
      <c r="AK624" s="132"/>
    </row>
    <row r="625" spans="1:37" s="58" customFormat="1" ht="46.8" x14ac:dyDescent="0.3">
      <c r="A625" s="132"/>
      <c r="B625" s="31" t="s">
        <v>3116</v>
      </c>
      <c r="C625" s="130" t="s">
        <v>372</v>
      </c>
      <c r="D625" s="43" t="s">
        <v>320</v>
      </c>
      <c r="E625" s="126" t="s">
        <v>510</v>
      </c>
      <c r="F625" s="504">
        <v>2.5</v>
      </c>
      <c r="G625" s="587" t="s">
        <v>4288</v>
      </c>
      <c r="H625" s="585" t="s">
        <v>4289</v>
      </c>
      <c r="I625" s="784" t="s">
        <v>1579</v>
      </c>
      <c r="J625" s="494" t="s">
        <v>4290</v>
      </c>
      <c r="K625" s="132" t="s">
        <v>3054</v>
      </c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2"/>
      <c r="AC625" s="132"/>
      <c r="AD625" s="132"/>
      <c r="AE625" s="132"/>
      <c r="AF625" s="132"/>
      <c r="AG625" s="132"/>
      <c r="AH625" s="132"/>
      <c r="AI625" s="132"/>
      <c r="AJ625" s="132"/>
      <c r="AK625" s="132"/>
    </row>
    <row r="626" spans="1:37" s="58" customFormat="1" ht="46.8" x14ac:dyDescent="0.3">
      <c r="A626" s="132"/>
      <c r="B626" s="31" t="s">
        <v>3116</v>
      </c>
      <c r="C626" s="130" t="s">
        <v>372</v>
      </c>
      <c r="D626" s="43" t="s">
        <v>320</v>
      </c>
      <c r="E626" s="126" t="s">
        <v>510</v>
      </c>
      <c r="F626" s="504">
        <v>2.5</v>
      </c>
      <c r="G626" s="587" t="s">
        <v>4356</v>
      </c>
      <c r="H626" s="585" t="s">
        <v>4357</v>
      </c>
      <c r="I626" s="784" t="s">
        <v>1579</v>
      </c>
      <c r="J626" s="494" t="s">
        <v>4358</v>
      </c>
      <c r="K626" s="132" t="s">
        <v>3054</v>
      </c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  <c r="AC626" s="132"/>
      <c r="AD626" s="132"/>
      <c r="AE626" s="132"/>
      <c r="AF626" s="132"/>
      <c r="AG626" s="132"/>
      <c r="AH626" s="132"/>
      <c r="AI626" s="132"/>
      <c r="AJ626" s="132"/>
      <c r="AK626" s="132"/>
    </row>
    <row r="627" spans="1:37" ht="62.4" x14ac:dyDescent="0.3">
      <c r="B627" s="31" t="s">
        <v>3116</v>
      </c>
      <c r="C627" s="130" t="s">
        <v>372</v>
      </c>
      <c r="D627" s="43" t="s">
        <v>320</v>
      </c>
      <c r="E627" s="126" t="s">
        <v>510</v>
      </c>
      <c r="F627" s="504">
        <v>2.5</v>
      </c>
      <c r="G627" s="587" t="s">
        <v>4418</v>
      </c>
      <c r="H627" s="585" t="s">
        <v>4225</v>
      </c>
      <c r="I627" s="784" t="s">
        <v>949</v>
      </c>
      <c r="J627" s="494" t="s">
        <v>4419</v>
      </c>
      <c r="K627" s="132" t="s">
        <v>3054</v>
      </c>
    </row>
    <row r="628" spans="1:37" ht="46.8" x14ac:dyDescent="0.3">
      <c r="B628" s="31" t="s">
        <v>3058</v>
      </c>
      <c r="C628" s="130" t="s">
        <v>369</v>
      </c>
      <c r="D628" s="43" t="s">
        <v>190</v>
      </c>
      <c r="E628" s="126" t="s">
        <v>510</v>
      </c>
      <c r="F628" s="504">
        <v>1</v>
      </c>
      <c r="G628" s="126" t="s">
        <v>3076</v>
      </c>
      <c r="H628" s="304">
        <v>45677</v>
      </c>
      <c r="I628" s="319" t="s">
        <v>1326</v>
      </c>
      <c r="J628" s="494" t="s">
        <v>1906</v>
      </c>
      <c r="K628" s="132" t="s">
        <v>1906</v>
      </c>
    </row>
    <row r="629" spans="1:37" ht="62.4" x14ac:dyDescent="0.3">
      <c r="B629" s="31" t="s">
        <v>3087</v>
      </c>
      <c r="C629" s="130" t="s">
        <v>3088</v>
      </c>
      <c r="D629" s="43" t="s">
        <v>190</v>
      </c>
      <c r="E629" s="126" t="s">
        <v>510</v>
      </c>
      <c r="F629" s="504">
        <v>1</v>
      </c>
      <c r="G629" s="126" t="s">
        <v>3104</v>
      </c>
      <c r="H629" s="304">
        <v>45684</v>
      </c>
      <c r="I629" s="319" t="s">
        <v>1326</v>
      </c>
      <c r="J629" s="494" t="s">
        <v>1906</v>
      </c>
      <c r="K629" s="132" t="s">
        <v>1906</v>
      </c>
      <c r="L629" s="58"/>
    </row>
    <row r="630" spans="1:37" ht="46.8" x14ac:dyDescent="0.3">
      <c r="B630" s="31" t="s">
        <v>3116</v>
      </c>
      <c r="C630" s="130" t="s">
        <v>372</v>
      </c>
      <c r="D630" s="43" t="s">
        <v>320</v>
      </c>
      <c r="E630" s="126" t="s">
        <v>510</v>
      </c>
      <c r="F630" s="504">
        <v>6.2</v>
      </c>
      <c r="G630" s="248" t="s">
        <v>3169</v>
      </c>
      <c r="H630" s="542" t="s">
        <v>3170</v>
      </c>
      <c r="I630" s="319" t="s">
        <v>1250</v>
      </c>
      <c r="J630" s="494" t="s">
        <v>3171</v>
      </c>
      <c r="K630" s="132" t="s">
        <v>1906</v>
      </c>
    </row>
    <row r="631" spans="1:37" ht="46.8" x14ac:dyDescent="0.3">
      <c r="B631" s="31" t="s">
        <v>3116</v>
      </c>
      <c r="C631" s="130" t="s">
        <v>372</v>
      </c>
      <c r="D631" s="43" t="s">
        <v>320</v>
      </c>
      <c r="E631" s="126" t="s">
        <v>510</v>
      </c>
      <c r="F631" s="504">
        <v>2.66</v>
      </c>
      <c r="G631" s="248" t="s">
        <v>3242</v>
      </c>
      <c r="H631" s="542" t="s">
        <v>3240</v>
      </c>
      <c r="I631" s="319" t="s">
        <v>1250</v>
      </c>
      <c r="J631" s="494" t="s">
        <v>3243</v>
      </c>
      <c r="K631" s="132" t="s">
        <v>1906</v>
      </c>
    </row>
    <row r="632" spans="1:37" ht="46.8" x14ac:dyDescent="0.3">
      <c r="B632" s="31" t="s">
        <v>3116</v>
      </c>
      <c r="C632" s="130" t="s">
        <v>372</v>
      </c>
      <c r="D632" s="43" t="s">
        <v>320</v>
      </c>
      <c r="E632" s="126" t="s">
        <v>510</v>
      </c>
      <c r="F632" s="504">
        <v>2.4900000000000002</v>
      </c>
      <c r="G632" s="248" t="s">
        <v>3330</v>
      </c>
      <c r="H632" s="542" t="s">
        <v>3331</v>
      </c>
      <c r="I632" s="319" t="s">
        <v>934</v>
      </c>
      <c r="J632" s="494" t="s">
        <v>3332</v>
      </c>
      <c r="K632" s="132" t="s">
        <v>1906</v>
      </c>
    </row>
    <row r="633" spans="1:37" ht="62.4" x14ac:dyDescent="0.3">
      <c r="B633" s="31" t="s">
        <v>3116</v>
      </c>
      <c r="C633" s="130" t="s">
        <v>372</v>
      </c>
      <c r="D633" s="43" t="s">
        <v>320</v>
      </c>
      <c r="E633" s="126" t="s">
        <v>510</v>
      </c>
      <c r="F633" s="504">
        <v>2.5</v>
      </c>
      <c r="G633" s="248" t="s">
        <v>3401</v>
      </c>
      <c r="H633" s="542" t="s">
        <v>3402</v>
      </c>
      <c r="I633" s="319" t="s">
        <v>934</v>
      </c>
      <c r="J633" s="494" t="s">
        <v>3403</v>
      </c>
      <c r="K633" s="132" t="s">
        <v>1906</v>
      </c>
    </row>
    <row r="634" spans="1:37" ht="15.6" x14ac:dyDescent="0.3">
      <c r="B634" s="31" t="s">
        <v>3116</v>
      </c>
      <c r="C634" s="130" t="s">
        <v>372</v>
      </c>
      <c r="D634" s="43" t="s">
        <v>320</v>
      </c>
      <c r="E634" s="126" t="s">
        <v>510</v>
      </c>
      <c r="F634" s="504">
        <v>2.5</v>
      </c>
      <c r="G634" s="248" t="s">
        <v>3478</v>
      </c>
      <c r="H634" s="542" t="s">
        <v>3473</v>
      </c>
      <c r="I634" s="319" t="s">
        <v>934</v>
      </c>
      <c r="J634" s="494" t="s">
        <v>3479</v>
      </c>
      <c r="K634" s="132" t="s">
        <v>1906</v>
      </c>
    </row>
    <row r="635" spans="1:37" ht="62.4" x14ac:dyDescent="0.3">
      <c r="B635" s="31" t="s">
        <v>3116</v>
      </c>
      <c r="C635" s="130" t="s">
        <v>372</v>
      </c>
      <c r="D635" s="43" t="s">
        <v>320</v>
      </c>
      <c r="E635" s="126" t="s">
        <v>510</v>
      </c>
      <c r="F635" s="504">
        <v>2.5</v>
      </c>
      <c r="G635" s="248" t="s">
        <v>3561</v>
      </c>
      <c r="H635" s="542" t="s">
        <v>3553</v>
      </c>
      <c r="I635" s="319" t="s">
        <v>1302</v>
      </c>
      <c r="J635" s="494" t="s">
        <v>3562</v>
      </c>
      <c r="K635" s="132" t="s">
        <v>1906</v>
      </c>
    </row>
    <row r="636" spans="1:37" ht="46.8" x14ac:dyDescent="0.3">
      <c r="B636" s="31" t="s">
        <v>3116</v>
      </c>
      <c r="C636" s="130" t="s">
        <v>372</v>
      </c>
      <c r="D636" s="43" t="s">
        <v>320</v>
      </c>
      <c r="E636" s="126" t="s">
        <v>510</v>
      </c>
      <c r="F636" s="504">
        <v>2.5</v>
      </c>
      <c r="G636" s="248" t="s">
        <v>3629</v>
      </c>
      <c r="H636" s="542" t="s">
        <v>3630</v>
      </c>
      <c r="I636" s="319" t="s">
        <v>1302</v>
      </c>
      <c r="J636" s="494" t="s">
        <v>3631</v>
      </c>
      <c r="K636" s="132" t="s">
        <v>1906</v>
      </c>
    </row>
    <row r="637" spans="1:37" ht="46.8" x14ac:dyDescent="0.3">
      <c r="B637" s="31" t="s">
        <v>3116</v>
      </c>
      <c r="C637" s="130" t="s">
        <v>372</v>
      </c>
      <c r="D637" s="43" t="s">
        <v>320</v>
      </c>
      <c r="E637" s="126" t="s">
        <v>510</v>
      </c>
      <c r="F637" s="504">
        <v>2.5</v>
      </c>
      <c r="G637" s="248" t="s">
        <v>3682</v>
      </c>
      <c r="H637" s="542" t="s">
        <v>3683</v>
      </c>
      <c r="I637" s="151" t="s">
        <v>1302</v>
      </c>
      <c r="J637" s="494" t="s">
        <v>3684</v>
      </c>
      <c r="K637" s="132" t="s">
        <v>1906</v>
      </c>
    </row>
    <row r="638" spans="1:37" ht="46.8" x14ac:dyDescent="0.3">
      <c r="B638" s="31" t="s">
        <v>3116</v>
      </c>
      <c r="C638" s="130" t="s">
        <v>372</v>
      </c>
      <c r="D638" s="43" t="s">
        <v>320</v>
      </c>
      <c r="E638" s="126" t="s">
        <v>510</v>
      </c>
      <c r="F638" s="504">
        <v>2.5</v>
      </c>
      <c r="G638" s="248" t="s">
        <v>3772</v>
      </c>
      <c r="H638" s="542" t="s">
        <v>3773</v>
      </c>
      <c r="I638" s="151" t="s">
        <v>97</v>
      </c>
      <c r="J638" s="494" t="s">
        <v>3774</v>
      </c>
      <c r="K638" s="132" t="s">
        <v>1906</v>
      </c>
    </row>
    <row r="639" spans="1:37" ht="46.8" x14ac:dyDescent="0.3">
      <c r="B639" s="31" t="s">
        <v>3116</v>
      </c>
      <c r="C639" s="130" t="s">
        <v>372</v>
      </c>
      <c r="D639" s="43" t="s">
        <v>320</v>
      </c>
      <c r="E639" s="126" t="s">
        <v>510</v>
      </c>
      <c r="F639" s="504">
        <v>2.5</v>
      </c>
      <c r="G639" s="248" t="s">
        <v>3832</v>
      </c>
      <c r="H639" s="542" t="s">
        <v>3833</v>
      </c>
      <c r="I639" s="319" t="s">
        <v>97</v>
      </c>
      <c r="J639" s="494" t="s">
        <v>3834</v>
      </c>
      <c r="K639" s="132" t="s">
        <v>1906</v>
      </c>
    </row>
    <row r="640" spans="1:37" ht="46.8" x14ac:dyDescent="0.3">
      <c r="B640" s="31" t="s">
        <v>3116</v>
      </c>
      <c r="C640" s="130" t="s">
        <v>372</v>
      </c>
      <c r="D640" s="43" t="s">
        <v>320</v>
      </c>
      <c r="E640" s="126" t="s">
        <v>510</v>
      </c>
      <c r="F640" s="504">
        <v>2.5</v>
      </c>
      <c r="G640" s="248" t="s">
        <v>3898</v>
      </c>
      <c r="H640" s="542" t="s">
        <v>3899</v>
      </c>
      <c r="I640" s="319" t="s">
        <v>97</v>
      </c>
      <c r="J640" s="494" t="s">
        <v>3900</v>
      </c>
      <c r="K640" s="132" t="s">
        <v>1906</v>
      </c>
    </row>
    <row r="641" spans="1:37" ht="7.35" customHeight="1" x14ac:dyDescent="0.3">
      <c r="B641" s="31" t="s">
        <v>3116</v>
      </c>
      <c r="C641" s="130" t="s">
        <v>372</v>
      </c>
      <c r="D641" s="43" t="s">
        <v>320</v>
      </c>
      <c r="E641" s="126" t="s">
        <v>510</v>
      </c>
      <c r="F641" s="504">
        <v>2.34</v>
      </c>
      <c r="G641" s="248" t="s">
        <v>3987</v>
      </c>
      <c r="H641" s="542" t="s">
        <v>3988</v>
      </c>
      <c r="I641" s="151" t="s">
        <v>1026</v>
      </c>
      <c r="J641" s="494" t="s">
        <v>3989</v>
      </c>
      <c r="K641" s="132" t="s">
        <v>1906</v>
      </c>
    </row>
    <row r="642" spans="1:37" ht="46.8" x14ac:dyDescent="0.3">
      <c r="B642" s="31" t="s">
        <v>3116</v>
      </c>
      <c r="C642" s="130" t="s">
        <v>372</v>
      </c>
      <c r="D642" s="43" t="s">
        <v>320</v>
      </c>
      <c r="E642" s="126" t="s">
        <v>510</v>
      </c>
      <c r="F642" s="504">
        <v>3.17</v>
      </c>
      <c r="G642" s="248" t="s">
        <v>4058</v>
      </c>
      <c r="H642" s="542" t="s">
        <v>4059</v>
      </c>
      <c r="I642" s="319" t="s">
        <v>1282</v>
      </c>
      <c r="J642" s="494" t="s">
        <v>4060</v>
      </c>
      <c r="K642" s="132" t="s">
        <v>1906</v>
      </c>
    </row>
    <row r="643" spans="1:37" ht="46.8" x14ac:dyDescent="0.3">
      <c r="B643" s="31" t="s">
        <v>3116</v>
      </c>
      <c r="C643" s="130" t="s">
        <v>372</v>
      </c>
      <c r="D643" s="43" t="s">
        <v>320</v>
      </c>
      <c r="E643" s="126" t="s">
        <v>510</v>
      </c>
      <c r="F643" s="504">
        <v>2.5</v>
      </c>
      <c r="G643" s="587" t="s">
        <v>4135</v>
      </c>
      <c r="H643" s="542" t="s">
        <v>3573</v>
      </c>
      <c r="I643" s="319" t="s">
        <v>943</v>
      </c>
      <c r="J643" s="494" t="s">
        <v>4136</v>
      </c>
      <c r="K643" s="132" t="s">
        <v>1906</v>
      </c>
    </row>
    <row r="644" spans="1:37" ht="46.8" x14ac:dyDescent="0.3">
      <c r="B644" s="31" t="s">
        <v>3116</v>
      </c>
      <c r="C644" s="130" t="s">
        <v>372</v>
      </c>
      <c r="D644" s="43" t="s">
        <v>320</v>
      </c>
      <c r="E644" s="126" t="s">
        <v>510</v>
      </c>
      <c r="F644" s="504">
        <v>2.5</v>
      </c>
      <c r="G644" s="587" t="s">
        <v>4204</v>
      </c>
      <c r="H644" s="542" t="s">
        <v>4205</v>
      </c>
      <c r="I644" s="319" t="s">
        <v>943</v>
      </c>
      <c r="J644" s="494" t="s">
        <v>4206</v>
      </c>
      <c r="K644" s="132" t="s">
        <v>1906</v>
      </c>
    </row>
    <row r="645" spans="1:37" ht="62.4" x14ac:dyDescent="0.3">
      <c r="B645" s="31" t="s">
        <v>3116</v>
      </c>
      <c r="C645" s="130" t="s">
        <v>372</v>
      </c>
      <c r="D645" s="43" t="s">
        <v>320</v>
      </c>
      <c r="E645" s="126" t="s">
        <v>510</v>
      </c>
      <c r="F645" s="504">
        <v>2.5</v>
      </c>
      <c r="G645" s="587" t="s">
        <v>4275</v>
      </c>
      <c r="H645" s="542" t="s">
        <v>4141</v>
      </c>
      <c r="I645" s="319" t="s">
        <v>943</v>
      </c>
      <c r="J645" s="494" t="s">
        <v>4276</v>
      </c>
      <c r="K645" s="132" t="s">
        <v>1906</v>
      </c>
    </row>
    <row r="646" spans="1:37" ht="46.8" x14ac:dyDescent="0.3">
      <c r="B646" s="31" t="s">
        <v>3116</v>
      </c>
      <c r="C646" s="130" t="s">
        <v>372</v>
      </c>
      <c r="D646" s="43" t="s">
        <v>320</v>
      </c>
      <c r="E646" s="126" t="s">
        <v>510</v>
      </c>
      <c r="F646" s="504">
        <v>2.5</v>
      </c>
      <c r="G646" s="248" t="s">
        <v>4344</v>
      </c>
      <c r="H646" s="542" t="s">
        <v>4345</v>
      </c>
      <c r="I646" s="319" t="s">
        <v>1417</v>
      </c>
      <c r="J646" s="494" t="s">
        <v>4346</v>
      </c>
      <c r="K646" s="132" t="s">
        <v>1906</v>
      </c>
    </row>
    <row r="647" spans="1:37" ht="7.35" customHeight="1" x14ac:dyDescent="0.3">
      <c r="B647" s="31" t="s">
        <v>3116</v>
      </c>
      <c r="C647" s="130" t="s">
        <v>372</v>
      </c>
      <c r="D647" s="43" t="s">
        <v>320</v>
      </c>
      <c r="E647" s="126" t="s">
        <v>510</v>
      </c>
      <c r="F647" s="504">
        <v>2.5</v>
      </c>
      <c r="G647" s="587" t="s">
        <v>4413</v>
      </c>
      <c r="H647" s="585" t="s">
        <v>4414</v>
      </c>
      <c r="I647" s="588" t="s">
        <v>1315</v>
      </c>
      <c r="J647" s="494" t="s">
        <v>4415</v>
      </c>
      <c r="K647" s="132" t="s">
        <v>1906</v>
      </c>
    </row>
    <row r="648" spans="1:37" ht="62.4" x14ac:dyDescent="0.3">
      <c r="B648" s="31" t="s">
        <v>3116</v>
      </c>
      <c r="C648" s="130" t="s">
        <v>372</v>
      </c>
      <c r="D648" s="43" t="s">
        <v>320</v>
      </c>
      <c r="E648" s="126" t="s">
        <v>510</v>
      </c>
      <c r="F648" s="504">
        <v>2</v>
      </c>
      <c r="G648" s="587" t="s">
        <v>4470</v>
      </c>
      <c r="H648" s="585" t="s">
        <v>4471</v>
      </c>
      <c r="I648" s="784" t="s">
        <v>946</v>
      </c>
      <c r="J648" s="494" t="s">
        <v>4472</v>
      </c>
      <c r="K648" s="132" t="s">
        <v>1906</v>
      </c>
    </row>
    <row r="649" spans="1:37" ht="15.6" x14ac:dyDescent="0.3">
      <c r="B649" s="31" t="s">
        <v>3116</v>
      </c>
      <c r="C649" s="130" t="s">
        <v>372</v>
      </c>
      <c r="D649" s="43" t="s">
        <v>320</v>
      </c>
      <c r="E649" s="126" t="s">
        <v>510</v>
      </c>
      <c r="F649" s="504">
        <v>1.6</v>
      </c>
      <c r="G649" s="587" t="s">
        <v>4521</v>
      </c>
      <c r="H649" s="585" t="s">
        <v>4522</v>
      </c>
      <c r="I649" s="784" t="s">
        <v>1053</v>
      </c>
      <c r="J649" s="494" t="s">
        <v>4523</v>
      </c>
      <c r="K649" s="132" t="s">
        <v>1906</v>
      </c>
    </row>
    <row r="650" spans="1:37" s="58" customFormat="1" ht="15.6" x14ac:dyDescent="0.3">
      <c r="A650" s="132"/>
      <c r="B650" s="31" t="s">
        <v>3116</v>
      </c>
      <c r="C650" s="130" t="s">
        <v>372</v>
      </c>
      <c r="D650" s="43" t="s">
        <v>320</v>
      </c>
      <c r="E650" s="126" t="s">
        <v>510</v>
      </c>
      <c r="F650" s="504">
        <v>1.0900000000000001</v>
      </c>
      <c r="G650" s="587" t="s">
        <v>4564</v>
      </c>
      <c r="H650" s="585" t="s">
        <v>4565</v>
      </c>
      <c r="I650" s="784" t="s">
        <v>1579</v>
      </c>
      <c r="J650" s="494" t="s">
        <v>4566</v>
      </c>
      <c r="K650" s="132" t="s">
        <v>1906</v>
      </c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  <c r="AC650" s="132"/>
      <c r="AD650" s="132"/>
      <c r="AE650" s="132"/>
      <c r="AF650" s="132"/>
      <c r="AG650" s="132"/>
      <c r="AH650" s="132"/>
      <c r="AI650" s="132"/>
      <c r="AJ650" s="132"/>
      <c r="AK650" s="132"/>
    </row>
    <row r="651" spans="1:37" s="58" customFormat="1" ht="15.6" x14ac:dyDescent="0.3">
      <c r="A651" s="132"/>
      <c r="B651" s="31" t="s">
        <v>3058</v>
      </c>
      <c r="C651" s="130" t="s">
        <v>369</v>
      </c>
      <c r="D651" s="43" t="s">
        <v>190</v>
      </c>
      <c r="E651" s="126" t="s">
        <v>510</v>
      </c>
      <c r="F651" s="504">
        <v>1</v>
      </c>
      <c r="G651" s="126" t="s">
        <v>3071</v>
      </c>
      <c r="H651" s="304">
        <v>45635</v>
      </c>
      <c r="I651" s="319" t="s">
        <v>931</v>
      </c>
      <c r="J651" s="494" t="s">
        <v>1907</v>
      </c>
      <c r="K651" s="132" t="s">
        <v>1907</v>
      </c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  <c r="AC651" s="132"/>
      <c r="AD651" s="132"/>
      <c r="AE651" s="132"/>
      <c r="AF651" s="132"/>
      <c r="AG651" s="132"/>
      <c r="AH651" s="132"/>
      <c r="AI651" s="132"/>
      <c r="AJ651" s="132"/>
      <c r="AK651" s="132"/>
    </row>
    <row r="652" spans="1:37" s="58" customFormat="1" ht="15.6" x14ac:dyDescent="0.3">
      <c r="A652" s="132"/>
      <c r="B652" s="805" t="s">
        <v>3087</v>
      </c>
      <c r="C652" s="1934" t="s">
        <v>3088</v>
      </c>
      <c r="D652" s="1943" t="s">
        <v>190</v>
      </c>
      <c r="E652" s="1951" t="s">
        <v>510</v>
      </c>
      <c r="F652" s="1959">
        <v>1</v>
      </c>
      <c r="G652" s="1951" t="s">
        <v>3097</v>
      </c>
      <c r="H652" s="1980">
        <v>45640</v>
      </c>
      <c r="I652" s="1986" t="s">
        <v>931</v>
      </c>
      <c r="J652" s="1162" t="s">
        <v>1907</v>
      </c>
      <c r="K652" s="132" t="s">
        <v>1907</v>
      </c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  <c r="AC652" s="132"/>
      <c r="AD652" s="132"/>
      <c r="AE652" s="132"/>
      <c r="AF652" s="132"/>
      <c r="AG652" s="132"/>
      <c r="AH652" s="132"/>
      <c r="AI652" s="132"/>
      <c r="AJ652" s="132"/>
      <c r="AK652" s="132"/>
    </row>
    <row r="653" spans="1:37" ht="7.5" customHeight="1" x14ac:dyDescent="0.3">
      <c r="B653" s="338" t="s">
        <v>3116</v>
      </c>
      <c r="C653" s="142" t="s">
        <v>372</v>
      </c>
      <c r="D653" s="143" t="s">
        <v>320</v>
      </c>
      <c r="E653" s="144" t="s">
        <v>510</v>
      </c>
      <c r="F653" s="1143">
        <v>4.32</v>
      </c>
      <c r="G653" s="1965" t="s">
        <v>3133</v>
      </c>
      <c r="H653" s="1973" t="s">
        <v>3134</v>
      </c>
      <c r="I653" s="515" t="s">
        <v>931</v>
      </c>
      <c r="J653" s="524" t="s">
        <v>3135</v>
      </c>
      <c r="K653" s="132" t="s">
        <v>1907</v>
      </c>
    </row>
    <row r="654" spans="1:37" ht="15.6" x14ac:dyDescent="0.3">
      <c r="B654" s="124" t="s">
        <v>3116</v>
      </c>
      <c r="C654" s="129" t="s">
        <v>372</v>
      </c>
      <c r="D654" s="127" t="s">
        <v>320</v>
      </c>
      <c r="E654" s="125" t="s">
        <v>510</v>
      </c>
      <c r="F654" s="490">
        <v>2.65</v>
      </c>
      <c r="G654" s="296" t="s">
        <v>3221</v>
      </c>
      <c r="H654" s="596" t="s">
        <v>3222</v>
      </c>
      <c r="I654" s="131" t="s">
        <v>1326</v>
      </c>
      <c r="J654" s="525" t="s">
        <v>3223</v>
      </c>
      <c r="K654" s="132" t="s">
        <v>1907</v>
      </c>
    </row>
    <row r="655" spans="1:37" ht="15.6" x14ac:dyDescent="0.3">
      <c r="B655" s="31" t="s">
        <v>3116</v>
      </c>
      <c r="C655" s="130" t="s">
        <v>372</v>
      </c>
      <c r="D655" s="43" t="s">
        <v>320</v>
      </c>
      <c r="E655" s="126" t="s">
        <v>510</v>
      </c>
      <c r="F655" s="504">
        <v>2.5</v>
      </c>
      <c r="G655" s="587" t="s">
        <v>3291</v>
      </c>
      <c r="H655" s="585" t="s">
        <v>3292</v>
      </c>
      <c r="I655" s="151" t="s">
        <v>1326</v>
      </c>
      <c r="J655" s="494" t="s">
        <v>3293</v>
      </c>
      <c r="K655" s="132" t="s">
        <v>1907</v>
      </c>
    </row>
    <row r="656" spans="1:37" ht="15.6" x14ac:dyDescent="0.3">
      <c r="B656" s="31" t="s">
        <v>3116</v>
      </c>
      <c r="C656" s="130" t="s">
        <v>372</v>
      </c>
      <c r="D656" s="43" t="s">
        <v>320</v>
      </c>
      <c r="E656" s="126" t="s">
        <v>510</v>
      </c>
      <c r="F656" s="504">
        <v>2.5</v>
      </c>
      <c r="G656" s="248" t="s">
        <v>3371</v>
      </c>
      <c r="H656" s="542" t="s">
        <v>3372</v>
      </c>
      <c r="I656" s="151" t="s">
        <v>1326</v>
      </c>
      <c r="J656" s="494" t="s">
        <v>3373</v>
      </c>
      <c r="K656" s="132" t="s">
        <v>1907</v>
      </c>
    </row>
    <row r="657" spans="1:37" ht="15.6" x14ac:dyDescent="0.3">
      <c r="B657" s="31" t="s">
        <v>3116</v>
      </c>
      <c r="C657" s="130" t="s">
        <v>372</v>
      </c>
      <c r="D657" s="43" t="s">
        <v>320</v>
      </c>
      <c r="E657" s="126" t="s">
        <v>510</v>
      </c>
      <c r="F657" s="504">
        <v>2.5</v>
      </c>
      <c r="G657" s="248" t="s">
        <v>3457</v>
      </c>
      <c r="H657" s="542" t="s">
        <v>3458</v>
      </c>
      <c r="I657" s="151" t="s">
        <v>1250</v>
      </c>
      <c r="J657" s="494" t="s">
        <v>3459</v>
      </c>
      <c r="K657" s="132" t="s">
        <v>1907</v>
      </c>
    </row>
    <row r="658" spans="1:37" ht="15.6" x14ac:dyDescent="0.3">
      <c r="B658" s="31" t="s">
        <v>3116</v>
      </c>
      <c r="C658" s="130" t="s">
        <v>372</v>
      </c>
      <c r="D658" s="43" t="s">
        <v>320</v>
      </c>
      <c r="E658" s="126" t="s">
        <v>510</v>
      </c>
      <c r="F658" s="504">
        <v>2.5</v>
      </c>
      <c r="G658" s="248" t="s">
        <v>3528</v>
      </c>
      <c r="H658" s="542" t="s">
        <v>3529</v>
      </c>
      <c r="I658" s="151" t="s">
        <v>1250</v>
      </c>
      <c r="J658" s="494" t="s">
        <v>3530</v>
      </c>
      <c r="K658" s="132" t="s">
        <v>1907</v>
      </c>
    </row>
    <row r="659" spans="1:37" ht="15.6" x14ac:dyDescent="0.3">
      <c r="B659" s="31" t="s">
        <v>3116</v>
      </c>
      <c r="C659" s="130" t="s">
        <v>372</v>
      </c>
      <c r="D659" s="43" t="s">
        <v>320</v>
      </c>
      <c r="E659" s="126" t="s">
        <v>510</v>
      </c>
      <c r="F659" s="504">
        <v>2.5</v>
      </c>
      <c r="G659" s="248" t="s">
        <v>3597</v>
      </c>
      <c r="H659" s="542" t="s">
        <v>3598</v>
      </c>
      <c r="I659" s="319" t="s">
        <v>1250</v>
      </c>
      <c r="J659" s="494" t="s">
        <v>3599</v>
      </c>
      <c r="K659" s="132" t="s">
        <v>1907</v>
      </c>
    </row>
    <row r="660" spans="1:37" ht="15.6" x14ac:dyDescent="0.3">
      <c r="B660" s="31" t="s">
        <v>3116</v>
      </c>
      <c r="C660" s="130" t="s">
        <v>372</v>
      </c>
      <c r="D660" s="43" t="s">
        <v>320</v>
      </c>
      <c r="E660" s="126" t="s">
        <v>510</v>
      </c>
      <c r="F660" s="504">
        <v>2.5099999999999998</v>
      </c>
      <c r="G660" s="248" t="s">
        <v>3685</v>
      </c>
      <c r="H660" s="542" t="s">
        <v>3686</v>
      </c>
      <c r="I660" s="319" t="s">
        <v>934</v>
      </c>
      <c r="J660" s="494" t="s">
        <v>3687</v>
      </c>
      <c r="K660" s="132" t="s">
        <v>1907</v>
      </c>
    </row>
    <row r="661" spans="1:37" ht="15.6" x14ac:dyDescent="0.3">
      <c r="B661" s="31" t="s">
        <v>3116</v>
      </c>
      <c r="C661" s="130" t="s">
        <v>372</v>
      </c>
      <c r="D661" s="43" t="s">
        <v>320</v>
      </c>
      <c r="E661" s="126" t="s">
        <v>510</v>
      </c>
      <c r="F661" s="504">
        <v>2.8</v>
      </c>
      <c r="G661" s="248" t="s">
        <v>3748</v>
      </c>
      <c r="H661" s="542" t="s">
        <v>3541</v>
      </c>
      <c r="I661" s="319" t="s">
        <v>934</v>
      </c>
      <c r="J661" s="494" t="s">
        <v>3749</v>
      </c>
      <c r="K661" s="132" t="s">
        <v>1907</v>
      </c>
    </row>
    <row r="662" spans="1:37" ht="15.6" x14ac:dyDescent="0.3">
      <c r="B662" s="31" t="s">
        <v>3116</v>
      </c>
      <c r="C662" s="130" t="s">
        <v>372</v>
      </c>
      <c r="D662" s="43" t="s">
        <v>320</v>
      </c>
      <c r="E662" s="126" t="s">
        <v>510</v>
      </c>
      <c r="F662" s="504">
        <v>2.8</v>
      </c>
      <c r="G662" s="248" t="s">
        <v>3806</v>
      </c>
      <c r="H662" s="542" t="s">
        <v>3473</v>
      </c>
      <c r="I662" s="319" t="s">
        <v>934</v>
      </c>
      <c r="J662" s="494" t="s">
        <v>3807</v>
      </c>
      <c r="K662" s="132" t="s">
        <v>1907</v>
      </c>
    </row>
    <row r="663" spans="1:37" ht="15.6" x14ac:dyDescent="0.3">
      <c r="B663" s="31" t="s">
        <v>3116</v>
      </c>
      <c r="C663" s="130" t="s">
        <v>372</v>
      </c>
      <c r="D663" s="43" t="s">
        <v>320</v>
      </c>
      <c r="E663" s="126" t="s">
        <v>510</v>
      </c>
      <c r="F663" s="504">
        <v>2.5</v>
      </c>
      <c r="G663" s="248" t="s">
        <v>3901</v>
      </c>
      <c r="H663" s="542" t="s">
        <v>3902</v>
      </c>
      <c r="I663" s="319" t="s">
        <v>97</v>
      </c>
      <c r="J663" s="494" t="s">
        <v>3903</v>
      </c>
      <c r="K663" s="132" t="s">
        <v>1907</v>
      </c>
    </row>
    <row r="664" spans="1:37" ht="15.6" x14ac:dyDescent="0.3">
      <c r="B664" s="31" t="s">
        <v>3116</v>
      </c>
      <c r="C664" s="130" t="s">
        <v>372</v>
      </c>
      <c r="D664" s="43" t="s">
        <v>320</v>
      </c>
      <c r="E664" s="126" t="s">
        <v>510</v>
      </c>
      <c r="F664" s="504">
        <v>2.5</v>
      </c>
      <c r="G664" s="248" t="s">
        <v>3960</v>
      </c>
      <c r="H664" s="542" t="s">
        <v>3961</v>
      </c>
      <c r="I664" s="319" t="s">
        <v>97</v>
      </c>
      <c r="J664" s="494" t="s">
        <v>3962</v>
      </c>
      <c r="K664" s="132" t="s">
        <v>1907</v>
      </c>
    </row>
    <row r="665" spans="1:37" s="58" customFormat="1" ht="15.6" x14ac:dyDescent="0.3">
      <c r="A665" s="132"/>
      <c r="B665" s="31" t="s">
        <v>3116</v>
      </c>
      <c r="C665" s="130" t="s">
        <v>372</v>
      </c>
      <c r="D665" s="43" t="s">
        <v>320</v>
      </c>
      <c r="E665" s="126" t="s">
        <v>510</v>
      </c>
      <c r="F665" s="504">
        <v>2.5</v>
      </c>
      <c r="G665" s="248" t="s">
        <v>4037</v>
      </c>
      <c r="H665" s="542" t="s">
        <v>4038</v>
      </c>
      <c r="I665" s="319" t="s">
        <v>1262</v>
      </c>
      <c r="J665" s="494" t="s">
        <v>4039</v>
      </c>
      <c r="K665" s="132" t="s">
        <v>1907</v>
      </c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  <c r="AC665" s="132"/>
      <c r="AD665" s="132"/>
      <c r="AE665" s="132"/>
      <c r="AF665" s="132"/>
      <c r="AG665" s="132"/>
      <c r="AH665" s="132"/>
      <c r="AI665" s="132"/>
      <c r="AJ665" s="132"/>
      <c r="AK665" s="132"/>
    </row>
    <row r="666" spans="1:37" s="58" customFormat="1" ht="15.6" x14ac:dyDescent="0.3">
      <c r="A666" s="132"/>
      <c r="B666" s="31" t="s">
        <v>3116</v>
      </c>
      <c r="C666" s="130" t="s">
        <v>372</v>
      </c>
      <c r="D666" s="43" t="s">
        <v>320</v>
      </c>
      <c r="E666" s="126" t="s">
        <v>510</v>
      </c>
      <c r="F666" s="504">
        <v>3.15</v>
      </c>
      <c r="G666" s="248" t="s">
        <v>4105</v>
      </c>
      <c r="H666" s="542" t="s">
        <v>4106</v>
      </c>
      <c r="I666" s="319" t="s">
        <v>1262</v>
      </c>
      <c r="J666" s="494" t="s">
        <v>4107</v>
      </c>
      <c r="K666" s="132" t="s">
        <v>1907</v>
      </c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  <c r="AC666" s="132"/>
      <c r="AD666" s="132"/>
      <c r="AE666" s="132"/>
      <c r="AF666" s="132"/>
      <c r="AG666" s="132"/>
      <c r="AH666" s="132"/>
      <c r="AI666" s="132"/>
      <c r="AJ666" s="132"/>
      <c r="AK666" s="132"/>
    </row>
    <row r="667" spans="1:37" s="58" customFormat="1" ht="15.6" x14ac:dyDescent="0.3">
      <c r="A667" s="132"/>
      <c r="B667" s="805" t="s">
        <v>3116</v>
      </c>
      <c r="C667" s="1934" t="s">
        <v>372</v>
      </c>
      <c r="D667" s="1943" t="s">
        <v>320</v>
      </c>
      <c r="E667" s="1951" t="s">
        <v>510</v>
      </c>
      <c r="F667" s="504">
        <v>2.5</v>
      </c>
      <c r="G667" s="811" t="s">
        <v>4176</v>
      </c>
      <c r="H667" s="812" t="s">
        <v>4177</v>
      </c>
      <c r="I667" s="1986" t="s">
        <v>1509</v>
      </c>
      <c r="J667" s="1162" t="s">
        <v>4178</v>
      </c>
      <c r="K667" s="132" t="s">
        <v>1907</v>
      </c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  <c r="AC667" s="132"/>
      <c r="AD667" s="132"/>
      <c r="AE667" s="132"/>
      <c r="AF667" s="132"/>
      <c r="AG667" s="132"/>
      <c r="AH667" s="132"/>
      <c r="AI667" s="132"/>
      <c r="AJ667" s="132"/>
      <c r="AK667" s="132"/>
    </row>
    <row r="668" spans="1:37" ht="7.5" customHeight="1" x14ac:dyDescent="0.3">
      <c r="B668" s="338" t="s">
        <v>3116</v>
      </c>
      <c r="C668" s="142" t="s">
        <v>372</v>
      </c>
      <c r="D668" s="143" t="s">
        <v>320</v>
      </c>
      <c r="E668" s="144" t="s">
        <v>510</v>
      </c>
      <c r="F668" s="1143">
        <v>2.5</v>
      </c>
      <c r="G668" s="1965" t="s">
        <v>4241</v>
      </c>
      <c r="H668" s="1973" t="s">
        <v>4242</v>
      </c>
      <c r="I668" s="515" t="s">
        <v>1509</v>
      </c>
      <c r="J668" s="524" t="s">
        <v>4243</v>
      </c>
      <c r="K668" s="132" t="s">
        <v>1907</v>
      </c>
    </row>
    <row r="669" spans="1:37" ht="28.8" x14ac:dyDescent="0.3">
      <c r="B669" s="124" t="s">
        <v>3116</v>
      </c>
      <c r="C669" s="129" t="s">
        <v>372</v>
      </c>
      <c r="D669" s="127" t="s">
        <v>320</v>
      </c>
      <c r="E669" s="125" t="s">
        <v>510</v>
      </c>
      <c r="F669" s="490">
        <v>2.5</v>
      </c>
      <c r="G669" s="296" t="s">
        <v>4311</v>
      </c>
      <c r="H669" s="596" t="s">
        <v>4312</v>
      </c>
      <c r="I669" s="131" t="s">
        <v>940</v>
      </c>
      <c r="J669" s="525" t="s">
        <v>4313</v>
      </c>
      <c r="K669" s="132" t="s">
        <v>1907</v>
      </c>
    </row>
    <row r="670" spans="1:37" ht="31.2" x14ac:dyDescent="0.3">
      <c r="B670" s="31" t="s">
        <v>3116</v>
      </c>
      <c r="C670" s="130" t="s">
        <v>372</v>
      </c>
      <c r="D670" s="43" t="s">
        <v>320</v>
      </c>
      <c r="E670" s="126" t="s">
        <v>510</v>
      </c>
      <c r="F670" s="504">
        <v>2.5</v>
      </c>
      <c r="G670" s="248" t="s">
        <v>4374</v>
      </c>
      <c r="H670" s="542" t="s">
        <v>4118</v>
      </c>
      <c r="I670" s="151" t="s">
        <v>940</v>
      </c>
      <c r="J670" s="494" t="s">
        <v>4375</v>
      </c>
      <c r="K670" s="132" t="s">
        <v>1907</v>
      </c>
    </row>
    <row r="671" spans="1:37" ht="31.2" x14ac:dyDescent="0.3">
      <c r="B671" s="31" t="s">
        <v>3116</v>
      </c>
      <c r="C671" s="130" t="s">
        <v>372</v>
      </c>
      <c r="D671" s="43" t="s">
        <v>320</v>
      </c>
      <c r="E671" s="126" t="s">
        <v>510</v>
      </c>
      <c r="F671" s="504">
        <v>2.5</v>
      </c>
      <c r="G671" s="248" t="s">
        <v>4426</v>
      </c>
      <c r="H671" s="542" t="s">
        <v>4187</v>
      </c>
      <c r="I671" s="151" t="s">
        <v>940</v>
      </c>
      <c r="J671" s="494" t="s">
        <v>4427</v>
      </c>
      <c r="K671" s="132" t="s">
        <v>1907</v>
      </c>
    </row>
    <row r="672" spans="1:37" ht="31.2" x14ac:dyDescent="0.3">
      <c r="A672" s="58"/>
      <c r="B672" s="145" t="s">
        <v>3116</v>
      </c>
      <c r="C672" s="150" t="s">
        <v>372</v>
      </c>
      <c r="D672" s="146" t="s">
        <v>320</v>
      </c>
      <c r="E672" s="147" t="s">
        <v>510</v>
      </c>
      <c r="F672" s="491">
        <v>2.5</v>
      </c>
      <c r="G672" s="302" t="s">
        <v>4483</v>
      </c>
      <c r="H672" s="667" t="s">
        <v>4193</v>
      </c>
      <c r="I672" s="319" t="s">
        <v>1026</v>
      </c>
      <c r="J672" s="494" t="s">
        <v>4484</v>
      </c>
      <c r="K672" s="132" t="s">
        <v>1907</v>
      </c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31.2" x14ac:dyDescent="0.3">
      <c r="A673" s="58"/>
      <c r="B673" s="145" t="s">
        <v>3116</v>
      </c>
      <c r="C673" s="150" t="s">
        <v>372</v>
      </c>
      <c r="D673" s="146" t="s">
        <v>320</v>
      </c>
      <c r="E673" s="147" t="s">
        <v>510</v>
      </c>
      <c r="F673" s="491">
        <f>1-0.18</f>
        <v>0.82000000000000006</v>
      </c>
      <c r="G673" s="302" t="s">
        <v>4526</v>
      </c>
      <c r="H673" s="667" t="s">
        <v>4527</v>
      </c>
      <c r="I673" s="319" t="s">
        <v>1026</v>
      </c>
      <c r="J673" s="494" t="s">
        <v>4528</v>
      </c>
      <c r="K673" s="132" t="s">
        <v>1907</v>
      </c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31.2" x14ac:dyDescent="0.3">
      <c r="B674" s="145" t="s">
        <v>3058</v>
      </c>
      <c r="C674" s="150" t="s">
        <v>369</v>
      </c>
      <c r="D674" s="146" t="s">
        <v>190</v>
      </c>
      <c r="E674" s="147" t="s">
        <v>510</v>
      </c>
      <c r="F674" s="491">
        <v>1</v>
      </c>
      <c r="G674" s="147" t="s">
        <v>3073</v>
      </c>
      <c r="H674" s="492">
        <v>45643</v>
      </c>
      <c r="I674" s="319" t="s">
        <v>931</v>
      </c>
      <c r="J674" s="494" t="s">
        <v>1908</v>
      </c>
      <c r="K674" s="132" t="s">
        <v>1908</v>
      </c>
      <c r="L674" s="58"/>
    </row>
    <row r="675" spans="1:37" ht="31.2" x14ac:dyDescent="0.3">
      <c r="B675" s="145" t="s">
        <v>3087</v>
      </c>
      <c r="C675" s="150" t="s">
        <v>3088</v>
      </c>
      <c r="D675" s="146" t="s">
        <v>190</v>
      </c>
      <c r="E675" s="147" t="s">
        <v>510</v>
      </c>
      <c r="F675" s="491">
        <v>1</v>
      </c>
      <c r="G675" s="147" t="s">
        <v>3101</v>
      </c>
      <c r="H675" s="492">
        <v>45670</v>
      </c>
      <c r="I675" s="319" t="s">
        <v>1326</v>
      </c>
      <c r="J675" s="494" t="s">
        <v>1908</v>
      </c>
      <c r="K675" s="132" t="s">
        <v>1908</v>
      </c>
      <c r="L675" s="58"/>
    </row>
    <row r="676" spans="1:37" ht="31.2" x14ac:dyDescent="0.3">
      <c r="B676" s="145" t="s">
        <v>3116</v>
      </c>
      <c r="C676" s="150" t="s">
        <v>372</v>
      </c>
      <c r="D676" s="146" t="s">
        <v>320</v>
      </c>
      <c r="E676" s="147" t="s">
        <v>510</v>
      </c>
      <c r="F676" s="491">
        <v>6.04</v>
      </c>
      <c r="G676" s="594" t="s">
        <v>3154</v>
      </c>
      <c r="H676" s="1049" t="s">
        <v>3155</v>
      </c>
      <c r="I676" s="319" t="s">
        <v>1326</v>
      </c>
      <c r="J676" s="494" t="s">
        <v>3156</v>
      </c>
      <c r="K676" s="132" t="s">
        <v>1908</v>
      </c>
    </row>
    <row r="677" spans="1:37" ht="31.2" x14ac:dyDescent="0.3">
      <c r="B677" s="145" t="s">
        <v>3116</v>
      </c>
      <c r="C677" s="150" t="s">
        <v>372</v>
      </c>
      <c r="D677" s="146" t="s">
        <v>320</v>
      </c>
      <c r="E677" s="147" t="s">
        <v>515</v>
      </c>
      <c r="F677" s="491">
        <v>2.16</v>
      </c>
      <c r="G677" s="302" t="s">
        <v>3244</v>
      </c>
      <c r="H677" s="667" t="s">
        <v>3245</v>
      </c>
      <c r="I677" s="319" t="s">
        <v>1250</v>
      </c>
      <c r="J677" s="494" t="s">
        <v>3246</v>
      </c>
      <c r="K677" s="132" t="s">
        <v>1908</v>
      </c>
    </row>
    <row r="678" spans="1:37" ht="15.6" x14ac:dyDescent="0.3">
      <c r="B678" s="31" t="s">
        <v>3116</v>
      </c>
      <c r="C678" s="130" t="s">
        <v>372</v>
      </c>
      <c r="D678" s="43" t="s">
        <v>320</v>
      </c>
      <c r="E678" s="126" t="s">
        <v>515</v>
      </c>
      <c r="F678" s="504">
        <v>1.1499999999999999</v>
      </c>
      <c r="G678" s="248" t="s">
        <v>3317</v>
      </c>
      <c r="H678" s="542" t="s">
        <v>3245</v>
      </c>
      <c r="I678" s="151" t="s">
        <v>1250</v>
      </c>
      <c r="J678" s="494" t="s">
        <v>3318</v>
      </c>
      <c r="K678" s="132" t="s">
        <v>1908</v>
      </c>
    </row>
    <row r="679" spans="1:37" s="58" customFormat="1" ht="15.6" x14ac:dyDescent="0.3">
      <c r="A679" s="132"/>
      <c r="B679" s="31" t="s">
        <v>3116</v>
      </c>
      <c r="C679" s="130" t="s">
        <v>372</v>
      </c>
      <c r="D679" s="43" t="s">
        <v>320</v>
      </c>
      <c r="E679" s="126" t="s">
        <v>510</v>
      </c>
      <c r="F679" s="504">
        <v>2.5</v>
      </c>
      <c r="G679" s="248" t="s">
        <v>3387</v>
      </c>
      <c r="H679" s="542" t="s">
        <v>3240</v>
      </c>
      <c r="I679" s="319" t="s">
        <v>1250</v>
      </c>
      <c r="J679" s="494" t="s">
        <v>3388</v>
      </c>
      <c r="K679" s="132" t="s">
        <v>1908</v>
      </c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  <c r="AC679" s="132"/>
      <c r="AD679" s="132"/>
      <c r="AE679" s="132"/>
      <c r="AF679" s="132"/>
      <c r="AG679" s="132"/>
      <c r="AH679" s="132"/>
      <c r="AI679" s="132"/>
      <c r="AJ679" s="132"/>
      <c r="AK679" s="132"/>
    </row>
    <row r="680" spans="1:37" s="58" customFormat="1" ht="15.6" x14ac:dyDescent="0.3">
      <c r="A680" s="132"/>
      <c r="B680" s="31" t="s">
        <v>3116</v>
      </c>
      <c r="C680" s="130" t="s">
        <v>372</v>
      </c>
      <c r="D680" s="43" t="s">
        <v>320</v>
      </c>
      <c r="E680" s="126" t="s">
        <v>510</v>
      </c>
      <c r="F680" s="504">
        <v>2.5</v>
      </c>
      <c r="G680" s="248" t="s">
        <v>3480</v>
      </c>
      <c r="H680" s="542" t="s">
        <v>3254</v>
      </c>
      <c r="I680" s="319" t="s">
        <v>934</v>
      </c>
      <c r="J680" s="494" t="s">
        <v>3481</v>
      </c>
      <c r="K680" s="132" t="s">
        <v>1908</v>
      </c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  <c r="AC680" s="132"/>
      <c r="AD680" s="132"/>
      <c r="AE680" s="132"/>
      <c r="AF680" s="132"/>
      <c r="AG680" s="132"/>
      <c r="AH680" s="132"/>
      <c r="AI680" s="132"/>
      <c r="AJ680" s="132"/>
      <c r="AK680" s="132"/>
    </row>
    <row r="681" spans="1:37" s="58" customFormat="1" ht="15.6" x14ac:dyDescent="0.3">
      <c r="A681" s="132"/>
      <c r="B681" s="805" t="s">
        <v>3116</v>
      </c>
      <c r="C681" s="1934" t="s">
        <v>372</v>
      </c>
      <c r="D681" s="1943" t="s">
        <v>320</v>
      </c>
      <c r="E681" s="1951" t="s">
        <v>510</v>
      </c>
      <c r="F681" s="504">
        <v>2.5</v>
      </c>
      <c r="G681" s="811" t="s">
        <v>3545</v>
      </c>
      <c r="H681" s="812" t="s">
        <v>3546</v>
      </c>
      <c r="I681" s="1986" t="s">
        <v>934</v>
      </c>
      <c r="J681" s="1162" t="s">
        <v>3547</v>
      </c>
      <c r="K681" s="132" t="s">
        <v>1908</v>
      </c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  <c r="AC681" s="132"/>
      <c r="AD681" s="132"/>
      <c r="AE681" s="132"/>
      <c r="AF681" s="132"/>
      <c r="AG681" s="132"/>
      <c r="AH681" s="132"/>
      <c r="AI681" s="132"/>
      <c r="AJ681" s="132"/>
      <c r="AK681" s="132"/>
    </row>
    <row r="682" spans="1:37" ht="7.5" customHeight="1" x14ac:dyDescent="0.3">
      <c r="B682" s="338" t="s">
        <v>3116</v>
      </c>
      <c r="C682" s="142" t="s">
        <v>372</v>
      </c>
      <c r="D682" s="143" t="s">
        <v>320</v>
      </c>
      <c r="E682" s="144" t="s">
        <v>510</v>
      </c>
      <c r="F682" s="1143">
        <v>2.5</v>
      </c>
      <c r="G682" s="1965" t="s">
        <v>3612</v>
      </c>
      <c r="H682" s="1973" t="s">
        <v>3473</v>
      </c>
      <c r="I682" s="515" t="s">
        <v>934</v>
      </c>
      <c r="J682" s="524" t="s">
        <v>3613</v>
      </c>
      <c r="K682" s="132" t="s">
        <v>1908</v>
      </c>
    </row>
    <row r="683" spans="1:37" ht="46.8" x14ac:dyDescent="0.3">
      <c r="B683" s="338" t="s">
        <v>3116</v>
      </c>
      <c r="C683" s="1931" t="s">
        <v>372</v>
      </c>
      <c r="D683" s="143" t="s">
        <v>320</v>
      </c>
      <c r="E683" s="144" t="s">
        <v>510</v>
      </c>
      <c r="F683" s="1143">
        <v>2.5</v>
      </c>
      <c r="G683" s="1965" t="s">
        <v>3688</v>
      </c>
      <c r="H683" s="1973" t="s">
        <v>3689</v>
      </c>
      <c r="I683" s="515" t="s">
        <v>1302</v>
      </c>
      <c r="J683" s="524" t="s">
        <v>3690</v>
      </c>
      <c r="K683" s="132" t="s">
        <v>1908</v>
      </c>
    </row>
    <row r="684" spans="1:37" s="481" customFormat="1" ht="46.8" x14ac:dyDescent="0.3">
      <c r="A684" s="132"/>
      <c r="B684" s="31" t="s">
        <v>3116</v>
      </c>
      <c r="C684" s="130" t="s">
        <v>372</v>
      </c>
      <c r="D684" s="43" t="s">
        <v>320</v>
      </c>
      <c r="E684" s="126" t="s">
        <v>510</v>
      </c>
      <c r="F684" s="491">
        <v>2.5</v>
      </c>
      <c r="G684" s="665" t="s">
        <v>3764</v>
      </c>
      <c r="H684" s="542" t="s">
        <v>3765</v>
      </c>
      <c r="I684" s="319" t="s">
        <v>1302</v>
      </c>
      <c r="J684" s="494" t="s">
        <v>3766</v>
      </c>
      <c r="K684" s="132" t="s">
        <v>1908</v>
      </c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  <c r="AC684" s="132"/>
      <c r="AD684" s="132"/>
      <c r="AE684" s="132"/>
      <c r="AF684" s="132"/>
      <c r="AG684" s="132"/>
      <c r="AH684" s="132"/>
      <c r="AI684" s="132"/>
      <c r="AJ684" s="132"/>
      <c r="AK684" s="132"/>
    </row>
    <row r="685" spans="1:37" s="481" customFormat="1" ht="46.8" x14ac:dyDescent="0.3">
      <c r="A685" s="132"/>
      <c r="B685" s="31" t="s">
        <v>3116</v>
      </c>
      <c r="C685" s="130" t="s">
        <v>372</v>
      </c>
      <c r="D685" s="43" t="s">
        <v>320</v>
      </c>
      <c r="E685" s="126" t="s">
        <v>510</v>
      </c>
      <c r="F685" s="491">
        <v>1.05</v>
      </c>
      <c r="G685" s="1964" t="s">
        <v>3835</v>
      </c>
      <c r="H685" s="542" t="s">
        <v>3836</v>
      </c>
      <c r="I685" s="319" t="s">
        <v>97</v>
      </c>
      <c r="J685" s="494" t="s">
        <v>3837</v>
      </c>
      <c r="K685" s="132" t="s">
        <v>1908</v>
      </c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  <c r="AC685" s="132"/>
      <c r="AD685" s="132"/>
      <c r="AE685" s="132"/>
      <c r="AF685" s="132"/>
      <c r="AG685" s="132"/>
      <c r="AH685" s="132"/>
      <c r="AI685" s="132"/>
      <c r="AJ685" s="132"/>
      <c r="AK685" s="132"/>
    </row>
    <row r="686" spans="1:37" s="481" customFormat="1" ht="46.8" x14ac:dyDescent="0.3">
      <c r="A686" s="132"/>
      <c r="B686" s="31" t="s">
        <v>3116</v>
      </c>
      <c r="C686" s="130" t="s">
        <v>372</v>
      </c>
      <c r="D686" s="43" t="s">
        <v>320</v>
      </c>
      <c r="E686" s="126" t="s">
        <v>510</v>
      </c>
      <c r="F686" s="491">
        <v>1.88</v>
      </c>
      <c r="G686" s="1964" t="s">
        <v>3904</v>
      </c>
      <c r="H686" s="542" t="s">
        <v>3717</v>
      </c>
      <c r="I686" s="319" t="s">
        <v>97</v>
      </c>
      <c r="J686" s="494" t="s">
        <v>3905</v>
      </c>
      <c r="K686" s="132" t="s">
        <v>1908</v>
      </c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  <c r="AC686" s="132"/>
      <c r="AD686" s="132"/>
      <c r="AE686" s="132"/>
      <c r="AF686" s="132"/>
      <c r="AG686" s="132"/>
      <c r="AH686" s="132"/>
      <c r="AI686" s="132"/>
      <c r="AJ686" s="132"/>
      <c r="AK686" s="132"/>
    </row>
    <row r="687" spans="1:37" s="481" customFormat="1" ht="46.8" x14ac:dyDescent="0.3">
      <c r="A687" s="132"/>
      <c r="B687" s="31" t="s">
        <v>3116</v>
      </c>
      <c r="C687" s="130" t="s">
        <v>372</v>
      </c>
      <c r="D687" s="43" t="s">
        <v>320</v>
      </c>
      <c r="E687" s="126" t="s">
        <v>510</v>
      </c>
      <c r="F687" s="491">
        <v>3.63</v>
      </c>
      <c r="G687" s="1964" t="s">
        <v>3972</v>
      </c>
      <c r="H687" s="542" t="s">
        <v>3973</v>
      </c>
      <c r="I687" s="319" t="s">
        <v>937</v>
      </c>
      <c r="J687" s="494" t="s">
        <v>3974</v>
      </c>
      <c r="K687" s="132" t="s">
        <v>1908</v>
      </c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  <c r="AC687" s="132"/>
      <c r="AD687" s="132"/>
      <c r="AE687" s="132"/>
      <c r="AF687" s="132"/>
      <c r="AG687" s="132"/>
      <c r="AH687" s="132"/>
      <c r="AI687" s="132"/>
      <c r="AJ687" s="132"/>
      <c r="AK687" s="132"/>
    </row>
    <row r="688" spans="1:37" s="481" customFormat="1" ht="46.8" x14ac:dyDescent="0.3">
      <c r="A688" s="132"/>
      <c r="B688" s="31" t="s">
        <v>3116</v>
      </c>
      <c r="C688" s="130" t="s">
        <v>372</v>
      </c>
      <c r="D688" s="43" t="s">
        <v>320</v>
      </c>
      <c r="E688" s="147" t="s">
        <v>510</v>
      </c>
      <c r="F688" s="491">
        <v>2.65</v>
      </c>
      <c r="G688" s="1964" t="s">
        <v>4043</v>
      </c>
      <c r="H688" s="542" t="s">
        <v>4044</v>
      </c>
      <c r="I688" s="319" t="s">
        <v>1509</v>
      </c>
      <c r="J688" s="494" t="s">
        <v>4045</v>
      </c>
      <c r="K688" s="132" t="s">
        <v>1908</v>
      </c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  <c r="AC688" s="132"/>
      <c r="AD688" s="132"/>
      <c r="AE688" s="132"/>
      <c r="AF688" s="132"/>
      <c r="AG688" s="132"/>
      <c r="AH688" s="132"/>
      <c r="AI688" s="132"/>
      <c r="AJ688" s="132"/>
      <c r="AK688" s="132"/>
    </row>
    <row r="689" spans="1:37" s="481" customFormat="1" ht="46.8" x14ac:dyDescent="0.3">
      <c r="A689" s="132"/>
      <c r="B689" s="31" t="s">
        <v>3116</v>
      </c>
      <c r="C689" s="130" t="s">
        <v>372</v>
      </c>
      <c r="D689" s="43" t="s">
        <v>320</v>
      </c>
      <c r="E689" s="147" t="s">
        <v>510</v>
      </c>
      <c r="F689" s="491">
        <v>2.5</v>
      </c>
      <c r="G689" s="1964" t="s">
        <v>4120</v>
      </c>
      <c r="H689" s="542" t="s">
        <v>4121</v>
      </c>
      <c r="I689" s="319" t="s">
        <v>940</v>
      </c>
      <c r="J689" s="494" t="s">
        <v>4122</v>
      </c>
      <c r="K689" s="132" t="s">
        <v>1908</v>
      </c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  <c r="AC689" s="132"/>
      <c r="AD689" s="132"/>
      <c r="AE689" s="132"/>
      <c r="AF689" s="132"/>
      <c r="AG689" s="132"/>
      <c r="AH689" s="132"/>
      <c r="AI689" s="132"/>
      <c r="AJ689" s="132"/>
      <c r="AK689" s="132"/>
    </row>
    <row r="690" spans="1:37" s="481" customFormat="1" ht="46.8" x14ac:dyDescent="0.3">
      <c r="A690" s="132"/>
      <c r="B690" s="31" t="s">
        <v>3116</v>
      </c>
      <c r="C690" s="130" t="s">
        <v>372</v>
      </c>
      <c r="D690" s="43" t="s">
        <v>320</v>
      </c>
      <c r="E690" s="147" t="s">
        <v>510</v>
      </c>
      <c r="F690" s="491">
        <v>2.5</v>
      </c>
      <c r="G690" s="1964" t="s">
        <v>4184</v>
      </c>
      <c r="H690" s="542" t="s">
        <v>3854</v>
      </c>
      <c r="I690" s="319" t="s">
        <v>940</v>
      </c>
      <c r="J690" s="494" t="s">
        <v>4185</v>
      </c>
      <c r="K690" s="132" t="s">
        <v>1908</v>
      </c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  <c r="AC690" s="132"/>
      <c r="AD690" s="132"/>
      <c r="AE690" s="132"/>
      <c r="AF690" s="132"/>
      <c r="AG690" s="132"/>
      <c r="AH690" s="132"/>
      <c r="AI690" s="132"/>
      <c r="AJ690" s="132"/>
      <c r="AK690" s="132"/>
    </row>
    <row r="691" spans="1:37" s="481" customFormat="1" ht="46.8" x14ac:dyDescent="0.3">
      <c r="A691" s="132"/>
      <c r="B691" s="31" t="s">
        <v>3116</v>
      </c>
      <c r="C691" s="130" t="s">
        <v>372</v>
      </c>
      <c r="D691" s="43" t="s">
        <v>320</v>
      </c>
      <c r="E691" s="147" t="s">
        <v>510</v>
      </c>
      <c r="F691" s="491">
        <v>2.5</v>
      </c>
      <c r="G691" s="1964" t="s">
        <v>4257</v>
      </c>
      <c r="H691" s="542" t="s">
        <v>4258</v>
      </c>
      <c r="I691" s="319" t="s">
        <v>1026</v>
      </c>
      <c r="J691" s="494" t="s">
        <v>4259</v>
      </c>
      <c r="K691" s="132" t="s">
        <v>1908</v>
      </c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  <c r="AC691" s="132"/>
      <c r="AD691" s="132"/>
      <c r="AE691" s="132"/>
      <c r="AF691" s="132"/>
      <c r="AG691" s="132"/>
      <c r="AH691" s="132"/>
      <c r="AI691" s="132"/>
      <c r="AJ691" s="132"/>
      <c r="AK691" s="132"/>
    </row>
    <row r="692" spans="1:37" s="481" customFormat="1" ht="46.8" x14ac:dyDescent="0.3">
      <c r="A692" s="132"/>
      <c r="B692" s="31" t="s">
        <v>3116</v>
      </c>
      <c r="C692" s="130" t="s">
        <v>372</v>
      </c>
      <c r="D692" s="43" t="s">
        <v>320</v>
      </c>
      <c r="E692" s="147" t="s">
        <v>510</v>
      </c>
      <c r="F692" s="491">
        <v>2.5</v>
      </c>
      <c r="G692" s="1964" t="s">
        <v>4319</v>
      </c>
      <c r="H692" s="542" t="s">
        <v>4320</v>
      </c>
      <c r="I692" s="319" t="s">
        <v>1026</v>
      </c>
      <c r="J692" s="494" t="s">
        <v>4321</v>
      </c>
      <c r="K692" s="132" t="s">
        <v>1908</v>
      </c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  <c r="AC692" s="132"/>
      <c r="AD692" s="132"/>
      <c r="AE692" s="132"/>
      <c r="AF692" s="132"/>
      <c r="AG692" s="132"/>
      <c r="AH692" s="132"/>
      <c r="AI692" s="132"/>
      <c r="AJ692" s="132"/>
      <c r="AK692" s="132"/>
    </row>
    <row r="693" spans="1:37" s="481" customFormat="1" ht="46.8" x14ac:dyDescent="0.3">
      <c r="A693" s="132"/>
      <c r="B693" s="31" t="s">
        <v>3116</v>
      </c>
      <c r="C693" s="130" t="s">
        <v>372</v>
      </c>
      <c r="D693" s="43" t="s">
        <v>320</v>
      </c>
      <c r="E693" s="147" t="s">
        <v>510</v>
      </c>
      <c r="F693" s="491">
        <v>2.5</v>
      </c>
      <c r="G693" s="1964" t="s">
        <v>4404</v>
      </c>
      <c r="H693" s="542" t="s">
        <v>4405</v>
      </c>
      <c r="I693" s="319" t="s">
        <v>1417</v>
      </c>
      <c r="J693" s="494" t="s">
        <v>4406</v>
      </c>
      <c r="K693" s="132" t="s">
        <v>1908</v>
      </c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  <c r="AC693" s="132"/>
      <c r="AD693" s="132"/>
      <c r="AE693" s="132"/>
      <c r="AF693" s="132"/>
      <c r="AG693" s="132"/>
      <c r="AH693" s="132"/>
      <c r="AI693" s="132"/>
      <c r="AJ693" s="132"/>
      <c r="AK693" s="132"/>
    </row>
    <row r="694" spans="1:37" s="481" customFormat="1" ht="46.8" x14ac:dyDescent="0.3">
      <c r="A694" s="132"/>
      <c r="B694" s="31" t="s">
        <v>3116</v>
      </c>
      <c r="C694" s="130" t="s">
        <v>372</v>
      </c>
      <c r="D694" s="43" t="s">
        <v>320</v>
      </c>
      <c r="E694" s="147" t="s">
        <v>510</v>
      </c>
      <c r="F694" s="491">
        <v>2.5</v>
      </c>
      <c r="G694" s="1193" t="s">
        <v>4464</v>
      </c>
      <c r="H694" s="585" t="s">
        <v>4465</v>
      </c>
      <c r="I694" s="784" t="s">
        <v>1315</v>
      </c>
      <c r="J694" s="494" t="s">
        <v>4466</v>
      </c>
      <c r="K694" s="132" t="s">
        <v>1908</v>
      </c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  <c r="AC694" s="132"/>
      <c r="AD694" s="132"/>
      <c r="AE694" s="132"/>
      <c r="AF694" s="132"/>
      <c r="AG694" s="132"/>
      <c r="AH694" s="132"/>
      <c r="AI694" s="132"/>
      <c r="AJ694" s="132"/>
      <c r="AK694" s="132"/>
    </row>
    <row r="695" spans="1:37" s="481" customFormat="1" ht="46.8" x14ac:dyDescent="0.3">
      <c r="A695" s="132"/>
      <c r="B695" s="31" t="s">
        <v>3116</v>
      </c>
      <c r="C695" s="130" t="s">
        <v>372</v>
      </c>
      <c r="D695" s="43" t="s">
        <v>320</v>
      </c>
      <c r="E695" s="147" t="s">
        <v>510</v>
      </c>
      <c r="F695" s="491">
        <v>2.5</v>
      </c>
      <c r="G695" s="1193" t="s">
        <v>4511</v>
      </c>
      <c r="H695" s="585" t="s">
        <v>3504</v>
      </c>
      <c r="I695" s="784" t="s">
        <v>1315</v>
      </c>
      <c r="J695" s="494" t="s">
        <v>4512</v>
      </c>
      <c r="K695" s="132" t="s">
        <v>1908</v>
      </c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  <c r="AD695" s="132"/>
      <c r="AE695" s="132"/>
      <c r="AF695" s="132"/>
      <c r="AG695" s="132"/>
      <c r="AH695" s="132"/>
      <c r="AI695" s="132"/>
      <c r="AJ695" s="132"/>
      <c r="AK695" s="132"/>
    </row>
    <row r="696" spans="1:37" s="481" customFormat="1" ht="46.8" x14ac:dyDescent="0.3">
      <c r="A696" s="132"/>
      <c r="B696" s="31" t="s">
        <v>3116</v>
      </c>
      <c r="C696" s="130" t="s">
        <v>372</v>
      </c>
      <c r="D696" s="43" t="s">
        <v>320</v>
      </c>
      <c r="E696" s="147" t="s">
        <v>510</v>
      </c>
      <c r="F696" s="491">
        <v>1.85</v>
      </c>
      <c r="G696" s="1193" t="s">
        <v>4562</v>
      </c>
      <c r="H696" s="585" t="s">
        <v>4004</v>
      </c>
      <c r="I696" s="784" t="s">
        <v>1053</v>
      </c>
      <c r="J696" s="494" t="s">
        <v>4563</v>
      </c>
      <c r="K696" s="132" t="s">
        <v>1908</v>
      </c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  <c r="AC696" s="132"/>
      <c r="AD696" s="132"/>
      <c r="AE696" s="132"/>
      <c r="AF696" s="132"/>
      <c r="AG696" s="132"/>
      <c r="AH696" s="132"/>
      <c r="AI696" s="132"/>
      <c r="AJ696" s="132"/>
      <c r="AK696" s="132"/>
    </row>
    <row r="697" spans="1:37" s="481" customFormat="1" ht="46.8" x14ac:dyDescent="0.3">
      <c r="A697" s="132"/>
      <c r="B697" s="31" t="s">
        <v>3058</v>
      </c>
      <c r="C697" s="130" t="s">
        <v>369</v>
      </c>
      <c r="D697" s="43" t="s">
        <v>190</v>
      </c>
      <c r="E697" s="147" t="s">
        <v>515</v>
      </c>
      <c r="F697" s="491">
        <v>1</v>
      </c>
      <c r="G697" s="1967" t="s">
        <v>3070</v>
      </c>
      <c r="H697" s="595">
        <v>45629</v>
      </c>
      <c r="I697" s="784" t="s">
        <v>931</v>
      </c>
      <c r="J697" s="584" t="s">
        <v>1909</v>
      </c>
      <c r="K697" s="132" t="s">
        <v>1909</v>
      </c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  <c r="AC697" s="132"/>
      <c r="AD697" s="132"/>
      <c r="AE697" s="132"/>
      <c r="AF697" s="132"/>
      <c r="AG697" s="132"/>
      <c r="AH697" s="132"/>
      <c r="AI697" s="132"/>
      <c r="AJ697" s="132"/>
      <c r="AK697" s="132"/>
    </row>
    <row r="698" spans="1:37" s="481" customFormat="1" ht="46.8" x14ac:dyDescent="0.3">
      <c r="A698" s="132"/>
      <c r="B698" s="31" t="s">
        <v>3087</v>
      </c>
      <c r="C698" s="130" t="s">
        <v>3088</v>
      </c>
      <c r="D698" s="43" t="s">
        <v>190</v>
      </c>
      <c r="E698" s="147" t="s">
        <v>515</v>
      </c>
      <c r="F698" s="491">
        <v>1</v>
      </c>
      <c r="G698" s="337" t="s">
        <v>3096</v>
      </c>
      <c r="H698" s="304">
        <v>45640</v>
      </c>
      <c r="I698" s="319" t="s">
        <v>931</v>
      </c>
      <c r="J698" s="494" t="s">
        <v>1909</v>
      </c>
      <c r="K698" s="132" t="s">
        <v>1909</v>
      </c>
      <c r="L698" s="59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  <c r="AC698" s="132"/>
      <c r="AD698" s="132"/>
      <c r="AE698" s="132"/>
      <c r="AF698" s="132"/>
      <c r="AG698" s="132"/>
      <c r="AH698" s="132"/>
      <c r="AI698" s="132"/>
      <c r="AJ698" s="132"/>
      <c r="AK698" s="132"/>
    </row>
    <row r="699" spans="1:37" s="481" customFormat="1" ht="46.8" x14ac:dyDescent="0.3">
      <c r="A699" s="132"/>
      <c r="B699" s="31" t="s">
        <v>3116</v>
      </c>
      <c r="C699" s="130" t="s">
        <v>372</v>
      </c>
      <c r="D699" s="43" t="s">
        <v>320</v>
      </c>
      <c r="E699" s="147" t="s">
        <v>515</v>
      </c>
      <c r="F699" s="491">
        <v>4.32</v>
      </c>
      <c r="G699" s="1964" t="s">
        <v>3139</v>
      </c>
      <c r="H699" s="542" t="s">
        <v>3140</v>
      </c>
      <c r="I699" s="319" t="s">
        <v>931</v>
      </c>
      <c r="J699" s="494" t="s">
        <v>3141</v>
      </c>
      <c r="K699" s="132" t="s">
        <v>1909</v>
      </c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  <c r="AC699" s="132"/>
      <c r="AD699" s="132"/>
      <c r="AE699" s="132"/>
      <c r="AF699" s="132"/>
      <c r="AG699" s="132"/>
      <c r="AH699" s="132"/>
      <c r="AI699" s="132"/>
      <c r="AJ699" s="132"/>
      <c r="AK699" s="132"/>
    </row>
    <row r="700" spans="1:37" s="481" customFormat="1" ht="46.8" x14ac:dyDescent="0.3">
      <c r="A700" s="132"/>
      <c r="B700" s="31" t="s">
        <v>3116</v>
      </c>
      <c r="C700" s="130" t="s">
        <v>372</v>
      </c>
      <c r="D700" s="43" t="s">
        <v>320</v>
      </c>
      <c r="E700" s="147" t="s">
        <v>515</v>
      </c>
      <c r="F700" s="491">
        <v>2.65</v>
      </c>
      <c r="G700" s="1964" t="s">
        <v>3224</v>
      </c>
      <c r="H700" s="542" t="s">
        <v>3225</v>
      </c>
      <c r="I700" s="319" t="s">
        <v>1326</v>
      </c>
      <c r="J700" s="494" t="s">
        <v>3226</v>
      </c>
      <c r="K700" s="132" t="s">
        <v>1909</v>
      </c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  <c r="AC700" s="132"/>
      <c r="AD700" s="132"/>
      <c r="AE700" s="132"/>
      <c r="AF700" s="132"/>
      <c r="AG700" s="132"/>
      <c r="AH700" s="132"/>
      <c r="AI700" s="132"/>
      <c r="AJ700" s="132"/>
      <c r="AK700" s="132"/>
    </row>
    <row r="701" spans="1:37" s="481" customFormat="1" ht="46.8" x14ac:dyDescent="0.3">
      <c r="A701" s="132"/>
      <c r="B701" s="31" t="s">
        <v>3116</v>
      </c>
      <c r="C701" s="130" t="s">
        <v>372</v>
      </c>
      <c r="D701" s="43" t="s">
        <v>320</v>
      </c>
      <c r="E701" s="147" t="s">
        <v>515</v>
      </c>
      <c r="F701" s="491">
        <v>2.5</v>
      </c>
      <c r="G701" s="1964" t="s">
        <v>3294</v>
      </c>
      <c r="H701" s="542" t="s">
        <v>3295</v>
      </c>
      <c r="I701" s="319" t="s">
        <v>1326</v>
      </c>
      <c r="J701" s="494" t="s">
        <v>3296</v>
      </c>
      <c r="K701" s="132" t="s">
        <v>1909</v>
      </c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  <c r="AC701" s="132"/>
      <c r="AD701" s="132"/>
      <c r="AE701" s="132"/>
      <c r="AF701" s="132"/>
      <c r="AG701" s="132"/>
      <c r="AH701" s="132"/>
      <c r="AI701" s="132"/>
      <c r="AJ701" s="132"/>
      <c r="AK701" s="132"/>
    </row>
    <row r="702" spans="1:37" s="481" customFormat="1" ht="46.8" x14ac:dyDescent="0.3">
      <c r="A702" s="132"/>
      <c r="B702" s="31" t="s">
        <v>3116</v>
      </c>
      <c r="C702" s="130" t="s">
        <v>372</v>
      </c>
      <c r="D702" s="43" t="s">
        <v>320</v>
      </c>
      <c r="E702" s="147" t="s">
        <v>515</v>
      </c>
      <c r="F702" s="491">
        <v>2.5</v>
      </c>
      <c r="G702" s="1964" t="s">
        <v>3374</v>
      </c>
      <c r="H702" s="542" t="s">
        <v>3375</v>
      </c>
      <c r="I702" s="319" t="s">
        <v>1326</v>
      </c>
      <c r="J702" s="494" t="s">
        <v>3376</v>
      </c>
      <c r="K702" s="132" t="s">
        <v>1909</v>
      </c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  <c r="AC702" s="132"/>
      <c r="AD702" s="132"/>
      <c r="AE702" s="132"/>
      <c r="AF702" s="132"/>
      <c r="AG702" s="132"/>
      <c r="AH702" s="132"/>
      <c r="AI702" s="132"/>
      <c r="AJ702" s="132"/>
      <c r="AK702" s="132"/>
    </row>
    <row r="703" spans="1:37" s="481" customFormat="1" ht="46.8" x14ac:dyDescent="0.3">
      <c r="A703" s="132"/>
      <c r="B703" s="31" t="s">
        <v>3116</v>
      </c>
      <c r="C703" s="130" t="s">
        <v>372</v>
      </c>
      <c r="D703" s="43" t="s">
        <v>320</v>
      </c>
      <c r="E703" s="147" t="s">
        <v>515</v>
      </c>
      <c r="F703" s="491">
        <v>2.5</v>
      </c>
      <c r="G703" s="1964" t="s">
        <v>3452</v>
      </c>
      <c r="H703" s="542">
        <v>45688</v>
      </c>
      <c r="I703" s="319" t="s">
        <v>1326</v>
      </c>
      <c r="J703" s="494" t="s">
        <v>3453</v>
      </c>
      <c r="K703" s="132" t="s">
        <v>1909</v>
      </c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  <c r="AC703" s="132"/>
      <c r="AD703" s="132"/>
      <c r="AE703" s="132"/>
      <c r="AF703" s="132"/>
      <c r="AG703" s="132"/>
      <c r="AH703" s="132"/>
      <c r="AI703" s="132"/>
      <c r="AJ703" s="132"/>
      <c r="AK703" s="132"/>
    </row>
    <row r="704" spans="1:37" s="481" customFormat="1" ht="46.8" x14ac:dyDescent="0.3">
      <c r="A704" s="132"/>
      <c r="B704" s="31" t="s">
        <v>3116</v>
      </c>
      <c r="C704" s="130" t="s">
        <v>372</v>
      </c>
      <c r="D704" s="43" t="s">
        <v>320</v>
      </c>
      <c r="E704" s="147" t="s">
        <v>515</v>
      </c>
      <c r="F704" s="491">
        <v>2.5</v>
      </c>
      <c r="G704" s="1964" t="s">
        <v>3531</v>
      </c>
      <c r="H704" s="542" t="s">
        <v>3532</v>
      </c>
      <c r="I704" s="319" t="s">
        <v>1250</v>
      </c>
      <c r="J704" s="494" t="s">
        <v>3533</v>
      </c>
      <c r="K704" s="132" t="s">
        <v>1909</v>
      </c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  <c r="AC704" s="132"/>
      <c r="AD704" s="132"/>
      <c r="AE704" s="132"/>
      <c r="AF704" s="132"/>
      <c r="AG704" s="132"/>
      <c r="AH704" s="132"/>
      <c r="AI704" s="132"/>
      <c r="AJ704" s="132"/>
      <c r="AK704" s="132"/>
    </row>
    <row r="705" spans="1:37" s="481" customFormat="1" ht="46.8" x14ac:dyDescent="0.3">
      <c r="A705" s="132"/>
      <c r="B705" s="31" t="s">
        <v>3116</v>
      </c>
      <c r="C705" s="130" t="s">
        <v>372</v>
      </c>
      <c r="D705" s="43" t="s">
        <v>320</v>
      </c>
      <c r="E705" s="147" t="s">
        <v>515</v>
      </c>
      <c r="F705" s="491">
        <v>2.5</v>
      </c>
      <c r="G705" s="1964" t="s">
        <v>3600</v>
      </c>
      <c r="H705" s="542" t="s">
        <v>3461</v>
      </c>
      <c r="I705" s="319" t="s">
        <v>1250</v>
      </c>
      <c r="J705" s="494" t="s">
        <v>3601</v>
      </c>
      <c r="K705" s="132" t="s">
        <v>1909</v>
      </c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  <c r="AC705" s="132"/>
      <c r="AD705" s="132"/>
      <c r="AE705" s="132"/>
      <c r="AF705" s="132"/>
      <c r="AG705" s="132"/>
      <c r="AH705" s="132"/>
      <c r="AI705" s="132"/>
      <c r="AJ705" s="132"/>
      <c r="AK705" s="132"/>
    </row>
    <row r="706" spans="1:37" s="481" customFormat="1" ht="46.8" x14ac:dyDescent="0.3">
      <c r="A706" s="132"/>
      <c r="B706" s="31" t="s">
        <v>3116</v>
      </c>
      <c r="C706" s="130" t="s">
        <v>372</v>
      </c>
      <c r="D706" s="43" t="s">
        <v>320</v>
      </c>
      <c r="E706" s="147" t="s">
        <v>515</v>
      </c>
      <c r="F706" s="491">
        <v>2.5099999999999998</v>
      </c>
      <c r="G706" s="1964" t="s">
        <v>3691</v>
      </c>
      <c r="H706" s="542" t="s">
        <v>3692</v>
      </c>
      <c r="I706" s="319" t="s">
        <v>934</v>
      </c>
      <c r="J706" s="494" t="s">
        <v>3693</v>
      </c>
      <c r="K706" s="132" t="s">
        <v>1909</v>
      </c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  <c r="AC706" s="132"/>
      <c r="AD706" s="132"/>
      <c r="AE706" s="132"/>
      <c r="AF706" s="132"/>
      <c r="AG706" s="132"/>
      <c r="AH706" s="132"/>
      <c r="AI706" s="132"/>
      <c r="AJ706" s="132"/>
      <c r="AK706" s="132"/>
    </row>
    <row r="707" spans="1:37" s="481" customFormat="1" ht="46.8" x14ac:dyDescent="0.3">
      <c r="A707" s="132"/>
      <c r="B707" s="31" t="s">
        <v>3116</v>
      </c>
      <c r="C707" s="130" t="s">
        <v>372</v>
      </c>
      <c r="D707" s="43" t="s">
        <v>320</v>
      </c>
      <c r="E707" s="147" t="s">
        <v>515</v>
      </c>
      <c r="F707" s="491">
        <v>0.5</v>
      </c>
      <c r="G707" s="1964" t="s">
        <v>3750</v>
      </c>
      <c r="H707" s="542" t="s">
        <v>3464</v>
      </c>
      <c r="I707" s="319" t="s">
        <v>934</v>
      </c>
      <c r="J707" s="494" t="s">
        <v>3751</v>
      </c>
      <c r="K707" s="132" t="s">
        <v>1909</v>
      </c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  <c r="AC707" s="132"/>
      <c r="AD707" s="132"/>
      <c r="AE707" s="132"/>
      <c r="AF707" s="132"/>
      <c r="AG707" s="132"/>
      <c r="AH707" s="132"/>
      <c r="AI707" s="132"/>
      <c r="AJ707" s="132"/>
      <c r="AK707" s="132"/>
    </row>
    <row r="708" spans="1:37" s="481" customFormat="1" ht="46.8" x14ac:dyDescent="0.3">
      <c r="A708" s="132"/>
      <c r="B708" s="31" t="s">
        <v>3116</v>
      </c>
      <c r="C708" s="130" t="s">
        <v>372</v>
      </c>
      <c r="D708" s="43" t="s">
        <v>320</v>
      </c>
      <c r="E708" s="147" t="s">
        <v>515</v>
      </c>
      <c r="F708" s="491">
        <v>2.8</v>
      </c>
      <c r="G708" s="1964" t="s">
        <v>3808</v>
      </c>
      <c r="H708" s="542" t="s">
        <v>3809</v>
      </c>
      <c r="I708" s="319" t="s">
        <v>934</v>
      </c>
      <c r="J708" s="494" t="s">
        <v>3810</v>
      </c>
      <c r="K708" s="132" t="s">
        <v>1909</v>
      </c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  <c r="AC708" s="132"/>
      <c r="AD708" s="132"/>
      <c r="AE708" s="132"/>
      <c r="AF708" s="132"/>
      <c r="AG708" s="132"/>
      <c r="AH708" s="132"/>
      <c r="AI708" s="132"/>
      <c r="AJ708" s="132"/>
      <c r="AK708" s="132"/>
    </row>
    <row r="709" spans="1:37" s="481" customFormat="1" ht="46.8" x14ac:dyDescent="0.3">
      <c r="A709" s="132"/>
      <c r="B709" s="31" t="s">
        <v>3116</v>
      </c>
      <c r="C709" s="130" t="s">
        <v>372</v>
      </c>
      <c r="D709" s="43" t="s">
        <v>320</v>
      </c>
      <c r="E709" s="147" t="s">
        <v>515</v>
      </c>
      <c r="F709" s="491">
        <v>2.5</v>
      </c>
      <c r="G709" s="1964" t="s">
        <v>3883</v>
      </c>
      <c r="H709" s="542" t="s">
        <v>3884</v>
      </c>
      <c r="I709" s="319" t="s">
        <v>1302</v>
      </c>
      <c r="J709" s="494" t="s">
        <v>3885</v>
      </c>
      <c r="K709" s="132" t="s">
        <v>1909</v>
      </c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  <c r="AC709" s="132"/>
      <c r="AD709" s="132"/>
      <c r="AE709" s="132"/>
      <c r="AF709" s="132"/>
      <c r="AG709" s="132"/>
      <c r="AH709" s="132"/>
      <c r="AI709" s="132"/>
      <c r="AJ709" s="132"/>
      <c r="AK709" s="132"/>
    </row>
    <row r="710" spans="1:37" s="481" customFormat="1" ht="46.8" x14ac:dyDescent="0.3">
      <c r="A710" s="132"/>
      <c r="B710" s="31" t="s">
        <v>3116</v>
      </c>
      <c r="C710" s="130" t="s">
        <v>372</v>
      </c>
      <c r="D710" s="43" t="s">
        <v>320</v>
      </c>
      <c r="E710" s="147" t="s">
        <v>515</v>
      </c>
      <c r="F710" s="491">
        <v>2.5</v>
      </c>
      <c r="G710" s="1964" t="s">
        <v>3946</v>
      </c>
      <c r="H710" s="542" t="s">
        <v>3826</v>
      </c>
      <c r="I710" s="319" t="s">
        <v>1302</v>
      </c>
      <c r="J710" s="494" t="s">
        <v>3947</v>
      </c>
      <c r="K710" s="132" t="s">
        <v>1909</v>
      </c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  <c r="AC710" s="132"/>
      <c r="AD710" s="132"/>
      <c r="AE710" s="132"/>
      <c r="AF710" s="132"/>
      <c r="AG710" s="132"/>
      <c r="AH710" s="132"/>
      <c r="AI710" s="132"/>
      <c r="AJ710" s="132"/>
      <c r="AK710" s="132"/>
    </row>
    <row r="711" spans="1:37" s="481" customFormat="1" ht="46.8" x14ac:dyDescent="0.3">
      <c r="A711" s="132"/>
      <c r="B711" s="31" t="s">
        <v>3116</v>
      </c>
      <c r="C711" s="130" t="s">
        <v>372</v>
      </c>
      <c r="D711" s="43" t="s">
        <v>320</v>
      </c>
      <c r="E711" s="147" t="s">
        <v>510</v>
      </c>
      <c r="F711" s="491">
        <v>2.5</v>
      </c>
      <c r="G711" s="1964" t="s">
        <v>4034</v>
      </c>
      <c r="H711" s="542" t="s">
        <v>4035</v>
      </c>
      <c r="I711" s="319" t="s">
        <v>1262</v>
      </c>
      <c r="J711" s="494" t="s">
        <v>4036</v>
      </c>
      <c r="K711" s="132" t="s">
        <v>1909</v>
      </c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  <c r="AC711" s="132"/>
      <c r="AD711" s="132"/>
      <c r="AE711" s="132"/>
      <c r="AF711" s="132"/>
      <c r="AG711" s="132"/>
      <c r="AH711" s="132"/>
      <c r="AI711" s="132"/>
      <c r="AJ711" s="132"/>
      <c r="AK711" s="132"/>
    </row>
    <row r="712" spans="1:37" s="481" customFormat="1" ht="46.8" x14ac:dyDescent="0.3">
      <c r="A712" s="132"/>
      <c r="B712" s="31" t="s">
        <v>3116</v>
      </c>
      <c r="C712" s="130" t="s">
        <v>372</v>
      </c>
      <c r="D712" s="43" t="s">
        <v>320</v>
      </c>
      <c r="E712" s="147" t="s">
        <v>510</v>
      </c>
      <c r="F712" s="491">
        <v>2.5</v>
      </c>
      <c r="G712" s="1964" t="s">
        <v>4102</v>
      </c>
      <c r="H712" s="542" t="s">
        <v>4103</v>
      </c>
      <c r="I712" s="319" t="s">
        <v>1262</v>
      </c>
      <c r="J712" s="494" t="s">
        <v>4104</v>
      </c>
      <c r="K712" s="132" t="s">
        <v>1909</v>
      </c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  <c r="AG712" s="132"/>
      <c r="AH712" s="132"/>
      <c r="AI712" s="132"/>
      <c r="AJ712" s="132"/>
      <c r="AK712" s="132"/>
    </row>
    <row r="713" spans="1:37" s="481" customFormat="1" ht="46.8" x14ac:dyDescent="0.3">
      <c r="A713" s="132"/>
      <c r="B713" s="31" t="s">
        <v>3116</v>
      </c>
      <c r="C713" s="130" t="s">
        <v>372</v>
      </c>
      <c r="D713" s="43" t="s">
        <v>320</v>
      </c>
      <c r="E713" s="147" t="s">
        <v>510</v>
      </c>
      <c r="F713" s="491">
        <v>2.5</v>
      </c>
      <c r="G713" s="1964" t="s">
        <v>4170</v>
      </c>
      <c r="H713" s="542" t="s">
        <v>4171</v>
      </c>
      <c r="I713" s="319" t="s">
        <v>1262</v>
      </c>
      <c r="J713" s="494" t="s">
        <v>4172</v>
      </c>
      <c r="K713" s="132" t="s">
        <v>1909</v>
      </c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  <c r="AC713" s="132"/>
      <c r="AD713" s="132"/>
      <c r="AE713" s="132"/>
      <c r="AF713" s="132"/>
      <c r="AG713" s="132"/>
      <c r="AH713" s="132"/>
      <c r="AI713" s="132"/>
      <c r="AJ713" s="132"/>
      <c r="AK713" s="132"/>
    </row>
    <row r="714" spans="1:37" s="481" customFormat="1" ht="15.6" x14ac:dyDescent="0.3">
      <c r="A714" s="132"/>
      <c r="B714" s="31" t="s">
        <v>3116</v>
      </c>
      <c r="C714" s="130" t="s">
        <v>372</v>
      </c>
      <c r="D714" s="43" t="s">
        <v>320</v>
      </c>
      <c r="E714" s="147" t="s">
        <v>510</v>
      </c>
      <c r="F714" s="491">
        <v>2.2999999999999998</v>
      </c>
      <c r="G714" s="1964" t="s">
        <v>4244</v>
      </c>
      <c r="H714" s="542" t="s">
        <v>4245</v>
      </c>
      <c r="I714" s="319" t="s">
        <v>1509</v>
      </c>
      <c r="J714" s="584" t="s">
        <v>4246</v>
      </c>
      <c r="K714" s="132" t="s">
        <v>1909</v>
      </c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  <c r="AC714" s="132"/>
      <c r="AD714" s="132"/>
      <c r="AE714" s="132"/>
      <c r="AF714" s="132"/>
      <c r="AG714" s="132"/>
      <c r="AH714" s="132"/>
      <c r="AI714" s="132"/>
      <c r="AJ714" s="132"/>
      <c r="AK714" s="132"/>
    </row>
    <row r="715" spans="1:37" s="481" customFormat="1" ht="15.6" x14ac:dyDescent="0.3">
      <c r="A715" s="132"/>
      <c r="B715" s="31" t="s">
        <v>3116</v>
      </c>
      <c r="C715" s="130" t="s">
        <v>372</v>
      </c>
      <c r="D715" s="43" t="s">
        <v>320</v>
      </c>
      <c r="E715" s="126" t="s">
        <v>510</v>
      </c>
      <c r="F715" s="504">
        <v>2.6</v>
      </c>
      <c r="G715" s="248" t="s">
        <v>4308</v>
      </c>
      <c r="H715" s="542" t="s">
        <v>4309</v>
      </c>
      <c r="I715" s="151" t="s">
        <v>1509</v>
      </c>
      <c r="J715" s="494" t="s">
        <v>4310</v>
      </c>
      <c r="K715" s="132" t="s">
        <v>1909</v>
      </c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  <c r="AC715" s="132"/>
      <c r="AD715" s="132"/>
      <c r="AE715" s="132"/>
      <c r="AF715" s="132"/>
      <c r="AG715" s="132"/>
      <c r="AH715" s="132"/>
      <c r="AI715" s="132"/>
      <c r="AJ715" s="132"/>
      <c r="AK715" s="132"/>
    </row>
    <row r="716" spans="1:37" s="1192" customFormat="1" ht="15.6" x14ac:dyDescent="0.3">
      <c r="A716" s="132"/>
      <c r="B716" s="31" t="s">
        <v>3116</v>
      </c>
      <c r="C716" s="130" t="s">
        <v>372</v>
      </c>
      <c r="D716" s="43" t="s">
        <v>320</v>
      </c>
      <c r="E716" s="126" t="s">
        <v>510</v>
      </c>
      <c r="F716" s="504">
        <v>2.5</v>
      </c>
      <c r="G716" s="248" t="s">
        <v>4368</v>
      </c>
      <c r="H716" s="542" t="s">
        <v>4369</v>
      </c>
      <c r="I716" s="319" t="s">
        <v>1509</v>
      </c>
      <c r="J716" s="494" t="s">
        <v>4370</v>
      </c>
      <c r="K716" s="132" t="s">
        <v>1909</v>
      </c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  <c r="AC716" s="132"/>
      <c r="AD716" s="132"/>
      <c r="AE716" s="132"/>
      <c r="AF716" s="132"/>
      <c r="AG716" s="132"/>
      <c r="AH716" s="132"/>
      <c r="AI716" s="132"/>
      <c r="AJ716" s="132"/>
      <c r="AK716" s="132"/>
    </row>
    <row r="717" spans="1:37" s="1192" customFormat="1" ht="15.6" x14ac:dyDescent="0.3">
      <c r="A717" s="132"/>
      <c r="B717" s="31" t="s">
        <v>3116</v>
      </c>
      <c r="C717" s="130" t="s">
        <v>372</v>
      </c>
      <c r="D717" s="43" t="s">
        <v>320</v>
      </c>
      <c r="E717" s="126" t="s">
        <v>510</v>
      </c>
      <c r="F717" s="504">
        <v>2.6</v>
      </c>
      <c r="G717" s="248" t="s">
        <v>4430</v>
      </c>
      <c r="H717" s="542" t="s">
        <v>4053</v>
      </c>
      <c r="I717" s="319" t="s">
        <v>940</v>
      </c>
      <c r="J717" s="494" t="s">
        <v>4431</v>
      </c>
      <c r="K717" s="132" t="s">
        <v>1909</v>
      </c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  <c r="AC717" s="132"/>
      <c r="AD717" s="132"/>
      <c r="AE717" s="132"/>
      <c r="AF717" s="132"/>
      <c r="AG717" s="132"/>
      <c r="AH717" s="132"/>
      <c r="AI717" s="132"/>
      <c r="AJ717" s="132"/>
      <c r="AK717" s="132"/>
    </row>
    <row r="718" spans="1:37" s="1192" customFormat="1" ht="15.6" x14ac:dyDescent="0.3">
      <c r="A718" s="132"/>
      <c r="B718" s="805" t="s">
        <v>3116</v>
      </c>
      <c r="C718" s="1934" t="s">
        <v>372</v>
      </c>
      <c r="D718" s="43" t="s">
        <v>320</v>
      </c>
      <c r="E718" s="1951" t="s">
        <v>510</v>
      </c>
      <c r="F718" s="1959">
        <v>2.77</v>
      </c>
      <c r="G718" s="811" t="s">
        <v>4478</v>
      </c>
      <c r="H718" s="812" t="s">
        <v>4187</v>
      </c>
      <c r="I718" s="1986" t="s">
        <v>940</v>
      </c>
      <c r="J718" s="1162" t="s">
        <v>4479</v>
      </c>
      <c r="K718" s="132" t="s">
        <v>1909</v>
      </c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  <c r="AC718" s="132"/>
      <c r="AD718" s="132"/>
      <c r="AE718" s="132"/>
      <c r="AF718" s="132"/>
      <c r="AG718" s="132"/>
      <c r="AH718" s="132"/>
      <c r="AI718" s="132"/>
      <c r="AJ718" s="132"/>
      <c r="AK718" s="132"/>
    </row>
    <row r="719" spans="1:37" ht="7.5" customHeight="1" x14ac:dyDescent="0.3">
      <c r="B719" s="338" t="s">
        <v>3058</v>
      </c>
      <c r="C719" s="142" t="s">
        <v>369</v>
      </c>
      <c r="D719" s="143" t="s">
        <v>190</v>
      </c>
      <c r="E719" s="144" t="s">
        <v>515</v>
      </c>
      <c r="F719" s="1143">
        <v>1</v>
      </c>
      <c r="G719" s="144" t="s">
        <v>3069</v>
      </c>
      <c r="H719" s="1975">
        <v>45631</v>
      </c>
      <c r="I719" s="515" t="s">
        <v>898</v>
      </c>
      <c r="J719" s="524" t="s">
        <v>2511</v>
      </c>
      <c r="K719" s="132" t="s">
        <v>2511</v>
      </c>
    </row>
    <row r="720" spans="1:37" ht="15.6" x14ac:dyDescent="0.3">
      <c r="B720" s="124" t="s">
        <v>3087</v>
      </c>
      <c r="C720" s="581" t="s">
        <v>3088</v>
      </c>
      <c r="D720" s="143" t="s">
        <v>190</v>
      </c>
      <c r="E720" s="144" t="s">
        <v>515</v>
      </c>
      <c r="F720" s="1143">
        <v>1</v>
      </c>
      <c r="G720" s="144" t="s">
        <v>3100</v>
      </c>
      <c r="H720" s="1975">
        <v>46019</v>
      </c>
      <c r="I720" s="515" t="s">
        <v>1326</v>
      </c>
      <c r="J720" s="524" t="s">
        <v>2511</v>
      </c>
      <c r="K720" s="132" t="s">
        <v>2511</v>
      </c>
      <c r="L720" s="58"/>
    </row>
    <row r="721" spans="2:11" ht="46.8" x14ac:dyDescent="0.3">
      <c r="B721" s="124" t="s">
        <v>3116</v>
      </c>
      <c r="C721" s="129" t="s">
        <v>372</v>
      </c>
      <c r="D721" s="127" t="s">
        <v>320</v>
      </c>
      <c r="E721" s="125" t="s">
        <v>515</v>
      </c>
      <c r="F721" s="490">
        <v>6.04</v>
      </c>
      <c r="G721" s="296" t="s">
        <v>3157</v>
      </c>
      <c r="H721" s="596" t="s">
        <v>3158</v>
      </c>
      <c r="I721" s="131" t="s">
        <v>1326</v>
      </c>
      <c r="J721" s="525" t="s">
        <v>3159</v>
      </c>
      <c r="K721" s="132" t="s">
        <v>2511</v>
      </c>
    </row>
    <row r="722" spans="2:11" ht="31.2" x14ac:dyDescent="0.3">
      <c r="B722" s="31" t="s">
        <v>3116</v>
      </c>
      <c r="C722" s="130" t="s">
        <v>372</v>
      </c>
      <c r="D722" s="43" t="s">
        <v>320</v>
      </c>
      <c r="E722" s="126" t="s">
        <v>515</v>
      </c>
      <c r="F722" s="504">
        <v>2.65</v>
      </c>
      <c r="G722" s="248" t="s">
        <v>3247</v>
      </c>
      <c r="H722" s="542" t="s">
        <v>3248</v>
      </c>
      <c r="I722" s="151" t="s">
        <v>1250</v>
      </c>
      <c r="J722" s="494" t="s">
        <v>3249</v>
      </c>
      <c r="K722" s="132" t="s">
        <v>2511</v>
      </c>
    </row>
    <row r="723" spans="2:11" ht="46.8" x14ac:dyDescent="0.3">
      <c r="B723" s="31" t="s">
        <v>3116</v>
      </c>
      <c r="C723" s="130" t="s">
        <v>372</v>
      </c>
      <c r="D723" s="43" t="s">
        <v>320</v>
      </c>
      <c r="E723" s="126" t="s">
        <v>515</v>
      </c>
      <c r="F723" s="504">
        <v>2.5</v>
      </c>
      <c r="G723" s="248" t="s">
        <v>3319</v>
      </c>
      <c r="H723" s="542" t="s">
        <v>3320</v>
      </c>
      <c r="I723" s="151" t="s">
        <v>1250</v>
      </c>
      <c r="J723" s="494" t="s">
        <v>3321</v>
      </c>
      <c r="K723" s="132" t="s">
        <v>2511</v>
      </c>
    </row>
    <row r="724" spans="2:11" ht="46.8" x14ac:dyDescent="0.3">
      <c r="B724" s="31" t="s">
        <v>3116</v>
      </c>
      <c r="C724" s="130" t="s">
        <v>372</v>
      </c>
      <c r="D724" s="43" t="s">
        <v>320</v>
      </c>
      <c r="E724" s="126" t="s">
        <v>515</v>
      </c>
      <c r="F724" s="504">
        <v>2.5099999999999998</v>
      </c>
      <c r="G724" s="248" t="s">
        <v>3404</v>
      </c>
      <c r="H724" s="542" t="s">
        <v>3405</v>
      </c>
      <c r="I724" s="151" t="s">
        <v>934</v>
      </c>
      <c r="J724" s="494" t="s">
        <v>3406</v>
      </c>
      <c r="K724" s="132" t="s">
        <v>2511</v>
      </c>
    </row>
    <row r="725" spans="2:11" ht="46.8" x14ac:dyDescent="0.3">
      <c r="B725" s="31" t="s">
        <v>3116</v>
      </c>
      <c r="C725" s="130" t="s">
        <v>372</v>
      </c>
      <c r="D725" s="43" t="s">
        <v>320</v>
      </c>
      <c r="E725" s="126" t="s">
        <v>515</v>
      </c>
      <c r="F725" s="504">
        <v>2.5</v>
      </c>
      <c r="G725" s="248" t="s">
        <v>3482</v>
      </c>
      <c r="H725" s="542" t="s">
        <v>3483</v>
      </c>
      <c r="I725" s="151" t="s">
        <v>934</v>
      </c>
      <c r="J725" s="494" t="s">
        <v>3484</v>
      </c>
      <c r="K725" s="132" t="s">
        <v>2511</v>
      </c>
    </row>
    <row r="726" spans="2:11" ht="46.8" x14ac:dyDescent="0.3">
      <c r="B726" s="31" t="s">
        <v>3116</v>
      </c>
      <c r="C726" s="130" t="s">
        <v>372</v>
      </c>
      <c r="D726" s="43" t="s">
        <v>320</v>
      </c>
      <c r="E726" s="126" t="s">
        <v>515</v>
      </c>
      <c r="F726" s="504">
        <v>2.5</v>
      </c>
      <c r="G726" s="248" t="s">
        <v>3548</v>
      </c>
      <c r="H726" s="542" t="s">
        <v>3260</v>
      </c>
      <c r="I726" s="151" t="s">
        <v>934</v>
      </c>
      <c r="J726" s="494" t="s">
        <v>3549</v>
      </c>
      <c r="K726" s="132" t="s">
        <v>2511</v>
      </c>
    </row>
    <row r="727" spans="2:11" ht="46.8" x14ac:dyDescent="0.3">
      <c r="B727" s="31" t="s">
        <v>3116</v>
      </c>
      <c r="C727" s="130" t="s">
        <v>372</v>
      </c>
      <c r="D727" s="43" t="s">
        <v>320</v>
      </c>
      <c r="E727" s="126" t="s">
        <v>515</v>
      </c>
      <c r="F727" s="504">
        <v>2.5</v>
      </c>
      <c r="G727" s="248" t="s">
        <v>3632</v>
      </c>
      <c r="H727" s="542" t="s">
        <v>3633</v>
      </c>
      <c r="I727" s="151" t="s">
        <v>1302</v>
      </c>
      <c r="J727" s="494" t="s">
        <v>3634</v>
      </c>
      <c r="K727" s="132" t="s">
        <v>2511</v>
      </c>
    </row>
    <row r="728" spans="2:11" ht="46.8" x14ac:dyDescent="0.3">
      <c r="B728" s="31" t="s">
        <v>3116</v>
      </c>
      <c r="C728" s="130" t="s">
        <v>372</v>
      </c>
      <c r="D728" s="43" t="s">
        <v>320</v>
      </c>
      <c r="E728" s="126" t="s">
        <v>515</v>
      </c>
      <c r="F728" s="504">
        <v>2.5</v>
      </c>
      <c r="G728" s="248" t="s">
        <v>3694</v>
      </c>
      <c r="H728" s="542" t="s">
        <v>3695</v>
      </c>
      <c r="I728" s="151" t="s">
        <v>1302</v>
      </c>
      <c r="J728" s="494" t="s">
        <v>3696</v>
      </c>
      <c r="K728" s="132" t="s">
        <v>2511</v>
      </c>
    </row>
    <row r="729" spans="2:11" ht="46.8" x14ac:dyDescent="0.3">
      <c r="B729" s="31" t="s">
        <v>3116</v>
      </c>
      <c r="C729" s="130" t="s">
        <v>372</v>
      </c>
      <c r="D729" s="43" t="s">
        <v>320</v>
      </c>
      <c r="E729" s="126" t="s">
        <v>515</v>
      </c>
      <c r="F729" s="504">
        <v>2</v>
      </c>
      <c r="G729" s="248" t="s">
        <v>3767</v>
      </c>
      <c r="H729" s="542" t="s">
        <v>3495</v>
      </c>
      <c r="I729" s="151" t="s">
        <v>1302</v>
      </c>
      <c r="J729" s="494" t="s">
        <v>3768</v>
      </c>
      <c r="K729" s="132" t="s">
        <v>2511</v>
      </c>
    </row>
    <row r="730" spans="2:11" ht="46.8" x14ac:dyDescent="0.3">
      <c r="B730" s="31" t="s">
        <v>3116</v>
      </c>
      <c r="C730" s="130" t="s">
        <v>372</v>
      </c>
      <c r="D730" s="43" t="s">
        <v>320</v>
      </c>
      <c r="E730" s="126" t="s">
        <v>515</v>
      </c>
      <c r="F730" s="504">
        <v>2.7</v>
      </c>
      <c r="G730" s="248" t="s">
        <v>3838</v>
      </c>
      <c r="H730" s="542" t="s">
        <v>3839</v>
      </c>
      <c r="I730" s="151" t="s">
        <v>97</v>
      </c>
      <c r="J730" s="494" t="s">
        <v>3840</v>
      </c>
      <c r="K730" s="132" t="s">
        <v>2511</v>
      </c>
    </row>
    <row r="731" spans="2:11" ht="46.8" x14ac:dyDescent="0.3">
      <c r="B731" s="31" t="s">
        <v>3116</v>
      </c>
      <c r="C731" s="130" t="s">
        <v>372</v>
      </c>
      <c r="D731" s="43" t="s">
        <v>320</v>
      </c>
      <c r="E731" s="126" t="s">
        <v>515</v>
      </c>
      <c r="F731" s="504">
        <v>2.8</v>
      </c>
      <c r="G731" s="248" t="s">
        <v>3906</v>
      </c>
      <c r="H731" s="542" t="s">
        <v>3907</v>
      </c>
      <c r="I731" s="319" t="s">
        <v>97</v>
      </c>
      <c r="J731" s="494" t="s">
        <v>3908</v>
      </c>
      <c r="K731" s="132" t="s">
        <v>2511</v>
      </c>
    </row>
    <row r="732" spans="2:11" ht="46.8" x14ac:dyDescent="0.3">
      <c r="B732" s="31" t="s">
        <v>3116</v>
      </c>
      <c r="C732" s="130" t="s">
        <v>372</v>
      </c>
      <c r="D732" s="43" t="s">
        <v>320</v>
      </c>
      <c r="E732" s="126" t="s">
        <v>515</v>
      </c>
      <c r="F732" s="504">
        <v>2.5</v>
      </c>
      <c r="G732" s="248" t="s">
        <v>3992</v>
      </c>
      <c r="H732" s="542" t="s">
        <v>3993</v>
      </c>
      <c r="I732" s="319" t="s">
        <v>1282</v>
      </c>
      <c r="J732" s="494" t="s">
        <v>3994</v>
      </c>
      <c r="K732" s="132" t="s">
        <v>2511</v>
      </c>
    </row>
    <row r="733" spans="2:11" ht="46.8" x14ac:dyDescent="0.3">
      <c r="B733" s="31" t="s">
        <v>3116</v>
      </c>
      <c r="C733" s="130" t="s">
        <v>372</v>
      </c>
      <c r="D733" s="43" t="s">
        <v>320</v>
      </c>
      <c r="E733" s="126" t="s">
        <v>510</v>
      </c>
      <c r="F733" s="504">
        <v>2.5</v>
      </c>
      <c r="G733" s="248" t="s">
        <v>4061</v>
      </c>
      <c r="H733" s="542" t="s">
        <v>4062</v>
      </c>
      <c r="I733" s="319" t="s">
        <v>1282</v>
      </c>
      <c r="J733" s="494" t="s">
        <v>4063</v>
      </c>
      <c r="K733" s="132" t="s">
        <v>2511</v>
      </c>
    </row>
    <row r="734" spans="2:11" ht="46.8" x14ac:dyDescent="0.3">
      <c r="B734" s="31" t="s">
        <v>3116</v>
      </c>
      <c r="C734" s="130" t="s">
        <v>372</v>
      </c>
      <c r="D734" s="43" t="s">
        <v>320</v>
      </c>
      <c r="E734" s="126" t="s">
        <v>515</v>
      </c>
      <c r="F734" s="504">
        <v>2.5</v>
      </c>
      <c r="G734" s="248" t="s">
        <v>4137</v>
      </c>
      <c r="H734" s="542" t="s">
        <v>4138</v>
      </c>
      <c r="I734" s="319" t="s">
        <v>943</v>
      </c>
      <c r="J734" s="494" t="s">
        <v>4139</v>
      </c>
      <c r="K734" s="132" t="s">
        <v>2511</v>
      </c>
    </row>
    <row r="735" spans="2:11" ht="31.2" x14ac:dyDescent="0.3">
      <c r="B735" s="31" t="s">
        <v>3116</v>
      </c>
      <c r="C735" s="130" t="s">
        <v>372</v>
      </c>
      <c r="D735" s="43" t="s">
        <v>320</v>
      </c>
      <c r="E735" s="126" t="s">
        <v>515</v>
      </c>
      <c r="F735" s="504">
        <v>2.5</v>
      </c>
      <c r="G735" s="248" t="s">
        <v>4207</v>
      </c>
      <c r="H735" s="542" t="s">
        <v>4208</v>
      </c>
      <c r="I735" s="319" t="s">
        <v>943</v>
      </c>
      <c r="J735" s="494" t="s">
        <v>4209</v>
      </c>
      <c r="K735" s="132" t="s">
        <v>2511</v>
      </c>
    </row>
    <row r="736" spans="2:11" ht="46.8" x14ac:dyDescent="0.3">
      <c r="B736" s="31" t="s">
        <v>3116</v>
      </c>
      <c r="C736" s="130" t="s">
        <v>372</v>
      </c>
      <c r="D736" s="43" t="s">
        <v>320</v>
      </c>
      <c r="E736" s="126" t="s">
        <v>515</v>
      </c>
      <c r="F736" s="504">
        <v>2.5</v>
      </c>
      <c r="G736" s="248" t="s">
        <v>4277</v>
      </c>
      <c r="H736" s="542" t="s">
        <v>3860</v>
      </c>
      <c r="I736" s="319" t="s">
        <v>943</v>
      </c>
      <c r="J736" s="494" t="s">
        <v>4278</v>
      </c>
      <c r="K736" s="132" t="s">
        <v>2511</v>
      </c>
    </row>
    <row r="737" spans="1:37" ht="46.8" x14ac:dyDescent="0.3">
      <c r="B737" s="31" t="s">
        <v>3116</v>
      </c>
      <c r="C737" s="130" t="s">
        <v>372</v>
      </c>
      <c r="D737" s="43" t="s">
        <v>320</v>
      </c>
      <c r="E737" s="126" t="s">
        <v>510</v>
      </c>
      <c r="F737" s="504">
        <v>2.5</v>
      </c>
      <c r="G737" s="248" t="s">
        <v>4347</v>
      </c>
      <c r="H737" s="542" t="s">
        <v>4348</v>
      </c>
      <c r="I737" s="319" t="s">
        <v>1417</v>
      </c>
      <c r="J737" s="494" t="s">
        <v>4349</v>
      </c>
      <c r="K737" s="132" t="s">
        <v>2511</v>
      </c>
    </row>
    <row r="738" spans="1:37" ht="46.8" x14ac:dyDescent="0.3">
      <c r="B738" s="31" t="s">
        <v>3116</v>
      </c>
      <c r="C738" s="130" t="s">
        <v>372</v>
      </c>
      <c r="D738" s="43" t="s">
        <v>320</v>
      </c>
      <c r="E738" s="126" t="s">
        <v>515</v>
      </c>
      <c r="F738" s="504">
        <v>2.5</v>
      </c>
      <c r="G738" s="248" t="s">
        <v>4407</v>
      </c>
      <c r="H738" s="542" t="s">
        <v>4408</v>
      </c>
      <c r="I738" s="319" t="s">
        <v>1417</v>
      </c>
      <c r="J738" s="494" t="s">
        <v>4409</v>
      </c>
      <c r="K738" s="132" t="s">
        <v>2511</v>
      </c>
    </row>
    <row r="739" spans="1:37" ht="46.8" x14ac:dyDescent="0.3">
      <c r="B739" s="31" t="s">
        <v>3116</v>
      </c>
      <c r="C739" s="130" t="s">
        <v>372</v>
      </c>
      <c r="D739" s="43" t="s">
        <v>320</v>
      </c>
      <c r="E739" s="126" t="s">
        <v>515</v>
      </c>
      <c r="F739" s="504">
        <v>2.5</v>
      </c>
      <c r="G739" s="248" t="s">
        <v>4456</v>
      </c>
      <c r="H739" s="542" t="s">
        <v>4457</v>
      </c>
      <c r="I739" s="319" t="s">
        <v>1417</v>
      </c>
      <c r="J739" s="494" t="s">
        <v>4458</v>
      </c>
      <c r="K739" s="132" t="s">
        <v>2511</v>
      </c>
    </row>
    <row r="740" spans="1:37" ht="46.8" x14ac:dyDescent="0.3">
      <c r="B740" s="31" t="s">
        <v>3116</v>
      </c>
      <c r="C740" s="130" t="s">
        <v>372</v>
      </c>
      <c r="D740" s="43" t="s">
        <v>320</v>
      </c>
      <c r="E740" s="126" t="s">
        <v>515</v>
      </c>
      <c r="F740" s="504">
        <v>1.85</v>
      </c>
      <c r="G740" s="587" t="s">
        <v>4513</v>
      </c>
      <c r="H740" s="585" t="s">
        <v>4514</v>
      </c>
      <c r="I740" s="784" t="s">
        <v>1315</v>
      </c>
      <c r="J740" s="494" t="s">
        <v>4515</v>
      </c>
      <c r="K740" s="132" t="s">
        <v>2511</v>
      </c>
    </row>
    <row r="741" spans="1:37" ht="46.8" x14ac:dyDescent="0.3">
      <c r="B741" s="31" t="s">
        <v>3116</v>
      </c>
      <c r="C741" s="130" t="s">
        <v>372</v>
      </c>
      <c r="D741" s="43" t="s">
        <v>320</v>
      </c>
      <c r="E741" s="126" t="s">
        <v>515</v>
      </c>
      <c r="F741" s="504">
        <v>1</v>
      </c>
      <c r="G741" s="587" t="s">
        <v>4551</v>
      </c>
      <c r="H741" s="585" t="s">
        <v>4414</v>
      </c>
      <c r="I741" s="784" t="s">
        <v>1315</v>
      </c>
      <c r="J741" s="494" t="s">
        <v>4552</v>
      </c>
      <c r="K741" s="132" t="s">
        <v>2511</v>
      </c>
    </row>
    <row r="742" spans="1:37" ht="46.8" x14ac:dyDescent="0.3">
      <c r="B742" s="589" t="s">
        <v>540</v>
      </c>
      <c r="C742" s="590" t="s">
        <v>376</v>
      </c>
      <c r="D742" s="41" t="s">
        <v>320</v>
      </c>
      <c r="E742" s="126" t="s">
        <v>515</v>
      </c>
      <c r="F742" s="504">
        <v>4</v>
      </c>
      <c r="G742" s="587" t="s">
        <v>4632</v>
      </c>
      <c r="H742" s="585" t="s">
        <v>4633</v>
      </c>
      <c r="I742" s="784" t="s">
        <v>1579</v>
      </c>
      <c r="J742" s="494" t="s">
        <v>4634</v>
      </c>
      <c r="K742" s="481" t="s">
        <v>2511</v>
      </c>
      <c r="L742" s="481"/>
    </row>
    <row r="743" spans="1:37" ht="46.8" x14ac:dyDescent="0.3">
      <c r="A743" s="481"/>
      <c r="B743" s="589" t="s">
        <v>540</v>
      </c>
      <c r="C743" s="590" t="s">
        <v>376</v>
      </c>
      <c r="D743" s="41" t="s">
        <v>320</v>
      </c>
      <c r="E743" s="126" t="s">
        <v>515</v>
      </c>
      <c r="F743" s="504">
        <v>0.63</v>
      </c>
      <c r="G743" s="587" t="s">
        <v>4635</v>
      </c>
      <c r="H743" s="585" t="s">
        <v>4636</v>
      </c>
      <c r="I743" s="784" t="s">
        <v>1579</v>
      </c>
      <c r="J743" s="494" t="s">
        <v>4637</v>
      </c>
      <c r="K743" s="481" t="s">
        <v>2511</v>
      </c>
      <c r="L743" s="481"/>
      <c r="M743" s="481"/>
      <c r="N743" s="481"/>
      <c r="O743" s="481"/>
      <c r="P743" s="481"/>
      <c r="Q743" s="481"/>
      <c r="R743" s="481"/>
      <c r="S743" s="481"/>
      <c r="T743" s="481"/>
      <c r="U743" s="481"/>
      <c r="V743" s="481"/>
      <c r="W743" s="481"/>
      <c r="X743" s="481"/>
      <c r="Y743" s="481"/>
      <c r="Z743" s="481"/>
      <c r="AA743" s="481"/>
      <c r="AB743" s="481"/>
      <c r="AC743" s="481"/>
      <c r="AD743" s="481"/>
      <c r="AE743" s="481"/>
      <c r="AF743" s="481"/>
      <c r="AG743" s="481"/>
      <c r="AH743" s="481"/>
      <c r="AI743" s="481"/>
      <c r="AJ743" s="481"/>
      <c r="AK743" s="481"/>
    </row>
    <row r="744" spans="1:37" ht="46.8" x14ac:dyDescent="0.3">
      <c r="B744" s="31" t="s">
        <v>3058</v>
      </c>
      <c r="C744" s="130" t="s">
        <v>369</v>
      </c>
      <c r="D744" s="43" t="s">
        <v>190</v>
      </c>
      <c r="E744" s="126" t="s">
        <v>515</v>
      </c>
      <c r="F744" s="504">
        <v>1</v>
      </c>
      <c r="G744" s="126" t="s">
        <v>3064</v>
      </c>
      <c r="H744" s="304">
        <v>45612</v>
      </c>
      <c r="I744" s="319" t="s">
        <v>898</v>
      </c>
      <c r="J744" s="494" t="s">
        <v>2512</v>
      </c>
      <c r="K744" s="132" t="s">
        <v>2512</v>
      </c>
    </row>
    <row r="745" spans="1:37" ht="46.8" x14ac:dyDescent="0.3">
      <c r="B745" s="31" t="s">
        <v>3087</v>
      </c>
      <c r="C745" s="130" t="s">
        <v>3088</v>
      </c>
      <c r="D745" s="43" t="s">
        <v>190</v>
      </c>
      <c r="E745" s="126" t="s">
        <v>515</v>
      </c>
      <c r="F745" s="504">
        <v>1</v>
      </c>
      <c r="G745" s="126" t="s">
        <v>3093</v>
      </c>
      <c r="H745" s="304">
        <v>45621</v>
      </c>
      <c r="I745" s="319" t="s">
        <v>898</v>
      </c>
      <c r="J745" s="494" t="s">
        <v>2512</v>
      </c>
      <c r="K745" s="132" t="s">
        <v>2512</v>
      </c>
    </row>
    <row r="746" spans="1:37" ht="46.8" x14ac:dyDescent="0.3">
      <c r="B746" s="31" t="s">
        <v>3116</v>
      </c>
      <c r="C746" s="130" t="s">
        <v>372</v>
      </c>
      <c r="D746" s="43" t="s">
        <v>320</v>
      </c>
      <c r="E746" s="126" t="s">
        <v>515</v>
      </c>
      <c r="F746" s="504">
        <v>4.32</v>
      </c>
      <c r="G746" s="248" t="s">
        <v>3127</v>
      </c>
      <c r="H746" s="542" t="s">
        <v>3128</v>
      </c>
      <c r="I746" s="319" t="s">
        <v>931</v>
      </c>
      <c r="J746" s="494" t="s">
        <v>3129</v>
      </c>
      <c r="K746" s="132" t="s">
        <v>2512</v>
      </c>
    </row>
    <row r="747" spans="1:37" ht="46.8" x14ac:dyDescent="0.3">
      <c r="B747" s="31" t="s">
        <v>3116</v>
      </c>
      <c r="C747" s="130" t="s">
        <v>372</v>
      </c>
      <c r="D747" s="43" t="s">
        <v>320</v>
      </c>
      <c r="E747" s="126" t="s">
        <v>515</v>
      </c>
      <c r="F747" s="504">
        <v>2.65</v>
      </c>
      <c r="G747" s="248" t="s">
        <v>3209</v>
      </c>
      <c r="H747" s="542" t="s">
        <v>3210</v>
      </c>
      <c r="I747" s="319" t="s">
        <v>931</v>
      </c>
      <c r="J747" s="494" t="s">
        <v>3211</v>
      </c>
      <c r="K747" s="132" t="s">
        <v>2512</v>
      </c>
    </row>
    <row r="748" spans="1:37" ht="46.8" x14ac:dyDescent="0.3">
      <c r="B748" s="31" t="s">
        <v>3116</v>
      </c>
      <c r="C748" s="130" t="s">
        <v>372</v>
      </c>
      <c r="D748" s="43" t="s">
        <v>320</v>
      </c>
      <c r="E748" s="126" t="s">
        <v>515</v>
      </c>
      <c r="F748" s="504">
        <v>2.5</v>
      </c>
      <c r="G748" s="248" t="s">
        <v>3288</v>
      </c>
      <c r="H748" s="542" t="s">
        <v>3289</v>
      </c>
      <c r="I748" s="319" t="s">
        <v>931</v>
      </c>
      <c r="J748" s="494" t="s">
        <v>3290</v>
      </c>
      <c r="K748" s="132" t="s">
        <v>2512</v>
      </c>
    </row>
    <row r="749" spans="1:37" ht="46.8" x14ac:dyDescent="0.3">
      <c r="B749" s="31" t="s">
        <v>3116</v>
      </c>
      <c r="C749" s="130" t="s">
        <v>372</v>
      </c>
      <c r="D749" s="43" t="s">
        <v>320</v>
      </c>
      <c r="E749" s="126" t="s">
        <v>515</v>
      </c>
      <c r="F749" s="504">
        <v>2.5</v>
      </c>
      <c r="G749" s="248" t="s">
        <v>3362</v>
      </c>
      <c r="H749" s="542" t="s">
        <v>3363</v>
      </c>
      <c r="I749" s="319" t="s">
        <v>1326</v>
      </c>
      <c r="J749" s="494" t="s">
        <v>3364</v>
      </c>
      <c r="K749" s="132" t="s">
        <v>2512</v>
      </c>
    </row>
    <row r="750" spans="1:37" ht="46.8" x14ac:dyDescent="0.3">
      <c r="B750" s="31" t="s">
        <v>3116</v>
      </c>
      <c r="C750" s="130" t="s">
        <v>372</v>
      </c>
      <c r="D750" s="43" t="s">
        <v>320</v>
      </c>
      <c r="E750" s="126" t="s">
        <v>515</v>
      </c>
      <c r="F750" s="504">
        <v>2.5</v>
      </c>
      <c r="G750" s="248" t="s">
        <v>3446</v>
      </c>
      <c r="H750" s="542" t="s">
        <v>3447</v>
      </c>
      <c r="I750" s="319" t="s">
        <v>1326</v>
      </c>
      <c r="J750" s="494" t="s">
        <v>3448</v>
      </c>
      <c r="K750" s="132" t="s">
        <v>2512</v>
      </c>
    </row>
    <row r="751" spans="1:37" ht="46.8" x14ac:dyDescent="0.3">
      <c r="B751" s="31" t="s">
        <v>3116</v>
      </c>
      <c r="C751" s="130" t="s">
        <v>372</v>
      </c>
      <c r="D751" s="43" t="s">
        <v>320</v>
      </c>
      <c r="E751" s="126" t="s">
        <v>515</v>
      </c>
      <c r="F751" s="504">
        <v>2.5</v>
      </c>
      <c r="G751" s="587" t="s">
        <v>3520</v>
      </c>
      <c r="H751" s="585" t="s">
        <v>3521</v>
      </c>
      <c r="I751" s="319" t="s">
        <v>1326</v>
      </c>
      <c r="J751" s="494" t="s">
        <v>3522</v>
      </c>
      <c r="K751" s="132" t="s">
        <v>2512</v>
      </c>
    </row>
    <row r="752" spans="1:37" ht="46.8" x14ac:dyDescent="0.3">
      <c r="B752" s="31" t="s">
        <v>3116</v>
      </c>
      <c r="C752" s="130" t="s">
        <v>372</v>
      </c>
      <c r="D752" s="43" t="s">
        <v>320</v>
      </c>
      <c r="E752" s="126" t="s">
        <v>515</v>
      </c>
      <c r="F752" s="504">
        <v>2.5</v>
      </c>
      <c r="G752" s="248" t="s">
        <v>3602</v>
      </c>
      <c r="H752" s="542" t="s">
        <v>3603</v>
      </c>
      <c r="I752" s="319" t="s">
        <v>1250</v>
      </c>
      <c r="J752" s="494" t="s">
        <v>3604</v>
      </c>
      <c r="K752" s="132" t="s">
        <v>2512</v>
      </c>
    </row>
    <row r="753" spans="1:37" ht="46.8" x14ac:dyDescent="0.3">
      <c r="B753" s="31" t="s">
        <v>3116</v>
      </c>
      <c r="C753" s="130" t="s">
        <v>372</v>
      </c>
      <c r="D753" s="43" t="s">
        <v>320</v>
      </c>
      <c r="E753" s="126" t="s">
        <v>515</v>
      </c>
      <c r="F753" s="504">
        <v>2.5</v>
      </c>
      <c r="G753" s="248" t="s">
        <v>3697</v>
      </c>
      <c r="H753" s="542" t="s">
        <v>3698</v>
      </c>
      <c r="I753" s="319" t="s">
        <v>1250</v>
      </c>
      <c r="J753" s="494" t="s">
        <v>3699</v>
      </c>
      <c r="K753" s="132" t="s">
        <v>2512</v>
      </c>
    </row>
    <row r="754" spans="1:37" ht="46.8" x14ac:dyDescent="0.3">
      <c r="B754" s="31" t="s">
        <v>3116</v>
      </c>
      <c r="C754" s="130" t="s">
        <v>372</v>
      </c>
      <c r="D754" s="43" t="s">
        <v>320</v>
      </c>
      <c r="E754" s="126" t="s">
        <v>515</v>
      </c>
      <c r="F754" s="504">
        <v>2.5</v>
      </c>
      <c r="G754" s="248" t="s">
        <v>3741</v>
      </c>
      <c r="H754" s="542" t="s">
        <v>3320</v>
      </c>
      <c r="I754" s="319" t="s">
        <v>1250</v>
      </c>
      <c r="J754" s="494" t="s">
        <v>3742</v>
      </c>
      <c r="K754" s="132" t="s">
        <v>2512</v>
      </c>
    </row>
    <row r="755" spans="1:37" ht="46.8" x14ac:dyDescent="0.3">
      <c r="B755" s="31" t="s">
        <v>3116</v>
      </c>
      <c r="C755" s="130" t="s">
        <v>372</v>
      </c>
      <c r="D755" s="43" t="s">
        <v>320</v>
      </c>
      <c r="E755" s="126" t="s">
        <v>515</v>
      </c>
      <c r="F755" s="504">
        <v>2.5099999999999998</v>
      </c>
      <c r="G755" s="248" t="s">
        <v>3811</v>
      </c>
      <c r="H755" s="542" t="s">
        <v>3812</v>
      </c>
      <c r="I755" s="319" t="s">
        <v>934</v>
      </c>
      <c r="J755" s="494" t="s">
        <v>3813</v>
      </c>
      <c r="K755" s="132" t="s">
        <v>2512</v>
      </c>
    </row>
    <row r="756" spans="1:37" ht="46.8" x14ac:dyDescent="0.3">
      <c r="B756" s="31" t="s">
        <v>3116</v>
      </c>
      <c r="C756" s="130" t="s">
        <v>372</v>
      </c>
      <c r="D756" s="43" t="s">
        <v>320</v>
      </c>
      <c r="E756" s="126" t="s">
        <v>515</v>
      </c>
      <c r="F756" s="504">
        <v>2.5</v>
      </c>
      <c r="G756" s="248" t="s">
        <v>3876</v>
      </c>
      <c r="H756" s="542" t="s">
        <v>3877</v>
      </c>
      <c r="I756" s="319" t="s">
        <v>934</v>
      </c>
      <c r="J756" s="494" t="s">
        <v>3878</v>
      </c>
      <c r="K756" s="132" t="s">
        <v>2512</v>
      </c>
    </row>
    <row r="757" spans="1:37" ht="46.8" x14ac:dyDescent="0.3">
      <c r="B757" s="31" t="s">
        <v>3116</v>
      </c>
      <c r="C757" s="130" t="s">
        <v>372</v>
      </c>
      <c r="D757" s="43" t="s">
        <v>320</v>
      </c>
      <c r="E757" s="126" t="s">
        <v>515</v>
      </c>
      <c r="F757" s="504">
        <v>2.5</v>
      </c>
      <c r="G757" s="248" t="s">
        <v>3942</v>
      </c>
      <c r="H757" s="542" t="s">
        <v>3473</v>
      </c>
      <c r="I757" s="319" t="s">
        <v>934</v>
      </c>
      <c r="J757" s="494" t="s">
        <v>3943</v>
      </c>
      <c r="K757" s="132" t="s">
        <v>2512</v>
      </c>
    </row>
    <row r="758" spans="1:37" ht="46.8" x14ac:dyDescent="0.3">
      <c r="B758" s="31" t="s">
        <v>3116</v>
      </c>
      <c r="C758" s="130" t="s">
        <v>372</v>
      </c>
      <c r="D758" s="43" t="s">
        <v>320</v>
      </c>
      <c r="E758" s="126" t="s">
        <v>515</v>
      </c>
      <c r="F758" s="504">
        <v>2.5</v>
      </c>
      <c r="G758" s="248" t="s">
        <v>4020</v>
      </c>
      <c r="H758" s="542" t="s">
        <v>4021</v>
      </c>
      <c r="I758" s="319" t="s">
        <v>97</v>
      </c>
      <c r="J758" s="494" t="s">
        <v>4022</v>
      </c>
      <c r="K758" s="132" t="s">
        <v>2512</v>
      </c>
    </row>
    <row r="759" spans="1:37" ht="46.8" x14ac:dyDescent="0.3">
      <c r="B759" s="31" t="s">
        <v>3116</v>
      </c>
      <c r="C759" s="130" t="s">
        <v>372</v>
      </c>
      <c r="D759" s="43" t="s">
        <v>320</v>
      </c>
      <c r="E759" s="126" t="s">
        <v>515</v>
      </c>
      <c r="F759" s="504">
        <v>3.3</v>
      </c>
      <c r="G759" s="248" t="s">
        <v>4093</v>
      </c>
      <c r="H759" s="542" t="s">
        <v>4094</v>
      </c>
      <c r="I759" s="319" t="s">
        <v>937</v>
      </c>
      <c r="J759" s="494" t="s">
        <v>4095</v>
      </c>
      <c r="K759" s="132" t="s">
        <v>2512</v>
      </c>
    </row>
    <row r="760" spans="1:37" ht="46.8" x14ac:dyDescent="0.3">
      <c r="B760" s="31" t="s">
        <v>3116</v>
      </c>
      <c r="C760" s="130" t="s">
        <v>372</v>
      </c>
      <c r="D760" s="43" t="s">
        <v>320</v>
      </c>
      <c r="E760" s="126" t="s">
        <v>515</v>
      </c>
      <c r="F760" s="504">
        <v>2.5</v>
      </c>
      <c r="G760" s="248" t="s">
        <v>4195</v>
      </c>
      <c r="H760" s="542" t="s">
        <v>4196</v>
      </c>
      <c r="I760" s="319" t="s">
        <v>1026</v>
      </c>
      <c r="J760" s="494" t="s">
        <v>4197</v>
      </c>
      <c r="K760" s="132" t="s">
        <v>2512</v>
      </c>
    </row>
    <row r="761" spans="1:37" ht="46.8" x14ac:dyDescent="0.3">
      <c r="B761" s="31" t="s">
        <v>3116</v>
      </c>
      <c r="C761" s="130" t="s">
        <v>372</v>
      </c>
      <c r="D761" s="43" t="s">
        <v>320</v>
      </c>
      <c r="E761" s="126" t="s">
        <v>515</v>
      </c>
      <c r="F761" s="504">
        <v>2.5</v>
      </c>
      <c r="G761" s="248" t="s">
        <v>4260</v>
      </c>
      <c r="H761" s="542" t="s">
        <v>4261</v>
      </c>
      <c r="I761" s="319" t="s">
        <v>1026</v>
      </c>
      <c r="J761" s="494" t="s">
        <v>4262</v>
      </c>
      <c r="K761" s="132" t="s">
        <v>2512</v>
      </c>
    </row>
    <row r="762" spans="1:37" ht="46.8" x14ac:dyDescent="0.3">
      <c r="B762" s="31" t="s">
        <v>3116</v>
      </c>
      <c r="C762" s="130" t="s">
        <v>372</v>
      </c>
      <c r="D762" s="43" t="s">
        <v>320</v>
      </c>
      <c r="E762" s="126" t="s">
        <v>515</v>
      </c>
      <c r="F762" s="504">
        <v>2.5</v>
      </c>
      <c r="G762" s="248" t="s">
        <v>4322</v>
      </c>
      <c r="H762" s="542" t="s">
        <v>4323</v>
      </c>
      <c r="I762" s="319" t="s">
        <v>1026</v>
      </c>
      <c r="J762" s="494" t="s">
        <v>4324</v>
      </c>
      <c r="K762" s="132" t="s">
        <v>2512</v>
      </c>
    </row>
    <row r="763" spans="1:37" ht="46.8" x14ac:dyDescent="0.3">
      <c r="B763" s="31" t="s">
        <v>3116</v>
      </c>
      <c r="C763" s="130" t="s">
        <v>372</v>
      </c>
      <c r="D763" s="43" t="s">
        <v>320</v>
      </c>
      <c r="E763" s="126" t="s">
        <v>515</v>
      </c>
      <c r="F763" s="504">
        <v>2.5</v>
      </c>
      <c r="G763" s="248" t="s">
        <v>4386</v>
      </c>
      <c r="H763" s="542" t="s">
        <v>4387</v>
      </c>
      <c r="I763" s="319" t="s">
        <v>1282</v>
      </c>
      <c r="J763" s="494" t="s">
        <v>4388</v>
      </c>
      <c r="K763" s="132" t="s">
        <v>2512</v>
      </c>
    </row>
    <row r="764" spans="1:37" ht="46.8" x14ac:dyDescent="0.3">
      <c r="B764" s="31" t="s">
        <v>3116</v>
      </c>
      <c r="C764" s="130" t="s">
        <v>372</v>
      </c>
      <c r="D764" s="43" t="s">
        <v>320</v>
      </c>
      <c r="E764" s="126" t="s">
        <v>515</v>
      </c>
      <c r="F764" s="504">
        <v>2.7</v>
      </c>
      <c r="G764" s="248" t="s">
        <v>4439</v>
      </c>
      <c r="H764" s="542" t="s">
        <v>4440</v>
      </c>
      <c r="I764" s="319" t="s">
        <v>1282</v>
      </c>
      <c r="J764" s="494" t="s">
        <v>4441</v>
      </c>
      <c r="K764" s="132" t="s">
        <v>2512</v>
      </c>
    </row>
    <row r="765" spans="1:37" ht="46.8" x14ac:dyDescent="0.3">
      <c r="B765" s="31" t="s">
        <v>3116</v>
      </c>
      <c r="C765" s="130" t="s">
        <v>372</v>
      </c>
      <c r="D765" s="43" t="s">
        <v>320</v>
      </c>
      <c r="E765" s="126" t="s">
        <v>515</v>
      </c>
      <c r="F765" s="504">
        <v>2.5</v>
      </c>
      <c r="G765" s="248" t="s">
        <v>4496</v>
      </c>
      <c r="H765" s="542" t="s">
        <v>4497</v>
      </c>
      <c r="I765" s="319" t="s">
        <v>943</v>
      </c>
      <c r="J765" s="494" t="s">
        <v>4498</v>
      </c>
      <c r="K765" s="132" t="s">
        <v>2512</v>
      </c>
    </row>
    <row r="766" spans="1:37" ht="46.8" x14ac:dyDescent="0.3">
      <c r="B766" s="31" t="s">
        <v>3116</v>
      </c>
      <c r="C766" s="130" t="s">
        <v>372</v>
      </c>
      <c r="D766" s="43" t="s">
        <v>320</v>
      </c>
      <c r="E766" s="126" t="s">
        <v>510</v>
      </c>
      <c r="F766" s="504">
        <f>2.5-0.75-0.68</f>
        <v>1.0699999999999998</v>
      </c>
      <c r="G766" s="248" t="s">
        <v>4543</v>
      </c>
      <c r="H766" s="542" t="s">
        <v>4544</v>
      </c>
      <c r="I766" s="319" t="s">
        <v>1417</v>
      </c>
      <c r="J766" s="494" t="s">
        <v>4545</v>
      </c>
      <c r="K766" s="132" t="s">
        <v>2512</v>
      </c>
    </row>
    <row r="767" spans="1:37" ht="46.8" x14ac:dyDescent="0.3">
      <c r="A767" s="481"/>
      <c r="B767" s="589" t="s">
        <v>540</v>
      </c>
      <c r="C767" s="590" t="s">
        <v>376</v>
      </c>
      <c r="D767" s="41" t="s">
        <v>320</v>
      </c>
      <c r="E767" s="126" t="s">
        <v>515</v>
      </c>
      <c r="F767" s="504">
        <v>4</v>
      </c>
      <c r="G767" s="587" t="s">
        <v>4638</v>
      </c>
      <c r="H767" s="585" t="s">
        <v>4639</v>
      </c>
      <c r="I767" s="784" t="s">
        <v>1579</v>
      </c>
      <c r="J767" s="494" t="s">
        <v>4640</v>
      </c>
      <c r="K767" s="481" t="s">
        <v>2512</v>
      </c>
      <c r="L767" s="481"/>
      <c r="M767" s="481"/>
      <c r="N767" s="481"/>
      <c r="O767" s="481"/>
      <c r="P767" s="481"/>
      <c r="Q767" s="481"/>
      <c r="R767" s="481"/>
      <c r="S767" s="481"/>
      <c r="T767" s="481"/>
      <c r="U767" s="481"/>
      <c r="V767" s="481"/>
      <c r="W767" s="481"/>
      <c r="X767" s="481"/>
      <c r="Y767" s="481"/>
      <c r="Z767" s="481"/>
      <c r="AA767" s="481"/>
      <c r="AB767" s="481"/>
      <c r="AC767" s="481"/>
      <c r="AD767" s="481"/>
      <c r="AE767" s="481"/>
      <c r="AF767" s="481"/>
      <c r="AG767" s="481"/>
      <c r="AH767" s="481"/>
      <c r="AI767" s="481"/>
      <c r="AJ767" s="481"/>
      <c r="AK767" s="481"/>
    </row>
    <row r="768" spans="1:37" ht="46.8" x14ac:dyDescent="0.3">
      <c r="A768" s="481"/>
      <c r="B768" s="589" t="s">
        <v>540</v>
      </c>
      <c r="C768" s="590" t="s">
        <v>376</v>
      </c>
      <c r="D768" s="41" t="s">
        <v>320</v>
      </c>
      <c r="E768" s="126" t="s">
        <v>515</v>
      </c>
      <c r="F768" s="504">
        <v>2</v>
      </c>
      <c r="G768" s="587" t="s">
        <v>4641</v>
      </c>
      <c r="H768" s="585" t="s">
        <v>4642</v>
      </c>
      <c r="I768" s="784" t="s">
        <v>949</v>
      </c>
      <c r="J768" s="494" t="s">
        <v>4643</v>
      </c>
      <c r="K768" s="481" t="s">
        <v>2512</v>
      </c>
      <c r="L768" s="481"/>
      <c r="M768" s="481"/>
      <c r="N768" s="481"/>
      <c r="O768" s="481"/>
      <c r="P768" s="481"/>
      <c r="Q768" s="481"/>
      <c r="R768" s="481"/>
      <c r="S768" s="481"/>
      <c r="T768" s="481"/>
      <c r="U768" s="481"/>
      <c r="V768" s="481"/>
      <c r="W768" s="481"/>
      <c r="X768" s="481"/>
      <c r="Y768" s="481"/>
      <c r="Z768" s="481"/>
      <c r="AA768" s="481"/>
      <c r="AB768" s="481"/>
      <c r="AC768" s="481"/>
      <c r="AD768" s="481"/>
      <c r="AE768" s="481"/>
      <c r="AF768" s="481"/>
      <c r="AG768" s="481"/>
      <c r="AH768" s="481"/>
      <c r="AI768" s="481"/>
      <c r="AJ768" s="481"/>
      <c r="AK768" s="481"/>
    </row>
    <row r="769" spans="1:37" ht="46.8" x14ac:dyDescent="0.3">
      <c r="A769" s="481"/>
      <c r="B769" s="589" t="s">
        <v>540</v>
      </c>
      <c r="C769" s="590" t="s">
        <v>376</v>
      </c>
      <c r="D769" s="41" t="s">
        <v>320</v>
      </c>
      <c r="E769" s="126" t="s">
        <v>515</v>
      </c>
      <c r="F769" s="504">
        <v>0.51500000000000001</v>
      </c>
      <c r="G769" s="587" t="s">
        <v>4644</v>
      </c>
      <c r="H769" s="585" t="s">
        <v>4645</v>
      </c>
      <c r="I769" s="784" t="s">
        <v>1579</v>
      </c>
      <c r="J769" s="494" t="s">
        <v>4646</v>
      </c>
      <c r="K769" s="481" t="s">
        <v>2512</v>
      </c>
      <c r="L769" s="481"/>
      <c r="M769" s="481"/>
      <c r="N769" s="481"/>
      <c r="O769" s="481"/>
      <c r="P769" s="481"/>
      <c r="Q769" s="481"/>
      <c r="R769" s="481"/>
      <c r="S769" s="481"/>
      <c r="T769" s="481"/>
      <c r="U769" s="481"/>
      <c r="V769" s="481"/>
      <c r="W769" s="481"/>
      <c r="X769" s="481"/>
      <c r="Y769" s="481"/>
      <c r="Z769" s="481"/>
      <c r="AA769" s="481"/>
      <c r="AB769" s="481"/>
      <c r="AC769" s="481"/>
      <c r="AD769" s="481"/>
      <c r="AE769" s="481"/>
      <c r="AF769" s="481"/>
      <c r="AG769" s="481"/>
      <c r="AH769" s="481"/>
      <c r="AI769" s="481"/>
      <c r="AJ769" s="481"/>
      <c r="AK769" s="481"/>
    </row>
    <row r="770" spans="1:37" ht="46.8" x14ac:dyDescent="0.3">
      <c r="B770" s="31" t="s">
        <v>3058</v>
      </c>
      <c r="C770" s="130" t="s">
        <v>369</v>
      </c>
      <c r="D770" s="43" t="s">
        <v>190</v>
      </c>
      <c r="E770" s="126" t="s">
        <v>515</v>
      </c>
      <c r="F770" s="504">
        <v>1</v>
      </c>
      <c r="G770" s="126" t="s">
        <v>3067</v>
      </c>
      <c r="H770" s="304">
        <v>45626</v>
      </c>
      <c r="I770" s="319" t="s">
        <v>898</v>
      </c>
      <c r="J770" s="494" t="s">
        <v>2513</v>
      </c>
      <c r="K770" s="132" t="s">
        <v>2513</v>
      </c>
    </row>
    <row r="771" spans="1:37" ht="46.8" x14ac:dyDescent="0.3">
      <c r="B771" s="31" t="s">
        <v>3087</v>
      </c>
      <c r="C771" s="130" t="s">
        <v>3088</v>
      </c>
      <c r="D771" s="43" t="s">
        <v>190</v>
      </c>
      <c r="E771" s="126" t="s">
        <v>515</v>
      </c>
      <c r="F771" s="504">
        <v>1</v>
      </c>
      <c r="G771" s="126" t="s">
        <v>3102</v>
      </c>
      <c r="H771" s="304">
        <v>45674</v>
      </c>
      <c r="I771" s="319" t="s">
        <v>1326</v>
      </c>
      <c r="J771" s="494" t="s">
        <v>2513</v>
      </c>
      <c r="K771" s="132" t="s">
        <v>2513</v>
      </c>
      <c r="L771" s="58"/>
    </row>
    <row r="772" spans="1:37" ht="46.8" x14ac:dyDescent="0.3">
      <c r="B772" s="31" t="s">
        <v>3116</v>
      </c>
      <c r="C772" s="130" t="s">
        <v>372</v>
      </c>
      <c r="D772" s="43" t="s">
        <v>320</v>
      </c>
      <c r="E772" s="126" t="s">
        <v>515</v>
      </c>
      <c r="F772" s="504">
        <v>6.2</v>
      </c>
      <c r="G772" s="248" t="s">
        <v>3172</v>
      </c>
      <c r="H772" s="542" t="s">
        <v>3173</v>
      </c>
      <c r="I772" s="319" t="s">
        <v>1250</v>
      </c>
      <c r="J772" s="494" t="s">
        <v>3174</v>
      </c>
      <c r="K772" s="132" t="s">
        <v>2513</v>
      </c>
    </row>
    <row r="773" spans="1:37" ht="46.8" x14ac:dyDescent="0.3">
      <c r="B773" s="31" t="s">
        <v>3116</v>
      </c>
      <c r="C773" s="130" t="s">
        <v>372</v>
      </c>
      <c r="D773" s="43" t="s">
        <v>320</v>
      </c>
      <c r="E773" s="126" t="s">
        <v>515</v>
      </c>
      <c r="F773" s="504">
        <v>2</v>
      </c>
      <c r="G773" s="248" t="s">
        <v>3256</v>
      </c>
      <c r="H773" s="542" t="s">
        <v>3257</v>
      </c>
      <c r="I773" s="319" t="s">
        <v>934</v>
      </c>
      <c r="J773" s="494" t="s">
        <v>3258</v>
      </c>
      <c r="K773" s="132" t="s">
        <v>2513</v>
      </c>
    </row>
    <row r="774" spans="1:37" ht="46.8" x14ac:dyDescent="0.3">
      <c r="B774" s="31" t="s">
        <v>3116</v>
      </c>
      <c r="C774" s="130" t="s">
        <v>372</v>
      </c>
      <c r="D774" s="43" t="s">
        <v>320</v>
      </c>
      <c r="E774" s="126" t="s">
        <v>515</v>
      </c>
      <c r="F774" s="504">
        <v>1.1499999999999999</v>
      </c>
      <c r="G774" s="248" t="s">
        <v>3333</v>
      </c>
      <c r="H774" s="542" t="s">
        <v>3334</v>
      </c>
      <c r="I774" s="319" t="s">
        <v>934</v>
      </c>
      <c r="J774" s="494" t="s">
        <v>3335</v>
      </c>
      <c r="K774" s="132" t="s">
        <v>2513</v>
      </c>
    </row>
    <row r="775" spans="1:37" ht="46.8" x14ac:dyDescent="0.3">
      <c r="B775" s="31" t="s">
        <v>3116</v>
      </c>
      <c r="C775" s="130" t="s">
        <v>372</v>
      </c>
      <c r="D775" s="43" t="s">
        <v>320</v>
      </c>
      <c r="E775" s="126" t="s">
        <v>515</v>
      </c>
      <c r="F775" s="504">
        <v>2.5</v>
      </c>
      <c r="G775" s="248" t="s">
        <v>3407</v>
      </c>
      <c r="H775" s="542" t="s">
        <v>3408</v>
      </c>
      <c r="I775" s="319" t="s">
        <v>934</v>
      </c>
      <c r="J775" s="494" t="s">
        <v>3409</v>
      </c>
      <c r="K775" s="132" t="s">
        <v>2513</v>
      </c>
    </row>
    <row r="776" spans="1:37" ht="46.8" x14ac:dyDescent="0.3">
      <c r="B776" s="31" t="s">
        <v>3116</v>
      </c>
      <c r="C776" s="130" t="s">
        <v>372</v>
      </c>
      <c r="D776" s="43" t="s">
        <v>320</v>
      </c>
      <c r="E776" s="126" t="s">
        <v>515</v>
      </c>
      <c r="F776" s="504">
        <v>2.5</v>
      </c>
      <c r="G776" s="248" t="s">
        <v>3488</v>
      </c>
      <c r="H776" s="542" t="s">
        <v>3489</v>
      </c>
      <c r="I776" s="319" t="s">
        <v>1302</v>
      </c>
      <c r="J776" s="494" t="s">
        <v>3490</v>
      </c>
      <c r="K776" s="132" t="s">
        <v>2513</v>
      </c>
    </row>
    <row r="777" spans="1:37" ht="46.8" x14ac:dyDescent="0.3">
      <c r="B777" s="31" t="s">
        <v>3116</v>
      </c>
      <c r="C777" s="130" t="s">
        <v>372</v>
      </c>
      <c r="D777" s="43" t="s">
        <v>320</v>
      </c>
      <c r="E777" s="126" t="s">
        <v>515</v>
      </c>
      <c r="F777" s="504">
        <v>2.5</v>
      </c>
      <c r="G777" s="248" t="s">
        <v>3563</v>
      </c>
      <c r="H777" s="542" t="s">
        <v>3564</v>
      </c>
      <c r="I777" s="319" t="s">
        <v>1302</v>
      </c>
      <c r="J777" s="494" t="s">
        <v>3565</v>
      </c>
      <c r="K777" s="132" t="s">
        <v>2513</v>
      </c>
    </row>
    <row r="778" spans="1:37" ht="46.8" x14ac:dyDescent="0.3">
      <c r="B778" s="31" t="s">
        <v>3116</v>
      </c>
      <c r="C778" s="130" t="s">
        <v>372</v>
      </c>
      <c r="D778" s="43" t="s">
        <v>320</v>
      </c>
      <c r="E778" s="126" t="s">
        <v>515</v>
      </c>
      <c r="F778" s="504">
        <v>2.5</v>
      </c>
      <c r="G778" s="248" t="s">
        <v>3635</v>
      </c>
      <c r="H778" s="542" t="s">
        <v>3636</v>
      </c>
      <c r="I778" s="319" t="s">
        <v>1302</v>
      </c>
      <c r="J778" s="494" t="s">
        <v>3637</v>
      </c>
      <c r="K778" s="132" t="s">
        <v>2513</v>
      </c>
    </row>
    <row r="779" spans="1:37" ht="46.8" x14ac:dyDescent="0.3">
      <c r="B779" s="31" t="s">
        <v>3116</v>
      </c>
      <c r="C779" s="130" t="s">
        <v>372</v>
      </c>
      <c r="D779" s="43" t="s">
        <v>320</v>
      </c>
      <c r="E779" s="126" t="s">
        <v>515</v>
      </c>
      <c r="F779" s="504">
        <v>2.5</v>
      </c>
      <c r="G779" s="248" t="s">
        <v>3700</v>
      </c>
      <c r="H779" s="542" t="s">
        <v>3701</v>
      </c>
      <c r="I779" s="319" t="s">
        <v>97</v>
      </c>
      <c r="J779" s="494" t="s">
        <v>3702</v>
      </c>
      <c r="K779" s="132" t="s">
        <v>2513</v>
      </c>
    </row>
    <row r="780" spans="1:37" ht="46.8" x14ac:dyDescent="0.3">
      <c r="B780" s="31" t="s">
        <v>3116</v>
      </c>
      <c r="C780" s="130" t="s">
        <v>372</v>
      </c>
      <c r="D780" s="43" t="s">
        <v>320</v>
      </c>
      <c r="E780" s="126" t="s">
        <v>515</v>
      </c>
      <c r="F780" s="504">
        <v>2.5</v>
      </c>
      <c r="G780" s="248" t="s">
        <v>3784</v>
      </c>
      <c r="H780" s="542" t="s">
        <v>3785</v>
      </c>
      <c r="I780" s="319" t="s">
        <v>1509</v>
      </c>
      <c r="J780" s="494" t="s">
        <v>3786</v>
      </c>
      <c r="K780" s="132" t="s">
        <v>2513</v>
      </c>
    </row>
    <row r="781" spans="1:37" ht="46.8" x14ac:dyDescent="0.3">
      <c r="B781" s="31" t="s">
        <v>3116</v>
      </c>
      <c r="C781" s="130" t="s">
        <v>372</v>
      </c>
      <c r="D781" s="43" t="s">
        <v>320</v>
      </c>
      <c r="E781" s="126" t="s">
        <v>515</v>
      </c>
      <c r="F781" s="504">
        <v>1.3</v>
      </c>
      <c r="G781" s="248" t="s">
        <v>3853</v>
      </c>
      <c r="H781" s="542" t="s">
        <v>3854</v>
      </c>
      <c r="I781" s="319" t="s">
        <v>940</v>
      </c>
      <c r="J781" s="494" t="s">
        <v>3855</v>
      </c>
      <c r="K781" s="132" t="s">
        <v>2513</v>
      </c>
    </row>
    <row r="782" spans="1:37" ht="46.8" x14ac:dyDescent="0.3">
      <c r="B782" s="31" t="s">
        <v>3116</v>
      </c>
      <c r="C782" s="130" t="s">
        <v>372</v>
      </c>
      <c r="D782" s="43" t="s">
        <v>320</v>
      </c>
      <c r="E782" s="126" t="s">
        <v>515</v>
      </c>
      <c r="F782" s="504">
        <v>2.7</v>
      </c>
      <c r="G782" s="248" t="s">
        <v>3924</v>
      </c>
      <c r="H782" s="542" t="s">
        <v>3925</v>
      </c>
      <c r="I782" s="319" t="s">
        <v>1282</v>
      </c>
      <c r="J782" s="494" t="s">
        <v>3926</v>
      </c>
      <c r="K782" s="132" t="s">
        <v>2513</v>
      </c>
    </row>
    <row r="783" spans="1:37" ht="46.8" x14ac:dyDescent="0.3">
      <c r="B783" s="31" t="s">
        <v>3116</v>
      </c>
      <c r="C783" s="130" t="s">
        <v>372</v>
      </c>
      <c r="D783" s="43" t="s">
        <v>320</v>
      </c>
      <c r="E783" s="126" t="s">
        <v>515</v>
      </c>
      <c r="F783" s="504">
        <v>2.8</v>
      </c>
      <c r="G783" s="248" t="s">
        <v>3995</v>
      </c>
      <c r="H783" s="542" t="s">
        <v>3420</v>
      </c>
      <c r="I783" s="319" t="s">
        <v>1282</v>
      </c>
      <c r="J783" s="494" t="s">
        <v>3996</v>
      </c>
      <c r="K783" s="132" t="s">
        <v>2513</v>
      </c>
    </row>
    <row r="784" spans="1:37" ht="46.8" x14ac:dyDescent="0.3">
      <c r="B784" s="31" t="s">
        <v>3116</v>
      </c>
      <c r="C784" s="130" t="s">
        <v>372</v>
      </c>
      <c r="D784" s="43" t="s">
        <v>320</v>
      </c>
      <c r="E784" s="126" t="s">
        <v>515</v>
      </c>
      <c r="F784" s="504">
        <v>2.5</v>
      </c>
      <c r="G784" s="248" t="s">
        <v>4067</v>
      </c>
      <c r="H784" s="542" t="s">
        <v>4068</v>
      </c>
      <c r="I784" s="319" t="s">
        <v>943</v>
      </c>
      <c r="J784" s="494" t="s">
        <v>4069</v>
      </c>
      <c r="K784" s="132" t="s">
        <v>2513</v>
      </c>
    </row>
    <row r="785" spans="2:12" ht="46.8" x14ac:dyDescent="0.3">
      <c r="B785" s="31" t="s">
        <v>3116</v>
      </c>
      <c r="C785" s="130" t="s">
        <v>372</v>
      </c>
      <c r="D785" s="43" t="s">
        <v>320</v>
      </c>
      <c r="E785" s="126" t="s">
        <v>515</v>
      </c>
      <c r="F785" s="504">
        <v>2.5</v>
      </c>
      <c r="G785" s="248" t="s">
        <v>4140</v>
      </c>
      <c r="H785" s="542" t="s">
        <v>4141</v>
      </c>
      <c r="I785" s="319" t="s">
        <v>943</v>
      </c>
      <c r="J785" s="494" t="s">
        <v>4142</v>
      </c>
      <c r="K785" s="132" t="s">
        <v>2513</v>
      </c>
    </row>
    <row r="786" spans="2:12" ht="46.8" x14ac:dyDescent="0.3">
      <c r="B786" s="31" t="s">
        <v>3116</v>
      </c>
      <c r="C786" s="130" t="s">
        <v>372</v>
      </c>
      <c r="D786" s="43" t="s">
        <v>320</v>
      </c>
      <c r="E786" s="126" t="s">
        <v>515</v>
      </c>
      <c r="F786" s="504">
        <v>2.5</v>
      </c>
      <c r="G786" s="248" t="s">
        <v>4213</v>
      </c>
      <c r="H786" s="542" t="s">
        <v>4214</v>
      </c>
      <c r="I786" s="319" t="s">
        <v>1417</v>
      </c>
      <c r="J786" s="494" t="s">
        <v>4215</v>
      </c>
      <c r="K786" s="132" t="s">
        <v>2513</v>
      </c>
    </row>
    <row r="787" spans="2:12" ht="46.8" x14ac:dyDescent="0.3">
      <c r="B787" s="31" t="s">
        <v>3116</v>
      </c>
      <c r="C787" s="130" t="s">
        <v>372</v>
      </c>
      <c r="D787" s="43" t="s">
        <v>320</v>
      </c>
      <c r="E787" s="126" t="s">
        <v>515</v>
      </c>
      <c r="F787" s="504">
        <v>2.5</v>
      </c>
      <c r="G787" s="248" t="s">
        <v>4282</v>
      </c>
      <c r="H787" s="542" t="s">
        <v>4283</v>
      </c>
      <c r="I787" s="319" t="s">
        <v>1417</v>
      </c>
      <c r="J787" s="494" t="s">
        <v>4284</v>
      </c>
      <c r="K787" s="132" t="s">
        <v>2513</v>
      </c>
    </row>
    <row r="788" spans="2:12" ht="46.8" x14ac:dyDescent="0.3">
      <c r="B788" s="31" t="s">
        <v>3116</v>
      </c>
      <c r="C788" s="130" t="s">
        <v>372</v>
      </c>
      <c r="D788" s="43" t="s">
        <v>320</v>
      </c>
      <c r="E788" s="126" t="s">
        <v>515</v>
      </c>
      <c r="F788" s="504">
        <v>2.5</v>
      </c>
      <c r="G788" s="248" t="s">
        <v>4350</v>
      </c>
      <c r="H788" s="542" t="s">
        <v>4351</v>
      </c>
      <c r="I788" s="319" t="s">
        <v>1417</v>
      </c>
      <c r="J788" s="494" t="s">
        <v>4352</v>
      </c>
      <c r="K788" s="132" t="s">
        <v>2513</v>
      </c>
    </row>
    <row r="789" spans="2:12" ht="46.8" x14ac:dyDescent="0.3">
      <c r="B789" s="31" t="s">
        <v>3116</v>
      </c>
      <c r="C789" s="130" t="s">
        <v>372</v>
      </c>
      <c r="D789" s="43" t="s">
        <v>320</v>
      </c>
      <c r="E789" s="126" t="s">
        <v>515</v>
      </c>
      <c r="F789" s="504">
        <v>2.5</v>
      </c>
      <c r="G789" s="248" t="s">
        <v>4410</v>
      </c>
      <c r="H789" s="542" t="s">
        <v>4411</v>
      </c>
      <c r="I789" s="319" t="s">
        <v>1417</v>
      </c>
      <c r="J789" s="494" t="s">
        <v>4412</v>
      </c>
      <c r="K789" s="132" t="s">
        <v>2513</v>
      </c>
    </row>
    <row r="790" spans="2:12" ht="46.8" x14ac:dyDescent="0.3">
      <c r="B790" s="31" t="s">
        <v>3116</v>
      </c>
      <c r="C790" s="130" t="s">
        <v>372</v>
      </c>
      <c r="D790" s="43" t="s">
        <v>320</v>
      </c>
      <c r="E790" s="126" t="s">
        <v>515</v>
      </c>
      <c r="F790" s="504">
        <v>2.5</v>
      </c>
      <c r="G790" s="587" t="s">
        <v>4467</v>
      </c>
      <c r="H790" s="585" t="s">
        <v>4468</v>
      </c>
      <c r="I790" s="784" t="s">
        <v>1315</v>
      </c>
      <c r="J790" s="494" t="s">
        <v>4469</v>
      </c>
      <c r="K790" s="132" t="s">
        <v>2513</v>
      </c>
    </row>
    <row r="791" spans="2:12" ht="46.8" x14ac:dyDescent="0.3">
      <c r="B791" s="31" t="s">
        <v>3116</v>
      </c>
      <c r="C791" s="130" t="s">
        <v>372</v>
      </c>
      <c r="D791" s="43" t="s">
        <v>320</v>
      </c>
      <c r="E791" s="126" t="s">
        <v>515</v>
      </c>
      <c r="F791" s="504">
        <v>2.5</v>
      </c>
      <c r="G791" s="587" t="s">
        <v>4516</v>
      </c>
      <c r="H791" s="585" t="s">
        <v>3507</v>
      </c>
      <c r="I791" s="784" t="s">
        <v>1315</v>
      </c>
      <c r="J791" s="494" t="s">
        <v>4517</v>
      </c>
      <c r="K791" s="132" t="s">
        <v>2513</v>
      </c>
    </row>
    <row r="792" spans="2:12" ht="46.8" x14ac:dyDescent="0.3">
      <c r="B792" s="31" t="s">
        <v>3116</v>
      </c>
      <c r="C792" s="130" t="s">
        <v>372</v>
      </c>
      <c r="D792" s="43" t="s">
        <v>320</v>
      </c>
      <c r="E792" s="126" t="s">
        <v>515</v>
      </c>
      <c r="F792" s="504">
        <v>1.85</v>
      </c>
      <c r="G792" s="587" t="s">
        <v>4556</v>
      </c>
      <c r="H792" s="585" t="s">
        <v>4557</v>
      </c>
      <c r="I792" s="784" t="s">
        <v>946</v>
      </c>
      <c r="J792" s="494" t="s">
        <v>4558</v>
      </c>
      <c r="K792" s="132" t="s">
        <v>2513</v>
      </c>
    </row>
    <row r="793" spans="2:12" ht="46.8" x14ac:dyDescent="0.3">
      <c r="B793" s="31" t="s">
        <v>3116</v>
      </c>
      <c r="C793" s="130" t="s">
        <v>372</v>
      </c>
      <c r="D793" s="43" t="s">
        <v>320</v>
      </c>
      <c r="E793" s="126" t="s">
        <v>510</v>
      </c>
      <c r="F793" s="504">
        <v>1.05</v>
      </c>
      <c r="G793" s="587" t="s">
        <v>4578</v>
      </c>
      <c r="H793" s="585" t="s">
        <v>4579</v>
      </c>
      <c r="I793" s="784" t="s">
        <v>1053</v>
      </c>
      <c r="J793" s="494" t="s">
        <v>4580</v>
      </c>
      <c r="K793" s="132" t="s">
        <v>2513</v>
      </c>
    </row>
    <row r="794" spans="2:12" ht="46.8" x14ac:dyDescent="0.3">
      <c r="B794" s="31" t="s">
        <v>3058</v>
      </c>
      <c r="C794" s="130" t="s">
        <v>369</v>
      </c>
      <c r="D794" s="43" t="s">
        <v>190</v>
      </c>
      <c r="E794" s="126" t="s">
        <v>515</v>
      </c>
      <c r="F794" s="504">
        <v>1</v>
      </c>
      <c r="G794" s="126" t="s">
        <v>3061</v>
      </c>
      <c r="H794" s="304">
        <v>45593</v>
      </c>
      <c r="I794" s="319" t="s">
        <v>871</v>
      </c>
      <c r="J794" s="494" t="s">
        <v>2514</v>
      </c>
      <c r="K794" s="132" t="s">
        <v>2514</v>
      </c>
    </row>
    <row r="795" spans="2:12" ht="46.8" x14ac:dyDescent="0.3">
      <c r="B795" s="31" t="s">
        <v>3087</v>
      </c>
      <c r="C795" s="130" t="s">
        <v>3088</v>
      </c>
      <c r="D795" s="43" t="s">
        <v>190</v>
      </c>
      <c r="E795" s="126" t="s">
        <v>515</v>
      </c>
      <c r="F795" s="504">
        <v>1</v>
      </c>
      <c r="G795" s="126" t="s">
        <v>3090</v>
      </c>
      <c r="H795" s="304">
        <v>45609</v>
      </c>
      <c r="I795" s="319" t="s">
        <v>898</v>
      </c>
      <c r="J795" s="494" t="s">
        <v>2514</v>
      </c>
      <c r="K795" s="132" t="s">
        <v>2514</v>
      </c>
      <c r="L795" s="58"/>
    </row>
    <row r="796" spans="2:12" ht="46.8" x14ac:dyDescent="0.3">
      <c r="B796" s="31" t="s">
        <v>3116</v>
      </c>
      <c r="C796" s="130" t="s">
        <v>372</v>
      </c>
      <c r="D796" s="43" t="s">
        <v>320</v>
      </c>
      <c r="E796" s="126" t="s">
        <v>515</v>
      </c>
      <c r="F796" s="504">
        <v>4.32</v>
      </c>
      <c r="G796" s="248" t="s">
        <v>3117</v>
      </c>
      <c r="H796" s="542" t="s">
        <v>3118</v>
      </c>
      <c r="I796" s="319" t="s">
        <v>898</v>
      </c>
      <c r="J796" s="494" t="s">
        <v>3119</v>
      </c>
      <c r="K796" s="132" t="s">
        <v>2514</v>
      </c>
      <c r="L796" s="593" t="s">
        <v>3120</v>
      </c>
    </row>
    <row r="797" spans="2:12" ht="46.8" x14ac:dyDescent="0.3">
      <c r="B797" s="31" t="s">
        <v>3116</v>
      </c>
      <c r="C797" s="130" t="s">
        <v>372</v>
      </c>
      <c r="D797" s="43" t="s">
        <v>320</v>
      </c>
      <c r="E797" s="126" t="s">
        <v>515</v>
      </c>
      <c r="F797" s="504">
        <v>2.65</v>
      </c>
      <c r="G797" s="248" t="s">
        <v>3199</v>
      </c>
      <c r="H797" s="542" t="s">
        <v>3200</v>
      </c>
      <c r="I797" s="319" t="s">
        <v>931</v>
      </c>
      <c r="J797" s="494" t="s">
        <v>3201</v>
      </c>
      <c r="K797" s="132" t="s">
        <v>2514</v>
      </c>
      <c r="L797" s="593" t="s">
        <v>3202</v>
      </c>
    </row>
    <row r="798" spans="2:12" ht="46.8" x14ac:dyDescent="0.3">
      <c r="B798" s="31" t="s">
        <v>3116</v>
      </c>
      <c r="C798" s="130" t="s">
        <v>372</v>
      </c>
      <c r="D798" s="43" t="s">
        <v>320</v>
      </c>
      <c r="E798" s="126" t="s">
        <v>515</v>
      </c>
      <c r="F798" s="504">
        <v>2.5</v>
      </c>
      <c r="G798" s="248" t="s">
        <v>3280</v>
      </c>
      <c r="H798" s="542" t="s">
        <v>3281</v>
      </c>
      <c r="I798" s="319" t="s">
        <v>931</v>
      </c>
      <c r="J798" s="494" t="s">
        <v>3282</v>
      </c>
      <c r="K798" s="132" t="s">
        <v>2514</v>
      </c>
      <c r="L798" s="593" t="s">
        <v>3202</v>
      </c>
    </row>
    <row r="799" spans="2:12" ht="46.8" x14ac:dyDescent="0.3">
      <c r="B799" s="31" t="s">
        <v>3116</v>
      </c>
      <c r="C799" s="130" t="s">
        <v>372</v>
      </c>
      <c r="D799" s="43" t="s">
        <v>320</v>
      </c>
      <c r="E799" s="126" t="s">
        <v>515</v>
      </c>
      <c r="F799" s="504">
        <v>2.5</v>
      </c>
      <c r="G799" s="248" t="s">
        <v>3356</v>
      </c>
      <c r="H799" s="542" t="s">
        <v>3357</v>
      </c>
      <c r="I799" s="319" t="s">
        <v>931</v>
      </c>
      <c r="J799" s="494" t="s">
        <v>3358</v>
      </c>
      <c r="K799" s="132" t="s">
        <v>2514</v>
      </c>
    </row>
    <row r="800" spans="2:12" ht="46.8" x14ac:dyDescent="0.3">
      <c r="B800" s="31" t="s">
        <v>3116</v>
      </c>
      <c r="C800" s="130" t="s">
        <v>372</v>
      </c>
      <c r="D800" s="43" t="s">
        <v>320</v>
      </c>
      <c r="E800" s="126" t="s">
        <v>515</v>
      </c>
      <c r="F800" s="504">
        <v>2.5</v>
      </c>
      <c r="G800" s="248" t="s">
        <v>3434</v>
      </c>
      <c r="H800" s="542" t="s">
        <v>3435</v>
      </c>
      <c r="I800" s="319" t="s">
        <v>931</v>
      </c>
      <c r="J800" s="494" t="s">
        <v>3436</v>
      </c>
      <c r="K800" s="132" t="s">
        <v>2514</v>
      </c>
    </row>
    <row r="801" spans="2:11" ht="46.8" x14ac:dyDescent="0.3">
      <c r="B801" s="31" t="s">
        <v>3116</v>
      </c>
      <c r="C801" s="130" t="s">
        <v>372</v>
      </c>
      <c r="D801" s="43" t="s">
        <v>320</v>
      </c>
      <c r="E801" s="126" t="s">
        <v>515</v>
      </c>
      <c r="F801" s="504">
        <v>2.5</v>
      </c>
      <c r="G801" s="248" t="s">
        <v>3512</v>
      </c>
      <c r="H801" s="542" t="s">
        <v>3289</v>
      </c>
      <c r="I801" s="319" t="s">
        <v>931</v>
      </c>
      <c r="J801" s="494" t="s">
        <v>3513</v>
      </c>
      <c r="K801" s="132" t="s">
        <v>2514</v>
      </c>
    </row>
    <row r="802" spans="2:11" ht="46.8" x14ac:dyDescent="0.3">
      <c r="B802" s="31" t="s">
        <v>3116</v>
      </c>
      <c r="C802" s="130" t="s">
        <v>372</v>
      </c>
      <c r="D802" s="43" t="s">
        <v>320</v>
      </c>
      <c r="E802" s="126" t="s">
        <v>515</v>
      </c>
      <c r="F802" s="504">
        <v>2.5</v>
      </c>
      <c r="G802" s="248" t="s">
        <v>3592</v>
      </c>
      <c r="H802" s="542" t="s">
        <v>3593</v>
      </c>
      <c r="I802" s="319" t="s">
        <v>1326</v>
      </c>
      <c r="J802" s="494" t="s">
        <v>3594</v>
      </c>
      <c r="K802" s="132" t="s">
        <v>2514</v>
      </c>
    </row>
    <row r="803" spans="2:11" ht="46.8" x14ac:dyDescent="0.3">
      <c r="B803" s="31" t="s">
        <v>3116</v>
      </c>
      <c r="C803" s="130" t="s">
        <v>372</v>
      </c>
      <c r="D803" s="43" t="s">
        <v>320</v>
      </c>
      <c r="E803" s="126" t="s">
        <v>515</v>
      </c>
      <c r="F803" s="504">
        <v>2.5</v>
      </c>
      <c r="G803" s="248" t="s">
        <v>3703</v>
      </c>
      <c r="H803" s="542" t="s">
        <v>3378</v>
      </c>
      <c r="I803" s="319" t="s">
        <v>1326</v>
      </c>
      <c r="J803" s="494" t="s">
        <v>3704</v>
      </c>
      <c r="K803" s="132" t="s">
        <v>2514</v>
      </c>
    </row>
    <row r="804" spans="2:11" ht="46.8" x14ac:dyDescent="0.3">
      <c r="B804" s="31" t="s">
        <v>3116</v>
      </c>
      <c r="C804" s="130" t="s">
        <v>372</v>
      </c>
      <c r="D804" s="43" t="s">
        <v>320</v>
      </c>
      <c r="E804" s="126" t="s">
        <v>515</v>
      </c>
      <c r="F804" s="504">
        <v>1.31</v>
      </c>
      <c r="G804" s="248" t="s">
        <v>3752</v>
      </c>
      <c r="H804" s="542" t="s">
        <v>3720</v>
      </c>
      <c r="I804" s="319" t="s">
        <v>934</v>
      </c>
      <c r="J804" s="494" t="s">
        <v>3753</v>
      </c>
      <c r="K804" s="132" t="s">
        <v>2514</v>
      </c>
    </row>
    <row r="805" spans="2:11" ht="46.8" x14ac:dyDescent="0.3">
      <c r="B805" s="31" t="s">
        <v>3116</v>
      </c>
      <c r="C805" s="130" t="s">
        <v>372</v>
      </c>
      <c r="D805" s="43" t="s">
        <v>320</v>
      </c>
      <c r="E805" s="126" t="s">
        <v>510</v>
      </c>
      <c r="F805" s="504">
        <v>0.5</v>
      </c>
      <c r="G805" s="248" t="s">
        <v>3828</v>
      </c>
      <c r="H805" s="542" t="s">
        <v>3618</v>
      </c>
      <c r="I805" s="319" t="s">
        <v>1302</v>
      </c>
      <c r="J805" s="494" t="s">
        <v>3829</v>
      </c>
      <c r="K805" s="132" t="s">
        <v>2514</v>
      </c>
    </row>
    <row r="806" spans="2:11" ht="46.8" x14ac:dyDescent="0.3">
      <c r="B806" s="31" t="s">
        <v>3116</v>
      </c>
      <c r="C806" s="130" t="s">
        <v>372</v>
      </c>
      <c r="D806" s="43" t="s">
        <v>320</v>
      </c>
      <c r="E806" s="126" t="s">
        <v>515</v>
      </c>
      <c r="F806" s="504">
        <v>2.8</v>
      </c>
      <c r="G806" s="248" t="s">
        <v>3886</v>
      </c>
      <c r="H806" s="542" t="s">
        <v>3492</v>
      </c>
      <c r="I806" s="319" t="s">
        <v>1302</v>
      </c>
      <c r="J806" s="494" t="s">
        <v>3887</v>
      </c>
      <c r="K806" s="132" t="s">
        <v>2514</v>
      </c>
    </row>
    <row r="807" spans="2:11" ht="46.8" x14ac:dyDescent="0.3">
      <c r="B807" s="31" t="s">
        <v>3116</v>
      </c>
      <c r="C807" s="130" t="s">
        <v>372</v>
      </c>
      <c r="D807" s="43" t="s">
        <v>320</v>
      </c>
      <c r="E807" s="126" t="s">
        <v>515</v>
      </c>
      <c r="F807" s="504">
        <v>2.5</v>
      </c>
      <c r="G807" s="248" t="s">
        <v>3963</v>
      </c>
      <c r="H807" s="542" t="s">
        <v>3964</v>
      </c>
      <c r="I807" s="319" t="s">
        <v>97</v>
      </c>
      <c r="J807" s="494" t="s">
        <v>3965</v>
      </c>
      <c r="K807" s="132" t="s">
        <v>2514</v>
      </c>
    </row>
    <row r="808" spans="2:11" ht="46.8" x14ac:dyDescent="0.3">
      <c r="B808" s="31" t="s">
        <v>3116</v>
      </c>
      <c r="C808" s="130" t="s">
        <v>372</v>
      </c>
      <c r="D808" s="43" t="s">
        <v>320</v>
      </c>
      <c r="E808" s="126" t="s">
        <v>515</v>
      </c>
      <c r="F808" s="504">
        <v>2.5</v>
      </c>
      <c r="G808" s="248" t="s">
        <v>4023</v>
      </c>
      <c r="H808" s="542" t="s">
        <v>4024</v>
      </c>
      <c r="I808" s="319" t="s">
        <v>97</v>
      </c>
      <c r="J808" s="494" t="s">
        <v>4025</v>
      </c>
      <c r="K808" s="132" t="s">
        <v>2514</v>
      </c>
    </row>
    <row r="809" spans="2:11" ht="46.8" x14ac:dyDescent="0.3">
      <c r="B809" s="31" t="s">
        <v>3116</v>
      </c>
      <c r="C809" s="130" t="s">
        <v>372</v>
      </c>
      <c r="D809" s="43" t="s">
        <v>320</v>
      </c>
      <c r="E809" s="126" t="s">
        <v>515</v>
      </c>
      <c r="F809" s="504">
        <v>2.5</v>
      </c>
      <c r="G809" s="248" t="s">
        <v>4096</v>
      </c>
      <c r="H809" s="542" t="s">
        <v>4097</v>
      </c>
      <c r="I809" s="319" t="s">
        <v>937</v>
      </c>
      <c r="J809" s="494" t="s">
        <v>4098</v>
      </c>
      <c r="K809" s="132" t="s">
        <v>2514</v>
      </c>
    </row>
    <row r="810" spans="2:11" ht="46.8" x14ac:dyDescent="0.3">
      <c r="B810" s="31" t="s">
        <v>3116</v>
      </c>
      <c r="C810" s="130" t="s">
        <v>372</v>
      </c>
      <c r="D810" s="43" t="s">
        <v>320</v>
      </c>
      <c r="E810" s="126" t="s">
        <v>515</v>
      </c>
      <c r="F810" s="504">
        <v>2.5</v>
      </c>
      <c r="G810" s="248" t="s">
        <v>4173</v>
      </c>
      <c r="H810" s="542" t="s">
        <v>4174</v>
      </c>
      <c r="I810" s="319" t="s">
        <v>1262</v>
      </c>
      <c r="J810" s="494" t="s">
        <v>4175</v>
      </c>
      <c r="K810" s="132" t="s">
        <v>2514</v>
      </c>
    </row>
    <row r="811" spans="2:11" ht="46.8" x14ac:dyDescent="0.3">
      <c r="B811" s="31" t="s">
        <v>3116</v>
      </c>
      <c r="C811" s="130" t="s">
        <v>372</v>
      </c>
      <c r="D811" s="43" t="s">
        <v>320</v>
      </c>
      <c r="E811" s="126" t="s">
        <v>515</v>
      </c>
      <c r="F811" s="504">
        <v>2.5</v>
      </c>
      <c r="G811" s="248" t="s">
        <v>4247</v>
      </c>
      <c r="H811" s="542" t="s">
        <v>4044</v>
      </c>
      <c r="I811" s="319" t="s">
        <v>1509</v>
      </c>
      <c r="J811" s="494" t="s">
        <v>4248</v>
      </c>
      <c r="K811" s="132" t="s">
        <v>2514</v>
      </c>
    </row>
    <row r="812" spans="2:11" ht="46.8" x14ac:dyDescent="0.3">
      <c r="B812" s="31" t="s">
        <v>3116</v>
      </c>
      <c r="C812" s="130" t="s">
        <v>372</v>
      </c>
      <c r="D812" s="43" t="s">
        <v>320</v>
      </c>
      <c r="E812" s="126" t="s">
        <v>515</v>
      </c>
      <c r="F812" s="504">
        <v>2.57</v>
      </c>
      <c r="G812" s="248" t="s">
        <v>4314</v>
      </c>
      <c r="H812" s="542" t="s">
        <v>4187</v>
      </c>
      <c r="I812" s="319" t="s">
        <v>940</v>
      </c>
      <c r="J812" s="494" t="s">
        <v>4315</v>
      </c>
      <c r="K812" s="132" t="s">
        <v>2514</v>
      </c>
    </row>
    <row r="813" spans="2:11" ht="46.8" x14ac:dyDescent="0.3">
      <c r="B813" s="31" t="s">
        <v>3116</v>
      </c>
      <c r="C813" s="130" t="s">
        <v>372</v>
      </c>
      <c r="D813" s="43" t="s">
        <v>320</v>
      </c>
      <c r="E813" s="126" t="s">
        <v>515</v>
      </c>
      <c r="F813" s="504">
        <v>2.5</v>
      </c>
      <c r="G813" s="248" t="s">
        <v>4376</v>
      </c>
      <c r="H813" s="542" t="s">
        <v>4377</v>
      </c>
      <c r="I813" s="319" t="s">
        <v>1026</v>
      </c>
      <c r="J813" s="494" t="s">
        <v>4378</v>
      </c>
      <c r="K813" s="132" t="s">
        <v>2514</v>
      </c>
    </row>
    <row r="814" spans="2:11" ht="46.8" x14ac:dyDescent="0.3">
      <c r="B814" s="31" t="s">
        <v>3116</v>
      </c>
      <c r="C814" s="130" t="s">
        <v>372</v>
      </c>
      <c r="D814" s="43" t="s">
        <v>320</v>
      </c>
      <c r="E814" s="126" t="s">
        <v>515</v>
      </c>
      <c r="F814" s="504">
        <v>2</v>
      </c>
      <c r="G814" s="248" t="s">
        <v>4432</v>
      </c>
      <c r="H814" s="542" t="s">
        <v>4433</v>
      </c>
      <c r="I814" s="319" t="s">
        <v>1026</v>
      </c>
      <c r="J814" s="494" t="s">
        <v>4434</v>
      </c>
      <c r="K814" s="132" t="s">
        <v>2514</v>
      </c>
    </row>
    <row r="815" spans="2:11" ht="46.8" x14ac:dyDescent="0.3">
      <c r="B815" s="31" t="s">
        <v>3116</v>
      </c>
      <c r="C815" s="130" t="s">
        <v>372</v>
      </c>
      <c r="D815" s="43" t="s">
        <v>320</v>
      </c>
      <c r="E815" s="126" t="s">
        <v>515</v>
      </c>
      <c r="F815" s="504">
        <v>2.5</v>
      </c>
      <c r="G815" s="248" t="s">
        <v>4487</v>
      </c>
      <c r="H815" s="542" t="s">
        <v>4488</v>
      </c>
      <c r="I815" s="319" t="s">
        <v>1282</v>
      </c>
      <c r="J815" s="494" t="s">
        <v>4489</v>
      </c>
      <c r="K815" s="132" t="s">
        <v>2514</v>
      </c>
    </row>
    <row r="816" spans="2:11" ht="46.8" x14ac:dyDescent="0.3">
      <c r="B816" s="31" t="s">
        <v>3116</v>
      </c>
      <c r="C816" s="130" t="s">
        <v>372</v>
      </c>
      <c r="D816" s="43" t="s">
        <v>320</v>
      </c>
      <c r="E816" s="126" t="s">
        <v>515</v>
      </c>
      <c r="F816" s="504">
        <v>2</v>
      </c>
      <c r="G816" s="248" t="s">
        <v>4532</v>
      </c>
      <c r="H816" s="542" t="s">
        <v>4533</v>
      </c>
      <c r="I816" s="319" t="s">
        <v>943</v>
      </c>
      <c r="J816" s="494" t="s">
        <v>4534</v>
      </c>
      <c r="K816" s="132" t="s">
        <v>2514</v>
      </c>
    </row>
    <row r="817" spans="1:37" ht="46.8" x14ac:dyDescent="0.3">
      <c r="B817" s="31" t="s">
        <v>3116</v>
      </c>
      <c r="C817" s="130" t="s">
        <v>372</v>
      </c>
      <c r="D817" s="43" t="s">
        <v>320</v>
      </c>
      <c r="E817" s="126" t="s">
        <v>515</v>
      </c>
      <c r="F817" s="504">
        <v>0.9</v>
      </c>
      <c r="G817" s="248" t="s">
        <v>4567</v>
      </c>
      <c r="H817" s="542" t="s">
        <v>4568</v>
      </c>
      <c r="I817" s="319" t="s">
        <v>943</v>
      </c>
      <c r="J817" s="494" t="s">
        <v>4569</v>
      </c>
      <c r="K817" s="132" t="s">
        <v>2514</v>
      </c>
    </row>
    <row r="818" spans="1:37" ht="46.8" x14ac:dyDescent="0.3">
      <c r="A818" s="481"/>
      <c r="B818" s="589" t="s">
        <v>540</v>
      </c>
      <c r="C818" s="590" t="s">
        <v>376</v>
      </c>
      <c r="D818" s="41" t="s">
        <v>320</v>
      </c>
      <c r="E818" s="126" t="s">
        <v>515</v>
      </c>
      <c r="F818" s="504">
        <v>4</v>
      </c>
      <c r="G818" s="587" t="s">
        <v>4647</v>
      </c>
      <c r="H818" s="585" t="s">
        <v>4648</v>
      </c>
      <c r="I818" s="784" t="s">
        <v>1053</v>
      </c>
      <c r="J818" s="494" t="s">
        <v>4649</v>
      </c>
      <c r="K818" s="481" t="s">
        <v>2514</v>
      </c>
      <c r="L818" s="481"/>
      <c r="M818" s="481"/>
      <c r="N818" s="481"/>
      <c r="O818" s="481"/>
      <c r="P818" s="481"/>
      <c r="Q818" s="481"/>
      <c r="R818" s="481"/>
      <c r="S818" s="481"/>
      <c r="T818" s="481"/>
      <c r="U818" s="481"/>
      <c r="V818" s="481"/>
      <c r="W818" s="481"/>
      <c r="X818" s="481"/>
      <c r="Y818" s="481"/>
      <c r="Z818" s="481"/>
      <c r="AA818" s="481"/>
      <c r="AB818" s="481"/>
      <c r="AC818" s="481"/>
      <c r="AD818" s="481"/>
      <c r="AE818" s="481"/>
      <c r="AF818" s="481"/>
      <c r="AG818" s="481"/>
      <c r="AH818" s="481"/>
      <c r="AI818" s="481"/>
      <c r="AJ818" s="481"/>
      <c r="AK818" s="481"/>
    </row>
    <row r="819" spans="1:37" ht="31.2" x14ac:dyDescent="0.3">
      <c r="A819" s="481"/>
      <c r="B819" s="589" t="s">
        <v>540</v>
      </c>
      <c r="C819" s="590" t="s">
        <v>376</v>
      </c>
      <c r="D819" s="41" t="s">
        <v>320</v>
      </c>
      <c r="E819" s="126" t="s">
        <v>515</v>
      </c>
      <c r="F819" s="504">
        <v>4</v>
      </c>
      <c r="G819" s="587" t="s">
        <v>4650</v>
      </c>
      <c r="H819" s="585" t="s">
        <v>4651</v>
      </c>
      <c r="I819" s="784" t="s">
        <v>1579</v>
      </c>
      <c r="J819" s="494" t="s">
        <v>4652</v>
      </c>
      <c r="K819" s="481" t="s">
        <v>2514</v>
      </c>
      <c r="L819" s="481"/>
      <c r="M819" s="481"/>
      <c r="N819" s="481"/>
      <c r="O819" s="481"/>
      <c r="P819" s="481"/>
      <c r="Q819" s="481"/>
      <c r="R819" s="481"/>
      <c r="S819" s="481"/>
      <c r="T819" s="481"/>
      <c r="U819" s="481"/>
      <c r="V819" s="481"/>
      <c r="W819" s="481"/>
      <c r="X819" s="481"/>
      <c r="Y819" s="481"/>
      <c r="Z819" s="481"/>
      <c r="AA819" s="481"/>
      <c r="AB819" s="481"/>
      <c r="AC819" s="481"/>
      <c r="AD819" s="481"/>
      <c r="AE819" s="481"/>
      <c r="AF819" s="481"/>
      <c r="AG819" s="481"/>
      <c r="AH819" s="481"/>
      <c r="AI819" s="481"/>
      <c r="AJ819" s="481"/>
      <c r="AK819" s="481"/>
    </row>
    <row r="820" spans="1:37" ht="46.8" x14ac:dyDescent="0.3">
      <c r="A820" s="481"/>
      <c r="B820" s="589" t="s">
        <v>540</v>
      </c>
      <c r="C820" s="590" t="s">
        <v>376</v>
      </c>
      <c r="D820" s="41" t="s">
        <v>320</v>
      </c>
      <c r="E820" s="126" t="s">
        <v>515</v>
      </c>
      <c r="F820" s="504">
        <v>2</v>
      </c>
      <c r="G820" s="587" t="s">
        <v>4653</v>
      </c>
      <c r="H820" s="585" t="s">
        <v>4295</v>
      </c>
      <c r="I820" s="784" t="s">
        <v>949</v>
      </c>
      <c r="J820" s="494" t="s">
        <v>4654</v>
      </c>
      <c r="K820" s="481" t="s">
        <v>2514</v>
      </c>
      <c r="L820" s="481"/>
      <c r="M820" s="481"/>
      <c r="N820" s="481"/>
      <c r="O820" s="481"/>
      <c r="P820" s="481"/>
      <c r="Q820" s="481"/>
      <c r="R820" s="481"/>
      <c r="S820" s="481"/>
      <c r="T820" s="481"/>
      <c r="U820" s="481"/>
      <c r="V820" s="481"/>
      <c r="W820" s="481"/>
      <c r="X820" s="481"/>
      <c r="Y820" s="481"/>
      <c r="Z820" s="481"/>
      <c r="AA820" s="481"/>
      <c r="AB820" s="481"/>
      <c r="AC820" s="481"/>
      <c r="AD820" s="481"/>
      <c r="AE820" s="481"/>
      <c r="AF820" s="481"/>
      <c r="AG820" s="481"/>
      <c r="AH820" s="481"/>
      <c r="AI820" s="481"/>
      <c r="AJ820" s="481"/>
      <c r="AK820" s="481"/>
    </row>
    <row r="821" spans="1:37" ht="46.8" x14ac:dyDescent="0.3">
      <c r="A821" s="481"/>
      <c r="B821" s="589" t="s">
        <v>540</v>
      </c>
      <c r="C821" s="590" t="s">
        <v>376</v>
      </c>
      <c r="D821" s="41" t="s">
        <v>320</v>
      </c>
      <c r="E821" s="126" t="s">
        <v>515</v>
      </c>
      <c r="F821" s="504">
        <v>0.63</v>
      </c>
      <c r="G821" s="587" t="s">
        <v>4655</v>
      </c>
      <c r="H821" s="585" t="s">
        <v>4656</v>
      </c>
      <c r="I821" s="784" t="s">
        <v>1053</v>
      </c>
      <c r="J821" s="494" t="s">
        <v>4657</v>
      </c>
      <c r="K821" s="481" t="s">
        <v>2514</v>
      </c>
      <c r="L821" s="481"/>
      <c r="M821" s="481"/>
      <c r="N821" s="481"/>
      <c r="O821" s="481"/>
      <c r="P821" s="481"/>
      <c r="Q821" s="481"/>
      <c r="R821" s="481"/>
      <c r="S821" s="481"/>
      <c r="T821" s="481"/>
      <c r="U821" s="481"/>
      <c r="V821" s="481"/>
      <c r="W821" s="481"/>
      <c r="X821" s="481"/>
      <c r="Y821" s="481"/>
      <c r="Z821" s="481"/>
      <c r="AA821" s="481"/>
      <c r="AB821" s="481"/>
      <c r="AC821" s="481"/>
      <c r="AD821" s="481"/>
      <c r="AE821" s="481"/>
      <c r="AF821" s="481"/>
      <c r="AG821" s="481"/>
      <c r="AH821" s="481"/>
      <c r="AI821" s="481"/>
      <c r="AJ821" s="481"/>
      <c r="AK821" s="481"/>
    </row>
    <row r="822" spans="1:37" ht="46.8" x14ac:dyDescent="0.3">
      <c r="B822" s="31" t="s">
        <v>3058</v>
      </c>
      <c r="C822" s="130" t="s">
        <v>369</v>
      </c>
      <c r="D822" s="43" t="s">
        <v>190</v>
      </c>
      <c r="E822" s="126" t="s">
        <v>515</v>
      </c>
      <c r="F822" s="504">
        <v>1</v>
      </c>
      <c r="G822" s="126" t="s">
        <v>3063</v>
      </c>
      <c r="H822" s="304">
        <v>45596</v>
      </c>
      <c r="I822" s="319" t="s">
        <v>871</v>
      </c>
      <c r="J822" s="494" t="s">
        <v>2515</v>
      </c>
      <c r="K822" s="132" t="s">
        <v>2515</v>
      </c>
    </row>
    <row r="823" spans="1:37" ht="46.8" x14ac:dyDescent="0.3">
      <c r="B823" s="31" t="s">
        <v>3087</v>
      </c>
      <c r="C823" s="130" t="s">
        <v>3088</v>
      </c>
      <c r="D823" s="43" t="s">
        <v>190</v>
      </c>
      <c r="E823" s="126" t="s">
        <v>515</v>
      </c>
      <c r="F823" s="504">
        <v>1</v>
      </c>
      <c r="G823" s="126" t="s">
        <v>3108</v>
      </c>
      <c r="H823" s="304">
        <v>45700</v>
      </c>
      <c r="I823" s="319" t="s">
        <v>1250</v>
      </c>
      <c r="J823" s="494" t="s">
        <v>2515</v>
      </c>
      <c r="K823" s="132" t="s">
        <v>2515</v>
      </c>
      <c r="L823" s="58"/>
    </row>
    <row r="824" spans="1:37" ht="46.8" x14ac:dyDescent="0.3">
      <c r="B824" s="31" t="s">
        <v>3116</v>
      </c>
      <c r="C824" s="130" t="s">
        <v>372</v>
      </c>
      <c r="D824" s="43" t="s">
        <v>320</v>
      </c>
      <c r="E824" s="126" t="s">
        <v>515</v>
      </c>
      <c r="F824" s="504">
        <v>6.2</v>
      </c>
      <c r="G824" s="248" t="s">
        <v>3175</v>
      </c>
      <c r="H824" s="542" t="s">
        <v>3176</v>
      </c>
      <c r="I824" s="319" t="s">
        <v>1250</v>
      </c>
      <c r="J824" s="494" t="s">
        <v>3177</v>
      </c>
      <c r="K824" s="132" t="s">
        <v>2515</v>
      </c>
    </row>
    <row r="825" spans="1:37" ht="46.8" x14ac:dyDescent="0.3">
      <c r="B825" s="31" t="s">
        <v>3116</v>
      </c>
      <c r="C825" s="130" t="s">
        <v>372</v>
      </c>
      <c r="D825" s="43" t="s">
        <v>320</v>
      </c>
      <c r="E825" s="126" t="s">
        <v>515</v>
      </c>
      <c r="F825" s="504">
        <v>2</v>
      </c>
      <c r="G825" s="248" t="s">
        <v>3259</v>
      </c>
      <c r="H825" s="542" t="s">
        <v>3260</v>
      </c>
      <c r="I825" s="319" t="s">
        <v>934</v>
      </c>
      <c r="J825" s="494" t="s">
        <v>3261</v>
      </c>
      <c r="K825" s="132" t="s">
        <v>2515</v>
      </c>
    </row>
    <row r="826" spans="1:37" ht="46.8" x14ac:dyDescent="0.3">
      <c r="B826" s="31" t="s">
        <v>3116</v>
      </c>
      <c r="C826" s="130" t="s">
        <v>372</v>
      </c>
      <c r="D826" s="43" t="s">
        <v>320</v>
      </c>
      <c r="E826" s="126" t="s">
        <v>515</v>
      </c>
      <c r="F826" s="504">
        <v>1.1499999999999999</v>
      </c>
      <c r="G826" s="248" t="s">
        <v>3336</v>
      </c>
      <c r="H826" s="542" t="s">
        <v>3260</v>
      </c>
      <c r="I826" s="319" t="s">
        <v>934</v>
      </c>
      <c r="J826" s="494" t="s">
        <v>3337</v>
      </c>
      <c r="K826" s="132" t="s">
        <v>2515</v>
      </c>
    </row>
    <row r="827" spans="1:37" ht="46.8" x14ac:dyDescent="0.3">
      <c r="B827" s="31" t="s">
        <v>3116</v>
      </c>
      <c r="C827" s="130" t="s">
        <v>372</v>
      </c>
      <c r="D827" s="43" t="s">
        <v>320</v>
      </c>
      <c r="E827" s="126" t="s">
        <v>515</v>
      </c>
      <c r="F827" s="504">
        <v>2.5</v>
      </c>
      <c r="G827" s="248" t="s">
        <v>3413</v>
      </c>
      <c r="H827" s="542" t="s">
        <v>3414</v>
      </c>
      <c r="I827" s="319" t="s">
        <v>1302</v>
      </c>
      <c r="J827" s="494" t="s">
        <v>3415</v>
      </c>
      <c r="K827" s="132" t="s">
        <v>2515</v>
      </c>
    </row>
    <row r="828" spans="1:37" ht="31.2" x14ac:dyDescent="0.3">
      <c r="B828" s="31" t="s">
        <v>3116</v>
      </c>
      <c r="C828" s="130" t="s">
        <v>372</v>
      </c>
      <c r="D828" s="43" t="s">
        <v>320</v>
      </c>
      <c r="E828" s="126" t="s">
        <v>515</v>
      </c>
      <c r="F828" s="504">
        <v>2.5</v>
      </c>
      <c r="G828" s="248" t="s">
        <v>3491</v>
      </c>
      <c r="H828" s="542" t="s">
        <v>3492</v>
      </c>
      <c r="I828" s="319" t="s">
        <v>1302</v>
      </c>
      <c r="J828" s="494" t="s">
        <v>3493</v>
      </c>
      <c r="K828" s="132" t="s">
        <v>2515</v>
      </c>
    </row>
    <row r="829" spans="1:37" ht="46.8" x14ac:dyDescent="0.3">
      <c r="B829" s="31" t="s">
        <v>3116</v>
      </c>
      <c r="C829" s="130" t="s">
        <v>372</v>
      </c>
      <c r="D829" s="43" t="s">
        <v>320</v>
      </c>
      <c r="E829" s="126" t="s">
        <v>515</v>
      </c>
      <c r="F829" s="504">
        <v>2.5</v>
      </c>
      <c r="G829" s="248" t="s">
        <v>3566</v>
      </c>
      <c r="H829" s="542" t="s">
        <v>3567</v>
      </c>
      <c r="I829" s="319" t="s">
        <v>97</v>
      </c>
      <c r="J829" s="494" t="s">
        <v>3568</v>
      </c>
      <c r="K829" s="132" t="s">
        <v>2515</v>
      </c>
    </row>
    <row r="830" spans="1:37" ht="46.8" x14ac:dyDescent="0.3">
      <c r="B830" s="31" t="s">
        <v>3116</v>
      </c>
      <c r="C830" s="130" t="s">
        <v>372</v>
      </c>
      <c r="D830" s="43" t="s">
        <v>320</v>
      </c>
      <c r="E830" s="126" t="s">
        <v>515</v>
      </c>
      <c r="F830" s="504">
        <v>2.5</v>
      </c>
      <c r="G830" s="248" t="s">
        <v>3641</v>
      </c>
      <c r="H830" s="542" t="s">
        <v>3642</v>
      </c>
      <c r="I830" s="319" t="s">
        <v>97</v>
      </c>
      <c r="J830" s="494" t="s">
        <v>3643</v>
      </c>
      <c r="K830" s="132" t="s">
        <v>2515</v>
      </c>
    </row>
    <row r="831" spans="1:37" ht="46.8" x14ac:dyDescent="0.3">
      <c r="B831" s="31" t="s">
        <v>3116</v>
      </c>
      <c r="C831" s="130" t="s">
        <v>372</v>
      </c>
      <c r="D831" s="43" t="s">
        <v>320</v>
      </c>
      <c r="E831" s="126" t="s">
        <v>515</v>
      </c>
      <c r="F831" s="504">
        <v>2.5</v>
      </c>
      <c r="G831" s="248" t="s">
        <v>3705</v>
      </c>
      <c r="H831" s="542" t="s">
        <v>3706</v>
      </c>
      <c r="I831" s="319" t="s">
        <v>1262</v>
      </c>
      <c r="J831" s="494" t="s">
        <v>3707</v>
      </c>
      <c r="K831" s="132" t="s">
        <v>2515</v>
      </c>
    </row>
    <row r="832" spans="1:37" ht="46.8" x14ac:dyDescent="0.3">
      <c r="B832" s="31" t="s">
        <v>3116</v>
      </c>
      <c r="C832" s="130" t="s">
        <v>372</v>
      </c>
      <c r="D832" s="43" t="s">
        <v>320</v>
      </c>
      <c r="E832" s="126" t="s">
        <v>515</v>
      </c>
      <c r="F832" s="504">
        <v>2.5</v>
      </c>
      <c r="G832" s="248" t="s">
        <v>3787</v>
      </c>
      <c r="H832" s="542" t="s">
        <v>3788</v>
      </c>
      <c r="I832" s="319" t="s">
        <v>940</v>
      </c>
      <c r="J832" s="494" t="s">
        <v>3789</v>
      </c>
      <c r="K832" s="132" t="s">
        <v>2515</v>
      </c>
    </row>
    <row r="833" spans="2:12" ht="46.8" x14ac:dyDescent="0.3">
      <c r="B833" s="31" t="s">
        <v>3116</v>
      </c>
      <c r="C833" s="130" t="s">
        <v>372</v>
      </c>
      <c r="D833" s="43" t="s">
        <v>320</v>
      </c>
      <c r="E833" s="126" t="s">
        <v>515</v>
      </c>
      <c r="F833" s="504">
        <v>1.3</v>
      </c>
      <c r="G833" s="248" t="s">
        <v>3856</v>
      </c>
      <c r="H833" s="542" t="s">
        <v>3857</v>
      </c>
      <c r="I833" s="319" t="s">
        <v>940</v>
      </c>
      <c r="J833" s="494" t="s">
        <v>3858</v>
      </c>
      <c r="K833" s="132" t="s">
        <v>2515</v>
      </c>
    </row>
    <row r="834" spans="2:12" ht="46.8" x14ac:dyDescent="0.3">
      <c r="B834" s="31" t="s">
        <v>3116</v>
      </c>
      <c r="C834" s="130" t="s">
        <v>372</v>
      </c>
      <c r="D834" s="43" t="s">
        <v>320</v>
      </c>
      <c r="E834" s="126" t="s">
        <v>515</v>
      </c>
      <c r="F834" s="504">
        <v>2.8</v>
      </c>
      <c r="G834" s="248" t="s">
        <v>3921</v>
      </c>
      <c r="H834" s="542" t="s">
        <v>3922</v>
      </c>
      <c r="I834" s="319" t="s">
        <v>1026</v>
      </c>
      <c r="J834" s="494" t="s">
        <v>3923</v>
      </c>
      <c r="K834" s="132" t="s">
        <v>2515</v>
      </c>
    </row>
    <row r="835" spans="2:12" ht="46.8" x14ac:dyDescent="0.3">
      <c r="B835" s="31" t="s">
        <v>3116</v>
      </c>
      <c r="C835" s="130" t="s">
        <v>372</v>
      </c>
      <c r="D835" s="43" t="s">
        <v>320</v>
      </c>
      <c r="E835" s="126" t="s">
        <v>515</v>
      </c>
      <c r="F835" s="504">
        <v>2.7</v>
      </c>
      <c r="G835" s="248" t="s">
        <v>3990</v>
      </c>
      <c r="H835" s="542" t="s">
        <v>3988</v>
      </c>
      <c r="I835" s="319" t="s">
        <v>1026</v>
      </c>
      <c r="J835" s="494" t="s">
        <v>3991</v>
      </c>
      <c r="K835" s="132" t="s">
        <v>2515</v>
      </c>
    </row>
    <row r="836" spans="2:12" ht="46.8" x14ac:dyDescent="0.3">
      <c r="B836" s="31" t="s">
        <v>3116</v>
      </c>
      <c r="C836" s="130" t="s">
        <v>372</v>
      </c>
      <c r="D836" s="43" t="s">
        <v>320</v>
      </c>
      <c r="E836" s="126" t="s">
        <v>515</v>
      </c>
      <c r="F836" s="504">
        <v>2.5</v>
      </c>
      <c r="G836" s="248" t="s">
        <v>4064</v>
      </c>
      <c r="H836" s="542" t="s">
        <v>4065</v>
      </c>
      <c r="I836" s="319" t="s">
        <v>1282</v>
      </c>
      <c r="J836" s="494" t="s">
        <v>4066</v>
      </c>
      <c r="K836" s="132" t="s">
        <v>2515</v>
      </c>
    </row>
    <row r="837" spans="2:12" ht="46.8" x14ac:dyDescent="0.3">
      <c r="B837" s="31" t="s">
        <v>3116</v>
      </c>
      <c r="C837" s="130" t="s">
        <v>372</v>
      </c>
      <c r="D837" s="43" t="s">
        <v>320</v>
      </c>
      <c r="E837" s="126" t="s">
        <v>515</v>
      </c>
      <c r="F837" s="504">
        <v>2.5</v>
      </c>
      <c r="G837" s="248" t="s">
        <v>4132</v>
      </c>
      <c r="H837" s="542" t="s">
        <v>4133</v>
      </c>
      <c r="I837" s="319" t="s">
        <v>1282</v>
      </c>
      <c r="J837" s="494" t="s">
        <v>4134</v>
      </c>
      <c r="K837" s="132" t="s">
        <v>2515</v>
      </c>
    </row>
    <row r="838" spans="2:12" ht="46.8" x14ac:dyDescent="0.3">
      <c r="B838" s="31" t="s">
        <v>3116</v>
      </c>
      <c r="C838" s="130" t="s">
        <v>372</v>
      </c>
      <c r="D838" s="43" t="s">
        <v>320</v>
      </c>
      <c r="E838" s="126" t="s">
        <v>515</v>
      </c>
      <c r="F838" s="504">
        <v>2.5</v>
      </c>
      <c r="G838" s="248" t="s">
        <v>4210</v>
      </c>
      <c r="H838" s="542" t="s">
        <v>4211</v>
      </c>
      <c r="I838" s="319" t="s">
        <v>943</v>
      </c>
      <c r="J838" s="494" t="s">
        <v>4212</v>
      </c>
      <c r="K838" s="132" t="s">
        <v>2515</v>
      </c>
    </row>
    <row r="839" spans="2:12" ht="46.8" x14ac:dyDescent="0.3">
      <c r="B839" s="31" t="s">
        <v>3116</v>
      </c>
      <c r="C839" s="130" t="s">
        <v>372</v>
      </c>
      <c r="D839" s="43" t="s">
        <v>320</v>
      </c>
      <c r="E839" s="126" t="s">
        <v>515</v>
      </c>
      <c r="F839" s="504">
        <v>2.5</v>
      </c>
      <c r="G839" s="248" t="s">
        <v>4279</v>
      </c>
      <c r="H839" s="542" t="s">
        <v>4280</v>
      </c>
      <c r="I839" s="319" t="s">
        <v>943</v>
      </c>
      <c r="J839" s="494" t="s">
        <v>4281</v>
      </c>
      <c r="K839" s="132" t="s">
        <v>2515</v>
      </c>
    </row>
    <row r="840" spans="2:12" ht="46.8" x14ac:dyDescent="0.3">
      <c r="B840" s="31" t="s">
        <v>3116</v>
      </c>
      <c r="C840" s="130" t="s">
        <v>372</v>
      </c>
      <c r="D840" s="43" t="s">
        <v>320</v>
      </c>
      <c r="E840" s="126" t="s">
        <v>515</v>
      </c>
      <c r="F840" s="504">
        <v>2.5</v>
      </c>
      <c r="G840" s="248" t="s">
        <v>4341</v>
      </c>
      <c r="H840" s="542" t="s">
        <v>4342</v>
      </c>
      <c r="I840" s="319" t="s">
        <v>943</v>
      </c>
      <c r="J840" s="494" t="s">
        <v>4343</v>
      </c>
      <c r="K840" s="132" t="s">
        <v>2515</v>
      </c>
    </row>
    <row r="841" spans="2:12" ht="46.8" x14ac:dyDescent="0.3">
      <c r="B841" s="31" t="s">
        <v>3116</v>
      </c>
      <c r="C841" s="130" t="s">
        <v>372</v>
      </c>
      <c r="D841" s="43" t="s">
        <v>320</v>
      </c>
      <c r="E841" s="126" t="s">
        <v>515</v>
      </c>
      <c r="F841" s="504">
        <v>2.5</v>
      </c>
      <c r="G841" s="248" t="s">
        <v>4395</v>
      </c>
      <c r="H841" s="542" t="s">
        <v>4396</v>
      </c>
      <c r="I841" s="319" t="s">
        <v>943</v>
      </c>
      <c r="J841" s="494" t="s">
        <v>4397</v>
      </c>
      <c r="K841" s="132" t="s">
        <v>2515</v>
      </c>
    </row>
    <row r="842" spans="2:12" ht="46.8" x14ac:dyDescent="0.3">
      <c r="B842" s="31" t="s">
        <v>3116</v>
      </c>
      <c r="C842" s="130" t="s">
        <v>372</v>
      </c>
      <c r="D842" s="43" t="s">
        <v>320</v>
      </c>
      <c r="E842" s="126" t="s">
        <v>515</v>
      </c>
      <c r="F842" s="504">
        <v>2.5</v>
      </c>
      <c r="G842" s="248" t="s">
        <v>4459</v>
      </c>
      <c r="H842" s="542" t="s">
        <v>4460</v>
      </c>
      <c r="I842" s="319" t="s">
        <v>1417</v>
      </c>
      <c r="J842" s="494" t="s">
        <v>4461</v>
      </c>
      <c r="K842" s="132" t="s">
        <v>2515</v>
      </c>
    </row>
    <row r="843" spans="2:12" ht="46.8" x14ac:dyDescent="0.3">
      <c r="B843" s="31" t="s">
        <v>3116</v>
      </c>
      <c r="C843" s="130" t="s">
        <v>372</v>
      </c>
      <c r="D843" s="43" t="s">
        <v>320</v>
      </c>
      <c r="E843" s="126" t="s">
        <v>515</v>
      </c>
      <c r="F843" s="504">
        <v>2.5</v>
      </c>
      <c r="G843" s="248" t="s">
        <v>4502</v>
      </c>
      <c r="H843" s="542" t="s">
        <v>4503</v>
      </c>
      <c r="I843" s="319" t="s">
        <v>1417</v>
      </c>
      <c r="J843" s="494" t="s">
        <v>4504</v>
      </c>
      <c r="K843" s="132" t="s">
        <v>2515</v>
      </c>
    </row>
    <row r="844" spans="2:12" ht="46.8" x14ac:dyDescent="0.3">
      <c r="B844" s="31" t="s">
        <v>3116</v>
      </c>
      <c r="C844" s="130" t="s">
        <v>372</v>
      </c>
      <c r="D844" s="43" t="s">
        <v>320</v>
      </c>
      <c r="E844" s="126" t="s">
        <v>515</v>
      </c>
      <c r="F844" s="504">
        <v>0.35</v>
      </c>
      <c r="G844" s="248" t="s">
        <v>4546</v>
      </c>
      <c r="H844" s="542" t="s">
        <v>4547</v>
      </c>
      <c r="I844" s="319" t="s">
        <v>1417</v>
      </c>
      <c r="J844" s="494" t="s">
        <v>4548</v>
      </c>
      <c r="K844" s="132" t="s">
        <v>2515</v>
      </c>
    </row>
    <row r="845" spans="2:12" ht="46.8" x14ac:dyDescent="0.3">
      <c r="B845" s="31" t="s">
        <v>3116</v>
      </c>
      <c r="C845" s="130" t="s">
        <v>372</v>
      </c>
      <c r="D845" s="43" t="s">
        <v>320</v>
      </c>
      <c r="E845" s="126" t="s">
        <v>515</v>
      </c>
      <c r="F845" s="504">
        <v>1.55</v>
      </c>
      <c r="G845" s="587" t="s">
        <v>4575</v>
      </c>
      <c r="H845" s="585" t="s">
        <v>4576</v>
      </c>
      <c r="I845" s="784" t="s">
        <v>1315</v>
      </c>
      <c r="J845" s="494" t="s">
        <v>4577</v>
      </c>
      <c r="K845" s="132" t="s">
        <v>2515</v>
      </c>
    </row>
    <row r="846" spans="2:12" ht="46.8" x14ac:dyDescent="0.3">
      <c r="B846" s="31" t="s">
        <v>3116</v>
      </c>
      <c r="C846" s="130" t="s">
        <v>372</v>
      </c>
      <c r="D846" s="43" t="s">
        <v>320</v>
      </c>
      <c r="E846" s="126" t="s">
        <v>515</v>
      </c>
      <c r="F846" s="504">
        <v>1</v>
      </c>
      <c r="G846" s="587" t="s">
        <v>4581</v>
      </c>
      <c r="H846" s="585" t="s">
        <v>4582</v>
      </c>
      <c r="I846" s="784" t="s">
        <v>1315</v>
      </c>
      <c r="J846" s="494" t="s">
        <v>4583</v>
      </c>
      <c r="K846" s="132" t="s">
        <v>2515</v>
      </c>
    </row>
    <row r="847" spans="2:12" ht="46.8" x14ac:dyDescent="0.3">
      <c r="B847" s="31" t="s">
        <v>3058</v>
      </c>
      <c r="C847" s="130" t="s">
        <v>369</v>
      </c>
      <c r="D847" s="43" t="s">
        <v>190</v>
      </c>
      <c r="E847" s="126" t="s">
        <v>515</v>
      </c>
      <c r="F847" s="504">
        <v>1</v>
      </c>
      <c r="G847" s="126" t="s">
        <v>3060</v>
      </c>
      <c r="H847" s="304">
        <v>45591</v>
      </c>
      <c r="I847" s="319" t="s">
        <v>871</v>
      </c>
      <c r="J847" s="494" t="s">
        <v>2516</v>
      </c>
      <c r="K847" s="132" t="s">
        <v>2516</v>
      </c>
    </row>
    <row r="848" spans="2:12" ht="46.8" x14ac:dyDescent="0.3">
      <c r="B848" s="31" t="s">
        <v>3087</v>
      </c>
      <c r="C848" s="130" t="s">
        <v>3088</v>
      </c>
      <c r="D848" s="43" t="s">
        <v>190</v>
      </c>
      <c r="E848" s="126" t="s">
        <v>515</v>
      </c>
      <c r="F848" s="504">
        <v>1</v>
      </c>
      <c r="G848" s="126" t="s">
        <v>3091</v>
      </c>
      <c r="H848" s="304">
        <v>45612</v>
      </c>
      <c r="I848" s="319" t="s">
        <v>898</v>
      </c>
      <c r="J848" s="494" t="s">
        <v>2516</v>
      </c>
      <c r="K848" s="132" t="s">
        <v>2516</v>
      </c>
      <c r="L848" s="58"/>
    </row>
    <row r="849" spans="2:11" ht="46.8" x14ac:dyDescent="0.3">
      <c r="B849" s="31" t="s">
        <v>3116</v>
      </c>
      <c r="C849" s="130" t="s">
        <v>372</v>
      </c>
      <c r="D849" s="43" t="s">
        <v>320</v>
      </c>
      <c r="E849" s="126" t="s">
        <v>515</v>
      </c>
      <c r="F849" s="504">
        <v>4.32</v>
      </c>
      <c r="G849" s="248" t="s">
        <v>3130</v>
      </c>
      <c r="H849" s="542" t="s">
        <v>3131</v>
      </c>
      <c r="I849" s="319" t="s">
        <v>931</v>
      </c>
      <c r="J849" s="494" t="s">
        <v>3132</v>
      </c>
      <c r="K849" s="132" t="s">
        <v>2516</v>
      </c>
    </row>
    <row r="850" spans="2:11" ht="46.8" x14ac:dyDescent="0.3">
      <c r="B850" s="31" t="s">
        <v>3116</v>
      </c>
      <c r="C850" s="130" t="s">
        <v>372</v>
      </c>
      <c r="D850" s="43" t="s">
        <v>320</v>
      </c>
      <c r="E850" s="126" t="s">
        <v>515</v>
      </c>
      <c r="F850" s="504">
        <v>2.65</v>
      </c>
      <c r="G850" s="248" t="s">
        <v>3212</v>
      </c>
      <c r="H850" s="542" t="s">
        <v>3213</v>
      </c>
      <c r="I850" s="319" t="s">
        <v>931</v>
      </c>
      <c r="J850" s="494" t="s">
        <v>3214</v>
      </c>
      <c r="K850" s="132" t="s">
        <v>2516</v>
      </c>
    </row>
    <row r="851" spans="2:11" ht="46.8" x14ac:dyDescent="0.3">
      <c r="B851" s="31" t="s">
        <v>3116</v>
      </c>
      <c r="C851" s="130" t="s">
        <v>372</v>
      </c>
      <c r="D851" s="43" t="s">
        <v>320</v>
      </c>
      <c r="E851" s="126" t="s">
        <v>515</v>
      </c>
      <c r="F851" s="504">
        <v>2.5</v>
      </c>
      <c r="G851" s="248" t="s">
        <v>3297</v>
      </c>
      <c r="H851" s="542" t="s">
        <v>3298</v>
      </c>
      <c r="I851" s="319" t="s">
        <v>1326</v>
      </c>
      <c r="J851" s="494" t="s">
        <v>3299</v>
      </c>
      <c r="K851" s="132" t="s">
        <v>2516</v>
      </c>
    </row>
    <row r="852" spans="2:11" ht="46.8" x14ac:dyDescent="0.3">
      <c r="B852" s="31" t="s">
        <v>3116</v>
      </c>
      <c r="C852" s="130" t="s">
        <v>372</v>
      </c>
      <c r="D852" s="43" t="s">
        <v>320</v>
      </c>
      <c r="E852" s="126" t="s">
        <v>515</v>
      </c>
      <c r="F852" s="504">
        <v>2.5</v>
      </c>
      <c r="G852" s="248" t="s">
        <v>3365</v>
      </c>
      <c r="H852" s="542" t="s">
        <v>3366</v>
      </c>
      <c r="I852" s="319" t="s">
        <v>1326</v>
      </c>
      <c r="J852" s="494" t="s">
        <v>3367</v>
      </c>
      <c r="K852" s="132" t="s">
        <v>2516</v>
      </c>
    </row>
    <row r="853" spans="2:11" ht="46.8" x14ac:dyDescent="0.3">
      <c r="B853" s="31" t="s">
        <v>3116</v>
      </c>
      <c r="C853" s="130" t="s">
        <v>372</v>
      </c>
      <c r="D853" s="43" t="s">
        <v>320</v>
      </c>
      <c r="E853" s="126" t="s">
        <v>515</v>
      </c>
      <c r="F853" s="504">
        <v>2.5</v>
      </c>
      <c r="G853" s="248" t="s">
        <v>3449</v>
      </c>
      <c r="H853" s="542" t="s">
        <v>3450</v>
      </c>
      <c r="I853" s="319" t="s">
        <v>1326</v>
      </c>
      <c r="J853" s="494" t="s">
        <v>3451</v>
      </c>
      <c r="K853" s="132" t="s">
        <v>2516</v>
      </c>
    </row>
    <row r="854" spans="2:11" ht="46.8" x14ac:dyDescent="0.3">
      <c r="B854" s="31" t="s">
        <v>3116</v>
      </c>
      <c r="C854" s="130" t="s">
        <v>372</v>
      </c>
      <c r="D854" s="43" t="s">
        <v>320</v>
      </c>
      <c r="E854" s="126" t="s">
        <v>515</v>
      </c>
      <c r="F854" s="504">
        <v>2.5</v>
      </c>
      <c r="G854" s="587" t="s">
        <v>3523</v>
      </c>
      <c r="H854" s="585" t="s">
        <v>3521</v>
      </c>
      <c r="I854" s="319" t="s">
        <v>1326</v>
      </c>
      <c r="J854" s="494" t="s">
        <v>3524</v>
      </c>
      <c r="K854" s="132" t="s">
        <v>2516</v>
      </c>
    </row>
    <row r="855" spans="2:11" ht="46.8" x14ac:dyDescent="0.3">
      <c r="B855" s="31" t="s">
        <v>3116</v>
      </c>
      <c r="C855" s="130" t="s">
        <v>372</v>
      </c>
      <c r="D855" s="43" t="s">
        <v>320</v>
      </c>
      <c r="E855" s="126" t="s">
        <v>515</v>
      </c>
      <c r="F855" s="504">
        <v>2.5</v>
      </c>
      <c r="G855" s="248" t="s">
        <v>3605</v>
      </c>
      <c r="H855" s="542" t="s">
        <v>3606</v>
      </c>
      <c r="I855" s="319" t="s">
        <v>1250</v>
      </c>
      <c r="J855" s="494" t="s">
        <v>3607</v>
      </c>
      <c r="K855" s="132" t="s">
        <v>2516</v>
      </c>
    </row>
    <row r="856" spans="2:11" ht="46.8" x14ac:dyDescent="0.3">
      <c r="B856" s="31" t="s">
        <v>3116</v>
      </c>
      <c r="C856" s="130" t="s">
        <v>372</v>
      </c>
      <c r="D856" s="43" t="s">
        <v>320</v>
      </c>
      <c r="E856" s="126" t="s">
        <v>515</v>
      </c>
      <c r="F856" s="504">
        <v>2.5</v>
      </c>
      <c r="G856" s="248" t="s">
        <v>3708</v>
      </c>
      <c r="H856" s="542" t="s">
        <v>3237</v>
      </c>
      <c r="I856" s="319" t="s">
        <v>1250</v>
      </c>
      <c r="J856" s="494" t="s">
        <v>3709</v>
      </c>
      <c r="K856" s="132" t="s">
        <v>2516</v>
      </c>
    </row>
    <row r="857" spans="2:11" ht="46.8" x14ac:dyDescent="0.3">
      <c r="B857" s="31" t="s">
        <v>3116</v>
      </c>
      <c r="C857" s="130" t="s">
        <v>372</v>
      </c>
      <c r="D857" s="43" t="s">
        <v>320</v>
      </c>
      <c r="E857" s="126" t="s">
        <v>515</v>
      </c>
      <c r="F857" s="504">
        <v>2.5</v>
      </c>
      <c r="G857" s="248" t="s">
        <v>3743</v>
      </c>
      <c r="H857" s="542" t="s">
        <v>3320</v>
      </c>
      <c r="I857" s="319" t="s">
        <v>1250</v>
      </c>
      <c r="J857" s="494" t="s">
        <v>3744</v>
      </c>
      <c r="K857" s="132" t="s">
        <v>2516</v>
      </c>
    </row>
    <row r="858" spans="2:11" ht="46.8" x14ac:dyDescent="0.3">
      <c r="B858" s="31" t="s">
        <v>3116</v>
      </c>
      <c r="C858" s="130" t="s">
        <v>372</v>
      </c>
      <c r="D858" s="43" t="s">
        <v>320</v>
      </c>
      <c r="E858" s="126" t="s">
        <v>515</v>
      </c>
      <c r="F858" s="504">
        <v>2.5099999999999998</v>
      </c>
      <c r="G858" s="248" t="s">
        <v>3814</v>
      </c>
      <c r="H858" s="542" t="s">
        <v>3815</v>
      </c>
      <c r="I858" s="319" t="s">
        <v>934</v>
      </c>
      <c r="J858" s="494" t="s">
        <v>3816</v>
      </c>
      <c r="K858" s="132" t="s">
        <v>2516</v>
      </c>
    </row>
    <row r="859" spans="2:11" ht="46.8" x14ac:dyDescent="0.3">
      <c r="B859" s="31" t="s">
        <v>3116</v>
      </c>
      <c r="C859" s="130" t="s">
        <v>372</v>
      </c>
      <c r="D859" s="43" t="s">
        <v>320</v>
      </c>
      <c r="E859" s="126" t="s">
        <v>515</v>
      </c>
      <c r="F859" s="504">
        <v>2.5</v>
      </c>
      <c r="G859" s="248" t="s">
        <v>3879</v>
      </c>
      <c r="H859" s="542" t="s">
        <v>3541</v>
      </c>
      <c r="I859" s="319" t="s">
        <v>934</v>
      </c>
      <c r="J859" s="494" t="s">
        <v>3880</v>
      </c>
      <c r="K859" s="132" t="s">
        <v>2516</v>
      </c>
    </row>
    <row r="860" spans="2:11" ht="46.8" x14ac:dyDescent="0.3">
      <c r="B860" s="31" t="s">
        <v>3116</v>
      </c>
      <c r="C860" s="130" t="s">
        <v>372</v>
      </c>
      <c r="D860" s="43" t="s">
        <v>320</v>
      </c>
      <c r="E860" s="126" t="s">
        <v>515</v>
      </c>
      <c r="F860" s="504">
        <v>2.5</v>
      </c>
      <c r="G860" s="248" t="s">
        <v>3966</v>
      </c>
      <c r="H860" s="542" t="s">
        <v>3967</v>
      </c>
      <c r="I860" s="319" t="s">
        <v>97</v>
      </c>
      <c r="J860" s="494" t="s">
        <v>3968</v>
      </c>
      <c r="K860" s="132" t="s">
        <v>2516</v>
      </c>
    </row>
    <row r="861" spans="2:11" ht="46.8" x14ac:dyDescent="0.3">
      <c r="B861" s="31" t="s">
        <v>3116</v>
      </c>
      <c r="C861" s="130" t="s">
        <v>372</v>
      </c>
      <c r="D861" s="43" t="s">
        <v>320</v>
      </c>
      <c r="E861" s="126" t="s">
        <v>515</v>
      </c>
      <c r="F861" s="504">
        <v>2.5</v>
      </c>
      <c r="G861" s="248" t="s">
        <v>4046</v>
      </c>
      <c r="H861" s="542" t="s">
        <v>4047</v>
      </c>
      <c r="I861" s="319" t="s">
        <v>1509</v>
      </c>
      <c r="J861" s="494" t="s">
        <v>4048</v>
      </c>
      <c r="K861" s="132" t="s">
        <v>2516</v>
      </c>
    </row>
    <row r="862" spans="2:11" ht="46.8" x14ac:dyDescent="0.3">
      <c r="B862" s="31" t="s">
        <v>3116</v>
      </c>
      <c r="C862" s="130" t="s">
        <v>372</v>
      </c>
      <c r="D862" s="43" t="s">
        <v>320</v>
      </c>
      <c r="E862" s="126" t="s">
        <v>515</v>
      </c>
      <c r="F862" s="504">
        <v>0.5</v>
      </c>
      <c r="G862" s="248" t="s">
        <v>4126</v>
      </c>
      <c r="H862" s="542" t="s">
        <v>4127</v>
      </c>
      <c r="I862" s="319" t="s">
        <v>1026</v>
      </c>
      <c r="J862" s="494" t="s">
        <v>4128</v>
      </c>
      <c r="K862" s="132" t="s">
        <v>2516</v>
      </c>
    </row>
    <row r="863" spans="2:11" ht="46.8" x14ac:dyDescent="0.3">
      <c r="B863" s="31" t="s">
        <v>3116</v>
      </c>
      <c r="C863" s="130" t="s">
        <v>372</v>
      </c>
      <c r="D863" s="43" t="s">
        <v>320</v>
      </c>
      <c r="E863" s="126" t="s">
        <v>515</v>
      </c>
      <c r="F863" s="504">
        <v>2.8</v>
      </c>
      <c r="G863" s="248" t="s">
        <v>4198</v>
      </c>
      <c r="H863" s="542" t="s">
        <v>4199</v>
      </c>
      <c r="I863" s="319" t="s">
        <v>1026</v>
      </c>
      <c r="J863" s="494" t="s">
        <v>4200</v>
      </c>
      <c r="K863" s="132" t="s">
        <v>2516</v>
      </c>
    </row>
    <row r="864" spans="2:11" ht="46.8" x14ac:dyDescent="0.3">
      <c r="B864" s="31" t="s">
        <v>3116</v>
      </c>
      <c r="C864" s="130" t="s">
        <v>372</v>
      </c>
      <c r="D864" s="43" t="s">
        <v>320</v>
      </c>
      <c r="E864" s="126" t="s">
        <v>515</v>
      </c>
      <c r="F864" s="504">
        <v>2.5</v>
      </c>
      <c r="G864" s="248" t="s">
        <v>4269</v>
      </c>
      <c r="H864" s="542" t="s">
        <v>4270</v>
      </c>
      <c r="I864" s="319" t="s">
        <v>1282</v>
      </c>
      <c r="J864" s="494" t="s">
        <v>4271</v>
      </c>
      <c r="K864" s="132" t="s">
        <v>2516</v>
      </c>
    </row>
    <row r="865" spans="2:12" ht="46.8" x14ac:dyDescent="0.3">
      <c r="B865" s="31" t="s">
        <v>3116</v>
      </c>
      <c r="C865" s="130" t="s">
        <v>372</v>
      </c>
      <c r="D865" s="43" t="s">
        <v>320</v>
      </c>
      <c r="E865" s="126" t="s">
        <v>515</v>
      </c>
      <c r="F865" s="504">
        <v>2.5</v>
      </c>
      <c r="G865" s="248" t="s">
        <v>4337</v>
      </c>
      <c r="H865" s="542" t="s">
        <v>4133</v>
      </c>
      <c r="I865" s="319" t="s">
        <v>1282</v>
      </c>
      <c r="J865" s="494" t="s">
        <v>4338</v>
      </c>
      <c r="K865" s="132" t="s">
        <v>2516</v>
      </c>
    </row>
    <row r="866" spans="2:12" ht="46.8" x14ac:dyDescent="0.3">
      <c r="B866" s="31" t="s">
        <v>3116</v>
      </c>
      <c r="C866" s="130" t="s">
        <v>372</v>
      </c>
      <c r="D866" s="43" t="s">
        <v>320</v>
      </c>
      <c r="E866" s="126" t="s">
        <v>515</v>
      </c>
      <c r="F866" s="504">
        <v>2.5</v>
      </c>
      <c r="G866" s="248" t="s">
        <v>4398</v>
      </c>
      <c r="H866" s="542" t="s">
        <v>4399</v>
      </c>
      <c r="I866" s="319" t="s">
        <v>943</v>
      </c>
      <c r="J866" s="494" t="s">
        <v>4400</v>
      </c>
      <c r="K866" s="132" t="s">
        <v>2516</v>
      </c>
    </row>
    <row r="867" spans="2:12" ht="46.8" x14ac:dyDescent="0.3">
      <c r="B867" s="31" t="s">
        <v>3116</v>
      </c>
      <c r="C867" s="130" t="s">
        <v>372</v>
      </c>
      <c r="D867" s="43" t="s">
        <v>320</v>
      </c>
      <c r="E867" s="126" t="s">
        <v>515</v>
      </c>
      <c r="F867" s="504">
        <v>2.5</v>
      </c>
      <c r="G867" s="248" t="s">
        <v>4453</v>
      </c>
      <c r="H867" s="542" t="s">
        <v>4454</v>
      </c>
      <c r="I867" s="319" t="s">
        <v>943</v>
      </c>
      <c r="J867" s="494" t="s">
        <v>4455</v>
      </c>
      <c r="K867" s="132" t="s">
        <v>2516</v>
      </c>
    </row>
    <row r="868" spans="2:12" ht="46.8" x14ac:dyDescent="0.3">
      <c r="B868" s="31" t="s">
        <v>3116</v>
      </c>
      <c r="C868" s="130" t="s">
        <v>372</v>
      </c>
      <c r="D868" s="43" t="s">
        <v>320</v>
      </c>
      <c r="E868" s="126" t="s">
        <v>515</v>
      </c>
      <c r="F868" s="504">
        <v>2.5</v>
      </c>
      <c r="G868" s="248" t="s">
        <v>4505</v>
      </c>
      <c r="H868" s="542" t="s">
        <v>4506</v>
      </c>
      <c r="I868" s="319" t="s">
        <v>1417</v>
      </c>
      <c r="J868" s="494" t="s">
        <v>4507</v>
      </c>
      <c r="K868" s="132" t="s">
        <v>2516</v>
      </c>
    </row>
    <row r="869" spans="2:12" ht="46.8" x14ac:dyDescent="0.3">
      <c r="B869" s="31" t="s">
        <v>3116</v>
      </c>
      <c r="C869" s="130" t="s">
        <v>372</v>
      </c>
      <c r="D869" s="43" t="s">
        <v>320</v>
      </c>
      <c r="E869" s="126" t="s">
        <v>515</v>
      </c>
      <c r="F869" s="504">
        <v>2.5</v>
      </c>
      <c r="G869" s="248" t="s">
        <v>4549</v>
      </c>
      <c r="H869" s="542" t="s">
        <v>4405</v>
      </c>
      <c r="I869" s="319" t="s">
        <v>1417</v>
      </c>
      <c r="J869" s="494" t="s">
        <v>4550</v>
      </c>
      <c r="K869" s="132" t="s">
        <v>2516</v>
      </c>
    </row>
    <row r="870" spans="2:12" ht="46.8" x14ac:dyDescent="0.3">
      <c r="B870" s="31" t="s">
        <v>3116</v>
      </c>
      <c r="C870" s="130" t="s">
        <v>372</v>
      </c>
      <c r="D870" s="43" t="s">
        <v>320</v>
      </c>
      <c r="E870" s="126" t="s">
        <v>515</v>
      </c>
      <c r="F870" s="504">
        <v>1.27</v>
      </c>
      <c r="G870" s="248" t="s">
        <v>4570</v>
      </c>
      <c r="H870" s="542" t="s">
        <v>4411</v>
      </c>
      <c r="I870" s="319" t="s">
        <v>1417</v>
      </c>
      <c r="J870" s="494" t="s">
        <v>4571</v>
      </c>
      <c r="K870" s="132" t="s">
        <v>2516</v>
      </c>
    </row>
    <row r="871" spans="2:12" ht="46.8" x14ac:dyDescent="0.3">
      <c r="B871" s="31" t="s">
        <v>3058</v>
      </c>
      <c r="C871" s="130" t="s">
        <v>369</v>
      </c>
      <c r="D871" s="43" t="s">
        <v>190</v>
      </c>
      <c r="E871" s="126" t="s">
        <v>515</v>
      </c>
      <c r="F871" s="504">
        <v>1</v>
      </c>
      <c r="G871" s="126" t="s">
        <v>3062</v>
      </c>
      <c r="H871" s="304">
        <v>45596</v>
      </c>
      <c r="I871" s="319" t="s">
        <v>871</v>
      </c>
      <c r="J871" s="494" t="s">
        <v>2517</v>
      </c>
      <c r="K871" s="132" t="s">
        <v>2517</v>
      </c>
    </row>
    <row r="872" spans="2:12" ht="46.8" x14ac:dyDescent="0.3">
      <c r="B872" s="31" t="s">
        <v>3087</v>
      </c>
      <c r="C872" s="130" t="s">
        <v>3088</v>
      </c>
      <c r="D872" s="43" t="s">
        <v>190</v>
      </c>
      <c r="E872" s="126" t="s">
        <v>515</v>
      </c>
      <c r="F872" s="504">
        <v>1</v>
      </c>
      <c r="G872" s="126" t="s">
        <v>3095</v>
      </c>
      <c r="H872" s="304">
        <v>45637</v>
      </c>
      <c r="I872" s="319" t="s">
        <v>931</v>
      </c>
      <c r="J872" s="494" t="s">
        <v>2517</v>
      </c>
      <c r="K872" s="132" t="s">
        <v>2517</v>
      </c>
      <c r="L872" s="591"/>
    </row>
    <row r="873" spans="2:12" ht="46.8" x14ac:dyDescent="0.3">
      <c r="B873" s="31" t="s">
        <v>3116</v>
      </c>
      <c r="C873" s="130" t="s">
        <v>372</v>
      </c>
      <c r="D873" s="43" t="s">
        <v>320</v>
      </c>
      <c r="E873" s="126" t="s">
        <v>515</v>
      </c>
      <c r="F873" s="504">
        <v>6.04</v>
      </c>
      <c r="G873" s="248" t="s">
        <v>3145</v>
      </c>
      <c r="H873" s="542" t="s">
        <v>3146</v>
      </c>
      <c r="I873" s="319" t="s">
        <v>931</v>
      </c>
      <c r="J873" s="494" t="s">
        <v>3147</v>
      </c>
      <c r="K873" s="132" t="s">
        <v>2517</v>
      </c>
    </row>
    <row r="874" spans="2:12" ht="46.8" x14ac:dyDescent="0.3">
      <c r="B874" s="31" t="s">
        <v>3116</v>
      </c>
      <c r="C874" s="130" t="s">
        <v>372</v>
      </c>
      <c r="D874" s="43" t="s">
        <v>320</v>
      </c>
      <c r="E874" s="126" t="s">
        <v>515</v>
      </c>
      <c r="F874" s="504">
        <f>3.15+0.16</f>
        <v>3.31</v>
      </c>
      <c r="G874" s="248" t="s">
        <v>3227</v>
      </c>
      <c r="H874" s="542" t="s">
        <v>3228</v>
      </c>
      <c r="I874" s="319" t="s">
        <v>1326</v>
      </c>
      <c r="J874" s="494" t="s">
        <v>3229</v>
      </c>
      <c r="K874" s="132" t="s">
        <v>2517</v>
      </c>
    </row>
    <row r="875" spans="2:12" ht="46.8" x14ac:dyDescent="0.3">
      <c r="B875" s="31" t="s">
        <v>3116</v>
      </c>
      <c r="C875" s="130" t="s">
        <v>372</v>
      </c>
      <c r="D875" s="43" t="s">
        <v>320</v>
      </c>
      <c r="E875" s="126" t="s">
        <v>515</v>
      </c>
      <c r="F875" s="504">
        <v>2.5</v>
      </c>
      <c r="G875" s="248" t="s">
        <v>3306</v>
      </c>
      <c r="H875" s="542" t="s">
        <v>3307</v>
      </c>
      <c r="I875" s="319" t="s">
        <v>1326</v>
      </c>
      <c r="J875" s="494" t="s">
        <v>3308</v>
      </c>
      <c r="K875" s="132" t="s">
        <v>2517</v>
      </c>
    </row>
    <row r="876" spans="2:12" ht="46.8" x14ac:dyDescent="0.3">
      <c r="B876" s="31" t="s">
        <v>3116</v>
      </c>
      <c r="C876" s="130" t="s">
        <v>372</v>
      </c>
      <c r="D876" s="43" t="s">
        <v>320</v>
      </c>
      <c r="E876" s="126" t="s">
        <v>515</v>
      </c>
      <c r="F876" s="504">
        <v>2.5</v>
      </c>
      <c r="G876" s="248" t="s">
        <v>3389</v>
      </c>
      <c r="H876" s="542" t="s">
        <v>3390</v>
      </c>
      <c r="I876" s="319" t="s">
        <v>1250</v>
      </c>
      <c r="J876" s="494" t="s">
        <v>3391</v>
      </c>
      <c r="K876" s="132" t="s">
        <v>2517</v>
      </c>
    </row>
    <row r="877" spans="2:12" ht="31.2" x14ac:dyDescent="0.3">
      <c r="B877" s="31" t="s">
        <v>3116</v>
      </c>
      <c r="C877" s="130" t="s">
        <v>372</v>
      </c>
      <c r="D877" s="43" t="s">
        <v>320</v>
      </c>
      <c r="E877" s="126" t="s">
        <v>515</v>
      </c>
      <c r="F877" s="504">
        <v>2.5</v>
      </c>
      <c r="G877" s="248" t="s">
        <v>3460</v>
      </c>
      <c r="H877" s="542" t="s">
        <v>3461</v>
      </c>
      <c r="I877" s="319" t="s">
        <v>1250</v>
      </c>
      <c r="J877" s="494" t="s">
        <v>3462</v>
      </c>
      <c r="K877" s="132" t="s">
        <v>2517</v>
      </c>
    </row>
    <row r="878" spans="2:12" ht="46.8" x14ac:dyDescent="0.3">
      <c r="B878" s="31" t="s">
        <v>3116</v>
      </c>
      <c r="C878" s="130" t="s">
        <v>372</v>
      </c>
      <c r="D878" s="43" t="s">
        <v>320</v>
      </c>
      <c r="E878" s="126" t="s">
        <v>515</v>
      </c>
      <c r="F878" s="504">
        <v>2.5</v>
      </c>
      <c r="G878" s="248" t="s">
        <v>3534</v>
      </c>
      <c r="H878" s="542" t="s">
        <v>3535</v>
      </c>
      <c r="I878" s="319" t="s">
        <v>1250</v>
      </c>
      <c r="J878" s="494" t="s">
        <v>3536</v>
      </c>
      <c r="K878" s="132" t="s">
        <v>2517</v>
      </c>
    </row>
    <row r="879" spans="2:12" ht="46.8" x14ac:dyDescent="0.3">
      <c r="B879" s="31" t="s">
        <v>3116</v>
      </c>
      <c r="C879" s="130" t="s">
        <v>372</v>
      </c>
      <c r="D879" s="43" t="s">
        <v>320</v>
      </c>
      <c r="E879" s="126" t="s">
        <v>515</v>
      </c>
      <c r="F879" s="504">
        <v>2.5</v>
      </c>
      <c r="G879" s="248" t="s">
        <v>3614</v>
      </c>
      <c r="H879" s="542" t="s">
        <v>3615</v>
      </c>
      <c r="I879" s="319" t="s">
        <v>934</v>
      </c>
      <c r="J879" s="494" t="s">
        <v>3616</v>
      </c>
      <c r="K879" s="132" t="s">
        <v>2517</v>
      </c>
    </row>
    <row r="880" spans="2:12" ht="46.8" x14ac:dyDescent="0.3">
      <c r="B880" s="31" t="s">
        <v>3116</v>
      </c>
      <c r="C880" s="130" t="s">
        <v>372</v>
      </c>
      <c r="D880" s="43" t="s">
        <v>320</v>
      </c>
      <c r="E880" s="126" t="s">
        <v>515</v>
      </c>
      <c r="F880" s="504">
        <v>2.5</v>
      </c>
      <c r="G880" s="248" t="s">
        <v>3710</v>
      </c>
      <c r="H880" s="542" t="s">
        <v>3711</v>
      </c>
      <c r="I880" s="319" t="s">
        <v>934</v>
      </c>
      <c r="J880" s="494" t="s">
        <v>3712</v>
      </c>
      <c r="K880" s="132" t="s">
        <v>2517</v>
      </c>
    </row>
    <row r="881" spans="1:37" ht="46.8" x14ac:dyDescent="0.3">
      <c r="B881" s="31" t="s">
        <v>3116</v>
      </c>
      <c r="C881" s="130" t="s">
        <v>372</v>
      </c>
      <c r="D881" s="43" t="s">
        <v>320</v>
      </c>
      <c r="E881" s="126" t="s">
        <v>515</v>
      </c>
      <c r="F881" s="504">
        <v>1.3</v>
      </c>
      <c r="G881" s="248" t="s">
        <v>3769</v>
      </c>
      <c r="H881" s="542" t="s">
        <v>3770</v>
      </c>
      <c r="I881" s="319" t="s">
        <v>1302</v>
      </c>
      <c r="J881" s="494" t="s">
        <v>3771</v>
      </c>
      <c r="K881" s="132" t="s">
        <v>2517</v>
      </c>
    </row>
    <row r="882" spans="1:37" ht="46.8" x14ac:dyDescent="0.3">
      <c r="B882" s="31" t="s">
        <v>3116</v>
      </c>
      <c r="C882" s="130" t="s">
        <v>372</v>
      </c>
      <c r="D882" s="43" t="s">
        <v>320</v>
      </c>
      <c r="E882" s="126" t="s">
        <v>515</v>
      </c>
      <c r="F882" s="504">
        <v>2.7</v>
      </c>
      <c r="G882" s="248" t="s">
        <v>3830</v>
      </c>
      <c r="H882" s="542" t="s">
        <v>3826</v>
      </c>
      <c r="I882" s="319" t="s">
        <v>1302</v>
      </c>
      <c r="J882" s="494" t="s">
        <v>3831</v>
      </c>
      <c r="K882" s="132" t="s">
        <v>2517</v>
      </c>
    </row>
    <row r="883" spans="1:37" ht="46.8" x14ac:dyDescent="0.3">
      <c r="B883" s="31" t="s">
        <v>3116</v>
      </c>
      <c r="C883" s="130" t="s">
        <v>372</v>
      </c>
      <c r="D883" s="43" t="s">
        <v>320</v>
      </c>
      <c r="E883" s="126" t="s">
        <v>515</v>
      </c>
      <c r="F883" s="504">
        <v>2.8</v>
      </c>
      <c r="G883" s="248" t="s">
        <v>3888</v>
      </c>
      <c r="H883" s="542" t="s">
        <v>3495</v>
      </c>
      <c r="I883" s="319" t="s">
        <v>1302</v>
      </c>
      <c r="J883" s="494" t="s">
        <v>3889</v>
      </c>
      <c r="K883" s="132" t="s">
        <v>2517</v>
      </c>
    </row>
    <row r="884" spans="1:37" ht="46.8" x14ac:dyDescent="0.3">
      <c r="B884" s="31" t="s">
        <v>3116</v>
      </c>
      <c r="C884" s="130" t="s">
        <v>372</v>
      </c>
      <c r="D884" s="43" t="s">
        <v>320</v>
      </c>
      <c r="E884" s="126" t="s">
        <v>515</v>
      </c>
      <c r="F884" s="504">
        <v>2.5</v>
      </c>
      <c r="G884" s="248" t="s">
        <v>3969</v>
      </c>
      <c r="H884" s="542" t="s">
        <v>3970</v>
      </c>
      <c r="I884" s="319" t="s">
        <v>97</v>
      </c>
      <c r="J884" s="494" t="s">
        <v>3971</v>
      </c>
      <c r="K884" s="132" t="s">
        <v>2517</v>
      </c>
    </row>
    <row r="885" spans="1:37" ht="46.8" x14ac:dyDescent="0.3">
      <c r="B885" s="31" t="s">
        <v>3116</v>
      </c>
      <c r="C885" s="130" t="s">
        <v>372</v>
      </c>
      <c r="D885" s="43" t="s">
        <v>320</v>
      </c>
      <c r="E885" s="126" t="s">
        <v>515</v>
      </c>
      <c r="F885" s="504">
        <v>2.5</v>
      </c>
      <c r="G885" s="248" t="s">
        <v>4026</v>
      </c>
      <c r="H885" s="542" t="s">
        <v>4027</v>
      </c>
      <c r="I885" s="319" t="s">
        <v>97</v>
      </c>
      <c r="J885" s="494" t="s">
        <v>4028</v>
      </c>
      <c r="K885" s="132" t="s">
        <v>2517</v>
      </c>
    </row>
    <row r="886" spans="1:37" ht="46.8" x14ac:dyDescent="0.3">
      <c r="B886" s="31" t="s">
        <v>3116</v>
      </c>
      <c r="C886" s="130" t="s">
        <v>372</v>
      </c>
      <c r="D886" s="43" t="s">
        <v>320</v>
      </c>
      <c r="E886" s="126" t="s">
        <v>515</v>
      </c>
      <c r="F886" s="504">
        <v>2.5</v>
      </c>
      <c r="G886" s="248" t="s">
        <v>4123</v>
      </c>
      <c r="H886" s="542" t="s">
        <v>4124</v>
      </c>
      <c r="I886" s="319" t="s">
        <v>940</v>
      </c>
      <c r="J886" s="494" t="s">
        <v>4125</v>
      </c>
      <c r="K886" s="132" t="s">
        <v>2517</v>
      </c>
    </row>
    <row r="887" spans="1:37" ht="46.8" x14ac:dyDescent="0.3">
      <c r="B887" s="31" t="s">
        <v>3116</v>
      </c>
      <c r="C887" s="130" t="s">
        <v>372</v>
      </c>
      <c r="D887" s="43" t="s">
        <v>320</v>
      </c>
      <c r="E887" s="126" t="s">
        <v>515</v>
      </c>
      <c r="F887" s="504">
        <v>2.5</v>
      </c>
      <c r="G887" s="248" t="s">
        <v>4186</v>
      </c>
      <c r="H887" s="542" t="s">
        <v>4187</v>
      </c>
      <c r="I887" s="319" t="s">
        <v>940</v>
      </c>
      <c r="J887" s="494" t="s">
        <v>4188</v>
      </c>
      <c r="K887" s="132" t="s">
        <v>2517</v>
      </c>
    </row>
    <row r="888" spans="1:37" ht="31.2" x14ac:dyDescent="0.3">
      <c r="B888" s="31" t="s">
        <v>3116</v>
      </c>
      <c r="C888" s="130" t="s">
        <v>372</v>
      </c>
      <c r="D888" s="43" t="s">
        <v>320</v>
      </c>
      <c r="E888" s="126" t="s">
        <v>515</v>
      </c>
      <c r="F888" s="504">
        <v>2.5</v>
      </c>
      <c r="G888" s="248" t="s">
        <v>4263</v>
      </c>
      <c r="H888" s="542" t="s">
        <v>4264</v>
      </c>
      <c r="I888" s="319" t="s">
        <v>1026</v>
      </c>
      <c r="J888" s="494" t="s">
        <v>4265</v>
      </c>
      <c r="K888" s="132" t="s">
        <v>2517</v>
      </c>
    </row>
    <row r="889" spans="1:37" ht="46.8" x14ac:dyDescent="0.3">
      <c r="B889" s="31" t="s">
        <v>3116</v>
      </c>
      <c r="C889" s="130" t="s">
        <v>372</v>
      </c>
      <c r="D889" s="43" t="s">
        <v>320</v>
      </c>
      <c r="E889" s="126" t="s">
        <v>515</v>
      </c>
      <c r="F889" s="504">
        <v>2.5</v>
      </c>
      <c r="G889" s="248" t="s">
        <v>4325</v>
      </c>
      <c r="H889" s="542" t="s">
        <v>4326</v>
      </c>
      <c r="I889" s="319" t="s">
        <v>1026</v>
      </c>
      <c r="J889" s="494" t="s">
        <v>4327</v>
      </c>
      <c r="K889" s="132" t="s">
        <v>2517</v>
      </c>
    </row>
    <row r="890" spans="1:37" ht="46.8" x14ac:dyDescent="0.3">
      <c r="B890" s="31" t="s">
        <v>3116</v>
      </c>
      <c r="C890" s="130" t="s">
        <v>372</v>
      </c>
      <c r="D890" s="43" t="s">
        <v>320</v>
      </c>
      <c r="E890" s="126" t="s">
        <v>515</v>
      </c>
      <c r="F890" s="504">
        <v>2.5</v>
      </c>
      <c r="G890" s="248" t="s">
        <v>4389</v>
      </c>
      <c r="H890" s="542" t="s">
        <v>4390</v>
      </c>
      <c r="I890" s="319" t="s">
        <v>1282</v>
      </c>
      <c r="J890" s="494" t="s">
        <v>4391</v>
      </c>
      <c r="K890" s="132" t="s">
        <v>2517</v>
      </c>
    </row>
    <row r="891" spans="1:37" ht="46.8" x14ac:dyDescent="0.3">
      <c r="B891" s="31" t="s">
        <v>3116</v>
      </c>
      <c r="C891" s="130" t="s">
        <v>372</v>
      </c>
      <c r="D891" s="43" t="s">
        <v>320</v>
      </c>
      <c r="E891" s="126" t="s">
        <v>515</v>
      </c>
      <c r="F891" s="504">
        <v>2.5</v>
      </c>
      <c r="G891" s="248" t="s">
        <v>4442</v>
      </c>
      <c r="H891" s="542" t="s">
        <v>4443</v>
      </c>
      <c r="I891" s="319" t="s">
        <v>1282</v>
      </c>
      <c r="J891" s="494" t="s">
        <v>4444</v>
      </c>
      <c r="K891" s="132" t="s">
        <v>2517</v>
      </c>
    </row>
    <row r="892" spans="1:37" ht="46.8" x14ac:dyDescent="0.3">
      <c r="B892" s="31" t="s">
        <v>3116</v>
      </c>
      <c r="C892" s="130" t="s">
        <v>372</v>
      </c>
      <c r="D892" s="43" t="s">
        <v>320</v>
      </c>
      <c r="E892" s="126" t="s">
        <v>515</v>
      </c>
      <c r="F892" s="504">
        <v>1.9</v>
      </c>
      <c r="G892" s="248" t="s">
        <v>4490</v>
      </c>
      <c r="H892" s="542" t="s">
        <v>3420</v>
      </c>
      <c r="I892" s="319" t="s">
        <v>1282</v>
      </c>
      <c r="J892" s="494" t="s">
        <v>4491</v>
      </c>
      <c r="K892" s="132" t="s">
        <v>2517</v>
      </c>
    </row>
    <row r="893" spans="1:37" ht="46.8" x14ac:dyDescent="0.3">
      <c r="B893" s="31" t="s">
        <v>3116</v>
      </c>
      <c r="C893" s="130" t="s">
        <v>372</v>
      </c>
      <c r="D893" s="43" t="s">
        <v>320</v>
      </c>
      <c r="E893" s="126" t="s">
        <v>515</v>
      </c>
      <c r="F893" s="504">
        <v>1</v>
      </c>
      <c r="G893" s="248" t="s">
        <v>4535</v>
      </c>
      <c r="H893" s="542" t="s">
        <v>3860</v>
      </c>
      <c r="I893" s="319" t="s">
        <v>943</v>
      </c>
      <c r="J893" s="494" t="s">
        <v>4536</v>
      </c>
      <c r="K893" s="132" t="s">
        <v>2517</v>
      </c>
    </row>
    <row r="894" spans="1:37" ht="46.8" x14ac:dyDescent="0.3">
      <c r="A894" s="481"/>
      <c r="B894" s="589" t="s">
        <v>540</v>
      </c>
      <c r="C894" s="590" t="s">
        <v>376</v>
      </c>
      <c r="D894" s="41" t="s">
        <v>320</v>
      </c>
      <c r="E894" s="126" t="s">
        <v>515</v>
      </c>
      <c r="F894" s="504">
        <v>2.1150000000000002</v>
      </c>
      <c r="G894" s="587" t="s">
        <v>4658</v>
      </c>
      <c r="H894" s="585" t="s">
        <v>4659</v>
      </c>
      <c r="I894" s="784" t="s">
        <v>949</v>
      </c>
      <c r="J894" s="494" t="s">
        <v>4660</v>
      </c>
      <c r="K894" s="481" t="s">
        <v>2517</v>
      </c>
      <c r="L894" s="481"/>
      <c r="M894" s="481"/>
      <c r="N894" s="481"/>
      <c r="O894" s="481"/>
      <c r="P894" s="481"/>
      <c r="Q894" s="481"/>
      <c r="R894" s="481"/>
      <c r="S894" s="481"/>
      <c r="T894" s="481"/>
      <c r="U894" s="481"/>
      <c r="V894" s="481"/>
      <c r="W894" s="481"/>
      <c r="X894" s="481"/>
      <c r="Y894" s="481"/>
      <c r="Z894" s="481"/>
      <c r="AA894" s="481"/>
      <c r="AB894" s="481"/>
      <c r="AC894" s="481"/>
      <c r="AD894" s="481"/>
      <c r="AE894" s="481"/>
      <c r="AF894" s="481"/>
      <c r="AG894" s="481"/>
      <c r="AH894" s="481"/>
      <c r="AI894" s="481"/>
      <c r="AJ894" s="481"/>
      <c r="AK894" s="481"/>
    </row>
    <row r="895" spans="1:37" ht="46.8" x14ac:dyDescent="0.3">
      <c r="A895" s="481"/>
      <c r="B895" s="589" t="s">
        <v>540</v>
      </c>
      <c r="C895" s="590" t="s">
        <v>376</v>
      </c>
      <c r="D895" s="41" t="s">
        <v>320</v>
      </c>
      <c r="E895" s="126" t="s">
        <v>515</v>
      </c>
      <c r="F895" s="1195">
        <f>4.86-F891-F890</f>
        <v>-0.13999999999999968</v>
      </c>
      <c r="G895" s="587" t="s">
        <v>4661</v>
      </c>
      <c r="H895" s="585" t="s">
        <v>4662</v>
      </c>
      <c r="I895" s="1306" t="s">
        <v>119</v>
      </c>
      <c r="J895" s="494" t="s">
        <v>544</v>
      </c>
      <c r="K895" s="481" t="s">
        <v>2517</v>
      </c>
      <c r="L895" s="481" t="s">
        <v>2517</v>
      </c>
      <c r="M895" s="481"/>
      <c r="N895" s="481"/>
      <c r="O895" s="481"/>
      <c r="P895" s="481"/>
      <c r="Q895" s="481"/>
      <c r="R895" s="481"/>
      <c r="S895" s="481"/>
      <c r="T895" s="481"/>
      <c r="U895" s="481"/>
      <c r="V895" s="481"/>
      <c r="W895" s="481"/>
      <c r="X895" s="481"/>
      <c r="Y895" s="481"/>
      <c r="Z895" s="481"/>
      <c r="AA895" s="481"/>
      <c r="AB895" s="481"/>
      <c r="AC895" s="481"/>
      <c r="AD895" s="481"/>
      <c r="AE895" s="481"/>
      <c r="AF895" s="481"/>
      <c r="AG895" s="481"/>
      <c r="AH895" s="481"/>
      <c r="AI895" s="481"/>
      <c r="AJ895" s="481"/>
      <c r="AK895" s="481"/>
    </row>
    <row r="896" spans="1:37" ht="46.8" x14ac:dyDescent="0.3">
      <c r="A896" s="481"/>
      <c r="B896" s="589" t="s">
        <v>540</v>
      </c>
      <c r="C896" s="590" t="s">
        <v>376</v>
      </c>
      <c r="D896" s="41" t="s">
        <v>320</v>
      </c>
      <c r="E896" s="126" t="s">
        <v>515</v>
      </c>
      <c r="F896" s="504">
        <v>0.63</v>
      </c>
      <c r="G896" s="587" t="s">
        <v>4663</v>
      </c>
      <c r="H896" s="585" t="s">
        <v>4664</v>
      </c>
      <c r="I896" s="784" t="s">
        <v>949</v>
      </c>
      <c r="J896" s="494" t="s">
        <v>4665</v>
      </c>
      <c r="K896" s="481" t="s">
        <v>2517</v>
      </c>
      <c r="L896" s="481"/>
      <c r="M896" s="481"/>
      <c r="N896" s="481"/>
      <c r="O896" s="481"/>
      <c r="P896" s="481"/>
      <c r="Q896" s="481"/>
      <c r="R896" s="481"/>
      <c r="S896" s="481"/>
      <c r="T896" s="481"/>
      <c r="U896" s="481"/>
      <c r="V896" s="481"/>
      <c r="W896" s="481"/>
      <c r="X896" s="481"/>
      <c r="Y896" s="481"/>
      <c r="Z896" s="481"/>
      <c r="AA896" s="481"/>
      <c r="AB896" s="481"/>
      <c r="AC896" s="481"/>
      <c r="AD896" s="481"/>
      <c r="AE896" s="481"/>
      <c r="AF896" s="481"/>
      <c r="AG896" s="481"/>
      <c r="AH896" s="481"/>
      <c r="AI896" s="481"/>
      <c r="AJ896" s="481"/>
      <c r="AK896" s="481"/>
    </row>
    <row r="897" spans="2:11" ht="31.2" x14ac:dyDescent="0.3">
      <c r="B897" s="31" t="s">
        <v>3058</v>
      </c>
      <c r="C897" s="130" t="s">
        <v>369</v>
      </c>
      <c r="D897" s="43" t="s">
        <v>190</v>
      </c>
      <c r="E897" s="126" t="s">
        <v>515</v>
      </c>
      <c r="F897" s="504">
        <v>1</v>
      </c>
      <c r="G897" s="126" t="s">
        <v>3059</v>
      </c>
      <c r="H897" s="304">
        <v>45589</v>
      </c>
      <c r="I897" s="319" t="s">
        <v>871</v>
      </c>
      <c r="J897" s="494" t="s">
        <v>2518</v>
      </c>
      <c r="K897" s="132" t="s">
        <v>2518</v>
      </c>
    </row>
    <row r="898" spans="2:11" ht="46.8" x14ac:dyDescent="0.3">
      <c r="B898" s="31" t="s">
        <v>3087</v>
      </c>
      <c r="C898" s="130" t="s">
        <v>3088</v>
      </c>
      <c r="D898" s="43" t="s">
        <v>190</v>
      </c>
      <c r="E898" s="126" t="s">
        <v>515</v>
      </c>
      <c r="F898" s="504">
        <v>1</v>
      </c>
      <c r="G898" s="126" t="s">
        <v>3089</v>
      </c>
      <c r="H898" s="304">
        <v>45605</v>
      </c>
      <c r="I898" s="319" t="s">
        <v>898</v>
      </c>
      <c r="J898" s="494" t="s">
        <v>2518</v>
      </c>
      <c r="K898" s="132" t="s">
        <v>2518</v>
      </c>
    </row>
    <row r="899" spans="2:11" ht="46.8" x14ac:dyDescent="0.3">
      <c r="B899" s="31" t="s">
        <v>3116</v>
      </c>
      <c r="C899" s="130" t="s">
        <v>372</v>
      </c>
      <c r="D899" s="43" t="s">
        <v>320</v>
      </c>
      <c r="E899" s="126" t="s">
        <v>515</v>
      </c>
      <c r="F899" s="504">
        <v>4.32</v>
      </c>
      <c r="G899" s="248" t="s">
        <v>3124</v>
      </c>
      <c r="H899" s="542" t="s">
        <v>3125</v>
      </c>
      <c r="I899" s="319" t="s">
        <v>931</v>
      </c>
      <c r="J899" s="494" t="s">
        <v>3126</v>
      </c>
      <c r="K899" s="132" t="s">
        <v>2518</v>
      </c>
    </row>
    <row r="900" spans="2:11" ht="46.8" x14ac:dyDescent="0.3">
      <c r="B900" s="31" t="s">
        <v>3116</v>
      </c>
      <c r="C900" s="130" t="s">
        <v>372</v>
      </c>
      <c r="D900" s="43" t="s">
        <v>320</v>
      </c>
      <c r="E900" s="126" t="s">
        <v>515</v>
      </c>
      <c r="F900" s="504">
        <v>2.65</v>
      </c>
      <c r="G900" s="248" t="s">
        <v>3206</v>
      </c>
      <c r="H900" s="542" t="s">
        <v>3207</v>
      </c>
      <c r="I900" s="319" t="s">
        <v>931</v>
      </c>
      <c r="J900" s="494" t="s">
        <v>3208</v>
      </c>
      <c r="K900" s="132" t="s">
        <v>2518</v>
      </c>
    </row>
    <row r="901" spans="2:11" ht="31.2" x14ac:dyDescent="0.3">
      <c r="B901" s="31" t="s">
        <v>3116</v>
      </c>
      <c r="C901" s="130" t="s">
        <v>372</v>
      </c>
      <c r="D901" s="43" t="s">
        <v>320</v>
      </c>
      <c r="E901" s="126" t="s">
        <v>515</v>
      </c>
      <c r="F901" s="504">
        <v>2.5</v>
      </c>
      <c r="G901" s="248" t="s">
        <v>3286</v>
      </c>
      <c r="H901" s="542" t="s">
        <v>3210</v>
      </c>
      <c r="I901" s="319" t="s">
        <v>931</v>
      </c>
      <c r="J901" s="494" t="s">
        <v>3287</v>
      </c>
      <c r="K901" s="132" t="s">
        <v>2518</v>
      </c>
    </row>
    <row r="902" spans="2:11" ht="46.8" x14ac:dyDescent="0.3">
      <c r="B902" s="31" t="s">
        <v>3116</v>
      </c>
      <c r="C902" s="130" t="s">
        <v>372</v>
      </c>
      <c r="D902" s="43" t="s">
        <v>320</v>
      </c>
      <c r="E902" s="126" t="s">
        <v>515</v>
      </c>
      <c r="F902" s="504">
        <v>2.5</v>
      </c>
      <c r="G902" s="248" t="s">
        <v>3368</v>
      </c>
      <c r="H902" s="542" t="s">
        <v>3369</v>
      </c>
      <c r="I902" s="319" t="s">
        <v>1326</v>
      </c>
      <c r="J902" s="494" t="s">
        <v>3370</v>
      </c>
      <c r="K902" s="132" t="s">
        <v>2518</v>
      </c>
    </row>
    <row r="903" spans="2:11" ht="46.8" x14ac:dyDescent="0.3">
      <c r="B903" s="31" t="s">
        <v>3116</v>
      </c>
      <c r="C903" s="130" t="s">
        <v>372</v>
      </c>
      <c r="D903" s="43" t="s">
        <v>320</v>
      </c>
      <c r="E903" s="126" t="s">
        <v>515</v>
      </c>
      <c r="F903" s="504">
        <v>2.5</v>
      </c>
      <c r="G903" s="248" t="s">
        <v>3437</v>
      </c>
      <c r="H903" s="542" t="s">
        <v>3438</v>
      </c>
      <c r="I903" s="319" t="s">
        <v>1326</v>
      </c>
      <c r="J903" s="494" t="s">
        <v>3439</v>
      </c>
      <c r="K903" s="132" t="s">
        <v>2518</v>
      </c>
    </row>
    <row r="904" spans="2:11" ht="46.8" x14ac:dyDescent="0.3">
      <c r="B904" s="31" t="s">
        <v>3116</v>
      </c>
      <c r="C904" s="130" t="s">
        <v>372</v>
      </c>
      <c r="D904" s="43" t="s">
        <v>320</v>
      </c>
      <c r="E904" s="126" t="s">
        <v>515</v>
      </c>
      <c r="F904" s="504">
        <v>2.5</v>
      </c>
      <c r="G904" s="248" t="s">
        <v>3514</v>
      </c>
      <c r="H904" s="542" t="s">
        <v>3515</v>
      </c>
      <c r="I904" s="319" t="s">
        <v>1326</v>
      </c>
      <c r="J904" s="494" t="s">
        <v>3516</v>
      </c>
      <c r="K904" s="132" t="s">
        <v>2518</v>
      </c>
    </row>
    <row r="905" spans="2:11" ht="46.8" x14ac:dyDescent="0.3">
      <c r="B905" s="31" t="s">
        <v>3116</v>
      </c>
      <c r="C905" s="130" t="s">
        <v>372</v>
      </c>
      <c r="D905" s="43" t="s">
        <v>320</v>
      </c>
      <c r="E905" s="126" t="s">
        <v>515</v>
      </c>
      <c r="F905" s="504">
        <v>2.5</v>
      </c>
      <c r="G905" s="587" t="s">
        <v>3587</v>
      </c>
      <c r="H905" s="585" t="s">
        <v>3441</v>
      </c>
      <c r="I905" s="319" t="s">
        <v>1326</v>
      </c>
      <c r="J905" s="494" t="s">
        <v>3588</v>
      </c>
      <c r="K905" s="132" t="s">
        <v>2518</v>
      </c>
    </row>
    <row r="906" spans="2:11" ht="46.8" x14ac:dyDescent="0.3">
      <c r="B906" s="31" t="s">
        <v>3116</v>
      </c>
      <c r="C906" s="130" t="s">
        <v>372</v>
      </c>
      <c r="D906" s="43" t="s">
        <v>320</v>
      </c>
      <c r="E906" s="126" t="s">
        <v>515</v>
      </c>
      <c r="F906" s="504">
        <v>2.5</v>
      </c>
      <c r="G906" s="248" t="s">
        <v>3713</v>
      </c>
      <c r="H906" s="542" t="s">
        <v>3714</v>
      </c>
      <c r="I906" s="319" t="s">
        <v>1250</v>
      </c>
      <c r="J906" s="494" t="s">
        <v>3715</v>
      </c>
      <c r="K906" s="132" t="s">
        <v>2518</v>
      </c>
    </row>
    <row r="907" spans="2:11" ht="46.8" x14ac:dyDescent="0.3">
      <c r="B907" s="31" t="s">
        <v>3116</v>
      </c>
      <c r="C907" s="130" t="s">
        <v>372</v>
      </c>
      <c r="D907" s="43" t="s">
        <v>320</v>
      </c>
      <c r="E907" s="126" t="s">
        <v>515</v>
      </c>
      <c r="F907" s="504">
        <v>0.51</v>
      </c>
      <c r="G907" s="248" t="s">
        <v>3754</v>
      </c>
      <c r="H907" s="542" t="s">
        <v>3755</v>
      </c>
      <c r="I907" s="319" t="s">
        <v>934</v>
      </c>
      <c r="J907" s="494" t="s">
        <v>3756</v>
      </c>
      <c r="K907" s="132" t="s">
        <v>2518</v>
      </c>
    </row>
    <row r="908" spans="2:11" ht="46.8" x14ac:dyDescent="0.3">
      <c r="B908" s="31" t="s">
        <v>3116</v>
      </c>
      <c r="C908" s="130" t="s">
        <v>372</v>
      </c>
      <c r="D908" s="43" t="s">
        <v>320</v>
      </c>
      <c r="E908" s="126" t="s">
        <v>515</v>
      </c>
      <c r="F908" s="504">
        <v>2.8</v>
      </c>
      <c r="G908" s="248" t="s">
        <v>3817</v>
      </c>
      <c r="H908" s="542" t="s">
        <v>3818</v>
      </c>
      <c r="I908" s="319" t="s">
        <v>934</v>
      </c>
      <c r="J908" s="494" t="s">
        <v>3819</v>
      </c>
      <c r="K908" s="132" t="s">
        <v>2518</v>
      </c>
    </row>
    <row r="909" spans="2:11" ht="46.8" x14ac:dyDescent="0.3">
      <c r="B909" s="31" t="s">
        <v>3116</v>
      </c>
      <c r="C909" s="130" t="s">
        <v>372</v>
      </c>
      <c r="D909" s="43" t="s">
        <v>320</v>
      </c>
      <c r="E909" s="126" t="s">
        <v>515</v>
      </c>
      <c r="F909" s="504">
        <v>2.5</v>
      </c>
      <c r="G909" s="248" t="s">
        <v>3890</v>
      </c>
      <c r="H909" s="542" t="s">
        <v>3891</v>
      </c>
      <c r="I909" s="319" t="s">
        <v>1302</v>
      </c>
      <c r="J909" s="494" t="s">
        <v>3892</v>
      </c>
      <c r="K909" s="132" t="s">
        <v>2518</v>
      </c>
    </row>
    <row r="910" spans="2:11" ht="46.8" x14ac:dyDescent="0.3">
      <c r="B910" s="31" t="s">
        <v>3116</v>
      </c>
      <c r="C910" s="130" t="s">
        <v>372</v>
      </c>
      <c r="D910" s="43" t="s">
        <v>320</v>
      </c>
      <c r="E910" s="126" t="s">
        <v>515</v>
      </c>
      <c r="F910" s="504">
        <v>2.5</v>
      </c>
      <c r="G910" s="248" t="s">
        <v>3948</v>
      </c>
      <c r="H910" s="542" t="s">
        <v>3949</v>
      </c>
      <c r="I910" s="319" t="s">
        <v>1302</v>
      </c>
      <c r="J910" s="494" t="s">
        <v>3950</v>
      </c>
      <c r="K910" s="132" t="s">
        <v>2518</v>
      </c>
    </row>
    <row r="911" spans="2:11" ht="46.8" x14ac:dyDescent="0.3">
      <c r="B911" s="31" t="s">
        <v>3116</v>
      </c>
      <c r="C911" s="130" t="s">
        <v>372</v>
      </c>
      <c r="D911" s="43" t="s">
        <v>320</v>
      </c>
      <c r="E911" s="126" t="s">
        <v>515</v>
      </c>
      <c r="F911" s="504">
        <v>2.5</v>
      </c>
      <c r="G911" s="248" t="s">
        <v>4015</v>
      </c>
      <c r="H911" s="542" t="s">
        <v>3636</v>
      </c>
      <c r="I911" s="319" t="s">
        <v>1302</v>
      </c>
      <c r="J911" s="494" t="s">
        <v>4016</v>
      </c>
      <c r="K911" s="132" t="s">
        <v>2518</v>
      </c>
    </row>
    <row r="912" spans="2:11" ht="46.8" x14ac:dyDescent="0.3">
      <c r="B912" s="31" t="s">
        <v>3116</v>
      </c>
      <c r="C912" s="130" t="s">
        <v>372</v>
      </c>
      <c r="D912" s="43" t="s">
        <v>320</v>
      </c>
      <c r="E912" s="126" t="s">
        <v>515</v>
      </c>
      <c r="F912" s="504">
        <v>2.5</v>
      </c>
      <c r="G912" s="248" t="s">
        <v>4085</v>
      </c>
      <c r="H912" s="542" t="s">
        <v>3495</v>
      </c>
      <c r="I912" s="319" t="s">
        <v>1302</v>
      </c>
      <c r="J912" s="494" t="s">
        <v>4086</v>
      </c>
      <c r="K912" s="132" t="s">
        <v>2518</v>
      </c>
    </row>
    <row r="913" spans="1:37" ht="46.8" x14ac:dyDescent="0.3">
      <c r="B913" s="31" t="s">
        <v>3116</v>
      </c>
      <c r="C913" s="130" t="s">
        <v>372</v>
      </c>
      <c r="D913" s="43" t="s">
        <v>320</v>
      </c>
      <c r="E913" s="126" t="s">
        <v>515</v>
      </c>
      <c r="F913" s="504">
        <v>2.5</v>
      </c>
      <c r="G913" s="248" t="s">
        <v>4161</v>
      </c>
      <c r="H913" s="542" t="s">
        <v>4162</v>
      </c>
      <c r="I913" s="319" t="s">
        <v>97</v>
      </c>
      <c r="J913" s="494" t="s">
        <v>4163</v>
      </c>
      <c r="K913" s="132" t="s">
        <v>2518</v>
      </c>
    </row>
    <row r="914" spans="1:37" ht="46.8" x14ac:dyDescent="0.3">
      <c r="B914" s="31" t="s">
        <v>3116</v>
      </c>
      <c r="C914" s="130" t="s">
        <v>372</v>
      </c>
      <c r="D914" s="43" t="s">
        <v>320</v>
      </c>
      <c r="E914" s="126" t="s">
        <v>515</v>
      </c>
      <c r="F914" s="504">
        <v>2.5</v>
      </c>
      <c r="G914" s="248" t="s">
        <v>4230</v>
      </c>
      <c r="H914" s="542" t="s">
        <v>3642</v>
      </c>
      <c r="I914" s="319" t="s">
        <v>97</v>
      </c>
      <c r="J914" s="494" t="s">
        <v>4231</v>
      </c>
      <c r="K914" s="132" t="s">
        <v>2518</v>
      </c>
    </row>
    <row r="915" spans="1:37" ht="46.8" x14ac:dyDescent="0.3">
      <c r="B915" s="31" t="s">
        <v>3116</v>
      </c>
      <c r="C915" s="130" t="s">
        <v>372</v>
      </c>
      <c r="D915" s="43" t="s">
        <v>320</v>
      </c>
      <c r="E915" s="126" t="s">
        <v>515</v>
      </c>
      <c r="F915" s="504">
        <v>2.5</v>
      </c>
      <c r="G915" s="248" t="s">
        <v>4300</v>
      </c>
      <c r="H915" s="542" t="s">
        <v>4298</v>
      </c>
      <c r="I915" s="319" t="s">
        <v>937</v>
      </c>
      <c r="J915" s="494" t="s">
        <v>4301</v>
      </c>
      <c r="K915" s="132" t="s">
        <v>2518</v>
      </c>
    </row>
    <row r="916" spans="1:37" ht="46.8" x14ac:dyDescent="0.3">
      <c r="A916" s="58"/>
      <c r="B916" s="31" t="s">
        <v>3116</v>
      </c>
      <c r="C916" s="130" t="s">
        <v>372</v>
      </c>
      <c r="D916" s="43" t="s">
        <v>320</v>
      </c>
      <c r="E916" s="126" t="s">
        <v>515</v>
      </c>
      <c r="F916" s="504">
        <v>2.5</v>
      </c>
      <c r="G916" s="248" t="s">
        <v>4359</v>
      </c>
      <c r="H916" s="542" t="s">
        <v>4360</v>
      </c>
      <c r="I916" s="319" t="s">
        <v>1262</v>
      </c>
      <c r="J916" s="494" t="s">
        <v>4361</v>
      </c>
      <c r="K916" s="132" t="s">
        <v>2518</v>
      </c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46.8" x14ac:dyDescent="0.3">
      <c r="A917" s="58"/>
      <c r="B917" s="31" t="s">
        <v>3116</v>
      </c>
      <c r="C917" s="130" t="s">
        <v>372</v>
      </c>
      <c r="D917" s="43" t="s">
        <v>320</v>
      </c>
      <c r="E917" s="126" t="s">
        <v>515</v>
      </c>
      <c r="F917" s="504">
        <v>1.85</v>
      </c>
      <c r="G917" s="248" t="s">
        <v>4423</v>
      </c>
      <c r="H917" s="542" t="s">
        <v>4424</v>
      </c>
      <c r="I917" s="319" t="s">
        <v>1509</v>
      </c>
      <c r="J917" s="494" t="s">
        <v>4425</v>
      </c>
      <c r="K917" s="132" t="s">
        <v>2518</v>
      </c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46.8" x14ac:dyDescent="0.3">
      <c r="A918" s="58"/>
      <c r="B918" s="31" t="s">
        <v>3116</v>
      </c>
      <c r="C918" s="130" t="s">
        <v>372</v>
      </c>
      <c r="D918" s="43" t="s">
        <v>320</v>
      </c>
      <c r="E918" s="126" t="s">
        <v>515</v>
      </c>
      <c r="F918" s="504">
        <v>2.5</v>
      </c>
      <c r="G918" s="248" t="s">
        <v>4480</v>
      </c>
      <c r="H918" s="542" t="s">
        <v>4481</v>
      </c>
      <c r="I918" s="319" t="s">
        <v>940</v>
      </c>
      <c r="J918" s="494" t="s">
        <v>4482</v>
      </c>
      <c r="K918" s="132" t="s">
        <v>2518</v>
      </c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46.8" x14ac:dyDescent="0.3">
      <c r="A919" s="58"/>
      <c r="B919" s="31" t="s">
        <v>3116</v>
      </c>
      <c r="C919" s="130" t="s">
        <v>372</v>
      </c>
      <c r="D919" s="43" t="s">
        <v>320</v>
      </c>
      <c r="E919" s="126" t="s">
        <v>510</v>
      </c>
      <c r="F919" s="504">
        <v>0.92</v>
      </c>
      <c r="G919" s="248" t="s">
        <v>4529</v>
      </c>
      <c r="H919" s="542" t="s">
        <v>4530</v>
      </c>
      <c r="I919" s="319" t="s">
        <v>1026</v>
      </c>
      <c r="J919" s="494" t="s">
        <v>4531</v>
      </c>
      <c r="K919" s="132" t="s">
        <v>2518</v>
      </c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46.8" x14ac:dyDescent="0.3">
      <c r="A920" s="481"/>
      <c r="B920" s="589" t="s">
        <v>540</v>
      </c>
      <c r="C920" s="590" t="s">
        <v>376</v>
      </c>
      <c r="D920" s="41" t="s">
        <v>320</v>
      </c>
      <c r="E920" s="126" t="s">
        <v>515</v>
      </c>
      <c r="F920" s="504">
        <v>4</v>
      </c>
      <c r="G920" s="587" t="s">
        <v>4666</v>
      </c>
      <c r="H920" s="585" t="s">
        <v>4667</v>
      </c>
      <c r="I920" s="784" t="s">
        <v>1053</v>
      </c>
      <c r="J920" s="494" t="s">
        <v>4668</v>
      </c>
      <c r="K920" s="481" t="s">
        <v>2518</v>
      </c>
      <c r="L920" s="481"/>
      <c r="M920" s="481"/>
      <c r="N920" s="481"/>
      <c r="O920" s="481"/>
      <c r="P920" s="481"/>
      <c r="Q920" s="481"/>
      <c r="R920" s="481"/>
      <c r="S920" s="481"/>
      <c r="T920" s="481"/>
      <c r="U920" s="481"/>
      <c r="V920" s="481"/>
      <c r="W920" s="481"/>
      <c r="X920" s="481"/>
      <c r="Y920" s="481"/>
      <c r="Z920" s="481"/>
      <c r="AA920" s="481"/>
      <c r="AB920" s="481"/>
      <c r="AC920" s="481"/>
      <c r="AD920" s="481"/>
      <c r="AE920" s="481"/>
      <c r="AF920" s="481"/>
      <c r="AG920" s="481"/>
      <c r="AH920" s="481"/>
      <c r="AI920" s="481"/>
      <c r="AJ920" s="481"/>
      <c r="AK920" s="481"/>
    </row>
    <row r="921" spans="1:37" ht="46.8" x14ac:dyDescent="0.3">
      <c r="A921" s="481"/>
      <c r="B921" s="589" t="s">
        <v>540</v>
      </c>
      <c r="C921" s="590" t="s">
        <v>376</v>
      </c>
      <c r="D921" s="41" t="s">
        <v>320</v>
      </c>
      <c r="E921" s="126" t="s">
        <v>515</v>
      </c>
      <c r="F921" s="504">
        <v>4</v>
      </c>
      <c r="G921" s="587" t="s">
        <v>4669</v>
      </c>
      <c r="H921" s="585" t="s">
        <v>4670</v>
      </c>
      <c r="I921" s="784" t="s">
        <v>1579</v>
      </c>
      <c r="J921" s="494" t="s">
        <v>4671</v>
      </c>
      <c r="K921" s="481" t="s">
        <v>2518</v>
      </c>
      <c r="L921" s="481"/>
      <c r="M921" s="481"/>
      <c r="N921" s="481"/>
      <c r="O921" s="481"/>
      <c r="P921" s="481"/>
      <c r="Q921" s="481"/>
      <c r="R921" s="481"/>
      <c r="S921" s="481"/>
      <c r="T921" s="481"/>
      <c r="U921" s="481"/>
      <c r="V921" s="481"/>
      <c r="W921" s="481"/>
      <c r="X921" s="481"/>
      <c r="Y921" s="481"/>
      <c r="Z921" s="481"/>
      <c r="AA921" s="481"/>
      <c r="AB921" s="481"/>
      <c r="AC921" s="481"/>
      <c r="AD921" s="481"/>
      <c r="AE921" s="481"/>
      <c r="AF921" s="481"/>
      <c r="AG921" s="481"/>
      <c r="AH921" s="481"/>
      <c r="AI921" s="481"/>
      <c r="AJ921" s="481"/>
      <c r="AK921" s="481"/>
    </row>
    <row r="922" spans="1:37" ht="46.8" x14ac:dyDescent="0.3">
      <c r="A922" s="481"/>
      <c r="B922" s="589" t="s">
        <v>540</v>
      </c>
      <c r="C922" s="590" t="s">
        <v>376</v>
      </c>
      <c r="D922" s="41" t="s">
        <v>320</v>
      </c>
      <c r="E922" s="126" t="s">
        <v>515</v>
      </c>
      <c r="F922" s="504">
        <v>2.1150000000000002</v>
      </c>
      <c r="G922" s="587" t="s">
        <v>4672</v>
      </c>
      <c r="H922" s="585" t="s">
        <v>4673</v>
      </c>
      <c r="I922" s="784" t="s">
        <v>949</v>
      </c>
      <c r="J922" s="494" t="s">
        <v>4674</v>
      </c>
      <c r="K922" s="481" t="s">
        <v>2518</v>
      </c>
      <c r="L922" s="481"/>
      <c r="M922" s="481"/>
      <c r="N922" s="481"/>
      <c r="O922" s="481"/>
      <c r="P922" s="481"/>
      <c r="Q922" s="481"/>
      <c r="R922" s="481"/>
      <c r="S922" s="481"/>
      <c r="T922" s="481"/>
      <c r="U922" s="481"/>
      <c r="V922" s="481"/>
      <c r="W922" s="481"/>
      <c r="X922" s="481"/>
      <c r="Y922" s="481"/>
      <c r="Z922" s="481"/>
      <c r="AA922" s="481"/>
      <c r="AB922" s="481"/>
      <c r="AC922" s="481"/>
      <c r="AD922" s="481"/>
      <c r="AE922" s="481"/>
      <c r="AF922" s="481"/>
      <c r="AG922" s="481"/>
      <c r="AH922" s="481"/>
      <c r="AI922" s="481"/>
      <c r="AJ922" s="481"/>
      <c r="AK922" s="481"/>
    </row>
    <row r="923" spans="1:37" ht="46.8" x14ac:dyDescent="0.3">
      <c r="A923" s="481"/>
      <c r="B923" s="589" t="s">
        <v>540</v>
      </c>
      <c r="C923" s="590" t="s">
        <v>376</v>
      </c>
      <c r="D923" s="41" t="s">
        <v>320</v>
      </c>
      <c r="E923" s="126" t="s">
        <v>515</v>
      </c>
      <c r="F923" s="1195">
        <v>5.38</v>
      </c>
      <c r="G923" s="587" t="s">
        <v>4675</v>
      </c>
      <c r="H923" s="585" t="s">
        <v>4676</v>
      </c>
      <c r="I923" s="1306" t="s">
        <v>119</v>
      </c>
      <c r="J923" s="494" t="s">
        <v>700</v>
      </c>
      <c r="K923" s="481" t="s">
        <v>2518</v>
      </c>
      <c r="L923" s="481" t="s">
        <v>2521</v>
      </c>
      <c r="M923" s="481"/>
      <c r="N923" s="481"/>
      <c r="O923" s="481"/>
      <c r="P923" s="481"/>
      <c r="Q923" s="481"/>
      <c r="R923" s="481"/>
      <c r="S923" s="481"/>
      <c r="T923" s="481"/>
      <c r="U923" s="481"/>
      <c r="V923" s="481"/>
      <c r="W923" s="481"/>
      <c r="X923" s="481"/>
      <c r="Y923" s="481"/>
      <c r="Z923" s="481"/>
      <c r="AA923" s="481"/>
      <c r="AB923" s="481"/>
      <c r="AC923" s="481"/>
      <c r="AD923" s="481"/>
      <c r="AE923" s="481"/>
      <c r="AF923" s="481"/>
      <c r="AG923" s="481"/>
      <c r="AH923" s="481"/>
      <c r="AI923" s="481"/>
      <c r="AJ923" s="481"/>
      <c r="AK923" s="481"/>
    </row>
    <row r="924" spans="1:37" ht="46.8" x14ac:dyDescent="0.3">
      <c r="A924" s="481"/>
      <c r="B924" s="589" t="s">
        <v>540</v>
      </c>
      <c r="C924" s="590" t="s">
        <v>376</v>
      </c>
      <c r="D924" s="41" t="s">
        <v>320</v>
      </c>
      <c r="E924" s="126" t="s">
        <v>515</v>
      </c>
      <c r="F924" s="504">
        <v>0.51500000000000001</v>
      </c>
      <c r="G924" s="587" t="s">
        <v>4677</v>
      </c>
      <c r="H924" s="585" t="s">
        <v>4077</v>
      </c>
      <c r="I924" s="784" t="s">
        <v>1053</v>
      </c>
      <c r="J924" s="494" t="s">
        <v>4678</v>
      </c>
      <c r="K924" s="481" t="s">
        <v>2518</v>
      </c>
      <c r="L924" s="481"/>
      <c r="M924" s="481"/>
      <c r="N924" s="481"/>
      <c r="O924" s="481"/>
      <c r="P924" s="481"/>
      <c r="Q924" s="481"/>
      <c r="R924" s="481"/>
      <c r="S924" s="481"/>
      <c r="T924" s="481"/>
      <c r="U924" s="481"/>
      <c r="V924" s="481"/>
      <c r="W924" s="481"/>
      <c r="X924" s="481"/>
      <c r="Y924" s="481"/>
      <c r="Z924" s="481"/>
      <c r="AA924" s="481"/>
      <c r="AB924" s="481"/>
      <c r="AC924" s="481"/>
      <c r="AD924" s="481"/>
      <c r="AE924" s="481"/>
      <c r="AF924" s="481"/>
      <c r="AG924" s="481"/>
      <c r="AH924" s="481"/>
      <c r="AI924" s="481"/>
      <c r="AJ924" s="481"/>
      <c r="AK924" s="481"/>
    </row>
    <row r="925" spans="1:37" ht="46.8" x14ac:dyDescent="0.3">
      <c r="B925" s="31" t="s">
        <v>3058</v>
      </c>
      <c r="C925" s="130" t="s">
        <v>369</v>
      </c>
      <c r="D925" s="43" t="s">
        <v>190</v>
      </c>
      <c r="E925" s="126" t="s">
        <v>515</v>
      </c>
      <c r="F925" s="504">
        <v>1</v>
      </c>
      <c r="G925" s="126" t="s">
        <v>3080</v>
      </c>
      <c r="H925" s="304">
        <v>45706</v>
      </c>
      <c r="I925" s="319" t="s">
        <v>1250</v>
      </c>
      <c r="J925" s="494" t="s">
        <v>2519</v>
      </c>
      <c r="K925" s="132" t="s">
        <v>2519</v>
      </c>
    </row>
    <row r="926" spans="1:37" ht="46.8" x14ac:dyDescent="0.3">
      <c r="B926" s="31" t="s">
        <v>3087</v>
      </c>
      <c r="C926" s="130" t="s">
        <v>3088</v>
      </c>
      <c r="D926" s="43" t="s">
        <v>190</v>
      </c>
      <c r="E926" s="126" t="s">
        <v>515</v>
      </c>
      <c r="F926" s="504">
        <v>1</v>
      </c>
      <c r="G926" s="126" t="s">
        <v>3110</v>
      </c>
      <c r="H926" s="304">
        <v>45708</v>
      </c>
      <c r="I926" s="319" t="s">
        <v>1250</v>
      </c>
      <c r="J926" s="494" t="s">
        <v>2519</v>
      </c>
      <c r="K926" s="132" t="s">
        <v>2519</v>
      </c>
      <c r="L926" s="58"/>
    </row>
    <row r="927" spans="1:37" ht="46.8" x14ac:dyDescent="0.3">
      <c r="B927" s="31" t="s">
        <v>3116</v>
      </c>
      <c r="C927" s="130" t="s">
        <v>372</v>
      </c>
      <c r="D927" s="43" t="s">
        <v>320</v>
      </c>
      <c r="E927" s="126" t="s">
        <v>515</v>
      </c>
      <c r="F927" s="504">
        <v>6.2</v>
      </c>
      <c r="G927" s="248" t="s">
        <v>3181</v>
      </c>
      <c r="H927" s="542" t="s">
        <v>3182</v>
      </c>
      <c r="I927" s="319" t="s">
        <v>934</v>
      </c>
      <c r="J927" s="494" t="s">
        <v>3183</v>
      </c>
      <c r="K927" s="132" t="s">
        <v>2519</v>
      </c>
    </row>
    <row r="928" spans="1:37" ht="46.8" x14ac:dyDescent="0.3">
      <c r="B928" s="31" t="s">
        <v>3116</v>
      </c>
      <c r="C928" s="130" t="s">
        <v>372</v>
      </c>
      <c r="D928" s="43" t="s">
        <v>320</v>
      </c>
      <c r="E928" s="126" t="s">
        <v>515</v>
      </c>
      <c r="F928" s="504">
        <v>2.5</v>
      </c>
      <c r="G928" s="1128" t="s">
        <v>3262</v>
      </c>
      <c r="H928" s="542" t="s">
        <v>3263</v>
      </c>
      <c r="I928" s="319" t="s">
        <v>934</v>
      </c>
      <c r="J928" s="494" t="s">
        <v>3264</v>
      </c>
      <c r="K928" s="132" t="s">
        <v>2519</v>
      </c>
    </row>
    <row r="929" spans="2:11" ht="46.8" x14ac:dyDescent="0.3">
      <c r="B929" s="31" t="s">
        <v>3116</v>
      </c>
      <c r="C929" s="130" t="s">
        <v>372</v>
      </c>
      <c r="D929" s="43" t="s">
        <v>320</v>
      </c>
      <c r="E929" s="126" t="s">
        <v>515</v>
      </c>
      <c r="F929" s="504">
        <v>2.5</v>
      </c>
      <c r="G929" s="248" t="s">
        <v>3338</v>
      </c>
      <c r="H929" s="542" t="s">
        <v>3339</v>
      </c>
      <c r="I929" s="319" t="s">
        <v>1302</v>
      </c>
      <c r="J929" s="494" t="s">
        <v>3340</v>
      </c>
      <c r="K929" s="132" t="s">
        <v>2519</v>
      </c>
    </row>
    <row r="930" spans="2:11" ht="46.8" x14ac:dyDescent="0.3">
      <c r="B930" s="31" t="s">
        <v>3116</v>
      </c>
      <c r="C930" s="130" t="s">
        <v>372</v>
      </c>
      <c r="D930" s="43" t="s">
        <v>320</v>
      </c>
      <c r="E930" s="126" t="s">
        <v>515</v>
      </c>
      <c r="F930" s="504">
        <v>2.5</v>
      </c>
      <c r="G930" s="248" t="s">
        <v>3416</v>
      </c>
      <c r="H930" s="542" t="s">
        <v>3417</v>
      </c>
      <c r="I930" s="319" t="s">
        <v>1302</v>
      </c>
      <c r="J930" s="494" t="s">
        <v>3418</v>
      </c>
      <c r="K930" s="132" t="s">
        <v>2519</v>
      </c>
    </row>
    <row r="931" spans="2:11" ht="46.8" x14ac:dyDescent="0.3">
      <c r="B931" s="31" t="s">
        <v>3116</v>
      </c>
      <c r="C931" s="130" t="s">
        <v>372</v>
      </c>
      <c r="D931" s="43" t="s">
        <v>320</v>
      </c>
      <c r="E931" s="126" t="s">
        <v>515</v>
      </c>
      <c r="F931" s="504">
        <v>2.5</v>
      </c>
      <c r="G931" s="248" t="s">
        <v>3494</v>
      </c>
      <c r="H931" s="542" t="s">
        <v>3495</v>
      </c>
      <c r="I931" s="319" t="s">
        <v>1302</v>
      </c>
      <c r="J931" s="494" t="s">
        <v>3496</v>
      </c>
      <c r="K931" s="132" t="s">
        <v>2519</v>
      </c>
    </row>
    <row r="932" spans="2:11" ht="46.8" x14ac:dyDescent="0.3">
      <c r="B932" s="31" t="s">
        <v>3116</v>
      </c>
      <c r="C932" s="130" t="s">
        <v>372</v>
      </c>
      <c r="D932" s="43" t="s">
        <v>320</v>
      </c>
      <c r="E932" s="126" t="s">
        <v>515</v>
      </c>
      <c r="F932" s="504">
        <v>2.5</v>
      </c>
      <c r="G932" s="248" t="s">
        <v>3569</v>
      </c>
      <c r="H932" s="542" t="s">
        <v>3570</v>
      </c>
      <c r="I932" s="319" t="s">
        <v>97</v>
      </c>
      <c r="J932" s="494" t="s">
        <v>3571</v>
      </c>
      <c r="K932" s="132" t="s">
        <v>2519</v>
      </c>
    </row>
    <row r="933" spans="2:11" ht="46.8" x14ac:dyDescent="0.3">
      <c r="B933" s="31" t="s">
        <v>3116</v>
      </c>
      <c r="C933" s="130" t="s">
        <v>372</v>
      </c>
      <c r="D933" s="43" t="s">
        <v>320</v>
      </c>
      <c r="E933" s="126" t="s">
        <v>515</v>
      </c>
      <c r="F933" s="504">
        <v>2.5</v>
      </c>
      <c r="G933" s="248" t="s">
        <v>3644</v>
      </c>
      <c r="H933" s="542" t="s">
        <v>3645</v>
      </c>
      <c r="I933" s="319" t="s">
        <v>97</v>
      </c>
      <c r="J933" s="494" t="s">
        <v>3646</v>
      </c>
      <c r="K933" s="132" t="s">
        <v>2519</v>
      </c>
    </row>
    <row r="934" spans="2:11" ht="46.8" x14ac:dyDescent="0.3">
      <c r="B934" s="31" t="s">
        <v>3116</v>
      </c>
      <c r="C934" s="130" t="s">
        <v>372</v>
      </c>
      <c r="D934" s="43" t="s">
        <v>320</v>
      </c>
      <c r="E934" s="126" t="s">
        <v>515</v>
      </c>
      <c r="F934" s="504">
        <v>2.5</v>
      </c>
      <c r="G934" s="248" t="s">
        <v>3716</v>
      </c>
      <c r="H934" s="542" t="s">
        <v>3717</v>
      </c>
      <c r="I934" s="319" t="s">
        <v>97</v>
      </c>
      <c r="J934" s="494" t="s">
        <v>3718</v>
      </c>
      <c r="K934" s="132" t="s">
        <v>2519</v>
      </c>
    </row>
    <row r="935" spans="2:11" ht="46.8" x14ac:dyDescent="0.3">
      <c r="B935" s="31" t="s">
        <v>3116</v>
      </c>
      <c r="C935" s="130" t="s">
        <v>372</v>
      </c>
      <c r="D935" s="43" t="s">
        <v>320</v>
      </c>
      <c r="E935" s="126" t="s">
        <v>515</v>
      </c>
      <c r="F935" s="504">
        <v>2</v>
      </c>
      <c r="G935" s="248" t="s">
        <v>3781</v>
      </c>
      <c r="H935" s="542" t="s">
        <v>3782</v>
      </c>
      <c r="I935" s="319" t="s">
        <v>937</v>
      </c>
      <c r="J935" s="494" t="s">
        <v>3783</v>
      </c>
      <c r="K935" s="132" t="s">
        <v>2519</v>
      </c>
    </row>
    <row r="936" spans="2:11" ht="46.8" x14ac:dyDescent="0.3">
      <c r="B936" s="31" t="s">
        <v>3116</v>
      </c>
      <c r="C936" s="130" t="s">
        <v>372</v>
      </c>
      <c r="D936" s="43" t="s">
        <v>320</v>
      </c>
      <c r="E936" s="126" t="s">
        <v>515</v>
      </c>
      <c r="F936" s="504">
        <v>2.7</v>
      </c>
      <c r="G936" s="248" t="s">
        <v>3850</v>
      </c>
      <c r="H936" s="542" t="s">
        <v>3851</v>
      </c>
      <c r="I936" s="319" t="s">
        <v>1262</v>
      </c>
      <c r="J936" s="494" t="s">
        <v>3852</v>
      </c>
      <c r="K936" s="132" t="s">
        <v>2519</v>
      </c>
    </row>
    <row r="937" spans="2:11" ht="46.8" x14ac:dyDescent="0.3">
      <c r="B937" s="31" t="s">
        <v>3116</v>
      </c>
      <c r="C937" s="130" t="s">
        <v>372</v>
      </c>
      <c r="D937" s="43" t="s">
        <v>320</v>
      </c>
      <c r="E937" s="126" t="s">
        <v>515</v>
      </c>
      <c r="F937" s="504">
        <v>2.8</v>
      </c>
      <c r="G937" s="248" t="s">
        <v>3918</v>
      </c>
      <c r="H937" s="542" t="s">
        <v>3919</v>
      </c>
      <c r="I937" s="319" t="s">
        <v>1509</v>
      </c>
      <c r="J937" s="494" t="s">
        <v>3920</v>
      </c>
      <c r="K937" s="132" t="s">
        <v>2519</v>
      </c>
    </row>
    <row r="938" spans="2:11" ht="46.8" x14ac:dyDescent="0.3">
      <c r="B938" s="31" t="s">
        <v>3116</v>
      </c>
      <c r="C938" s="130" t="s">
        <v>372</v>
      </c>
      <c r="D938" s="43" t="s">
        <v>320</v>
      </c>
      <c r="E938" s="126" t="s">
        <v>515</v>
      </c>
      <c r="F938" s="504">
        <v>2.5</v>
      </c>
      <c r="G938" s="248" t="s">
        <v>3984</v>
      </c>
      <c r="H938" s="542" t="s">
        <v>3985</v>
      </c>
      <c r="I938" s="319" t="s">
        <v>940</v>
      </c>
      <c r="J938" s="494" t="s">
        <v>3986</v>
      </c>
      <c r="K938" s="132" t="s">
        <v>2519</v>
      </c>
    </row>
    <row r="939" spans="2:11" ht="46.8" x14ac:dyDescent="0.3">
      <c r="B939" s="31" t="s">
        <v>3116</v>
      </c>
      <c r="C939" s="130" t="s">
        <v>372</v>
      </c>
      <c r="D939" s="43" t="s">
        <v>320</v>
      </c>
      <c r="E939" s="126" t="s">
        <v>515</v>
      </c>
      <c r="F939" s="504">
        <v>2.5</v>
      </c>
      <c r="G939" s="248" t="s">
        <v>4055</v>
      </c>
      <c r="H939" s="542" t="s">
        <v>4056</v>
      </c>
      <c r="I939" s="319" t="s">
        <v>940</v>
      </c>
      <c r="J939" s="494" t="s">
        <v>4057</v>
      </c>
      <c r="K939" s="132" t="s">
        <v>2519</v>
      </c>
    </row>
    <row r="940" spans="2:11" ht="46.8" x14ac:dyDescent="0.3">
      <c r="B940" s="31" t="s">
        <v>3116</v>
      </c>
      <c r="C940" s="130" t="s">
        <v>372</v>
      </c>
      <c r="D940" s="43" t="s">
        <v>320</v>
      </c>
      <c r="E940" s="126" t="s">
        <v>515</v>
      </c>
      <c r="F940" s="504">
        <v>2.5</v>
      </c>
      <c r="G940" s="248" t="s">
        <v>4129</v>
      </c>
      <c r="H940" s="542" t="s">
        <v>4130</v>
      </c>
      <c r="I940" s="319" t="s">
        <v>1026</v>
      </c>
      <c r="J940" s="494" t="s">
        <v>4131</v>
      </c>
      <c r="K940" s="132" t="s">
        <v>2519</v>
      </c>
    </row>
    <row r="941" spans="2:11" ht="46.8" x14ac:dyDescent="0.3">
      <c r="B941" s="31" t="s">
        <v>3116</v>
      </c>
      <c r="C941" s="130" t="s">
        <v>372</v>
      </c>
      <c r="D941" s="43" t="s">
        <v>320</v>
      </c>
      <c r="E941" s="126" t="s">
        <v>515</v>
      </c>
      <c r="F941" s="504">
        <v>2.5</v>
      </c>
      <c r="G941" s="248" t="s">
        <v>4201</v>
      </c>
      <c r="H941" s="542" t="s">
        <v>4202</v>
      </c>
      <c r="I941" s="319" t="s">
        <v>1282</v>
      </c>
      <c r="J941" s="494" t="s">
        <v>4203</v>
      </c>
      <c r="K941" s="132" t="s">
        <v>2519</v>
      </c>
    </row>
    <row r="942" spans="2:11" ht="46.8" x14ac:dyDescent="0.3">
      <c r="B942" s="31" t="s">
        <v>3116</v>
      </c>
      <c r="C942" s="130" t="s">
        <v>372</v>
      </c>
      <c r="D942" s="43" t="s">
        <v>320</v>
      </c>
      <c r="E942" s="126" t="s">
        <v>515</v>
      </c>
      <c r="F942" s="504">
        <v>2.5</v>
      </c>
      <c r="G942" s="248" t="s">
        <v>4272</v>
      </c>
      <c r="H942" s="542" t="s">
        <v>4273</v>
      </c>
      <c r="I942" s="319" t="s">
        <v>1282</v>
      </c>
      <c r="J942" s="494" t="s">
        <v>4274</v>
      </c>
      <c r="K942" s="132" t="s">
        <v>2519</v>
      </c>
    </row>
    <row r="943" spans="2:11" ht="46.8" x14ac:dyDescent="0.3">
      <c r="B943" s="31" t="s">
        <v>3116</v>
      </c>
      <c r="C943" s="130" t="s">
        <v>372</v>
      </c>
      <c r="D943" s="43" t="s">
        <v>320</v>
      </c>
      <c r="E943" s="126" t="s">
        <v>515</v>
      </c>
      <c r="F943" s="504">
        <v>2.5</v>
      </c>
      <c r="G943" s="248" t="s">
        <v>4339</v>
      </c>
      <c r="H943" s="542" t="s">
        <v>3420</v>
      </c>
      <c r="I943" s="319" t="s">
        <v>1282</v>
      </c>
      <c r="J943" s="494" t="s">
        <v>4340</v>
      </c>
      <c r="K943" s="132" t="s">
        <v>2519</v>
      </c>
    </row>
    <row r="944" spans="2:11" ht="46.8" x14ac:dyDescent="0.3">
      <c r="B944" s="31" t="s">
        <v>3116</v>
      </c>
      <c r="C944" s="130" t="s">
        <v>372</v>
      </c>
      <c r="D944" s="43" t="s">
        <v>320</v>
      </c>
      <c r="E944" s="126" t="s">
        <v>515</v>
      </c>
      <c r="F944" s="504">
        <v>2.5</v>
      </c>
      <c r="G944" s="248" t="s">
        <v>4401</v>
      </c>
      <c r="H944" s="542" t="s">
        <v>4402</v>
      </c>
      <c r="I944" s="319" t="s">
        <v>943</v>
      </c>
      <c r="J944" s="494" t="s">
        <v>4403</v>
      </c>
      <c r="K944" s="132" t="s">
        <v>2519</v>
      </c>
    </row>
    <row r="945" spans="2:11" ht="46.8" x14ac:dyDescent="0.3">
      <c r="B945" s="31" t="s">
        <v>3116</v>
      </c>
      <c r="C945" s="130" t="s">
        <v>372</v>
      </c>
      <c r="D945" s="43" t="s">
        <v>320</v>
      </c>
      <c r="E945" s="126" t="s">
        <v>515</v>
      </c>
      <c r="F945" s="504">
        <v>2.5</v>
      </c>
      <c r="G945" s="248" t="s">
        <v>4462</v>
      </c>
      <c r="H945" s="542" t="s">
        <v>4411</v>
      </c>
      <c r="I945" s="319" t="s">
        <v>1417</v>
      </c>
      <c r="J945" s="494" t="s">
        <v>4463</v>
      </c>
      <c r="K945" s="132" t="s">
        <v>2519</v>
      </c>
    </row>
    <row r="946" spans="2:11" ht="46.8" x14ac:dyDescent="0.3">
      <c r="B946" s="31" t="s">
        <v>3116</v>
      </c>
      <c r="C946" s="130" t="s">
        <v>372</v>
      </c>
      <c r="D946" s="43" t="s">
        <v>320</v>
      </c>
      <c r="E946" s="126" t="s">
        <v>515</v>
      </c>
      <c r="F946" s="504">
        <v>1.55</v>
      </c>
      <c r="G946" s="587" t="s">
        <v>4518</v>
      </c>
      <c r="H946" s="585" t="s">
        <v>4519</v>
      </c>
      <c r="I946" s="784" t="s">
        <v>1315</v>
      </c>
      <c r="J946" s="494" t="s">
        <v>4520</v>
      </c>
      <c r="K946" s="132" t="s">
        <v>2519</v>
      </c>
    </row>
    <row r="947" spans="2:11" ht="46.8" x14ac:dyDescent="0.3">
      <c r="B947" s="31" t="s">
        <v>3116</v>
      </c>
      <c r="C947" s="130" t="s">
        <v>372</v>
      </c>
      <c r="D947" s="43" t="s">
        <v>320</v>
      </c>
      <c r="E947" s="126" t="s">
        <v>515</v>
      </c>
      <c r="F947" s="504">
        <v>1.3</v>
      </c>
      <c r="G947" s="248" t="s">
        <v>4559</v>
      </c>
      <c r="H947" s="585" t="s">
        <v>4560</v>
      </c>
      <c r="I947" s="784" t="s">
        <v>946</v>
      </c>
      <c r="J947" s="494" t="s">
        <v>4561</v>
      </c>
      <c r="K947" s="132" t="s">
        <v>2519</v>
      </c>
    </row>
    <row r="948" spans="2:11" ht="46.8" x14ac:dyDescent="0.3">
      <c r="B948" s="31" t="s">
        <v>3058</v>
      </c>
      <c r="C948" s="130" t="s">
        <v>369</v>
      </c>
      <c r="D948" s="43" t="s">
        <v>190</v>
      </c>
      <c r="E948" s="126" t="s">
        <v>515</v>
      </c>
      <c r="F948" s="504">
        <v>1</v>
      </c>
      <c r="G948" s="126" t="s">
        <v>3068</v>
      </c>
      <c r="H948" s="304">
        <v>45629</v>
      </c>
      <c r="I948" s="319" t="s">
        <v>898</v>
      </c>
      <c r="J948" s="494" t="s">
        <v>2520</v>
      </c>
      <c r="K948" s="132" t="s">
        <v>2520</v>
      </c>
    </row>
    <row r="949" spans="2:11" ht="46.8" x14ac:dyDescent="0.3">
      <c r="B949" s="31" t="s">
        <v>3087</v>
      </c>
      <c r="C949" s="130" t="s">
        <v>3088</v>
      </c>
      <c r="D949" s="43" t="s">
        <v>190</v>
      </c>
      <c r="E949" s="126" t="s">
        <v>510</v>
      </c>
      <c r="F949" s="504">
        <v>1</v>
      </c>
      <c r="G949" s="126" t="s">
        <v>3094</v>
      </c>
      <c r="H949" s="304">
        <v>45637</v>
      </c>
      <c r="I949" s="319" t="s">
        <v>898</v>
      </c>
      <c r="J949" s="494" t="s">
        <v>2520</v>
      </c>
      <c r="K949" s="132" t="s">
        <v>2520</v>
      </c>
    </row>
    <row r="950" spans="2:11" ht="46.8" x14ac:dyDescent="0.3">
      <c r="B950" s="31" t="s">
        <v>3116</v>
      </c>
      <c r="C950" s="130" t="s">
        <v>372</v>
      </c>
      <c r="D950" s="43" t="s">
        <v>320</v>
      </c>
      <c r="E950" s="126" t="s">
        <v>515</v>
      </c>
      <c r="F950" s="504">
        <v>4.32</v>
      </c>
      <c r="G950" s="248" t="s">
        <v>3136</v>
      </c>
      <c r="H950" s="542" t="s">
        <v>3137</v>
      </c>
      <c r="I950" s="319" t="s">
        <v>931</v>
      </c>
      <c r="J950" s="494" t="s">
        <v>3138</v>
      </c>
      <c r="K950" s="132" t="s">
        <v>2520</v>
      </c>
    </row>
    <row r="951" spans="2:11" ht="46.8" x14ac:dyDescent="0.3">
      <c r="B951" s="31" t="s">
        <v>3116</v>
      </c>
      <c r="C951" s="130" t="s">
        <v>372</v>
      </c>
      <c r="D951" s="43" t="s">
        <v>320</v>
      </c>
      <c r="E951" s="126" t="s">
        <v>515</v>
      </c>
      <c r="F951" s="504">
        <v>2.65</v>
      </c>
      <c r="G951" s="248" t="s">
        <v>3230</v>
      </c>
      <c r="H951" s="542" t="s">
        <v>3231</v>
      </c>
      <c r="I951" s="319" t="s">
        <v>1326</v>
      </c>
      <c r="J951" s="494" t="s">
        <v>3232</v>
      </c>
      <c r="K951" s="132" t="s">
        <v>2520</v>
      </c>
    </row>
    <row r="952" spans="2:11" ht="46.8" x14ac:dyDescent="0.3">
      <c r="B952" s="31" t="s">
        <v>3116</v>
      </c>
      <c r="C952" s="130" t="s">
        <v>372</v>
      </c>
      <c r="D952" s="43" t="s">
        <v>320</v>
      </c>
      <c r="E952" s="126" t="s">
        <v>515</v>
      </c>
      <c r="F952" s="504">
        <v>2.5</v>
      </c>
      <c r="G952" s="248" t="s">
        <v>3300</v>
      </c>
      <c r="H952" s="542" t="s">
        <v>3301</v>
      </c>
      <c r="I952" s="319" t="s">
        <v>1326</v>
      </c>
      <c r="J952" s="494" t="s">
        <v>3302</v>
      </c>
      <c r="K952" s="132" t="s">
        <v>2520</v>
      </c>
    </row>
    <row r="953" spans="2:11" ht="46.8" x14ac:dyDescent="0.3">
      <c r="B953" s="31" t="s">
        <v>3116</v>
      </c>
      <c r="C953" s="130" t="s">
        <v>372</v>
      </c>
      <c r="D953" s="43" t="s">
        <v>320</v>
      </c>
      <c r="E953" s="126" t="s">
        <v>515</v>
      </c>
      <c r="F953" s="504">
        <v>2.5</v>
      </c>
      <c r="G953" s="248" t="s">
        <v>3377</v>
      </c>
      <c r="H953" s="542" t="s">
        <v>3378</v>
      </c>
      <c r="I953" s="319" t="s">
        <v>1326</v>
      </c>
      <c r="J953" s="494" t="s">
        <v>3379</v>
      </c>
      <c r="K953" s="132" t="s">
        <v>2520</v>
      </c>
    </row>
    <row r="954" spans="2:11" ht="46.8" x14ac:dyDescent="0.3">
      <c r="B954" s="31" t="s">
        <v>3116</v>
      </c>
      <c r="C954" s="130" t="s">
        <v>372</v>
      </c>
      <c r="D954" s="43" t="s">
        <v>320</v>
      </c>
      <c r="E954" s="126" t="s">
        <v>515</v>
      </c>
      <c r="F954" s="504">
        <v>2.5</v>
      </c>
      <c r="G954" s="587" t="s">
        <v>3440</v>
      </c>
      <c r="H954" s="585" t="s">
        <v>3441</v>
      </c>
      <c r="I954" s="319" t="s">
        <v>1326</v>
      </c>
      <c r="J954" s="494" t="s">
        <v>3442</v>
      </c>
      <c r="K954" s="132" t="s">
        <v>2520</v>
      </c>
    </row>
    <row r="955" spans="2:11" ht="46.8" x14ac:dyDescent="0.3">
      <c r="B955" s="31" t="s">
        <v>3116</v>
      </c>
      <c r="C955" s="130" t="s">
        <v>372</v>
      </c>
      <c r="D955" s="43" t="s">
        <v>320</v>
      </c>
      <c r="E955" s="126" t="s">
        <v>515</v>
      </c>
      <c r="F955" s="504">
        <v>2.5</v>
      </c>
      <c r="G955" s="248" t="s">
        <v>3537</v>
      </c>
      <c r="H955" s="542" t="s">
        <v>3538</v>
      </c>
      <c r="I955" s="319" t="s">
        <v>1250</v>
      </c>
      <c r="J955" s="494" t="s">
        <v>3539</v>
      </c>
      <c r="K955" s="132" t="s">
        <v>2520</v>
      </c>
    </row>
    <row r="956" spans="2:11" ht="46.8" x14ac:dyDescent="0.3">
      <c r="B956" s="31" t="s">
        <v>3116</v>
      </c>
      <c r="C956" s="130" t="s">
        <v>372</v>
      </c>
      <c r="D956" s="43" t="s">
        <v>320</v>
      </c>
      <c r="E956" s="126" t="s">
        <v>515</v>
      </c>
      <c r="F956" s="504">
        <v>2.5</v>
      </c>
      <c r="G956" s="248" t="s">
        <v>3608</v>
      </c>
      <c r="H956" s="542" t="s">
        <v>3320</v>
      </c>
      <c r="I956" s="319" t="s">
        <v>1250</v>
      </c>
      <c r="J956" s="494" t="s">
        <v>3609</v>
      </c>
      <c r="K956" s="132" t="s">
        <v>2520</v>
      </c>
    </row>
    <row r="957" spans="2:11" ht="46.8" x14ac:dyDescent="0.3">
      <c r="B957" s="31" t="s">
        <v>3116</v>
      </c>
      <c r="C957" s="130" t="s">
        <v>372</v>
      </c>
      <c r="D957" s="43" t="s">
        <v>320</v>
      </c>
      <c r="E957" s="126" t="s">
        <v>515</v>
      </c>
      <c r="F957" s="504">
        <v>2.5099999999999998</v>
      </c>
      <c r="G957" s="248" t="s">
        <v>3719</v>
      </c>
      <c r="H957" s="542" t="s">
        <v>3720</v>
      </c>
      <c r="I957" s="319" t="s">
        <v>934</v>
      </c>
      <c r="J957" s="494" t="s">
        <v>3721</v>
      </c>
      <c r="K957" s="132" t="s">
        <v>2520</v>
      </c>
    </row>
    <row r="958" spans="2:11" ht="46.8" x14ac:dyDescent="0.3">
      <c r="B958" s="31" t="s">
        <v>3116</v>
      </c>
      <c r="C958" s="130" t="s">
        <v>372</v>
      </c>
      <c r="D958" s="43" t="s">
        <v>320</v>
      </c>
      <c r="E958" s="126" t="s">
        <v>515</v>
      </c>
      <c r="F958" s="504">
        <v>2.5</v>
      </c>
      <c r="G958" s="248" t="s">
        <v>3757</v>
      </c>
      <c r="H958" s="542" t="s">
        <v>3758</v>
      </c>
      <c r="I958" s="319" t="s">
        <v>934</v>
      </c>
      <c r="J958" s="494" t="s">
        <v>3759</v>
      </c>
      <c r="K958" s="132" t="s">
        <v>2520</v>
      </c>
    </row>
    <row r="959" spans="2:11" ht="46.8" x14ac:dyDescent="0.3">
      <c r="B959" s="31" t="s">
        <v>3116</v>
      </c>
      <c r="C959" s="130" t="s">
        <v>372</v>
      </c>
      <c r="D959" s="43" t="s">
        <v>320</v>
      </c>
      <c r="E959" s="126" t="s">
        <v>515</v>
      </c>
      <c r="F959" s="504">
        <v>2.5</v>
      </c>
      <c r="G959" s="248" t="s">
        <v>3820</v>
      </c>
      <c r="H959" s="542" t="s">
        <v>3821</v>
      </c>
      <c r="I959" s="319" t="s">
        <v>934</v>
      </c>
      <c r="J959" s="494" t="s">
        <v>3822</v>
      </c>
      <c r="K959" s="132" t="s">
        <v>2520</v>
      </c>
    </row>
    <row r="960" spans="2:11" ht="46.8" x14ac:dyDescent="0.3">
      <c r="B960" s="31" t="s">
        <v>3116</v>
      </c>
      <c r="C960" s="130" t="s">
        <v>372</v>
      </c>
      <c r="D960" s="43" t="s">
        <v>320</v>
      </c>
      <c r="E960" s="126" t="s">
        <v>515</v>
      </c>
      <c r="F960" s="504">
        <v>2.5</v>
      </c>
      <c r="G960" s="248" t="s">
        <v>3893</v>
      </c>
      <c r="H960" s="542" t="s">
        <v>3894</v>
      </c>
      <c r="I960" s="319" t="s">
        <v>1302</v>
      </c>
      <c r="J960" s="494" t="s">
        <v>3895</v>
      </c>
      <c r="K960" s="132" t="s">
        <v>2520</v>
      </c>
    </row>
    <row r="961" spans="2:12" ht="46.8" x14ac:dyDescent="0.3">
      <c r="B961" s="31" t="s">
        <v>3116</v>
      </c>
      <c r="C961" s="130" t="s">
        <v>372</v>
      </c>
      <c r="D961" s="43" t="s">
        <v>320</v>
      </c>
      <c r="E961" s="126" t="s">
        <v>515</v>
      </c>
      <c r="F961" s="504">
        <v>2.5</v>
      </c>
      <c r="G961" s="248" t="s">
        <v>3951</v>
      </c>
      <c r="H961" s="542" t="s">
        <v>3952</v>
      </c>
      <c r="I961" s="319" t="s">
        <v>1302</v>
      </c>
      <c r="J961" s="494" t="s">
        <v>3953</v>
      </c>
      <c r="K961" s="132" t="s">
        <v>2520</v>
      </c>
    </row>
    <row r="962" spans="2:12" ht="46.8" x14ac:dyDescent="0.3">
      <c r="B962" s="31" t="s">
        <v>3116</v>
      </c>
      <c r="C962" s="130" t="s">
        <v>372</v>
      </c>
      <c r="D962" s="43" t="s">
        <v>320</v>
      </c>
      <c r="E962" s="126" t="s">
        <v>515</v>
      </c>
      <c r="F962" s="504">
        <v>2.5</v>
      </c>
      <c r="G962" s="248" t="s">
        <v>4029</v>
      </c>
      <c r="H962" s="542" t="s">
        <v>4030</v>
      </c>
      <c r="I962" s="319" t="s">
        <v>97</v>
      </c>
      <c r="J962" s="494" t="s">
        <v>4031</v>
      </c>
      <c r="K962" s="132" t="s">
        <v>2520</v>
      </c>
    </row>
    <row r="963" spans="2:12" ht="46.8" x14ac:dyDescent="0.3">
      <c r="B963" s="31" t="s">
        <v>3116</v>
      </c>
      <c r="C963" s="130" t="s">
        <v>372</v>
      </c>
      <c r="D963" s="43" t="s">
        <v>320</v>
      </c>
      <c r="E963" s="126" t="s">
        <v>515</v>
      </c>
      <c r="F963" s="504">
        <v>0.5</v>
      </c>
      <c r="G963" s="248" t="s">
        <v>4108</v>
      </c>
      <c r="H963" s="542" t="s">
        <v>4109</v>
      </c>
      <c r="I963" s="319" t="s">
        <v>1509</v>
      </c>
      <c r="J963" s="494" t="s">
        <v>4110</v>
      </c>
      <c r="K963" s="132" t="s">
        <v>2520</v>
      </c>
    </row>
    <row r="964" spans="2:12" ht="46.8" x14ac:dyDescent="0.3">
      <c r="B964" s="31" t="s">
        <v>3116</v>
      </c>
      <c r="C964" s="130" t="s">
        <v>372</v>
      </c>
      <c r="D964" s="43" t="s">
        <v>320</v>
      </c>
      <c r="E964" s="126" t="s">
        <v>515</v>
      </c>
      <c r="F964" s="504">
        <v>2.8</v>
      </c>
      <c r="G964" s="248" t="s">
        <v>4179</v>
      </c>
      <c r="H964" s="542" t="s">
        <v>4180</v>
      </c>
      <c r="I964" s="319" t="s">
        <v>1509</v>
      </c>
      <c r="J964" s="494" t="s">
        <v>4181</v>
      </c>
      <c r="K964" s="132" t="s">
        <v>2520</v>
      </c>
    </row>
    <row r="965" spans="2:12" ht="46.8" x14ac:dyDescent="0.3">
      <c r="B965" s="31" t="s">
        <v>3116</v>
      </c>
      <c r="C965" s="130" t="s">
        <v>372</v>
      </c>
      <c r="D965" s="43" t="s">
        <v>320</v>
      </c>
      <c r="E965" s="126" t="s">
        <v>515</v>
      </c>
      <c r="F965" s="504">
        <v>2.5</v>
      </c>
      <c r="G965" s="248" t="s">
        <v>4249</v>
      </c>
      <c r="H965" s="542" t="s">
        <v>4250</v>
      </c>
      <c r="I965" s="319" t="s">
        <v>940</v>
      </c>
      <c r="J965" s="494" t="s">
        <v>4251</v>
      </c>
      <c r="K965" s="132" t="s">
        <v>2520</v>
      </c>
    </row>
    <row r="966" spans="2:12" ht="46.8" x14ac:dyDescent="0.3">
      <c r="B966" s="31" t="s">
        <v>3116</v>
      </c>
      <c r="C966" s="130" t="s">
        <v>372</v>
      </c>
      <c r="D966" s="43" t="s">
        <v>320</v>
      </c>
      <c r="E966" s="126" t="s">
        <v>515</v>
      </c>
      <c r="F966" s="504">
        <v>2.5</v>
      </c>
      <c r="G966" s="248" t="s">
        <v>4316</v>
      </c>
      <c r="H966" s="542" t="s">
        <v>4317</v>
      </c>
      <c r="I966" s="319" t="s">
        <v>940</v>
      </c>
      <c r="J966" s="494" t="s">
        <v>4318</v>
      </c>
      <c r="K966" s="132" t="s">
        <v>2520</v>
      </c>
    </row>
    <row r="967" spans="2:12" ht="46.8" x14ac:dyDescent="0.3">
      <c r="B967" s="31" t="s">
        <v>3116</v>
      </c>
      <c r="C967" s="130" t="s">
        <v>372</v>
      </c>
      <c r="D967" s="43" t="s">
        <v>320</v>
      </c>
      <c r="E967" s="126" t="s">
        <v>515</v>
      </c>
      <c r="F967" s="504">
        <v>2.5</v>
      </c>
      <c r="G967" s="248" t="s">
        <v>4379</v>
      </c>
      <c r="H967" s="542" t="s">
        <v>4380</v>
      </c>
      <c r="I967" s="319" t="s">
        <v>1026</v>
      </c>
      <c r="J967" s="494" t="s">
        <v>4381</v>
      </c>
      <c r="K967" s="132" t="s">
        <v>2520</v>
      </c>
    </row>
    <row r="968" spans="2:12" ht="46.8" x14ac:dyDescent="0.3">
      <c r="B968" s="31" t="s">
        <v>3116</v>
      </c>
      <c r="C968" s="130" t="s">
        <v>372</v>
      </c>
      <c r="D968" s="43" t="s">
        <v>320</v>
      </c>
      <c r="E968" s="126" t="s">
        <v>515</v>
      </c>
      <c r="F968" s="504">
        <v>2.5</v>
      </c>
      <c r="G968" s="248" t="s">
        <v>4435</v>
      </c>
      <c r="H968" s="542" t="s">
        <v>4323</v>
      </c>
      <c r="I968" s="319" t="s">
        <v>1026</v>
      </c>
      <c r="J968" s="494" t="s">
        <v>4436</v>
      </c>
      <c r="K968" s="132" t="s">
        <v>2520</v>
      </c>
    </row>
    <row r="969" spans="2:12" ht="46.8" x14ac:dyDescent="0.3">
      <c r="B969" s="31" t="s">
        <v>3116</v>
      </c>
      <c r="C969" s="130" t="s">
        <v>372</v>
      </c>
      <c r="D969" s="43" t="s">
        <v>320</v>
      </c>
      <c r="E969" s="126" t="s">
        <v>515</v>
      </c>
      <c r="F969" s="504">
        <v>2.5</v>
      </c>
      <c r="G969" s="248" t="s">
        <v>4492</v>
      </c>
      <c r="H969" s="542" t="s">
        <v>3925</v>
      </c>
      <c r="I969" s="319" t="s">
        <v>1282</v>
      </c>
      <c r="J969" s="494" t="s">
        <v>4493</v>
      </c>
      <c r="K969" s="132" t="s">
        <v>2520</v>
      </c>
    </row>
    <row r="970" spans="2:12" ht="46.8" x14ac:dyDescent="0.3">
      <c r="B970" s="31" t="s">
        <v>3116</v>
      </c>
      <c r="C970" s="130" t="s">
        <v>372</v>
      </c>
      <c r="D970" s="43" t="s">
        <v>320</v>
      </c>
      <c r="E970" s="126" t="s">
        <v>515</v>
      </c>
      <c r="F970" s="504">
        <v>2.5</v>
      </c>
      <c r="G970" s="248" t="s">
        <v>4537</v>
      </c>
      <c r="H970" s="542" t="s">
        <v>4538</v>
      </c>
      <c r="I970" s="319" t="s">
        <v>943</v>
      </c>
      <c r="J970" s="494" t="s">
        <v>4539</v>
      </c>
      <c r="K970" s="132" t="s">
        <v>2520</v>
      </c>
    </row>
    <row r="971" spans="2:12" ht="46.8" x14ac:dyDescent="0.3">
      <c r="B971" s="31" t="s">
        <v>3116</v>
      </c>
      <c r="C971" s="130" t="s">
        <v>372</v>
      </c>
      <c r="D971" s="43" t="s">
        <v>320</v>
      </c>
      <c r="E971" s="126" t="s">
        <v>515</v>
      </c>
      <c r="F971" s="504">
        <v>1.27</v>
      </c>
      <c r="G971" s="248" t="s">
        <v>4572</v>
      </c>
      <c r="H971" s="542" t="s">
        <v>4573</v>
      </c>
      <c r="I971" s="319" t="s">
        <v>1417</v>
      </c>
      <c r="J971" s="494" t="s">
        <v>4574</v>
      </c>
      <c r="K971" s="132" t="s">
        <v>2520</v>
      </c>
    </row>
    <row r="972" spans="2:12" ht="46.8" x14ac:dyDescent="0.3">
      <c r="B972" s="31" t="s">
        <v>3058</v>
      </c>
      <c r="C972" s="130" t="s">
        <v>369</v>
      </c>
      <c r="D972" s="43" t="s">
        <v>190</v>
      </c>
      <c r="E972" s="126" t="s">
        <v>515</v>
      </c>
      <c r="F972" s="504">
        <v>1</v>
      </c>
      <c r="G972" s="126" t="s">
        <v>3075</v>
      </c>
      <c r="H972" s="304">
        <v>45656</v>
      </c>
      <c r="I972" s="319" t="s">
        <v>931</v>
      </c>
      <c r="J972" s="494" t="s">
        <v>2521</v>
      </c>
      <c r="K972" s="132" t="s">
        <v>2521</v>
      </c>
    </row>
    <row r="973" spans="2:12" ht="46.8" x14ac:dyDescent="0.3">
      <c r="B973" s="31" t="s">
        <v>3087</v>
      </c>
      <c r="C973" s="130" t="s">
        <v>3088</v>
      </c>
      <c r="D973" s="43" t="s">
        <v>190</v>
      </c>
      <c r="E973" s="126" t="s">
        <v>515</v>
      </c>
      <c r="F973" s="504">
        <v>1</v>
      </c>
      <c r="G973" s="126" t="s">
        <v>3103</v>
      </c>
      <c r="H973" s="304">
        <v>45679</v>
      </c>
      <c r="I973" s="319" t="s">
        <v>1326</v>
      </c>
      <c r="J973" s="494" t="s">
        <v>2521</v>
      </c>
      <c r="K973" s="132" t="s">
        <v>2521</v>
      </c>
      <c r="L973" s="58"/>
    </row>
    <row r="974" spans="2:12" ht="46.8" x14ac:dyDescent="0.3">
      <c r="B974" s="31" t="s">
        <v>3116</v>
      </c>
      <c r="C974" s="130" t="s">
        <v>372</v>
      </c>
      <c r="D974" s="43" t="s">
        <v>320</v>
      </c>
      <c r="E974" s="126" t="s">
        <v>515</v>
      </c>
      <c r="F974" s="504">
        <v>6.2</v>
      </c>
      <c r="G974" s="248" t="s">
        <v>3178</v>
      </c>
      <c r="H974" s="542" t="s">
        <v>3179</v>
      </c>
      <c r="I974" s="319" t="s">
        <v>1250</v>
      </c>
      <c r="J974" s="494" t="s">
        <v>3180</v>
      </c>
      <c r="K974" s="132" t="s">
        <v>2521</v>
      </c>
    </row>
    <row r="975" spans="2:12" ht="46.8" x14ac:dyDescent="0.3">
      <c r="B975" s="31" t="s">
        <v>3116</v>
      </c>
      <c r="C975" s="130" t="s">
        <v>372</v>
      </c>
      <c r="D975" s="43" t="s">
        <v>320</v>
      </c>
      <c r="E975" s="126" t="s">
        <v>515</v>
      </c>
      <c r="F975" s="504">
        <v>2</v>
      </c>
      <c r="G975" s="248" t="s">
        <v>3250</v>
      </c>
      <c r="H975" s="542" t="s">
        <v>3251</v>
      </c>
      <c r="I975" s="319" t="s">
        <v>1250</v>
      </c>
      <c r="J975" s="494" t="s">
        <v>3252</v>
      </c>
      <c r="K975" s="132" t="s">
        <v>2521</v>
      </c>
    </row>
    <row r="976" spans="2:12" ht="46.8" x14ac:dyDescent="0.3">
      <c r="B976" s="31" t="s">
        <v>3116</v>
      </c>
      <c r="C976" s="130" t="s">
        <v>372</v>
      </c>
      <c r="D976" s="43" t="s">
        <v>320</v>
      </c>
      <c r="E976" s="126" t="s">
        <v>515</v>
      </c>
      <c r="F976" s="504">
        <v>1.1499999999999999</v>
      </c>
      <c r="G976" s="248" t="s">
        <v>3322</v>
      </c>
      <c r="H976" s="542" t="s">
        <v>3240</v>
      </c>
      <c r="I976" s="319" t="s">
        <v>1250</v>
      </c>
      <c r="J976" s="494" t="s">
        <v>3323</v>
      </c>
      <c r="K976" s="132" t="s">
        <v>2521</v>
      </c>
    </row>
    <row r="977" spans="2:11" ht="46.8" x14ac:dyDescent="0.3">
      <c r="B977" s="31" t="s">
        <v>3116</v>
      </c>
      <c r="C977" s="130" t="s">
        <v>372</v>
      </c>
      <c r="D977" s="43" t="s">
        <v>320</v>
      </c>
      <c r="E977" s="126" t="s">
        <v>515</v>
      </c>
      <c r="F977" s="504">
        <v>2.5</v>
      </c>
      <c r="G977" s="248" t="s">
        <v>3410</v>
      </c>
      <c r="H977" s="542" t="s">
        <v>3411</v>
      </c>
      <c r="I977" s="319" t="s">
        <v>934</v>
      </c>
      <c r="J977" s="494" t="s">
        <v>3412</v>
      </c>
      <c r="K977" s="132" t="s">
        <v>2521</v>
      </c>
    </row>
    <row r="978" spans="2:11" ht="46.8" x14ac:dyDescent="0.3">
      <c r="B978" s="31" t="s">
        <v>3116</v>
      </c>
      <c r="C978" s="130" t="s">
        <v>372</v>
      </c>
      <c r="D978" s="43" t="s">
        <v>320</v>
      </c>
      <c r="E978" s="126" t="s">
        <v>515</v>
      </c>
      <c r="F978" s="504">
        <v>2.5</v>
      </c>
      <c r="G978" s="248" t="s">
        <v>3485</v>
      </c>
      <c r="H978" s="542" t="s">
        <v>3486</v>
      </c>
      <c r="I978" s="319" t="s">
        <v>934</v>
      </c>
      <c r="J978" s="494" t="s">
        <v>3487</v>
      </c>
      <c r="K978" s="132" t="s">
        <v>2521</v>
      </c>
    </row>
    <row r="979" spans="2:11" ht="46.8" x14ac:dyDescent="0.3">
      <c r="B979" s="31" t="s">
        <v>3116</v>
      </c>
      <c r="C979" s="130" t="s">
        <v>372</v>
      </c>
      <c r="D979" s="43" t="s">
        <v>320</v>
      </c>
      <c r="E979" s="126" t="s">
        <v>515</v>
      </c>
      <c r="F979" s="504">
        <v>2.5</v>
      </c>
      <c r="G979" s="248" t="s">
        <v>3550</v>
      </c>
      <c r="H979" s="542" t="s">
        <v>3260</v>
      </c>
      <c r="I979" s="319" t="s">
        <v>934</v>
      </c>
      <c r="J979" s="494" t="s">
        <v>3551</v>
      </c>
      <c r="K979" s="132" t="s">
        <v>2521</v>
      </c>
    </row>
    <row r="980" spans="2:11" ht="46.8" x14ac:dyDescent="0.3">
      <c r="B980" s="31" t="s">
        <v>3116</v>
      </c>
      <c r="C980" s="130" t="s">
        <v>372</v>
      </c>
      <c r="D980" s="43" t="s">
        <v>320</v>
      </c>
      <c r="E980" s="126" t="s">
        <v>515</v>
      </c>
      <c r="F980" s="504">
        <v>2.5</v>
      </c>
      <c r="G980" s="248" t="s">
        <v>3638</v>
      </c>
      <c r="H980" s="542" t="s">
        <v>3639</v>
      </c>
      <c r="I980" s="319" t="s">
        <v>1302</v>
      </c>
      <c r="J980" s="494" t="s">
        <v>3640</v>
      </c>
      <c r="K980" s="132" t="s">
        <v>2521</v>
      </c>
    </row>
    <row r="981" spans="2:11" ht="46.8" x14ac:dyDescent="0.3">
      <c r="B981" s="31" t="s">
        <v>3116</v>
      </c>
      <c r="C981" s="130" t="s">
        <v>372</v>
      </c>
      <c r="D981" s="43" t="s">
        <v>320</v>
      </c>
      <c r="E981" s="126" t="s">
        <v>515</v>
      </c>
      <c r="F981" s="504">
        <v>2.5</v>
      </c>
      <c r="G981" s="248" t="s">
        <v>3722</v>
      </c>
      <c r="H981" s="542" t="s">
        <v>3618</v>
      </c>
      <c r="I981" s="319" t="s">
        <v>1302</v>
      </c>
      <c r="J981" s="494" t="s">
        <v>3723</v>
      </c>
      <c r="K981" s="132" t="s">
        <v>2521</v>
      </c>
    </row>
    <row r="982" spans="2:11" ht="46.8" x14ac:dyDescent="0.3">
      <c r="B982" s="31" t="s">
        <v>3116</v>
      </c>
      <c r="C982" s="130" t="s">
        <v>372</v>
      </c>
      <c r="D982" s="43" t="s">
        <v>320</v>
      </c>
      <c r="E982" s="126" t="s">
        <v>515</v>
      </c>
      <c r="F982" s="504">
        <v>2.5</v>
      </c>
      <c r="G982" s="248" t="s">
        <v>3775</v>
      </c>
      <c r="H982" s="542" t="s">
        <v>3776</v>
      </c>
      <c r="I982" s="319" t="s">
        <v>97</v>
      </c>
      <c r="J982" s="494" t="s">
        <v>3777</v>
      </c>
      <c r="K982" s="132" t="s">
        <v>2521</v>
      </c>
    </row>
    <row r="983" spans="2:11" ht="46.8" x14ac:dyDescent="0.3">
      <c r="B983" s="31" t="s">
        <v>3116</v>
      </c>
      <c r="C983" s="130" t="s">
        <v>372</v>
      </c>
      <c r="D983" s="43" t="s">
        <v>320</v>
      </c>
      <c r="E983" s="126" t="s">
        <v>515</v>
      </c>
      <c r="F983" s="504">
        <v>2.2000000000000002</v>
      </c>
      <c r="G983" s="248" t="s">
        <v>3841</v>
      </c>
      <c r="H983" s="542" t="s">
        <v>3842</v>
      </c>
      <c r="I983" s="319" t="s">
        <v>97</v>
      </c>
      <c r="J983" s="494" t="s">
        <v>3843</v>
      </c>
      <c r="K983" s="132" t="s">
        <v>2521</v>
      </c>
    </row>
    <row r="984" spans="2:11" ht="46.8" x14ac:dyDescent="0.3">
      <c r="B984" s="31" t="s">
        <v>3116</v>
      </c>
      <c r="C984" s="130" t="s">
        <v>372</v>
      </c>
      <c r="D984" s="43" t="s">
        <v>320</v>
      </c>
      <c r="E984" s="126" t="s">
        <v>515</v>
      </c>
      <c r="F984" s="504">
        <v>2.8</v>
      </c>
      <c r="G984" s="248" t="s">
        <v>3909</v>
      </c>
      <c r="H984" s="542" t="s">
        <v>3910</v>
      </c>
      <c r="I984" s="319" t="s">
        <v>97</v>
      </c>
      <c r="J984" s="494" t="s">
        <v>3911</v>
      </c>
      <c r="K984" s="132" t="s">
        <v>2521</v>
      </c>
    </row>
    <row r="985" spans="2:11" ht="46.8" x14ac:dyDescent="0.3">
      <c r="B985" s="31" t="s">
        <v>3116</v>
      </c>
      <c r="C985" s="130" t="s">
        <v>372</v>
      </c>
      <c r="D985" s="43" t="s">
        <v>320</v>
      </c>
      <c r="E985" s="126" t="s">
        <v>515</v>
      </c>
      <c r="F985" s="504">
        <v>2.7</v>
      </c>
      <c r="G985" s="248" t="s">
        <v>3975</v>
      </c>
      <c r="H985" s="542" t="s">
        <v>3976</v>
      </c>
      <c r="I985" s="319" t="s">
        <v>937</v>
      </c>
      <c r="J985" s="494" t="s">
        <v>3977</v>
      </c>
      <c r="K985" s="132" t="s">
        <v>2521</v>
      </c>
    </row>
    <row r="986" spans="2:11" ht="46.8" x14ac:dyDescent="0.3">
      <c r="B986" s="31" t="s">
        <v>3116</v>
      </c>
      <c r="C986" s="130" t="s">
        <v>372</v>
      </c>
      <c r="D986" s="43" t="s">
        <v>320</v>
      </c>
      <c r="E986" s="126" t="s">
        <v>515</v>
      </c>
      <c r="F986" s="504">
        <v>2.8</v>
      </c>
      <c r="G986" s="587" t="s">
        <v>4040</v>
      </c>
      <c r="H986" s="542" t="s">
        <v>4041</v>
      </c>
      <c r="I986" s="319" t="s">
        <v>1262</v>
      </c>
      <c r="J986" s="494" t="s">
        <v>4042</v>
      </c>
      <c r="K986" s="132" t="s">
        <v>2521</v>
      </c>
    </row>
    <row r="987" spans="2:11" ht="46.8" x14ac:dyDescent="0.3">
      <c r="B987" s="31" t="s">
        <v>3116</v>
      </c>
      <c r="C987" s="130" t="s">
        <v>372</v>
      </c>
      <c r="D987" s="43" t="s">
        <v>320</v>
      </c>
      <c r="E987" s="126" t="s">
        <v>515</v>
      </c>
      <c r="F987" s="504">
        <v>2.5</v>
      </c>
      <c r="G987" s="248" t="s">
        <v>4111</v>
      </c>
      <c r="H987" s="542" t="s">
        <v>4112</v>
      </c>
      <c r="I987" s="319" t="s">
        <v>1509</v>
      </c>
      <c r="J987" s="494" t="s">
        <v>4113</v>
      </c>
      <c r="K987" s="132" t="s">
        <v>2521</v>
      </c>
    </row>
    <row r="988" spans="2:11" ht="46.8" x14ac:dyDescent="0.3">
      <c r="B988" s="31" t="s">
        <v>3116</v>
      </c>
      <c r="C988" s="130" t="s">
        <v>372</v>
      </c>
      <c r="D988" s="43" t="s">
        <v>320</v>
      </c>
      <c r="E988" s="126" t="s">
        <v>515</v>
      </c>
      <c r="F988" s="504">
        <v>2.5</v>
      </c>
      <c r="G988" s="248" t="s">
        <v>4189</v>
      </c>
      <c r="H988" s="542" t="s">
        <v>4190</v>
      </c>
      <c r="I988" s="319" t="s">
        <v>940</v>
      </c>
      <c r="J988" s="494" t="s">
        <v>4191</v>
      </c>
      <c r="K988" s="132" t="s">
        <v>2521</v>
      </c>
    </row>
    <row r="989" spans="2:11" ht="46.8" x14ac:dyDescent="0.3">
      <c r="B989" s="31" t="s">
        <v>3116</v>
      </c>
      <c r="C989" s="130" t="s">
        <v>372</v>
      </c>
      <c r="D989" s="43" t="s">
        <v>320</v>
      </c>
      <c r="E989" s="126" t="s">
        <v>515</v>
      </c>
      <c r="F989" s="504">
        <v>2.5</v>
      </c>
      <c r="G989" s="248" t="s">
        <v>4266</v>
      </c>
      <c r="H989" s="542" t="s">
        <v>4267</v>
      </c>
      <c r="I989" s="319" t="s">
        <v>1026</v>
      </c>
      <c r="J989" s="494" t="s">
        <v>4268</v>
      </c>
      <c r="K989" s="132" t="s">
        <v>2521</v>
      </c>
    </row>
    <row r="990" spans="2:11" ht="46.8" x14ac:dyDescent="0.3">
      <c r="B990" s="31" t="s">
        <v>3116</v>
      </c>
      <c r="C990" s="130" t="s">
        <v>372</v>
      </c>
      <c r="D990" s="43" t="s">
        <v>320</v>
      </c>
      <c r="E990" s="126" t="s">
        <v>515</v>
      </c>
      <c r="F990" s="504">
        <v>2.5</v>
      </c>
      <c r="G990" s="248" t="s">
        <v>4328</v>
      </c>
      <c r="H990" s="542" t="s">
        <v>4329</v>
      </c>
      <c r="I990" s="319" t="s">
        <v>1026</v>
      </c>
      <c r="J990" s="494" t="s">
        <v>4330</v>
      </c>
      <c r="K990" s="132" t="s">
        <v>2521</v>
      </c>
    </row>
    <row r="991" spans="2:11" ht="46.8" x14ac:dyDescent="0.3">
      <c r="B991" s="31" t="s">
        <v>3116</v>
      </c>
      <c r="C991" s="130" t="s">
        <v>372</v>
      </c>
      <c r="D991" s="43" t="s">
        <v>320</v>
      </c>
      <c r="E991" s="126" t="s">
        <v>515</v>
      </c>
      <c r="F991" s="504">
        <v>2.5</v>
      </c>
      <c r="G991" s="248" t="s">
        <v>4382</v>
      </c>
      <c r="H991" s="542" t="s">
        <v>4059</v>
      </c>
      <c r="I991" s="319" t="s">
        <v>1026</v>
      </c>
      <c r="J991" s="494" t="s">
        <v>4383</v>
      </c>
      <c r="K991" s="132" t="s">
        <v>2521</v>
      </c>
    </row>
    <row r="992" spans="2:11" ht="46.8" x14ac:dyDescent="0.3">
      <c r="B992" s="31" t="s">
        <v>3116</v>
      </c>
      <c r="C992" s="130" t="s">
        <v>372</v>
      </c>
      <c r="D992" s="43" t="s">
        <v>320</v>
      </c>
      <c r="E992" s="126" t="s">
        <v>515</v>
      </c>
      <c r="F992" s="504">
        <v>2.5499999999999998</v>
      </c>
      <c r="G992" s="248" t="s">
        <v>4445</v>
      </c>
      <c r="H992" s="542" t="s">
        <v>3342</v>
      </c>
      <c r="I992" s="319" t="s">
        <v>1282</v>
      </c>
      <c r="J992" s="494" t="s">
        <v>4446</v>
      </c>
      <c r="K992" s="132" t="s">
        <v>2521</v>
      </c>
    </row>
    <row r="993" spans="1:37" ht="46.8" x14ac:dyDescent="0.3">
      <c r="B993" s="31" t="s">
        <v>3116</v>
      </c>
      <c r="C993" s="130" t="s">
        <v>372</v>
      </c>
      <c r="D993" s="43" t="s">
        <v>320</v>
      </c>
      <c r="E993" s="126" t="s">
        <v>515</v>
      </c>
      <c r="F993" s="504">
        <v>3.15</v>
      </c>
      <c r="G993" s="248" t="s">
        <v>4499</v>
      </c>
      <c r="H993" s="542" t="s">
        <v>4500</v>
      </c>
      <c r="I993" s="319" t="s">
        <v>943</v>
      </c>
      <c r="J993" s="494" t="s">
        <v>4501</v>
      </c>
      <c r="K993" s="132" t="s">
        <v>2521</v>
      </c>
    </row>
    <row r="994" spans="1:37" ht="46.8" x14ac:dyDescent="0.3">
      <c r="B994" s="31" t="s">
        <v>3116</v>
      </c>
      <c r="C994" s="130" t="s">
        <v>372</v>
      </c>
      <c r="D994" s="43" t="s">
        <v>320</v>
      </c>
      <c r="E994" s="126" t="s">
        <v>515</v>
      </c>
      <c r="F994" s="504">
        <v>1</v>
      </c>
      <c r="G994" s="587" t="s">
        <v>4553</v>
      </c>
      <c r="H994" s="585" t="s">
        <v>4554</v>
      </c>
      <c r="I994" s="784" t="s">
        <v>1315</v>
      </c>
      <c r="J994" s="494" t="s">
        <v>4555</v>
      </c>
      <c r="K994" s="132" t="s">
        <v>2521</v>
      </c>
    </row>
    <row r="995" spans="1:37" ht="46.8" x14ac:dyDescent="0.3">
      <c r="A995" s="481"/>
      <c r="B995" s="589" t="s">
        <v>540</v>
      </c>
      <c r="C995" s="590" t="s">
        <v>376</v>
      </c>
      <c r="D995" s="41" t="s">
        <v>320</v>
      </c>
      <c r="E995" s="126" t="s">
        <v>515</v>
      </c>
      <c r="F995" s="1195">
        <v>2.1150000000000002</v>
      </c>
      <c r="G995" s="587" t="s">
        <v>4679</v>
      </c>
      <c r="H995" s="585" t="s">
        <v>4680</v>
      </c>
      <c r="I995" s="1306" t="s">
        <v>119</v>
      </c>
      <c r="J995" s="494" t="s">
        <v>648</v>
      </c>
      <c r="K995" s="481" t="s">
        <v>2521</v>
      </c>
      <c r="L995" s="481"/>
      <c r="M995" s="481"/>
      <c r="N995" s="481"/>
      <c r="O995" s="481"/>
      <c r="P995" s="481"/>
      <c r="Q995" s="481"/>
      <c r="R995" s="481"/>
      <c r="S995" s="481"/>
      <c r="T995" s="481"/>
      <c r="U995" s="481"/>
      <c r="V995" s="481"/>
      <c r="W995" s="481"/>
      <c r="X995" s="481"/>
      <c r="Y995" s="481"/>
      <c r="Z995" s="481"/>
      <c r="AA995" s="481"/>
      <c r="AB995" s="481"/>
      <c r="AC995" s="481"/>
      <c r="AD995" s="481"/>
      <c r="AE995" s="481"/>
      <c r="AF995" s="481"/>
      <c r="AG995" s="481"/>
      <c r="AH995" s="481"/>
      <c r="AI995" s="481"/>
      <c r="AJ995" s="481"/>
      <c r="AK995" s="481"/>
    </row>
    <row r="996" spans="1:37" ht="46.8" x14ac:dyDescent="0.3">
      <c r="A996" s="481"/>
      <c r="B996" s="589" t="s">
        <v>540</v>
      </c>
      <c r="C996" s="590" t="s">
        <v>376</v>
      </c>
      <c r="D996" s="41" t="s">
        <v>320</v>
      </c>
      <c r="E996" s="126" t="s">
        <v>515</v>
      </c>
      <c r="F996" s="1195">
        <v>4</v>
      </c>
      <c r="G996" s="587" t="s">
        <v>4681</v>
      </c>
      <c r="H996" s="585" t="s">
        <v>4676</v>
      </c>
      <c r="I996" s="1306" t="s">
        <v>119</v>
      </c>
      <c r="J996" s="494" t="s">
        <v>702</v>
      </c>
      <c r="K996" s="481" t="s">
        <v>2521</v>
      </c>
      <c r="L996" s="481"/>
      <c r="M996" s="481"/>
      <c r="N996" s="481"/>
      <c r="O996" s="481"/>
      <c r="P996" s="481"/>
      <c r="Q996" s="481"/>
      <c r="R996" s="481"/>
      <c r="S996" s="481"/>
      <c r="T996" s="481"/>
      <c r="U996" s="481"/>
      <c r="V996" s="481"/>
      <c r="W996" s="481"/>
      <c r="X996" s="481"/>
      <c r="Y996" s="481"/>
      <c r="Z996" s="481"/>
      <c r="AA996" s="481"/>
      <c r="AB996" s="481"/>
      <c r="AC996" s="481"/>
      <c r="AD996" s="481"/>
      <c r="AE996" s="481"/>
      <c r="AF996" s="481"/>
      <c r="AG996" s="481"/>
      <c r="AH996" s="481"/>
      <c r="AI996" s="481"/>
      <c r="AJ996" s="481"/>
      <c r="AK996" s="481"/>
    </row>
    <row r="997" spans="1:37" ht="46.8" x14ac:dyDescent="0.3">
      <c r="A997" s="481"/>
      <c r="B997" s="589" t="s">
        <v>540</v>
      </c>
      <c r="C997" s="590" t="s">
        <v>376</v>
      </c>
      <c r="D997" s="41" t="s">
        <v>320</v>
      </c>
      <c r="E997" s="126" t="s">
        <v>515</v>
      </c>
      <c r="F997" s="1195">
        <v>0.63</v>
      </c>
      <c r="G997" s="587" t="s">
        <v>4682</v>
      </c>
      <c r="H997" s="585" t="s">
        <v>4683</v>
      </c>
      <c r="I997" s="1306" t="s">
        <v>119</v>
      </c>
      <c r="J997" s="494" t="s">
        <v>602</v>
      </c>
      <c r="K997" s="481" t="s">
        <v>2521</v>
      </c>
      <c r="L997" s="481"/>
      <c r="M997" s="481"/>
      <c r="N997" s="481"/>
      <c r="O997" s="481"/>
      <c r="P997" s="481"/>
      <c r="Q997" s="481"/>
      <c r="R997" s="481"/>
      <c r="S997" s="481"/>
      <c r="T997" s="481"/>
      <c r="U997" s="481"/>
      <c r="V997" s="481"/>
      <c r="W997" s="481"/>
      <c r="X997" s="481"/>
      <c r="Y997" s="481"/>
      <c r="Z997" s="481"/>
      <c r="AA997" s="481"/>
      <c r="AB997" s="481"/>
      <c r="AC997" s="481"/>
      <c r="AD997" s="481"/>
      <c r="AE997" s="481"/>
      <c r="AF997" s="481"/>
      <c r="AG997" s="481"/>
      <c r="AH997" s="481"/>
      <c r="AI997" s="481"/>
      <c r="AJ997" s="481"/>
      <c r="AK997" s="481"/>
    </row>
    <row r="998" spans="1:37" ht="46.8" x14ac:dyDescent="0.3">
      <c r="B998" s="31" t="s">
        <v>3058</v>
      </c>
      <c r="C998" s="130" t="s">
        <v>369</v>
      </c>
      <c r="D998" s="43" t="s">
        <v>190</v>
      </c>
      <c r="E998" s="126" t="s">
        <v>515</v>
      </c>
      <c r="F998" s="504">
        <v>1</v>
      </c>
      <c r="G998" s="126" t="s">
        <v>3081</v>
      </c>
      <c r="H998" s="304">
        <v>45959</v>
      </c>
      <c r="I998" s="319" t="s">
        <v>1026</v>
      </c>
      <c r="J998" s="494" t="s">
        <v>3082</v>
      </c>
      <c r="K998" s="132" t="s">
        <v>3082</v>
      </c>
    </row>
    <row r="999" spans="1:37" ht="46.8" x14ac:dyDescent="0.3">
      <c r="B999" s="31" t="s">
        <v>3087</v>
      </c>
      <c r="C999" s="130" t="s">
        <v>3088</v>
      </c>
      <c r="D999" s="43" t="s">
        <v>190</v>
      </c>
      <c r="E999" s="126" t="s">
        <v>515</v>
      </c>
      <c r="F999" s="504">
        <v>1</v>
      </c>
      <c r="G999" s="126" t="s">
        <v>3111</v>
      </c>
      <c r="H999" s="304">
        <v>45962</v>
      </c>
      <c r="I999" s="319" t="s">
        <v>1282</v>
      </c>
      <c r="J999" s="494" t="s">
        <v>3082</v>
      </c>
      <c r="K999" s="132" t="s">
        <v>3082</v>
      </c>
      <c r="L999" s="58"/>
    </row>
    <row r="1000" spans="1:37" ht="46.8" x14ac:dyDescent="0.3">
      <c r="B1000" s="31" t="s">
        <v>3116</v>
      </c>
      <c r="C1000" s="130" t="s">
        <v>372</v>
      </c>
      <c r="D1000" s="43" t="s">
        <v>320</v>
      </c>
      <c r="E1000" s="126" t="s">
        <v>515</v>
      </c>
      <c r="F1000" s="504">
        <v>4.4800000000000004</v>
      </c>
      <c r="G1000" s="248" t="s">
        <v>3184</v>
      </c>
      <c r="H1000" s="542" t="s">
        <v>3185</v>
      </c>
      <c r="I1000" s="319" t="s">
        <v>1282</v>
      </c>
      <c r="J1000" s="494" t="s">
        <v>3186</v>
      </c>
      <c r="K1000" s="132" t="s">
        <v>3082</v>
      </c>
    </row>
    <row r="1001" spans="1:37" ht="46.8" x14ac:dyDescent="0.3">
      <c r="B1001" s="31" t="s">
        <v>3116</v>
      </c>
      <c r="C1001" s="130" t="s">
        <v>372</v>
      </c>
      <c r="D1001" s="43" t="s">
        <v>320</v>
      </c>
      <c r="E1001" s="126" t="s">
        <v>515</v>
      </c>
      <c r="F1001" s="504">
        <v>2.5</v>
      </c>
      <c r="G1001" s="1128" t="s">
        <v>3265</v>
      </c>
      <c r="H1001" s="542" t="s">
        <v>3266</v>
      </c>
      <c r="I1001" s="319" t="s">
        <v>1282</v>
      </c>
      <c r="J1001" s="494" t="s">
        <v>3267</v>
      </c>
      <c r="K1001" s="132" t="s">
        <v>3082</v>
      </c>
    </row>
    <row r="1002" spans="1:37" ht="46.8" x14ac:dyDescent="0.3">
      <c r="B1002" s="31" t="s">
        <v>3116</v>
      </c>
      <c r="C1002" s="130" t="s">
        <v>372</v>
      </c>
      <c r="D1002" s="43" t="s">
        <v>320</v>
      </c>
      <c r="E1002" s="126" t="s">
        <v>515</v>
      </c>
      <c r="F1002" s="504">
        <v>2.5</v>
      </c>
      <c r="G1002" s="1128" t="s">
        <v>3341</v>
      </c>
      <c r="H1002" s="542" t="s">
        <v>3342</v>
      </c>
      <c r="I1002" s="319" t="s">
        <v>1282</v>
      </c>
      <c r="J1002" s="494" t="s">
        <v>3343</v>
      </c>
      <c r="K1002" s="132" t="s">
        <v>3082</v>
      </c>
    </row>
    <row r="1003" spans="1:37" ht="46.8" x14ac:dyDescent="0.3">
      <c r="B1003" s="31" t="s">
        <v>3116</v>
      </c>
      <c r="C1003" s="130" t="s">
        <v>372</v>
      </c>
      <c r="D1003" s="43" t="s">
        <v>320</v>
      </c>
      <c r="E1003" s="126" t="s">
        <v>515</v>
      </c>
      <c r="F1003" s="504">
        <v>2.5</v>
      </c>
      <c r="G1003" s="1128" t="s">
        <v>3419</v>
      </c>
      <c r="H1003" s="542" t="s">
        <v>3420</v>
      </c>
      <c r="I1003" s="319" t="s">
        <v>1282</v>
      </c>
      <c r="J1003" s="494" t="s">
        <v>3421</v>
      </c>
      <c r="K1003" s="132" t="s">
        <v>3082</v>
      </c>
    </row>
    <row r="1004" spans="1:37" ht="46.8" x14ac:dyDescent="0.3">
      <c r="B1004" s="31" t="s">
        <v>3116</v>
      </c>
      <c r="C1004" s="130" t="s">
        <v>372</v>
      </c>
      <c r="D1004" s="43" t="s">
        <v>320</v>
      </c>
      <c r="E1004" s="126" t="s">
        <v>515</v>
      </c>
      <c r="F1004" s="504">
        <v>2.5</v>
      </c>
      <c r="G1004" s="248" t="s">
        <v>3497</v>
      </c>
      <c r="H1004" s="542" t="s">
        <v>3498</v>
      </c>
      <c r="I1004" s="319" t="s">
        <v>943</v>
      </c>
      <c r="J1004" s="494" t="s">
        <v>3499</v>
      </c>
      <c r="K1004" s="132" t="s">
        <v>3082</v>
      </c>
    </row>
    <row r="1005" spans="1:37" ht="46.8" x14ac:dyDescent="0.3">
      <c r="B1005" s="31" t="s">
        <v>3116</v>
      </c>
      <c r="C1005" s="130" t="s">
        <v>372</v>
      </c>
      <c r="D1005" s="43" t="s">
        <v>320</v>
      </c>
      <c r="E1005" s="126" t="s">
        <v>515</v>
      </c>
      <c r="F1005" s="504">
        <v>2.5</v>
      </c>
      <c r="G1005" s="248" t="s">
        <v>3572</v>
      </c>
      <c r="H1005" s="542" t="s">
        <v>3573</v>
      </c>
      <c r="I1005" s="319" t="s">
        <v>943</v>
      </c>
      <c r="J1005" s="494" t="s">
        <v>3574</v>
      </c>
      <c r="K1005" s="132" t="s">
        <v>3082</v>
      </c>
    </row>
    <row r="1006" spans="1:37" ht="46.8" x14ac:dyDescent="0.3">
      <c r="B1006" s="31" t="s">
        <v>3116</v>
      </c>
      <c r="C1006" s="130" t="s">
        <v>372</v>
      </c>
      <c r="D1006" s="43" t="s">
        <v>320</v>
      </c>
      <c r="E1006" s="126" t="s">
        <v>515</v>
      </c>
      <c r="F1006" s="504">
        <v>2.5</v>
      </c>
      <c r="G1006" s="248" t="s">
        <v>3647</v>
      </c>
      <c r="H1006" s="542" t="s">
        <v>3648</v>
      </c>
      <c r="I1006" s="319" t="s">
        <v>943</v>
      </c>
      <c r="J1006" s="494" t="s">
        <v>3649</v>
      </c>
      <c r="K1006" s="132" t="s">
        <v>3082</v>
      </c>
    </row>
    <row r="1007" spans="1:37" ht="46.8" x14ac:dyDescent="0.3">
      <c r="B1007" s="31" t="s">
        <v>3116</v>
      </c>
      <c r="C1007" s="130" t="s">
        <v>372</v>
      </c>
      <c r="D1007" s="43" t="s">
        <v>320</v>
      </c>
      <c r="E1007" s="126" t="s">
        <v>515</v>
      </c>
      <c r="F1007" s="504">
        <v>2.5</v>
      </c>
      <c r="G1007" s="248" t="s">
        <v>3724</v>
      </c>
      <c r="H1007" s="542" t="s">
        <v>3725</v>
      </c>
      <c r="I1007" s="319" t="s">
        <v>943</v>
      </c>
      <c r="J1007" s="494" t="s">
        <v>3726</v>
      </c>
      <c r="K1007" s="132" t="s">
        <v>3082</v>
      </c>
    </row>
    <row r="1008" spans="1:37" ht="46.8" x14ac:dyDescent="0.3">
      <c r="B1008" s="31" t="s">
        <v>3116</v>
      </c>
      <c r="C1008" s="130" t="s">
        <v>372</v>
      </c>
      <c r="D1008" s="43" t="s">
        <v>320</v>
      </c>
      <c r="E1008" s="126" t="s">
        <v>515</v>
      </c>
      <c r="F1008" s="504">
        <v>0.5</v>
      </c>
      <c r="G1008" s="248" t="s">
        <v>3790</v>
      </c>
      <c r="H1008" s="542" t="s">
        <v>3791</v>
      </c>
      <c r="I1008" s="319" t="s">
        <v>943</v>
      </c>
      <c r="J1008" s="494" t="s">
        <v>3792</v>
      </c>
      <c r="K1008" s="132" t="s">
        <v>3082</v>
      </c>
    </row>
    <row r="1009" spans="2:12" ht="46.8" x14ac:dyDescent="0.3">
      <c r="B1009" s="31" t="s">
        <v>3116</v>
      </c>
      <c r="C1009" s="130" t="s">
        <v>372</v>
      </c>
      <c r="D1009" s="43" t="s">
        <v>320</v>
      </c>
      <c r="E1009" s="126" t="s">
        <v>515</v>
      </c>
      <c r="F1009" s="504">
        <v>2.8</v>
      </c>
      <c r="G1009" s="248" t="s">
        <v>3859</v>
      </c>
      <c r="H1009" s="542" t="s">
        <v>3860</v>
      </c>
      <c r="I1009" s="319" t="s">
        <v>943</v>
      </c>
      <c r="J1009" s="494" t="s">
        <v>3861</v>
      </c>
      <c r="K1009" s="132" t="s">
        <v>3082</v>
      </c>
    </row>
    <row r="1010" spans="2:12" ht="46.8" x14ac:dyDescent="0.3">
      <c r="B1010" s="31" t="s">
        <v>3116</v>
      </c>
      <c r="C1010" s="130" t="s">
        <v>372</v>
      </c>
      <c r="D1010" s="43" t="s">
        <v>320</v>
      </c>
      <c r="E1010" s="126" t="s">
        <v>515</v>
      </c>
      <c r="F1010" s="504">
        <v>2.5</v>
      </c>
      <c r="G1010" s="248" t="s">
        <v>3927</v>
      </c>
      <c r="H1010" s="542" t="s">
        <v>3928</v>
      </c>
      <c r="I1010" s="319" t="s">
        <v>1417</v>
      </c>
      <c r="J1010" s="494" t="s">
        <v>3929</v>
      </c>
      <c r="K1010" s="132" t="s">
        <v>3082</v>
      </c>
    </row>
    <row r="1011" spans="2:12" ht="46.8" x14ac:dyDescent="0.3">
      <c r="B1011" s="31" t="s">
        <v>3116</v>
      </c>
      <c r="C1011" s="130" t="s">
        <v>372</v>
      </c>
      <c r="D1011" s="43" t="s">
        <v>320</v>
      </c>
      <c r="E1011" s="126" t="s">
        <v>515</v>
      </c>
      <c r="F1011" s="504">
        <v>2.5</v>
      </c>
      <c r="G1011" s="248" t="s">
        <v>3997</v>
      </c>
      <c r="H1011" s="542" t="s">
        <v>3998</v>
      </c>
      <c r="I1011" s="319" t="s">
        <v>1417</v>
      </c>
      <c r="J1011" s="494" t="s">
        <v>3999</v>
      </c>
      <c r="K1011" s="132" t="s">
        <v>3082</v>
      </c>
    </row>
    <row r="1012" spans="2:12" ht="46.8" x14ac:dyDescent="0.3">
      <c r="B1012" s="31" t="s">
        <v>3116</v>
      </c>
      <c r="C1012" s="130" t="s">
        <v>372</v>
      </c>
      <c r="D1012" s="43" t="s">
        <v>320</v>
      </c>
      <c r="E1012" s="126" t="s">
        <v>515</v>
      </c>
      <c r="F1012" s="504">
        <v>2.5</v>
      </c>
      <c r="G1012" s="248" t="s">
        <v>4070</v>
      </c>
      <c r="H1012" s="542" t="s">
        <v>4071</v>
      </c>
      <c r="I1012" s="319" t="s">
        <v>1417</v>
      </c>
      <c r="J1012" s="494" t="s">
        <v>4072</v>
      </c>
      <c r="K1012" s="132" t="s">
        <v>3082</v>
      </c>
    </row>
    <row r="1013" spans="2:12" ht="46.8" x14ac:dyDescent="0.3">
      <c r="B1013" s="31" t="s">
        <v>3116</v>
      </c>
      <c r="C1013" s="130" t="s">
        <v>372</v>
      </c>
      <c r="D1013" s="43" t="s">
        <v>320</v>
      </c>
      <c r="E1013" s="126" t="s">
        <v>515</v>
      </c>
      <c r="F1013" s="504">
        <v>2.5</v>
      </c>
      <c r="G1013" s="248" t="s">
        <v>4143</v>
      </c>
      <c r="H1013" s="542" t="s">
        <v>4144</v>
      </c>
      <c r="I1013" s="319" t="s">
        <v>1417</v>
      </c>
      <c r="J1013" s="494" t="s">
        <v>4145</v>
      </c>
      <c r="K1013" s="132" t="s">
        <v>3082</v>
      </c>
    </row>
    <row r="1014" spans="2:12" ht="46.8" x14ac:dyDescent="0.3">
      <c r="B1014" s="31" t="s">
        <v>3116</v>
      </c>
      <c r="C1014" s="130" t="s">
        <v>372</v>
      </c>
      <c r="D1014" s="43" t="s">
        <v>320</v>
      </c>
      <c r="E1014" s="126" t="s">
        <v>515</v>
      </c>
      <c r="F1014" s="504">
        <v>2.5</v>
      </c>
      <c r="G1014" s="248" t="s">
        <v>4216</v>
      </c>
      <c r="H1014" s="542" t="s">
        <v>3269</v>
      </c>
      <c r="I1014" s="319" t="s">
        <v>1417</v>
      </c>
      <c r="J1014" s="494" t="s">
        <v>4217</v>
      </c>
      <c r="K1014" s="132" t="s">
        <v>3082</v>
      </c>
    </row>
    <row r="1015" spans="2:12" ht="46.8" x14ac:dyDescent="0.3">
      <c r="B1015" s="31" t="s">
        <v>3116</v>
      </c>
      <c r="C1015" s="130" t="s">
        <v>372</v>
      </c>
      <c r="D1015" s="43" t="s">
        <v>320</v>
      </c>
      <c r="E1015" s="126" t="s">
        <v>510</v>
      </c>
      <c r="F1015" s="504">
        <v>2.5</v>
      </c>
      <c r="G1015" s="587" t="s">
        <v>4285</v>
      </c>
      <c r="H1015" s="585" t="s">
        <v>4286</v>
      </c>
      <c r="I1015" s="784" t="s">
        <v>1315</v>
      </c>
      <c r="J1015" s="494" t="s">
        <v>4287</v>
      </c>
      <c r="K1015" s="132" t="s">
        <v>3082</v>
      </c>
    </row>
    <row r="1016" spans="2:12" ht="46.8" x14ac:dyDescent="0.3">
      <c r="B1016" s="31" t="s">
        <v>3116</v>
      </c>
      <c r="C1016" s="130" t="s">
        <v>372</v>
      </c>
      <c r="D1016" s="43" t="s">
        <v>320</v>
      </c>
      <c r="E1016" s="126" t="s">
        <v>510</v>
      </c>
      <c r="F1016" s="504">
        <v>2.5</v>
      </c>
      <c r="G1016" s="587" t="s">
        <v>4353</v>
      </c>
      <c r="H1016" s="585" t="s">
        <v>4354</v>
      </c>
      <c r="I1016" s="784" t="s">
        <v>1315</v>
      </c>
      <c r="J1016" s="494" t="s">
        <v>4355</v>
      </c>
      <c r="K1016" s="132" t="s">
        <v>3082</v>
      </c>
    </row>
    <row r="1017" spans="2:12" ht="46.8" x14ac:dyDescent="0.3">
      <c r="B1017" s="31" t="s">
        <v>3116</v>
      </c>
      <c r="C1017" s="130" t="s">
        <v>372</v>
      </c>
      <c r="D1017" s="43" t="s">
        <v>320</v>
      </c>
      <c r="E1017" s="126" t="s">
        <v>510</v>
      </c>
      <c r="F1017" s="504">
        <v>2.5</v>
      </c>
      <c r="G1017" s="587" t="s">
        <v>4416</v>
      </c>
      <c r="H1017" s="585" t="s">
        <v>4074</v>
      </c>
      <c r="I1017" s="784" t="s">
        <v>1053</v>
      </c>
      <c r="J1017" s="494" t="s">
        <v>4417</v>
      </c>
      <c r="K1017" s="132" t="s">
        <v>3082</v>
      </c>
    </row>
    <row r="1018" spans="2:12" ht="46.8" x14ac:dyDescent="0.3">
      <c r="B1018" s="31" t="s">
        <v>3058</v>
      </c>
      <c r="C1018" s="130" t="s">
        <v>369</v>
      </c>
      <c r="D1018" s="43" t="s">
        <v>190</v>
      </c>
      <c r="E1018" s="126" t="s">
        <v>510</v>
      </c>
      <c r="F1018" s="504">
        <v>1</v>
      </c>
      <c r="G1018" s="126" t="s">
        <v>3065</v>
      </c>
      <c r="H1018" s="304">
        <v>45600</v>
      </c>
      <c r="I1018" s="319" t="s">
        <v>898</v>
      </c>
      <c r="J1018" s="494" t="s">
        <v>1897</v>
      </c>
      <c r="K1018" s="132" t="s">
        <v>1897</v>
      </c>
    </row>
    <row r="1019" spans="2:12" ht="46.8" x14ac:dyDescent="0.3">
      <c r="B1019" s="31" t="s">
        <v>3087</v>
      </c>
      <c r="C1019" s="130" t="s">
        <v>3088</v>
      </c>
      <c r="D1019" s="43" t="s">
        <v>190</v>
      </c>
      <c r="E1019" s="126" t="s">
        <v>510</v>
      </c>
      <c r="F1019" s="504">
        <v>1</v>
      </c>
      <c r="G1019" s="126" t="s">
        <v>3092</v>
      </c>
      <c r="H1019" s="304">
        <v>45617</v>
      </c>
      <c r="I1019" s="319" t="s">
        <v>898</v>
      </c>
      <c r="J1019" s="494" t="s">
        <v>1897</v>
      </c>
      <c r="K1019" s="132" t="s">
        <v>1897</v>
      </c>
      <c r="L1019" s="58"/>
    </row>
    <row r="1020" spans="2:12" ht="46.8" x14ac:dyDescent="0.3">
      <c r="B1020" s="31" t="s">
        <v>3116</v>
      </c>
      <c r="C1020" s="130" t="s">
        <v>372</v>
      </c>
      <c r="D1020" s="43" t="s">
        <v>320</v>
      </c>
      <c r="E1020" s="126" t="s">
        <v>510</v>
      </c>
      <c r="F1020" s="504">
        <v>4.32</v>
      </c>
      <c r="G1020" s="248" t="s">
        <v>3121</v>
      </c>
      <c r="H1020" s="542" t="s">
        <v>3122</v>
      </c>
      <c r="I1020" s="319" t="s">
        <v>898</v>
      </c>
      <c r="J1020" s="494" t="s">
        <v>3123</v>
      </c>
      <c r="K1020" s="132" t="s">
        <v>1897</v>
      </c>
    </row>
    <row r="1021" spans="2:12" ht="46.8" x14ac:dyDescent="0.3">
      <c r="B1021" s="31" t="s">
        <v>3116</v>
      </c>
      <c r="C1021" s="130" t="s">
        <v>372</v>
      </c>
      <c r="D1021" s="43" t="s">
        <v>320</v>
      </c>
      <c r="E1021" s="126" t="s">
        <v>510</v>
      </c>
      <c r="F1021" s="504">
        <v>2.65</v>
      </c>
      <c r="G1021" s="248" t="s">
        <v>3203</v>
      </c>
      <c r="H1021" s="542" t="s">
        <v>3204</v>
      </c>
      <c r="I1021" s="319" t="s">
        <v>931</v>
      </c>
      <c r="J1021" s="494" t="s">
        <v>3205</v>
      </c>
      <c r="K1021" s="132" t="s">
        <v>1897</v>
      </c>
    </row>
    <row r="1022" spans="2:12" ht="46.8" x14ac:dyDescent="0.3">
      <c r="B1022" s="31" t="s">
        <v>3116</v>
      </c>
      <c r="C1022" s="130" t="s">
        <v>372</v>
      </c>
      <c r="D1022" s="43" t="s">
        <v>320</v>
      </c>
      <c r="E1022" s="126" t="s">
        <v>510</v>
      </c>
      <c r="F1022" s="504">
        <v>2.5</v>
      </c>
      <c r="G1022" s="248" t="s">
        <v>3283</v>
      </c>
      <c r="H1022" s="542" t="s">
        <v>3284</v>
      </c>
      <c r="I1022" s="319" t="s">
        <v>931</v>
      </c>
      <c r="J1022" s="494" t="s">
        <v>3285</v>
      </c>
      <c r="K1022" s="132" t="s">
        <v>1897</v>
      </c>
    </row>
    <row r="1023" spans="2:12" ht="46.8" x14ac:dyDescent="0.3">
      <c r="B1023" s="31" t="s">
        <v>3116</v>
      </c>
      <c r="C1023" s="130" t="s">
        <v>372</v>
      </c>
      <c r="D1023" s="43" t="s">
        <v>320</v>
      </c>
      <c r="E1023" s="126" t="s">
        <v>510</v>
      </c>
      <c r="F1023" s="504">
        <v>2.5</v>
      </c>
      <c r="G1023" s="248" t="s">
        <v>3359</v>
      </c>
      <c r="H1023" s="542" t="s">
        <v>3360</v>
      </c>
      <c r="I1023" s="319" t="s">
        <v>931</v>
      </c>
      <c r="J1023" s="494" t="s">
        <v>3361</v>
      </c>
      <c r="K1023" s="132" t="s">
        <v>1897</v>
      </c>
    </row>
    <row r="1024" spans="2:12" ht="46.8" x14ac:dyDescent="0.3">
      <c r="B1024" s="31" t="s">
        <v>3116</v>
      </c>
      <c r="C1024" s="130" t="s">
        <v>372</v>
      </c>
      <c r="D1024" s="43" t="s">
        <v>320</v>
      </c>
      <c r="E1024" s="126" t="s">
        <v>510</v>
      </c>
      <c r="F1024" s="504">
        <v>2.5</v>
      </c>
      <c r="G1024" s="587" t="s">
        <v>3443</v>
      </c>
      <c r="H1024" s="585" t="s">
        <v>3444</v>
      </c>
      <c r="I1024" s="784" t="s">
        <v>1326</v>
      </c>
      <c r="J1024" s="494" t="s">
        <v>3445</v>
      </c>
      <c r="K1024" s="132" t="s">
        <v>1897</v>
      </c>
    </row>
    <row r="1025" spans="1:37" ht="46.8" x14ac:dyDescent="0.3">
      <c r="B1025" s="31" t="s">
        <v>3116</v>
      </c>
      <c r="C1025" s="130" t="s">
        <v>372</v>
      </c>
      <c r="D1025" s="43" t="s">
        <v>320</v>
      </c>
      <c r="E1025" s="126" t="s">
        <v>510</v>
      </c>
      <c r="F1025" s="504">
        <v>2.5</v>
      </c>
      <c r="G1025" s="587" t="s">
        <v>3517</v>
      </c>
      <c r="H1025" s="585" t="s">
        <v>3518</v>
      </c>
      <c r="I1025" s="319" t="s">
        <v>1326</v>
      </c>
      <c r="J1025" s="494" t="s">
        <v>3519</v>
      </c>
      <c r="K1025" s="132" t="s">
        <v>1897</v>
      </c>
    </row>
    <row r="1026" spans="1:37" ht="46.8" x14ac:dyDescent="0.3">
      <c r="B1026" s="31" t="s">
        <v>3116</v>
      </c>
      <c r="C1026" s="130" t="s">
        <v>372</v>
      </c>
      <c r="D1026" s="43" t="s">
        <v>320</v>
      </c>
      <c r="E1026" s="126" t="s">
        <v>510</v>
      </c>
      <c r="F1026" s="504">
        <v>2.5</v>
      </c>
      <c r="G1026" s="248" t="s">
        <v>3589</v>
      </c>
      <c r="H1026" s="542" t="s">
        <v>3590</v>
      </c>
      <c r="I1026" s="319" t="s">
        <v>1326</v>
      </c>
      <c r="J1026" s="494" t="s">
        <v>3591</v>
      </c>
      <c r="K1026" s="132" t="s">
        <v>1897</v>
      </c>
    </row>
    <row r="1027" spans="1:37" ht="46.8" x14ac:dyDescent="0.3">
      <c r="B1027" s="31" t="s">
        <v>3116</v>
      </c>
      <c r="C1027" s="130" t="s">
        <v>372</v>
      </c>
      <c r="D1027" s="43" t="s">
        <v>320</v>
      </c>
      <c r="E1027" s="126" t="s">
        <v>510</v>
      </c>
      <c r="F1027" s="504">
        <v>2.5</v>
      </c>
      <c r="G1027" s="248" t="s">
        <v>3727</v>
      </c>
      <c r="H1027" s="542" t="s">
        <v>3728</v>
      </c>
      <c r="I1027" s="319" t="s">
        <v>1250</v>
      </c>
      <c r="J1027" s="494" t="s">
        <v>3729</v>
      </c>
      <c r="K1027" s="132" t="s">
        <v>1897</v>
      </c>
    </row>
    <row r="1028" spans="1:37" ht="46.8" x14ac:dyDescent="0.3">
      <c r="B1028" s="31" t="s">
        <v>3116</v>
      </c>
      <c r="C1028" s="130" t="s">
        <v>372</v>
      </c>
      <c r="D1028" s="43" t="s">
        <v>320</v>
      </c>
      <c r="E1028" s="126" t="s">
        <v>510</v>
      </c>
      <c r="F1028" s="504">
        <v>0.5</v>
      </c>
      <c r="G1028" s="248" t="s">
        <v>3739</v>
      </c>
      <c r="H1028" s="542" t="s">
        <v>3251</v>
      </c>
      <c r="I1028" s="319" t="s">
        <v>1250</v>
      </c>
      <c r="J1028" s="494" t="s">
        <v>3740</v>
      </c>
      <c r="K1028" s="132" t="s">
        <v>1897</v>
      </c>
    </row>
    <row r="1029" spans="1:37" ht="46.8" x14ac:dyDescent="0.3">
      <c r="B1029" s="31" t="s">
        <v>3116</v>
      </c>
      <c r="C1029" s="130" t="s">
        <v>372</v>
      </c>
      <c r="D1029" s="43" t="s">
        <v>320</v>
      </c>
      <c r="E1029" s="126" t="s">
        <v>510</v>
      </c>
      <c r="F1029" s="504">
        <v>2.5</v>
      </c>
      <c r="G1029" s="248" t="s">
        <v>3804</v>
      </c>
      <c r="H1029" s="542" t="s">
        <v>3240</v>
      </c>
      <c r="I1029" s="319" t="s">
        <v>1250</v>
      </c>
      <c r="J1029" s="494" t="s">
        <v>3805</v>
      </c>
      <c r="K1029" s="132" t="s">
        <v>1897</v>
      </c>
    </row>
    <row r="1030" spans="1:37" ht="46.8" x14ac:dyDescent="0.3">
      <c r="B1030" s="31" t="s">
        <v>3116</v>
      </c>
      <c r="C1030" s="130" t="s">
        <v>372</v>
      </c>
      <c r="D1030" s="43" t="s">
        <v>320</v>
      </c>
      <c r="E1030" s="126" t="s">
        <v>510</v>
      </c>
      <c r="F1030" s="504">
        <v>2.66</v>
      </c>
      <c r="G1030" s="587" t="s">
        <v>3874</v>
      </c>
      <c r="H1030" s="585" t="s">
        <v>3473</v>
      </c>
      <c r="I1030" s="319" t="s">
        <v>934</v>
      </c>
      <c r="J1030" s="494" t="s">
        <v>3875</v>
      </c>
      <c r="K1030" s="132" t="s">
        <v>1897</v>
      </c>
    </row>
    <row r="1031" spans="1:37" ht="46.8" x14ac:dyDescent="0.3">
      <c r="B1031" s="31" t="s">
        <v>3116</v>
      </c>
      <c r="C1031" s="130" t="s">
        <v>372</v>
      </c>
      <c r="D1031" s="43" t="s">
        <v>320</v>
      </c>
      <c r="E1031" s="126" t="s">
        <v>510</v>
      </c>
      <c r="F1031" s="504">
        <v>2.5</v>
      </c>
      <c r="G1031" s="248" t="s">
        <v>3944</v>
      </c>
      <c r="H1031" s="542" t="s">
        <v>3553</v>
      </c>
      <c r="I1031" s="319" t="s">
        <v>1302</v>
      </c>
      <c r="J1031" s="494" t="s">
        <v>3945</v>
      </c>
      <c r="K1031" s="132" t="s">
        <v>1897</v>
      </c>
    </row>
    <row r="1032" spans="1:37" ht="46.8" x14ac:dyDescent="0.3">
      <c r="B1032" s="31" t="s">
        <v>3116</v>
      </c>
      <c r="C1032" s="130" t="s">
        <v>372</v>
      </c>
      <c r="D1032" s="43" t="s">
        <v>320</v>
      </c>
      <c r="E1032" s="126" t="s">
        <v>510</v>
      </c>
      <c r="F1032" s="504">
        <v>2.5</v>
      </c>
      <c r="G1032" s="248" t="s">
        <v>4012</v>
      </c>
      <c r="H1032" s="542" t="s">
        <v>4013</v>
      </c>
      <c r="I1032" s="319" t="s">
        <v>1302</v>
      </c>
      <c r="J1032" s="494" t="s">
        <v>4014</v>
      </c>
      <c r="K1032" s="132" t="s">
        <v>1897</v>
      </c>
    </row>
    <row r="1033" spans="1:37" ht="46.8" x14ac:dyDescent="0.3">
      <c r="B1033" s="31" t="s">
        <v>3116</v>
      </c>
      <c r="C1033" s="130" t="s">
        <v>372</v>
      </c>
      <c r="D1033" s="43" t="s">
        <v>320</v>
      </c>
      <c r="E1033" s="126" t="s">
        <v>510</v>
      </c>
      <c r="F1033" s="504">
        <v>2.5</v>
      </c>
      <c r="G1033" s="248" t="s">
        <v>4087</v>
      </c>
      <c r="H1033" s="542" t="s">
        <v>4088</v>
      </c>
      <c r="I1033" s="319" t="s">
        <v>97</v>
      </c>
      <c r="J1033" s="494" t="s">
        <v>4089</v>
      </c>
      <c r="K1033" s="132" t="s">
        <v>1897</v>
      </c>
    </row>
    <row r="1034" spans="1:37" ht="46.8" x14ac:dyDescent="0.3">
      <c r="B1034" s="31" t="s">
        <v>3116</v>
      </c>
      <c r="C1034" s="130" t="s">
        <v>372</v>
      </c>
      <c r="D1034" s="43" t="s">
        <v>320</v>
      </c>
      <c r="E1034" s="126" t="s">
        <v>510</v>
      </c>
      <c r="F1034" s="504">
        <v>2.57</v>
      </c>
      <c r="G1034" s="248" t="s">
        <v>4158</v>
      </c>
      <c r="H1034" s="542" t="s">
        <v>4159</v>
      </c>
      <c r="I1034" s="319" t="s">
        <v>97</v>
      </c>
      <c r="J1034" s="494" t="s">
        <v>4160</v>
      </c>
      <c r="K1034" s="132" t="s">
        <v>1897</v>
      </c>
    </row>
    <row r="1035" spans="1:37" ht="46.8" x14ac:dyDescent="0.3">
      <c r="B1035" s="31" t="s">
        <v>3116</v>
      </c>
      <c r="C1035" s="130" t="s">
        <v>372</v>
      </c>
      <c r="D1035" s="43" t="s">
        <v>320</v>
      </c>
      <c r="E1035" s="126" t="s">
        <v>510</v>
      </c>
      <c r="F1035" s="504">
        <v>2.5</v>
      </c>
      <c r="G1035" s="248" t="s">
        <v>4232</v>
      </c>
      <c r="H1035" s="542" t="s">
        <v>4233</v>
      </c>
      <c r="I1035" s="319" t="s">
        <v>937</v>
      </c>
      <c r="J1035" s="494" t="s">
        <v>4234</v>
      </c>
      <c r="K1035" s="132" t="s">
        <v>1897</v>
      </c>
    </row>
    <row r="1036" spans="1:37" ht="46.8" x14ac:dyDescent="0.3">
      <c r="B1036" s="31" t="s">
        <v>3116</v>
      </c>
      <c r="C1036" s="130" t="s">
        <v>372</v>
      </c>
      <c r="D1036" s="43" t="s">
        <v>320</v>
      </c>
      <c r="E1036" s="126" t="s">
        <v>510</v>
      </c>
      <c r="F1036" s="504">
        <v>2.5</v>
      </c>
      <c r="G1036" s="248" t="s">
        <v>4297</v>
      </c>
      <c r="H1036" s="542" t="s">
        <v>4298</v>
      </c>
      <c r="I1036" s="319" t="s">
        <v>937</v>
      </c>
      <c r="J1036" s="494" t="s">
        <v>4299</v>
      </c>
      <c r="K1036" s="132" t="s">
        <v>1897</v>
      </c>
    </row>
    <row r="1037" spans="1:37" ht="46.8" x14ac:dyDescent="0.3">
      <c r="A1037" s="58"/>
      <c r="B1037" s="31" t="s">
        <v>3116</v>
      </c>
      <c r="C1037" s="130" t="s">
        <v>372</v>
      </c>
      <c r="D1037" s="43" t="s">
        <v>320</v>
      </c>
      <c r="E1037" s="126" t="s">
        <v>510</v>
      </c>
      <c r="F1037" s="504">
        <v>2.5</v>
      </c>
      <c r="G1037" s="248" t="s">
        <v>4362</v>
      </c>
      <c r="H1037" s="542" t="s">
        <v>4363</v>
      </c>
      <c r="I1037" s="319" t="s">
        <v>1262</v>
      </c>
      <c r="J1037" s="494" t="s">
        <v>4364</v>
      </c>
      <c r="K1037" s="132" t="s">
        <v>1897</v>
      </c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  <c r="AD1037" s="58"/>
      <c r="AE1037" s="58"/>
      <c r="AF1037" s="58"/>
      <c r="AG1037" s="58"/>
      <c r="AH1037" s="58"/>
      <c r="AI1037" s="58"/>
      <c r="AJ1037" s="58"/>
      <c r="AK1037" s="58"/>
    </row>
    <row r="1038" spans="1:37" ht="46.8" x14ac:dyDescent="0.3">
      <c r="A1038" s="58"/>
      <c r="B1038" s="31" t="s">
        <v>3116</v>
      </c>
      <c r="C1038" s="130" t="s">
        <v>372</v>
      </c>
      <c r="D1038" s="43" t="s">
        <v>320</v>
      </c>
      <c r="E1038" s="126" t="s">
        <v>510</v>
      </c>
      <c r="F1038" s="504">
        <v>2.4</v>
      </c>
      <c r="G1038" s="248" t="s">
        <v>4420</v>
      </c>
      <c r="H1038" s="542" t="s">
        <v>4421</v>
      </c>
      <c r="I1038" s="319" t="s">
        <v>1509</v>
      </c>
      <c r="J1038" s="494" t="s">
        <v>4422</v>
      </c>
      <c r="K1038" s="132" t="s">
        <v>1897</v>
      </c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  <c r="AD1038" s="58"/>
      <c r="AE1038" s="58"/>
      <c r="AF1038" s="58"/>
      <c r="AG1038" s="58"/>
      <c r="AH1038" s="58"/>
      <c r="AI1038" s="58"/>
      <c r="AJ1038" s="58"/>
      <c r="AK1038" s="58"/>
    </row>
    <row r="1039" spans="1:37" ht="46.8" x14ac:dyDescent="0.3">
      <c r="A1039" s="58"/>
      <c r="B1039" s="31" t="s">
        <v>3116</v>
      </c>
      <c r="C1039" s="130" t="s">
        <v>372</v>
      </c>
      <c r="D1039" s="43" t="s">
        <v>320</v>
      </c>
      <c r="E1039" s="126" t="s">
        <v>510</v>
      </c>
      <c r="F1039" s="504">
        <v>2.95</v>
      </c>
      <c r="G1039" s="248" t="s">
        <v>4473</v>
      </c>
      <c r="H1039" s="542" t="s">
        <v>4474</v>
      </c>
      <c r="I1039" s="319" t="s">
        <v>940</v>
      </c>
      <c r="J1039" s="494" t="s">
        <v>4475</v>
      </c>
      <c r="K1039" s="132" t="s">
        <v>1897</v>
      </c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58"/>
      <c r="AE1039" s="58"/>
      <c r="AF1039" s="58"/>
      <c r="AG1039" s="58"/>
      <c r="AH1039" s="58"/>
      <c r="AI1039" s="58"/>
      <c r="AJ1039" s="58"/>
      <c r="AK1039" s="58"/>
    </row>
    <row r="1040" spans="1:37" ht="31.2" x14ac:dyDescent="0.3">
      <c r="B1040" s="31" t="s">
        <v>3058</v>
      </c>
      <c r="C1040" s="130" t="s">
        <v>369</v>
      </c>
      <c r="D1040" s="43" t="s">
        <v>190</v>
      </c>
      <c r="E1040" s="126" t="s">
        <v>510</v>
      </c>
      <c r="F1040" s="504">
        <v>1</v>
      </c>
      <c r="G1040" s="126" t="s">
        <v>3066</v>
      </c>
      <c r="H1040" s="304">
        <v>45618</v>
      </c>
      <c r="I1040" s="319" t="s">
        <v>898</v>
      </c>
      <c r="J1040" s="494" t="s">
        <v>1898</v>
      </c>
      <c r="K1040" s="132" t="s">
        <v>1898</v>
      </c>
    </row>
    <row r="1041" spans="1:37" ht="46.8" x14ac:dyDescent="0.3">
      <c r="A1041" s="481"/>
      <c r="B1041" s="589" t="s">
        <v>3087</v>
      </c>
      <c r="C1041" s="590" t="s">
        <v>3088</v>
      </c>
      <c r="D1041" s="41" t="s">
        <v>190</v>
      </c>
      <c r="E1041" s="586" t="s">
        <v>515</v>
      </c>
      <c r="F1041" s="504">
        <v>1</v>
      </c>
      <c r="G1041" s="586" t="s">
        <v>3098</v>
      </c>
      <c r="H1041" s="595">
        <v>45645</v>
      </c>
      <c r="I1041" s="784" t="s">
        <v>931</v>
      </c>
      <c r="J1041" s="584" t="s">
        <v>1898</v>
      </c>
      <c r="K1041" s="481" t="s">
        <v>1898</v>
      </c>
      <c r="L1041" s="58"/>
      <c r="M1041" s="481"/>
      <c r="N1041" s="481"/>
      <c r="O1041" s="481"/>
      <c r="P1041" s="481"/>
      <c r="Q1041" s="481"/>
      <c r="R1041" s="481"/>
      <c r="S1041" s="481"/>
      <c r="T1041" s="481"/>
      <c r="U1041" s="481"/>
      <c r="V1041" s="481"/>
      <c r="W1041" s="481"/>
      <c r="X1041" s="481"/>
      <c r="Y1041" s="481"/>
      <c r="Z1041" s="481"/>
      <c r="AA1041" s="481"/>
      <c r="AB1041" s="481"/>
      <c r="AC1041" s="481"/>
      <c r="AD1041" s="481"/>
      <c r="AE1041" s="481"/>
      <c r="AF1041" s="481"/>
      <c r="AG1041" s="481"/>
      <c r="AH1041" s="481"/>
      <c r="AI1041" s="481"/>
      <c r="AJ1041" s="481"/>
      <c r="AK1041" s="481"/>
    </row>
    <row r="1042" spans="1:37" ht="46.8" x14ac:dyDescent="0.3">
      <c r="B1042" s="31" t="s">
        <v>3116</v>
      </c>
      <c r="C1042" s="130" t="s">
        <v>372</v>
      </c>
      <c r="D1042" s="43" t="s">
        <v>320</v>
      </c>
      <c r="E1042" s="126" t="s">
        <v>510</v>
      </c>
      <c r="F1042" s="504">
        <v>6.04</v>
      </c>
      <c r="G1042" s="248" t="s">
        <v>3148</v>
      </c>
      <c r="H1042" s="542" t="s">
        <v>3149</v>
      </c>
      <c r="I1042" s="319" t="s">
        <v>1326</v>
      </c>
      <c r="J1042" s="494" t="s">
        <v>3150</v>
      </c>
      <c r="K1042" s="132" t="s">
        <v>1898</v>
      </c>
    </row>
    <row r="1043" spans="1:37" ht="46.8" x14ac:dyDescent="0.3">
      <c r="B1043" s="31" t="s">
        <v>3116</v>
      </c>
      <c r="C1043" s="130" t="s">
        <v>372</v>
      </c>
      <c r="D1043" s="43" t="s">
        <v>320</v>
      </c>
      <c r="E1043" s="126" t="s">
        <v>510</v>
      </c>
      <c r="F1043" s="504">
        <f>3.15+0.16</f>
        <v>3.31</v>
      </c>
      <c r="G1043" s="248" t="s">
        <v>3215</v>
      </c>
      <c r="H1043" s="542" t="s">
        <v>3216</v>
      </c>
      <c r="I1043" s="319" t="s">
        <v>1326</v>
      </c>
      <c r="J1043" s="584" t="s">
        <v>3217</v>
      </c>
      <c r="K1043" s="132" t="s">
        <v>1898</v>
      </c>
    </row>
    <row r="1044" spans="1:37" ht="46.8" x14ac:dyDescent="0.3">
      <c r="B1044" s="31" t="s">
        <v>3116</v>
      </c>
      <c r="C1044" s="130" t="s">
        <v>372</v>
      </c>
      <c r="D1044" s="43" t="s">
        <v>320</v>
      </c>
      <c r="E1044" s="126" t="s">
        <v>510</v>
      </c>
      <c r="F1044" s="504">
        <v>2.5</v>
      </c>
      <c r="G1044" s="248" t="s">
        <v>3309</v>
      </c>
      <c r="H1044" s="542" t="s">
        <v>3310</v>
      </c>
      <c r="I1044" s="319" t="s">
        <v>1250</v>
      </c>
      <c r="J1044" s="494" t="s">
        <v>3311</v>
      </c>
      <c r="K1044" s="132" t="s">
        <v>1898</v>
      </c>
    </row>
    <row r="1045" spans="1:37" ht="46.8" x14ac:dyDescent="0.3">
      <c r="B1045" s="31" t="s">
        <v>3116</v>
      </c>
      <c r="C1045" s="130" t="s">
        <v>372</v>
      </c>
      <c r="D1045" s="43" t="s">
        <v>320</v>
      </c>
      <c r="E1045" s="126" t="s">
        <v>510</v>
      </c>
      <c r="F1045" s="504">
        <v>2.4</v>
      </c>
      <c r="G1045" s="248" t="s">
        <v>3392</v>
      </c>
      <c r="H1045" s="542" t="s">
        <v>3393</v>
      </c>
      <c r="I1045" s="319" t="s">
        <v>934</v>
      </c>
      <c r="J1045" s="494" t="s">
        <v>3394</v>
      </c>
      <c r="K1045" s="132" t="s">
        <v>1898</v>
      </c>
    </row>
    <row r="1046" spans="1:37" ht="46.8" x14ac:dyDescent="0.3">
      <c r="B1046" s="31" t="s">
        <v>3116</v>
      </c>
      <c r="C1046" s="130" t="s">
        <v>372</v>
      </c>
      <c r="D1046" s="43" t="s">
        <v>320</v>
      </c>
      <c r="E1046" s="126" t="s">
        <v>510</v>
      </c>
      <c r="F1046" s="504">
        <v>2.5</v>
      </c>
      <c r="G1046" s="248" t="s">
        <v>3463</v>
      </c>
      <c r="H1046" s="542" t="s">
        <v>3464</v>
      </c>
      <c r="I1046" s="319" t="s">
        <v>934</v>
      </c>
      <c r="J1046" s="494" t="s">
        <v>3465</v>
      </c>
      <c r="K1046" s="132" t="s">
        <v>1898</v>
      </c>
    </row>
    <row r="1047" spans="1:37" ht="46.8" x14ac:dyDescent="0.3">
      <c r="B1047" s="31" t="s">
        <v>3116</v>
      </c>
      <c r="C1047" s="130" t="s">
        <v>372</v>
      </c>
      <c r="D1047" s="43" t="s">
        <v>320</v>
      </c>
      <c r="E1047" s="126" t="s">
        <v>510</v>
      </c>
      <c r="F1047" s="504">
        <v>2.6</v>
      </c>
      <c r="G1047" s="248" t="s">
        <v>3552</v>
      </c>
      <c r="H1047" s="542" t="s">
        <v>3553</v>
      </c>
      <c r="I1047" s="319" t="s">
        <v>1302</v>
      </c>
      <c r="J1047" s="494" t="s">
        <v>3554</v>
      </c>
      <c r="K1047" s="132" t="s">
        <v>1898</v>
      </c>
    </row>
    <row r="1048" spans="1:37" ht="46.8" x14ac:dyDescent="0.3">
      <c r="B1048" s="31" t="s">
        <v>3116</v>
      </c>
      <c r="C1048" s="130" t="s">
        <v>372</v>
      </c>
      <c r="D1048" s="43" t="s">
        <v>320</v>
      </c>
      <c r="E1048" s="126" t="s">
        <v>510</v>
      </c>
      <c r="F1048" s="504">
        <v>2.5</v>
      </c>
      <c r="G1048" s="248" t="s">
        <v>3617</v>
      </c>
      <c r="H1048" s="542" t="s">
        <v>3618</v>
      </c>
      <c r="I1048" s="319" t="s">
        <v>1302</v>
      </c>
      <c r="J1048" s="494" t="s">
        <v>3619</v>
      </c>
      <c r="K1048" s="132" t="s">
        <v>1898</v>
      </c>
    </row>
    <row r="1049" spans="1:37" ht="46.8" x14ac:dyDescent="0.3">
      <c r="B1049" s="31" t="s">
        <v>3116</v>
      </c>
      <c r="C1049" s="130" t="s">
        <v>372</v>
      </c>
      <c r="D1049" s="43" t="s">
        <v>320</v>
      </c>
      <c r="E1049" s="126" t="s">
        <v>510</v>
      </c>
      <c r="F1049" s="504">
        <v>2.5</v>
      </c>
      <c r="G1049" s="248" t="s">
        <v>3730</v>
      </c>
      <c r="H1049" s="542" t="s">
        <v>3731</v>
      </c>
      <c r="I1049" s="319" t="s">
        <v>97</v>
      </c>
      <c r="J1049" s="494" t="s">
        <v>3732</v>
      </c>
      <c r="K1049" s="132" t="s">
        <v>1898</v>
      </c>
    </row>
    <row r="1050" spans="1:37" ht="46.8" x14ac:dyDescent="0.3">
      <c r="B1050" s="31" t="s">
        <v>3116</v>
      </c>
      <c r="C1050" s="130" t="s">
        <v>372</v>
      </c>
      <c r="D1050" s="43" t="s">
        <v>320</v>
      </c>
      <c r="E1050" s="126" t="s">
        <v>510</v>
      </c>
      <c r="F1050" s="504">
        <v>2.5</v>
      </c>
      <c r="G1050" s="248" t="s">
        <v>3778</v>
      </c>
      <c r="H1050" s="542" t="s">
        <v>3779</v>
      </c>
      <c r="I1050" s="319" t="s">
        <v>937</v>
      </c>
      <c r="J1050" s="494" t="s">
        <v>3780</v>
      </c>
      <c r="K1050" s="132" t="s">
        <v>1898</v>
      </c>
    </row>
    <row r="1051" spans="1:37" ht="46.8" x14ac:dyDescent="0.3">
      <c r="B1051" s="31" t="s">
        <v>3116</v>
      </c>
      <c r="C1051" s="130" t="s">
        <v>372</v>
      </c>
      <c r="D1051" s="43" t="s">
        <v>320</v>
      </c>
      <c r="E1051" s="126" t="s">
        <v>515</v>
      </c>
      <c r="F1051" s="504">
        <v>2.7</v>
      </c>
      <c r="G1051" s="248" t="s">
        <v>3847</v>
      </c>
      <c r="H1051" s="542" t="s">
        <v>3848</v>
      </c>
      <c r="I1051" s="319" t="s">
        <v>1262</v>
      </c>
      <c r="J1051" s="494" t="s">
        <v>3849</v>
      </c>
      <c r="K1051" s="132" t="s">
        <v>1898</v>
      </c>
    </row>
    <row r="1052" spans="1:37" ht="46.8" x14ac:dyDescent="0.3">
      <c r="B1052" s="31" t="s">
        <v>3116</v>
      </c>
      <c r="C1052" s="130" t="s">
        <v>372</v>
      </c>
      <c r="D1052" s="43" t="s">
        <v>320</v>
      </c>
      <c r="E1052" s="126" t="s">
        <v>515</v>
      </c>
      <c r="F1052" s="504">
        <v>2.95</v>
      </c>
      <c r="G1052" s="248" t="s">
        <v>3912</v>
      </c>
      <c r="H1052" s="542" t="s">
        <v>3913</v>
      </c>
      <c r="I1052" s="319" t="s">
        <v>1262</v>
      </c>
      <c r="J1052" s="494" t="s">
        <v>3914</v>
      </c>
      <c r="K1052" s="132" t="s">
        <v>1898</v>
      </c>
    </row>
    <row r="1053" spans="1:37" ht="46.8" x14ac:dyDescent="0.3">
      <c r="B1053" s="31" t="s">
        <v>3116</v>
      </c>
      <c r="C1053" s="130" t="s">
        <v>372</v>
      </c>
      <c r="D1053" s="43" t="s">
        <v>320</v>
      </c>
      <c r="E1053" s="126" t="s">
        <v>510</v>
      </c>
      <c r="F1053" s="504">
        <v>2.5</v>
      </c>
      <c r="G1053" s="248" t="s">
        <v>3978</v>
      </c>
      <c r="H1053" s="542" t="s">
        <v>3979</v>
      </c>
      <c r="I1053" s="319" t="s">
        <v>1509</v>
      </c>
      <c r="J1053" s="494" t="s">
        <v>3980</v>
      </c>
      <c r="K1053" s="132" t="s">
        <v>1898</v>
      </c>
    </row>
    <row r="1054" spans="1:37" ht="46.8" x14ac:dyDescent="0.3">
      <c r="B1054" s="31" t="s">
        <v>3116</v>
      </c>
      <c r="C1054" s="130" t="s">
        <v>372</v>
      </c>
      <c r="D1054" s="43" t="s">
        <v>320</v>
      </c>
      <c r="E1054" s="126" t="s">
        <v>510</v>
      </c>
      <c r="F1054" s="504">
        <v>2.5</v>
      </c>
      <c r="G1054" s="248" t="s">
        <v>4049</v>
      </c>
      <c r="H1054" s="542" t="s">
        <v>4050</v>
      </c>
      <c r="I1054" s="319" t="s">
        <v>940</v>
      </c>
      <c r="J1054" s="494" t="s">
        <v>4051</v>
      </c>
      <c r="K1054" s="132" t="s">
        <v>1898</v>
      </c>
    </row>
    <row r="1055" spans="1:37" ht="46.8" x14ac:dyDescent="0.3">
      <c r="B1055" s="31" t="s">
        <v>3116</v>
      </c>
      <c r="C1055" s="130" t="s">
        <v>372</v>
      </c>
      <c r="D1055" s="43" t="s">
        <v>320</v>
      </c>
      <c r="E1055" s="126" t="s">
        <v>510</v>
      </c>
      <c r="F1055" s="504">
        <v>2.5</v>
      </c>
      <c r="G1055" s="248" t="s">
        <v>4114</v>
      </c>
      <c r="H1055" s="542" t="s">
        <v>4115</v>
      </c>
      <c r="I1055" s="319" t="s">
        <v>940</v>
      </c>
      <c r="J1055" s="494" t="s">
        <v>4116</v>
      </c>
      <c r="K1055" s="132" t="s">
        <v>1898</v>
      </c>
    </row>
    <row r="1056" spans="1:37" ht="46.8" x14ac:dyDescent="0.3">
      <c r="B1056" s="31" t="s">
        <v>3116</v>
      </c>
      <c r="C1056" s="130" t="s">
        <v>372</v>
      </c>
      <c r="D1056" s="43" t="s">
        <v>320</v>
      </c>
      <c r="E1056" s="126" t="s">
        <v>510</v>
      </c>
      <c r="F1056" s="504">
        <v>2.5</v>
      </c>
      <c r="G1056" s="248" t="s">
        <v>4192</v>
      </c>
      <c r="H1056" s="542" t="s">
        <v>4193</v>
      </c>
      <c r="I1056" s="319" t="s">
        <v>1026</v>
      </c>
      <c r="J1056" s="494" t="s">
        <v>4194</v>
      </c>
      <c r="K1056" s="132" t="s">
        <v>1898</v>
      </c>
    </row>
    <row r="1057" spans="1:37" ht="46.8" x14ac:dyDescent="0.3">
      <c r="B1057" s="31" t="s">
        <v>3116</v>
      </c>
      <c r="C1057" s="130" t="s">
        <v>372</v>
      </c>
      <c r="D1057" s="43" t="s">
        <v>320</v>
      </c>
      <c r="E1057" s="126" t="s">
        <v>510</v>
      </c>
      <c r="F1057" s="504">
        <v>2.5</v>
      </c>
      <c r="G1057" s="248" t="s">
        <v>4252</v>
      </c>
      <c r="H1057" s="542" t="s">
        <v>4253</v>
      </c>
      <c r="I1057" s="319" t="s">
        <v>1026</v>
      </c>
      <c r="J1057" s="494" t="s">
        <v>4254</v>
      </c>
      <c r="K1057" s="132" t="s">
        <v>1898</v>
      </c>
    </row>
    <row r="1058" spans="1:37" ht="46.8" x14ac:dyDescent="0.3">
      <c r="B1058" s="31" t="s">
        <v>3116</v>
      </c>
      <c r="C1058" s="130" t="s">
        <v>372</v>
      </c>
      <c r="D1058" s="43" t="s">
        <v>320</v>
      </c>
      <c r="E1058" s="126" t="s">
        <v>510</v>
      </c>
      <c r="F1058" s="504">
        <v>2.5</v>
      </c>
      <c r="G1058" s="248" t="s">
        <v>4331</v>
      </c>
      <c r="H1058" s="542" t="s">
        <v>4332</v>
      </c>
      <c r="I1058" s="319" t="s">
        <v>1282</v>
      </c>
      <c r="J1058" s="494" t="s">
        <v>4333</v>
      </c>
      <c r="K1058" s="132" t="s">
        <v>1898</v>
      </c>
    </row>
    <row r="1059" spans="1:37" ht="46.8" x14ac:dyDescent="0.3">
      <c r="B1059" s="31" t="s">
        <v>3116</v>
      </c>
      <c r="C1059" s="130" t="s">
        <v>372</v>
      </c>
      <c r="D1059" s="43" t="s">
        <v>320</v>
      </c>
      <c r="E1059" s="126" t="s">
        <v>510</v>
      </c>
      <c r="F1059" s="504">
        <v>2.5</v>
      </c>
      <c r="G1059" s="248" t="s">
        <v>4384</v>
      </c>
      <c r="H1059" s="542" t="s">
        <v>3925</v>
      </c>
      <c r="I1059" s="319" t="s">
        <v>1282</v>
      </c>
      <c r="J1059" s="494" t="s">
        <v>4385</v>
      </c>
      <c r="K1059" s="132" t="s">
        <v>1898</v>
      </c>
    </row>
    <row r="1060" spans="1:37" ht="46.8" x14ac:dyDescent="0.3">
      <c r="B1060" s="31" t="s">
        <v>3116</v>
      </c>
      <c r="C1060" s="130" t="s">
        <v>372</v>
      </c>
      <c r="D1060" s="43" t="s">
        <v>320</v>
      </c>
      <c r="E1060" s="126" t="s">
        <v>510</v>
      </c>
      <c r="F1060" s="504">
        <v>2.5</v>
      </c>
      <c r="G1060" s="248" t="s">
        <v>4447</v>
      </c>
      <c r="H1060" s="542" t="s">
        <v>4448</v>
      </c>
      <c r="I1060" s="319" t="s">
        <v>943</v>
      </c>
      <c r="J1060" s="494" t="s">
        <v>4449</v>
      </c>
      <c r="K1060" s="132" t="s">
        <v>1898</v>
      </c>
    </row>
    <row r="1061" spans="1:37" ht="46.8" x14ac:dyDescent="0.3">
      <c r="B1061" s="31" t="s">
        <v>3116</v>
      </c>
      <c r="C1061" s="130" t="s">
        <v>372</v>
      </c>
      <c r="D1061" s="43" t="s">
        <v>320</v>
      </c>
      <c r="E1061" s="126" t="s">
        <v>510</v>
      </c>
      <c r="F1061" s="504">
        <v>1.55</v>
      </c>
      <c r="G1061" s="587" t="s">
        <v>4508</v>
      </c>
      <c r="H1061" s="585" t="s">
        <v>4509</v>
      </c>
      <c r="I1061" s="784" t="s">
        <v>1315</v>
      </c>
      <c r="J1061" s="494" t="s">
        <v>4510</v>
      </c>
      <c r="K1061" s="132" t="s">
        <v>1898</v>
      </c>
    </row>
    <row r="1062" spans="1:37" ht="46.8" x14ac:dyDescent="0.3">
      <c r="A1062" s="481"/>
      <c r="B1062" s="589" t="s">
        <v>540</v>
      </c>
      <c r="C1062" s="590" t="s">
        <v>376</v>
      </c>
      <c r="D1062" s="41" t="s">
        <v>320</v>
      </c>
      <c r="E1062" s="126" t="s">
        <v>510</v>
      </c>
      <c r="F1062" s="504">
        <v>4</v>
      </c>
      <c r="G1062" s="587" t="s">
        <v>4684</v>
      </c>
      <c r="H1062" s="585" t="s">
        <v>4685</v>
      </c>
      <c r="I1062" s="784" t="s">
        <v>949</v>
      </c>
      <c r="J1062" s="494" t="s">
        <v>4686</v>
      </c>
      <c r="K1062" s="481" t="s">
        <v>1898</v>
      </c>
      <c r="L1062" s="481"/>
      <c r="M1062" s="481"/>
      <c r="N1062" s="481"/>
      <c r="O1062" s="481"/>
      <c r="P1062" s="481"/>
      <c r="Q1062" s="481"/>
      <c r="R1062" s="481"/>
      <c r="S1062" s="481"/>
      <c r="T1062" s="481"/>
      <c r="U1062" s="481"/>
      <c r="V1062" s="481"/>
      <c r="W1062" s="481"/>
      <c r="X1062" s="481"/>
      <c r="Y1062" s="481"/>
      <c r="Z1062" s="481"/>
      <c r="AA1062" s="481"/>
      <c r="AB1062" s="481"/>
      <c r="AC1062" s="481"/>
      <c r="AD1062" s="481"/>
      <c r="AE1062" s="481"/>
      <c r="AF1062" s="481"/>
      <c r="AG1062" s="481"/>
      <c r="AH1062" s="481"/>
      <c r="AI1062" s="481"/>
      <c r="AJ1062" s="481"/>
      <c r="AK1062" s="481"/>
    </row>
    <row r="1063" spans="1:37" ht="46.8" x14ac:dyDescent="0.3">
      <c r="A1063" s="481"/>
      <c r="B1063" s="589" t="s">
        <v>540</v>
      </c>
      <c r="C1063" s="590" t="s">
        <v>376</v>
      </c>
      <c r="D1063" s="41" t="s">
        <v>320</v>
      </c>
      <c r="E1063" s="126" t="s">
        <v>510</v>
      </c>
      <c r="F1063" s="1195">
        <v>2</v>
      </c>
      <c r="G1063" s="587" t="s">
        <v>4687</v>
      </c>
      <c r="H1063" s="585" t="s">
        <v>4662</v>
      </c>
      <c r="I1063" s="1306" t="s">
        <v>119</v>
      </c>
      <c r="J1063" s="494" t="s">
        <v>542</v>
      </c>
      <c r="K1063" s="481" t="s">
        <v>1898</v>
      </c>
      <c r="L1063" s="481"/>
      <c r="M1063" s="481"/>
      <c r="N1063" s="481"/>
      <c r="O1063" s="481"/>
      <c r="P1063" s="481"/>
      <c r="Q1063" s="481"/>
      <c r="R1063" s="481"/>
      <c r="S1063" s="481"/>
      <c r="T1063" s="481"/>
      <c r="U1063" s="481"/>
      <c r="V1063" s="481"/>
      <c r="W1063" s="481"/>
      <c r="X1063" s="481"/>
      <c r="Y1063" s="481"/>
      <c r="Z1063" s="481"/>
      <c r="AA1063" s="481"/>
      <c r="AB1063" s="481"/>
      <c r="AC1063" s="481"/>
      <c r="AD1063" s="481"/>
      <c r="AE1063" s="481"/>
      <c r="AF1063" s="481"/>
      <c r="AG1063" s="481"/>
      <c r="AH1063" s="481"/>
      <c r="AI1063" s="481"/>
      <c r="AJ1063" s="481"/>
      <c r="AK1063" s="481"/>
    </row>
    <row r="1064" spans="1:37" ht="46.8" x14ac:dyDescent="0.3">
      <c r="A1064" s="481"/>
      <c r="B1064" s="589" t="s">
        <v>540</v>
      </c>
      <c r="C1064" s="590" t="s">
        <v>376</v>
      </c>
      <c r="D1064" s="41" t="s">
        <v>320</v>
      </c>
      <c r="E1064" s="126" t="s">
        <v>510</v>
      </c>
      <c r="F1064" s="504">
        <v>0.52500000000000002</v>
      </c>
      <c r="G1064" s="587" t="s">
        <v>4688</v>
      </c>
      <c r="H1064" s="585" t="s">
        <v>4689</v>
      </c>
      <c r="I1064" s="784" t="s">
        <v>949</v>
      </c>
      <c r="J1064" s="494" t="s">
        <v>4690</v>
      </c>
      <c r="K1064" s="481" t="s">
        <v>1898</v>
      </c>
      <c r="L1064" s="481"/>
      <c r="M1064" s="481"/>
      <c r="N1064" s="481"/>
      <c r="O1064" s="481"/>
      <c r="P1064" s="481"/>
      <c r="Q1064" s="481"/>
      <c r="R1064" s="481"/>
      <c r="S1064" s="481"/>
      <c r="T1064" s="481"/>
      <c r="U1064" s="481"/>
      <c r="V1064" s="481"/>
      <c r="W1064" s="481"/>
      <c r="X1064" s="481"/>
      <c r="Y1064" s="481"/>
      <c r="Z1064" s="481"/>
      <c r="AA1064" s="481"/>
      <c r="AB1064" s="481"/>
      <c r="AC1064" s="481"/>
      <c r="AD1064" s="481"/>
      <c r="AE1064" s="481"/>
      <c r="AF1064" s="481"/>
      <c r="AG1064" s="481"/>
      <c r="AH1064" s="481"/>
      <c r="AI1064" s="481"/>
      <c r="AJ1064" s="481"/>
      <c r="AK1064" s="481"/>
    </row>
    <row r="1065" spans="1:37" ht="46.8" x14ac:dyDescent="0.3">
      <c r="B1065" s="31" t="s">
        <v>3058</v>
      </c>
      <c r="C1065" s="130" t="s">
        <v>369</v>
      </c>
      <c r="D1065" s="43" t="s">
        <v>190</v>
      </c>
      <c r="E1065" s="126" t="s">
        <v>510</v>
      </c>
      <c r="F1065" s="504">
        <v>1</v>
      </c>
      <c r="G1065" s="126" t="s">
        <v>3072</v>
      </c>
      <c r="H1065" s="304">
        <v>45637</v>
      </c>
      <c r="I1065" s="319" t="s">
        <v>931</v>
      </c>
      <c r="J1065" s="494" t="s">
        <v>1899</v>
      </c>
      <c r="K1065" s="132" t="s">
        <v>1899</v>
      </c>
      <c r="L1065" s="58"/>
    </row>
    <row r="1066" spans="1:37" ht="46.8" x14ac:dyDescent="0.3">
      <c r="B1066" s="31" t="s">
        <v>3087</v>
      </c>
      <c r="C1066" s="130" t="s">
        <v>3088</v>
      </c>
      <c r="D1066" s="43" t="s">
        <v>190</v>
      </c>
      <c r="E1066" s="126" t="s">
        <v>510</v>
      </c>
      <c r="F1066" s="504">
        <v>1</v>
      </c>
      <c r="G1066" s="126" t="s">
        <v>3099</v>
      </c>
      <c r="H1066" s="304">
        <v>45646</v>
      </c>
      <c r="I1066" s="319" t="s">
        <v>931</v>
      </c>
      <c r="J1066" s="494" t="s">
        <v>1899</v>
      </c>
      <c r="K1066" s="132" t="s">
        <v>1899</v>
      </c>
      <c r="L1066" s="58"/>
    </row>
    <row r="1067" spans="1:37" ht="46.8" x14ac:dyDescent="0.3">
      <c r="B1067" s="31" t="s">
        <v>3116</v>
      </c>
      <c r="C1067" s="130" t="s">
        <v>372</v>
      </c>
      <c r="D1067" s="43" t="s">
        <v>320</v>
      </c>
      <c r="E1067" s="126" t="s">
        <v>510</v>
      </c>
      <c r="F1067" s="504">
        <v>4.32</v>
      </c>
      <c r="G1067" s="248" t="s">
        <v>3142</v>
      </c>
      <c r="H1067" s="542" t="s">
        <v>3143</v>
      </c>
      <c r="I1067" s="319" t="s">
        <v>931</v>
      </c>
      <c r="J1067" s="494" t="s">
        <v>3144</v>
      </c>
      <c r="K1067" s="132" t="s">
        <v>1899</v>
      </c>
    </row>
    <row r="1068" spans="1:37" ht="46.8" x14ac:dyDescent="0.3">
      <c r="B1068" s="31" t="s">
        <v>3116</v>
      </c>
      <c r="C1068" s="130" t="s">
        <v>372</v>
      </c>
      <c r="D1068" s="43" t="s">
        <v>320</v>
      </c>
      <c r="E1068" s="126" t="s">
        <v>510</v>
      </c>
      <c r="F1068" s="504">
        <v>2.65</v>
      </c>
      <c r="G1068" s="587" t="s">
        <v>3218</v>
      </c>
      <c r="H1068" s="585" t="s">
        <v>3219</v>
      </c>
      <c r="I1068" s="319" t="s">
        <v>1326</v>
      </c>
      <c r="J1068" s="494" t="s">
        <v>3220</v>
      </c>
      <c r="K1068" s="132" t="s">
        <v>1899</v>
      </c>
    </row>
    <row r="1069" spans="1:37" ht="46.8" x14ac:dyDescent="0.3">
      <c r="B1069" s="31" t="s">
        <v>3116</v>
      </c>
      <c r="C1069" s="130" t="s">
        <v>372</v>
      </c>
      <c r="D1069" s="43" t="s">
        <v>320</v>
      </c>
      <c r="E1069" s="126" t="s">
        <v>510</v>
      </c>
      <c r="F1069" s="504">
        <v>2.5</v>
      </c>
      <c r="G1069" s="248" t="s">
        <v>3303</v>
      </c>
      <c r="H1069" s="542" t="s">
        <v>3304</v>
      </c>
      <c r="I1069" s="319" t="s">
        <v>1326</v>
      </c>
      <c r="J1069" s="494" t="s">
        <v>3305</v>
      </c>
      <c r="K1069" s="132" t="s">
        <v>1899</v>
      </c>
    </row>
    <row r="1070" spans="1:37" ht="46.8" x14ac:dyDescent="0.3">
      <c r="B1070" s="31" t="s">
        <v>3116</v>
      </c>
      <c r="C1070" s="130" t="s">
        <v>372</v>
      </c>
      <c r="D1070" s="43" t="s">
        <v>320</v>
      </c>
      <c r="E1070" s="126" t="s">
        <v>510</v>
      </c>
      <c r="F1070" s="504">
        <v>2.5</v>
      </c>
      <c r="G1070" s="248" t="s">
        <v>3380</v>
      </c>
      <c r="H1070" s="542" t="s">
        <v>3381</v>
      </c>
      <c r="I1070" s="319" t="s">
        <v>1326</v>
      </c>
      <c r="J1070" s="494" t="s">
        <v>3382</v>
      </c>
      <c r="K1070" s="132" t="s">
        <v>1899</v>
      </c>
    </row>
    <row r="1071" spans="1:37" ht="46.8" x14ac:dyDescent="0.3">
      <c r="B1071" s="31" t="s">
        <v>3116</v>
      </c>
      <c r="C1071" s="130" t="s">
        <v>372</v>
      </c>
      <c r="D1071" s="43" t="s">
        <v>320</v>
      </c>
      <c r="E1071" s="126" t="s">
        <v>510</v>
      </c>
      <c r="F1071" s="504">
        <v>2.5</v>
      </c>
      <c r="G1071" s="248" t="s">
        <v>3454</v>
      </c>
      <c r="H1071" s="542" t="s">
        <v>3455</v>
      </c>
      <c r="I1071" s="319" t="s">
        <v>1250</v>
      </c>
      <c r="J1071" s="494" t="s">
        <v>3456</v>
      </c>
      <c r="K1071" s="132" t="s">
        <v>1899</v>
      </c>
    </row>
    <row r="1072" spans="1:37" ht="46.8" x14ac:dyDescent="0.3">
      <c r="B1072" s="31" t="s">
        <v>3116</v>
      </c>
      <c r="C1072" s="130" t="s">
        <v>372</v>
      </c>
      <c r="D1072" s="43" t="s">
        <v>320</v>
      </c>
      <c r="E1072" s="126" t="s">
        <v>510</v>
      </c>
      <c r="F1072" s="504">
        <v>2.5</v>
      </c>
      <c r="G1072" s="248" t="s">
        <v>3525</v>
      </c>
      <c r="H1072" s="542" t="s">
        <v>3526</v>
      </c>
      <c r="I1072" s="319" t="s">
        <v>1250</v>
      </c>
      <c r="J1072" s="494" t="s">
        <v>3527</v>
      </c>
      <c r="K1072" s="132" t="s">
        <v>1899</v>
      </c>
    </row>
    <row r="1073" spans="1:37" ht="46.8" x14ac:dyDescent="0.3">
      <c r="B1073" s="31" t="s">
        <v>3116</v>
      </c>
      <c r="C1073" s="130" t="s">
        <v>372</v>
      </c>
      <c r="D1073" s="43" t="s">
        <v>320</v>
      </c>
      <c r="E1073" s="126" t="s">
        <v>510</v>
      </c>
      <c r="F1073" s="504">
        <v>2.5</v>
      </c>
      <c r="G1073" s="248" t="s">
        <v>3595</v>
      </c>
      <c r="H1073" s="542" t="s">
        <v>3240</v>
      </c>
      <c r="I1073" s="319" t="s">
        <v>1250</v>
      </c>
      <c r="J1073" s="494" t="s">
        <v>3596</v>
      </c>
      <c r="K1073" s="132" t="s">
        <v>1899</v>
      </c>
    </row>
    <row r="1074" spans="1:37" ht="46.8" x14ac:dyDescent="0.3">
      <c r="B1074" s="31" t="s">
        <v>3116</v>
      </c>
      <c r="C1074" s="130" t="s">
        <v>372</v>
      </c>
      <c r="D1074" s="43" t="s">
        <v>320</v>
      </c>
      <c r="E1074" s="126" t="s">
        <v>510</v>
      </c>
      <c r="F1074" s="504">
        <v>2.5099999999999998</v>
      </c>
      <c r="G1074" s="248" t="s">
        <v>3733</v>
      </c>
      <c r="H1074" s="542" t="s">
        <v>3734</v>
      </c>
      <c r="I1074" s="319" t="s">
        <v>934</v>
      </c>
      <c r="J1074" s="494" t="s">
        <v>3735</v>
      </c>
      <c r="K1074" s="132" t="s">
        <v>1899</v>
      </c>
    </row>
    <row r="1075" spans="1:37" ht="46.8" x14ac:dyDescent="0.3">
      <c r="B1075" s="31" t="s">
        <v>3116</v>
      </c>
      <c r="C1075" s="130" t="s">
        <v>372</v>
      </c>
      <c r="D1075" s="43" t="s">
        <v>320</v>
      </c>
      <c r="E1075" s="126" t="s">
        <v>510</v>
      </c>
      <c r="F1075" s="504">
        <v>2.5</v>
      </c>
      <c r="G1075" s="1968" t="s">
        <v>3745</v>
      </c>
      <c r="H1075" s="542" t="s">
        <v>3746</v>
      </c>
      <c r="I1075" s="319" t="s">
        <v>934</v>
      </c>
      <c r="J1075" s="494" t="s">
        <v>3747</v>
      </c>
      <c r="K1075" s="132" t="s">
        <v>1899</v>
      </c>
    </row>
    <row r="1076" spans="1:37" ht="46.8" x14ac:dyDescent="0.3">
      <c r="B1076" s="31" t="s">
        <v>3116</v>
      </c>
      <c r="C1076" s="130" t="s">
        <v>372</v>
      </c>
      <c r="D1076" s="43" t="s">
        <v>320</v>
      </c>
      <c r="E1076" s="126" t="s">
        <v>510</v>
      </c>
      <c r="F1076" s="504">
        <v>2.5</v>
      </c>
      <c r="G1076" s="248" t="s">
        <v>3823</v>
      </c>
      <c r="H1076" s="542" t="s">
        <v>3737</v>
      </c>
      <c r="I1076" s="319" t="s">
        <v>1302</v>
      </c>
      <c r="J1076" s="494" t="s">
        <v>3824</v>
      </c>
      <c r="K1076" s="132" t="s">
        <v>1899</v>
      </c>
    </row>
    <row r="1077" spans="1:37" ht="46.8" x14ac:dyDescent="0.3">
      <c r="B1077" s="31" t="s">
        <v>3116</v>
      </c>
      <c r="C1077" s="130" t="s">
        <v>372</v>
      </c>
      <c r="D1077" s="43" t="s">
        <v>320</v>
      </c>
      <c r="E1077" s="126" t="s">
        <v>510</v>
      </c>
      <c r="F1077" s="504">
        <v>2.25</v>
      </c>
      <c r="G1077" s="248" t="s">
        <v>3881</v>
      </c>
      <c r="H1077" s="542" t="s">
        <v>3495</v>
      </c>
      <c r="I1077" s="319" t="s">
        <v>1302</v>
      </c>
      <c r="J1077" s="494" t="s">
        <v>3882</v>
      </c>
      <c r="K1077" s="132" t="s">
        <v>1899</v>
      </c>
    </row>
    <row r="1078" spans="1:37" ht="46.8" x14ac:dyDescent="0.3">
      <c r="B1078" s="31" t="s">
        <v>3116</v>
      </c>
      <c r="C1078" s="130" t="s">
        <v>372</v>
      </c>
      <c r="D1078" s="43" t="s">
        <v>320</v>
      </c>
      <c r="E1078" s="126" t="s">
        <v>510</v>
      </c>
      <c r="F1078" s="504">
        <v>2.75</v>
      </c>
      <c r="G1078" s="248" t="s">
        <v>3954</v>
      </c>
      <c r="H1078" s="542" t="s">
        <v>3955</v>
      </c>
      <c r="I1078" s="319" t="s">
        <v>97</v>
      </c>
      <c r="J1078" s="494" t="s">
        <v>3956</v>
      </c>
      <c r="K1078" s="132" t="s">
        <v>1899</v>
      </c>
    </row>
    <row r="1079" spans="1:37" ht="46.8" x14ac:dyDescent="0.3">
      <c r="B1079" s="31" t="s">
        <v>3116</v>
      </c>
      <c r="C1079" s="130" t="s">
        <v>372</v>
      </c>
      <c r="D1079" s="43" t="s">
        <v>320</v>
      </c>
      <c r="E1079" s="126" t="s">
        <v>510</v>
      </c>
      <c r="F1079" s="504">
        <v>2.5</v>
      </c>
      <c r="G1079" s="248" t="s">
        <v>4032</v>
      </c>
      <c r="H1079" s="542" t="s">
        <v>3845</v>
      </c>
      <c r="I1079" s="319" t="s">
        <v>937</v>
      </c>
      <c r="J1079" s="494" t="s">
        <v>4033</v>
      </c>
      <c r="K1079" s="132" t="s">
        <v>1899</v>
      </c>
    </row>
    <row r="1080" spans="1:37" ht="46.8" x14ac:dyDescent="0.3">
      <c r="B1080" s="31" t="s">
        <v>3116</v>
      </c>
      <c r="C1080" s="130" t="s">
        <v>372</v>
      </c>
      <c r="D1080" s="43" t="s">
        <v>320</v>
      </c>
      <c r="E1080" s="126" t="s">
        <v>510</v>
      </c>
      <c r="F1080" s="504">
        <v>3.15</v>
      </c>
      <c r="G1080" s="248" t="s">
        <v>4099</v>
      </c>
      <c r="H1080" s="542" t="s">
        <v>4100</v>
      </c>
      <c r="I1080" s="319" t="s">
        <v>1262</v>
      </c>
      <c r="J1080" s="494" t="s">
        <v>4101</v>
      </c>
      <c r="K1080" s="132" t="s">
        <v>1899</v>
      </c>
    </row>
    <row r="1081" spans="1:37" ht="46.8" x14ac:dyDescent="0.3">
      <c r="B1081" s="31" t="s">
        <v>3116</v>
      </c>
      <c r="C1081" s="130" t="s">
        <v>372</v>
      </c>
      <c r="D1081" s="43" t="s">
        <v>320</v>
      </c>
      <c r="E1081" s="126" t="s">
        <v>510</v>
      </c>
      <c r="F1081" s="504">
        <v>2.5</v>
      </c>
      <c r="G1081" s="248" t="s">
        <v>4167</v>
      </c>
      <c r="H1081" s="542" t="s">
        <v>4168</v>
      </c>
      <c r="I1081" s="319" t="s">
        <v>1262</v>
      </c>
      <c r="J1081" s="494" t="s">
        <v>4169</v>
      </c>
      <c r="K1081" s="132" t="s">
        <v>1899</v>
      </c>
    </row>
    <row r="1082" spans="1:37" ht="46.8" x14ac:dyDescent="0.3">
      <c r="B1082" s="31" t="s">
        <v>3116</v>
      </c>
      <c r="C1082" s="130" t="s">
        <v>372</v>
      </c>
      <c r="D1082" s="43" t="s">
        <v>320</v>
      </c>
      <c r="E1082" s="126" t="s">
        <v>510</v>
      </c>
      <c r="F1082" s="504">
        <v>2.5</v>
      </c>
      <c r="G1082" s="248" t="s">
        <v>4238</v>
      </c>
      <c r="H1082" s="542" t="s">
        <v>4239</v>
      </c>
      <c r="I1082" s="319" t="s">
        <v>1509</v>
      </c>
      <c r="J1082" s="494" t="s">
        <v>4240</v>
      </c>
      <c r="K1082" s="132" t="s">
        <v>1899</v>
      </c>
    </row>
    <row r="1083" spans="1:37" ht="46.8" x14ac:dyDescent="0.3">
      <c r="B1083" s="31" t="s">
        <v>3116</v>
      </c>
      <c r="C1083" s="130" t="s">
        <v>372</v>
      </c>
      <c r="D1083" s="43" t="s">
        <v>320</v>
      </c>
      <c r="E1083" s="126" t="s">
        <v>510</v>
      </c>
      <c r="F1083" s="504">
        <v>2.5</v>
      </c>
      <c r="G1083" s="248" t="s">
        <v>4305</v>
      </c>
      <c r="H1083" s="542" t="s">
        <v>4306</v>
      </c>
      <c r="I1083" s="319" t="s">
        <v>1509</v>
      </c>
      <c r="J1083" s="494" t="s">
        <v>4307</v>
      </c>
      <c r="K1083" s="132" t="s">
        <v>1899</v>
      </c>
    </row>
    <row r="1084" spans="1:37" ht="46.8" x14ac:dyDescent="0.3">
      <c r="B1084" s="31" t="s">
        <v>3116</v>
      </c>
      <c r="C1084" s="130" t="s">
        <v>372</v>
      </c>
      <c r="D1084" s="43" t="s">
        <v>320</v>
      </c>
      <c r="E1084" s="126" t="s">
        <v>510</v>
      </c>
      <c r="F1084" s="504">
        <v>2.5</v>
      </c>
      <c r="G1084" s="248" t="s">
        <v>4371</v>
      </c>
      <c r="H1084" s="542" t="s">
        <v>4372</v>
      </c>
      <c r="I1084" s="319" t="s">
        <v>940</v>
      </c>
      <c r="J1084" s="494" t="s">
        <v>4373</v>
      </c>
      <c r="K1084" s="132" t="s">
        <v>1899</v>
      </c>
    </row>
    <row r="1085" spans="1:37" ht="46.8" x14ac:dyDescent="0.3">
      <c r="B1085" s="31" t="s">
        <v>3116</v>
      </c>
      <c r="C1085" s="130" t="s">
        <v>372</v>
      </c>
      <c r="D1085" s="43" t="s">
        <v>320</v>
      </c>
      <c r="E1085" s="126" t="s">
        <v>510</v>
      </c>
      <c r="F1085" s="504">
        <v>2.5</v>
      </c>
      <c r="G1085" s="248" t="s">
        <v>4428</v>
      </c>
      <c r="H1085" s="542" t="s">
        <v>4118</v>
      </c>
      <c r="I1085" s="319" t="s">
        <v>940</v>
      </c>
      <c r="J1085" s="494" t="s">
        <v>4429</v>
      </c>
      <c r="K1085" s="132" t="s">
        <v>1899</v>
      </c>
    </row>
    <row r="1086" spans="1:37" ht="46.8" x14ac:dyDescent="0.3">
      <c r="A1086" s="58"/>
      <c r="B1086" s="31" t="s">
        <v>3116</v>
      </c>
      <c r="C1086" s="130" t="s">
        <v>372</v>
      </c>
      <c r="D1086" s="43" t="s">
        <v>320</v>
      </c>
      <c r="E1086" s="126" t="s">
        <v>510</v>
      </c>
      <c r="F1086" s="504">
        <v>2.5</v>
      </c>
      <c r="G1086" s="248" t="s">
        <v>4476</v>
      </c>
      <c r="H1086" s="542" t="s">
        <v>3854</v>
      </c>
      <c r="I1086" s="319" t="s">
        <v>940</v>
      </c>
      <c r="J1086" s="494" t="s">
        <v>4477</v>
      </c>
      <c r="K1086" s="132" t="s">
        <v>1899</v>
      </c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  <c r="AD1086" s="58"/>
      <c r="AE1086" s="58"/>
      <c r="AF1086" s="58"/>
      <c r="AG1086" s="58"/>
      <c r="AH1086" s="58"/>
      <c r="AI1086" s="58"/>
      <c r="AJ1086" s="58"/>
      <c r="AK1086" s="58"/>
    </row>
    <row r="1087" spans="1:37" ht="46.8" x14ac:dyDescent="0.3">
      <c r="A1087" s="58"/>
      <c r="B1087" s="31" t="s">
        <v>3116</v>
      </c>
      <c r="C1087" s="130" t="s">
        <v>372</v>
      </c>
      <c r="D1087" s="43" t="s">
        <v>320</v>
      </c>
      <c r="E1087" s="126" t="s">
        <v>510</v>
      </c>
      <c r="F1087" s="504">
        <v>1.42</v>
      </c>
      <c r="G1087" s="248" t="s">
        <v>4524</v>
      </c>
      <c r="H1087" s="542" t="s">
        <v>4329</v>
      </c>
      <c r="I1087" s="319" t="s">
        <v>1026</v>
      </c>
      <c r="J1087" s="494" t="s">
        <v>4525</v>
      </c>
      <c r="K1087" s="132" t="s">
        <v>1899</v>
      </c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  <c r="AD1087" s="58"/>
      <c r="AE1087" s="58"/>
      <c r="AF1087" s="58"/>
      <c r="AG1087" s="58"/>
      <c r="AH1087" s="58"/>
      <c r="AI1087" s="58"/>
      <c r="AJ1087" s="58"/>
      <c r="AK1087" s="58"/>
    </row>
    <row r="1088" spans="1:37" ht="46.8" x14ac:dyDescent="0.3">
      <c r="A1088" s="481"/>
      <c r="B1088" s="589" t="s">
        <v>540</v>
      </c>
      <c r="C1088" s="590" t="s">
        <v>376</v>
      </c>
      <c r="D1088" s="41" t="s">
        <v>320</v>
      </c>
      <c r="E1088" s="586" t="s">
        <v>510</v>
      </c>
      <c r="F1088" s="504">
        <v>4</v>
      </c>
      <c r="G1088" s="587" t="s">
        <v>4691</v>
      </c>
      <c r="H1088" s="585" t="s">
        <v>4692</v>
      </c>
      <c r="I1088" s="784" t="s">
        <v>1053</v>
      </c>
      <c r="J1088" s="494" t="s">
        <v>4693</v>
      </c>
      <c r="K1088" s="481" t="s">
        <v>1899</v>
      </c>
      <c r="L1088" s="481"/>
      <c r="M1088" s="481"/>
      <c r="N1088" s="481"/>
      <c r="O1088" s="481"/>
      <c r="P1088" s="481"/>
      <c r="Q1088" s="481"/>
      <c r="R1088" s="481"/>
      <c r="S1088" s="481"/>
      <c r="T1088" s="481"/>
      <c r="U1088" s="481"/>
      <c r="V1088" s="481"/>
      <c r="W1088" s="481"/>
      <c r="X1088" s="481"/>
      <c r="Y1088" s="481"/>
      <c r="Z1088" s="481"/>
      <c r="AA1088" s="481"/>
      <c r="AB1088" s="481"/>
      <c r="AC1088" s="481"/>
      <c r="AD1088" s="481"/>
      <c r="AE1088" s="481"/>
      <c r="AF1088" s="481"/>
      <c r="AG1088" s="481"/>
      <c r="AH1088" s="481"/>
      <c r="AI1088" s="481"/>
      <c r="AJ1088" s="481"/>
      <c r="AK1088" s="481"/>
    </row>
    <row r="1089" spans="1:37" ht="46.8" x14ac:dyDescent="0.3">
      <c r="A1089" s="481"/>
      <c r="B1089" s="589" t="s">
        <v>540</v>
      </c>
      <c r="C1089" s="590" t="s">
        <v>376</v>
      </c>
      <c r="D1089" s="41" t="s">
        <v>320</v>
      </c>
      <c r="E1089" s="586" t="s">
        <v>510</v>
      </c>
      <c r="F1089" s="504">
        <v>2</v>
      </c>
      <c r="G1089" s="587" t="s">
        <v>4694</v>
      </c>
      <c r="H1089" s="585" t="s">
        <v>4695</v>
      </c>
      <c r="I1089" s="784" t="s">
        <v>1053</v>
      </c>
      <c r="J1089" s="494" t="s">
        <v>4696</v>
      </c>
      <c r="K1089" s="481" t="s">
        <v>1899</v>
      </c>
      <c r="L1089" s="481"/>
      <c r="M1089" s="481"/>
      <c r="N1089" s="481"/>
      <c r="O1089" s="481"/>
      <c r="P1089" s="481"/>
      <c r="Q1089" s="481"/>
      <c r="R1089" s="481"/>
      <c r="S1089" s="481"/>
      <c r="T1089" s="481"/>
      <c r="U1089" s="481"/>
      <c r="V1089" s="481"/>
      <c r="W1089" s="481"/>
      <c r="X1089" s="481"/>
      <c r="Y1089" s="481"/>
      <c r="Z1089" s="481"/>
      <c r="AA1089" s="481"/>
      <c r="AB1089" s="481"/>
      <c r="AC1089" s="481"/>
      <c r="AD1089" s="481"/>
      <c r="AE1089" s="481"/>
      <c r="AF1089" s="481"/>
      <c r="AG1089" s="481"/>
      <c r="AH1089" s="481"/>
      <c r="AI1089" s="481"/>
      <c r="AJ1089" s="481"/>
      <c r="AK1089" s="481"/>
    </row>
    <row r="1090" spans="1:37" ht="46.8" x14ac:dyDescent="0.3">
      <c r="A1090" s="481"/>
      <c r="B1090" s="589" t="s">
        <v>540</v>
      </c>
      <c r="C1090" s="590" t="s">
        <v>376</v>
      </c>
      <c r="D1090" s="41" t="s">
        <v>320</v>
      </c>
      <c r="E1090" s="586" t="s">
        <v>510</v>
      </c>
      <c r="F1090" s="504">
        <v>2</v>
      </c>
      <c r="G1090" s="587" t="s">
        <v>4697</v>
      </c>
      <c r="H1090" s="585" t="s">
        <v>4667</v>
      </c>
      <c r="I1090" s="784" t="s">
        <v>1053</v>
      </c>
      <c r="J1090" s="494" t="s">
        <v>4698</v>
      </c>
      <c r="K1090" s="481" t="s">
        <v>1899</v>
      </c>
      <c r="L1090" s="481"/>
      <c r="M1090" s="481"/>
      <c r="N1090" s="481"/>
      <c r="O1090" s="481"/>
      <c r="P1090" s="481"/>
      <c r="Q1090" s="481"/>
      <c r="R1090" s="481"/>
      <c r="S1090" s="481"/>
      <c r="T1090" s="481"/>
      <c r="U1090" s="481"/>
      <c r="V1090" s="481"/>
      <c r="W1090" s="481"/>
      <c r="X1090" s="481"/>
      <c r="Y1090" s="481"/>
      <c r="Z1090" s="481"/>
      <c r="AA1090" s="481"/>
      <c r="AB1090" s="481"/>
      <c r="AC1090" s="481"/>
      <c r="AD1090" s="481"/>
      <c r="AE1090" s="481"/>
      <c r="AF1090" s="481"/>
      <c r="AG1090" s="481"/>
      <c r="AH1090" s="481"/>
      <c r="AI1090" s="481"/>
      <c r="AJ1090" s="481"/>
      <c r="AK1090" s="481"/>
    </row>
    <row r="1091" spans="1:37" ht="46.8" x14ac:dyDescent="0.3">
      <c r="A1091" s="481"/>
      <c r="B1091" s="589" t="s">
        <v>540</v>
      </c>
      <c r="C1091" s="590" t="s">
        <v>376</v>
      </c>
      <c r="D1091" s="41" t="s">
        <v>320</v>
      </c>
      <c r="E1091" s="126" t="s">
        <v>510</v>
      </c>
      <c r="F1091" s="504">
        <v>3.65</v>
      </c>
      <c r="G1091" s="587" t="s">
        <v>4699</v>
      </c>
      <c r="H1091" s="585" t="s">
        <v>4150</v>
      </c>
      <c r="I1091" s="784" t="s">
        <v>1579</v>
      </c>
      <c r="J1091" s="494" t="s">
        <v>4700</v>
      </c>
      <c r="K1091" s="481" t="s">
        <v>1899</v>
      </c>
      <c r="L1091" s="481"/>
      <c r="M1091" s="481"/>
      <c r="N1091" s="481"/>
      <c r="O1091" s="481"/>
      <c r="P1091" s="481"/>
      <c r="Q1091" s="481"/>
      <c r="R1091" s="481"/>
      <c r="S1091" s="481"/>
      <c r="T1091" s="481"/>
      <c r="U1091" s="481"/>
      <c r="V1091" s="481"/>
      <c r="W1091" s="481"/>
      <c r="X1091" s="481"/>
      <c r="Y1091" s="481"/>
      <c r="Z1091" s="481"/>
      <c r="AA1091" s="481"/>
      <c r="AB1091" s="481"/>
      <c r="AC1091" s="481"/>
      <c r="AD1091" s="481"/>
      <c r="AE1091" s="481"/>
      <c r="AF1091" s="481"/>
      <c r="AG1091" s="481"/>
      <c r="AH1091" s="481"/>
      <c r="AI1091" s="481"/>
      <c r="AJ1091" s="481"/>
      <c r="AK1091" s="481"/>
    </row>
    <row r="1092" spans="1:37" ht="46.8" x14ac:dyDescent="0.3">
      <c r="A1092" s="481"/>
      <c r="B1092" s="589" t="s">
        <v>540</v>
      </c>
      <c r="C1092" s="590" t="s">
        <v>376</v>
      </c>
      <c r="D1092" s="41" t="s">
        <v>320</v>
      </c>
      <c r="E1092" s="126" t="s">
        <v>510</v>
      </c>
      <c r="F1092" s="504">
        <v>0.67</v>
      </c>
      <c r="G1092" s="587" t="s">
        <v>4701</v>
      </c>
      <c r="H1092" s="585" t="s">
        <v>4702</v>
      </c>
      <c r="I1092" s="784" t="s">
        <v>1579</v>
      </c>
      <c r="J1092" s="494" t="s">
        <v>4703</v>
      </c>
      <c r="K1092" s="481" t="s">
        <v>1899</v>
      </c>
      <c r="L1092" s="481"/>
      <c r="M1092" s="481"/>
      <c r="N1092" s="481"/>
      <c r="O1092" s="481"/>
      <c r="P1092" s="481"/>
      <c r="Q1092" s="481"/>
      <c r="R1092" s="481"/>
      <c r="S1092" s="481"/>
      <c r="T1092" s="481"/>
      <c r="U1092" s="481"/>
      <c r="V1092" s="481"/>
      <c r="W1092" s="481"/>
      <c r="X1092" s="481"/>
      <c r="Y1092" s="481"/>
      <c r="Z1092" s="481"/>
      <c r="AA1092" s="481"/>
      <c r="AB1092" s="481"/>
      <c r="AC1092" s="481"/>
      <c r="AD1092" s="481"/>
      <c r="AE1092" s="481"/>
      <c r="AF1092" s="481"/>
      <c r="AG1092" s="481"/>
      <c r="AH1092" s="481"/>
      <c r="AI1092" s="481"/>
      <c r="AJ1092" s="481"/>
      <c r="AK1092" s="481"/>
    </row>
    <row r="1093" spans="1:37" ht="46.8" x14ac:dyDescent="0.3">
      <c r="A1093" s="481"/>
      <c r="B1093" s="589" t="s">
        <v>540</v>
      </c>
      <c r="C1093" s="590" t="s">
        <v>376</v>
      </c>
      <c r="D1093" s="41" t="s">
        <v>320</v>
      </c>
      <c r="E1093" s="126" t="s">
        <v>510</v>
      </c>
      <c r="F1093" s="504">
        <v>4.45</v>
      </c>
      <c r="G1093" s="587" t="s">
        <v>4704</v>
      </c>
      <c r="H1093" s="585" t="s">
        <v>4705</v>
      </c>
      <c r="I1093" s="784" t="s">
        <v>949</v>
      </c>
      <c r="J1093" s="494" t="s">
        <v>4706</v>
      </c>
      <c r="K1093" s="481" t="s">
        <v>1899</v>
      </c>
      <c r="L1093" s="481"/>
      <c r="M1093" s="481"/>
      <c r="N1093" s="481"/>
      <c r="O1093" s="481"/>
      <c r="P1093" s="481"/>
      <c r="Q1093" s="481"/>
      <c r="R1093" s="481"/>
      <c r="S1093" s="481"/>
      <c r="T1093" s="481"/>
      <c r="U1093" s="481"/>
      <c r="V1093" s="481"/>
      <c r="W1093" s="481"/>
      <c r="X1093" s="481"/>
      <c r="Y1093" s="481"/>
      <c r="Z1093" s="481"/>
      <c r="AA1093" s="481"/>
      <c r="AB1093" s="481"/>
      <c r="AC1093" s="481"/>
      <c r="AD1093" s="481"/>
      <c r="AE1093" s="481"/>
      <c r="AF1093" s="481"/>
      <c r="AG1093" s="481"/>
      <c r="AH1093" s="481"/>
      <c r="AI1093" s="481"/>
      <c r="AJ1093" s="481"/>
      <c r="AK1093" s="481"/>
    </row>
    <row r="1094" spans="1:37" ht="46.8" x14ac:dyDescent="0.3">
      <c r="A1094" s="481"/>
      <c r="B1094" s="589" t="s">
        <v>540</v>
      </c>
      <c r="C1094" s="590" t="s">
        <v>376</v>
      </c>
      <c r="D1094" s="41" t="s">
        <v>320</v>
      </c>
      <c r="E1094" s="126" t="s">
        <v>510</v>
      </c>
      <c r="F1094" s="1195">
        <f>4.35-0.021</f>
        <v>4.3289999999999997</v>
      </c>
      <c r="G1094" s="587" t="s">
        <v>4707</v>
      </c>
      <c r="H1094" s="585" t="s">
        <v>4708</v>
      </c>
      <c r="I1094" s="1306" t="s">
        <v>119</v>
      </c>
      <c r="J1094" s="494" t="s">
        <v>618</v>
      </c>
      <c r="K1094" s="481" t="s">
        <v>1899</v>
      </c>
      <c r="L1094" s="481"/>
      <c r="M1094" s="481"/>
      <c r="N1094" s="481"/>
      <c r="O1094" s="481"/>
      <c r="P1094" s="481"/>
      <c r="Q1094" s="481"/>
      <c r="R1094" s="481"/>
      <c r="S1094" s="481"/>
      <c r="T1094" s="481"/>
      <c r="U1094" s="481"/>
      <c r="V1094" s="481"/>
      <c r="W1094" s="481"/>
      <c r="X1094" s="481"/>
      <c r="Y1094" s="481"/>
      <c r="Z1094" s="481"/>
      <c r="AA1094" s="481"/>
      <c r="AB1094" s="481"/>
      <c r="AC1094" s="481"/>
      <c r="AD1094" s="481"/>
      <c r="AE1094" s="481"/>
      <c r="AF1094" s="481"/>
      <c r="AG1094" s="481"/>
      <c r="AH1094" s="481"/>
      <c r="AI1094" s="481"/>
      <c r="AJ1094" s="481"/>
      <c r="AK1094" s="481"/>
    </row>
    <row r="1095" spans="1:37" ht="46.8" x14ac:dyDescent="0.3">
      <c r="A1095" s="481"/>
      <c r="B1095" s="589" t="s">
        <v>540</v>
      </c>
      <c r="C1095" s="590" t="s">
        <v>376</v>
      </c>
      <c r="D1095" s="41" t="s">
        <v>320</v>
      </c>
      <c r="E1095" s="586" t="s">
        <v>510</v>
      </c>
      <c r="F1095" s="504">
        <v>0.52500000000000002</v>
      </c>
      <c r="G1095" s="587" t="s">
        <v>4709</v>
      </c>
      <c r="H1095" s="585" t="s">
        <v>4710</v>
      </c>
      <c r="I1095" s="784" t="s">
        <v>1053</v>
      </c>
      <c r="J1095" s="494" t="s">
        <v>4711</v>
      </c>
      <c r="K1095" s="481" t="s">
        <v>1899</v>
      </c>
      <c r="L1095" s="481"/>
      <c r="M1095" s="481"/>
      <c r="N1095" s="481"/>
      <c r="O1095" s="481"/>
      <c r="P1095" s="481"/>
      <c r="Q1095" s="481"/>
      <c r="R1095" s="481"/>
      <c r="S1095" s="481"/>
      <c r="T1095" s="481"/>
      <c r="U1095" s="481"/>
      <c r="V1095" s="481"/>
      <c r="W1095" s="481"/>
      <c r="X1095" s="481"/>
      <c r="Y1095" s="481"/>
      <c r="Z1095" s="481"/>
      <c r="AA1095" s="481"/>
      <c r="AB1095" s="481"/>
      <c r="AC1095" s="481"/>
      <c r="AD1095" s="481"/>
      <c r="AE1095" s="481"/>
      <c r="AF1095" s="481"/>
      <c r="AG1095" s="481"/>
      <c r="AH1095" s="481"/>
      <c r="AI1095" s="481"/>
      <c r="AJ1095" s="481"/>
      <c r="AK1095" s="481"/>
    </row>
    <row r="1096" spans="1:37" ht="46.8" x14ac:dyDescent="0.3">
      <c r="B1096" s="31" t="s">
        <v>3058</v>
      </c>
      <c r="C1096" s="130" t="s">
        <v>369</v>
      </c>
      <c r="D1096" s="43" t="s">
        <v>190</v>
      </c>
      <c r="E1096" s="126" t="s">
        <v>510</v>
      </c>
      <c r="F1096" s="504">
        <v>1</v>
      </c>
      <c r="G1096" s="126" t="s">
        <v>3074</v>
      </c>
      <c r="H1096" s="304">
        <v>45651</v>
      </c>
      <c r="I1096" s="319" t="s">
        <v>931</v>
      </c>
      <c r="J1096" s="494" t="s">
        <v>1900</v>
      </c>
      <c r="K1096" s="132" t="s">
        <v>1900</v>
      </c>
    </row>
    <row r="1097" spans="1:37" ht="46.8" x14ac:dyDescent="0.3">
      <c r="B1097" s="31" t="s">
        <v>3087</v>
      </c>
      <c r="C1097" s="130" t="s">
        <v>3088</v>
      </c>
      <c r="D1097" s="43" t="s">
        <v>190</v>
      </c>
      <c r="E1097" s="126" t="s">
        <v>510</v>
      </c>
      <c r="F1097" s="504">
        <v>1</v>
      </c>
      <c r="G1097" s="126" t="s">
        <v>3106</v>
      </c>
      <c r="H1097" s="304">
        <v>45668</v>
      </c>
      <c r="I1097" s="319" t="s">
        <v>1250</v>
      </c>
      <c r="J1097" s="494" t="s">
        <v>1900</v>
      </c>
      <c r="K1097" s="132" t="s">
        <v>1900</v>
      </c>
      <c r="L1097" s="58"/>
    </row>
    <row r="1098" spans="1:37" ht="46.8" x14ac:dyDescent="0.3">
      <c r="B1098" s="31" t="s">
        <v>3116</v>
      </c>
      <c r="C1098" s="130" t="s">
        <v>372</v>
      </c>
      <c r="D1098" s="43" t="s">
        <v>320</v>
      </c>
      <c r="E1098" s="126" t="s">
        <v>510</v>
      </c>
      <c r="F1098" s="504">
        <v>6.04</v>
      </c>
      <c r="G1098" s="248" t="s">
        <v>3151</v>
      </c>
      <c r="H1098" s="542" t="s">
        <v>3152</v>
      </c>
      <c r="I1098" s="319" t="s">
        <v>1326</v>
      </c>
      <c r="J1098" s="584" t="s">
        <v>3153</v>
      </c>
      <c r="K1098" s="132" t="s">
        <v>1900</v>
      </c>
    </row>
    <row r="1099" spans="1:37" ht="46.8" x14ac:dyDescent="0.3">
      <c r="B1099" s="31" t="s">
        <v>3116</v>
      </c>
      <c r="C1099" s="130" t="s">
        <v>372</v>
      </c>
      <c r="D1099" s="43" t="s">
        <v>320</v>
      </c>
      <c r="E1099" s="126" t="s">
        <v>510</v>
      </c>
      <c r="F1099" s="504">
        <v>2</v>
      </c>
      <c r="G1099" s="248" t="s">
        <v>3233</v>
      </c>
      <c r="H1099" s="542" t="s">
        <v>3234</v>
      </c>
      <c r="I1099" s="319" t="s">
        <v>1250</v>
      </c>
      <c r="J1099" s="494" t="s">
        <v>3235</v>
      </c>
      <c r="K1099" s="132" t="s">
        <v>1900</v>
      </c>
    </row>
    <row r="1100" spans="1:37" ht="46.8" x14ac:dyDescent="0.3">
      <c r="B1100" s="31" t="s">
        <v>3116</v>
      </c>
      <c r="C1100" s="130" t="s">
        <v>372</v>
      </c>
      <c r="D1100" s="43" t="s">
        <v>320</v>
      </c>
      <c r="E1100" s="126" t="s">
        <v>510</v>
      </c>
      <c r="F1100" s="504">
        <v>1.05</v>
      </c>
      <c r="G1100" s="248" t="s">
        <v>3312</v>
      </c>
      <c r="H1100" s="542" t="s">
        <v>3313</v>
      </c>
      <c r="I1100" s="319" t="s">
        <v>1250</v>
      </c>
      <c r="J1100" s="494" t="s">
        <v>3314</v>
      </c>
      <c r="K1100" s="132" t="s">
        <v>1900</v>
      </c>
    </row>
    <row r="1101" spans="1:37" ht="46.8" x14ac:dyDescent="0.3">
      <c r="B1101" s="31" t="s">
        <v>3116</v>
      </c>
      <c r="C1101" s="130" t="s">
        <v>372</v>
      </c>
      <c r="D1101" s="43" t="s">
        <v>320</v>
      </c>
      <c r="E1101" s="126" t="s">
        <v>510</v>
      </c>
      <c r="F1101" s="504">
        <v>2.5</v>
      </c>
      <c r="G1101" s="248" t="s">
        <v>3383</v>
      </c>
      <c r="H1101" s="542" t="s">
        <v>3240</v>
      </c>
      <c r="I1101" s="319" t="s">
        <v>1250</v>
      </c>
      <c r="J1101" s="494" t="s">
        <v>3384</v>
      </c>
      <c r="K1101" s="132" t="s">
        <v>1900</v>
      </c>
    </row>
    <row r="1102" spans="1:37" ht="46.8" x14ac:dyDescent="0.3">
      <c r="B1102" s="31" t="s">
        <v>3116</v>
      </c>
      <c r="C1102" s="130" t="s">
        <v>372</v>
      </c>
      <c r="D1102" s="43" t="s">
        <v>320</v>
      </c>
      <c r="E1102" s="126" t="s">
        <v>510</v>
      </c>
      <c r="F1102" s="504">
        <v>2.61</v>
      </c>
      <c r="G1102" s="248" t="s">
        <v>3466</v>
      </c>
      <c r="H1102" s="542" t="s">
        <v>3467</v>
      </c>
      <c r="I1102" s="319" t="s">
        <v>934</v>
      </c>
      <c r="J1102" s="494" t="s">
        <v>3468</v>
      </c>
      <c r="K1102" s="132" t="s">
        <v>1900</v>
      </c>
    </row>
    <row r="1103" spans="1:37" ht="46.8" x14ac:dyDescent="0.3">
      <c r="B1103" s="31" t="s">
        <v>3116</v>
      </c>
      <c r="C1103" s="130" t="s">
        <v>372</v>
      </c>
      <c r="D1103" s="43" t="s">
        <v>320</v>
      </c>
      <c r="E1103" s="126" t="s">
        <v>510</v>
      </c>
      <c r="F1103" s="504">
        <v>2.5</v>
      </c>
      <c r="G1103" s="248" t="s">
        <v>3555</v>
      </c>
      <c r="H1103" s="542" t="s">
        <v>3556</v>
      </c>
      <c r="I1103" s="319" t="s">
        <v>1302</v>
      </c>
      <c r="J1103" s="494" t="s">
        <v>3557</v>
      </c>
      <c r="K1103" s="132" t="s">
        <v>1900</v>
      </c>
    </row>
    <row r="1104" spans="1:37" ht="46.8" x14ac:dyDescent="0.3">
      <c r="B1104" s="31" t="s">
        <v>3116</v>
      </c>
      <c r="C1104" s="130" t="s">
        <v>372</v>
      </c>
      <c r="D1104" s="43" t="s">
        <v>320</v>
      </c>
      <c r="E1104" s="126" t="s">
        <v>510</v>
      </c>
      <c r="F1104" s="504">
        <v>2.5</v>
      </c>
      <c r="G1104" s="248" t="s">
        <v>3620</v>
      </c>
      <c r="H1104" s="542" t="s">
        <v>3621</v>
      </c>
      <c r="I1104" s="319" t="s">
        <v>1302</v>
      </c>
      <c r="J1104" s="494" t="s">
        <v>3622</v>
      </c>
      <c r="K1104" s="132" t="s">
        <v>1900</v>
      </c>
    </row>
    <row r="1105" spans="2:11" ht="46.8" x14ac:dyDescent="0.3">
      <c r="B1105" s="31" t="s">
        <v>3116</v>
      </c>
      <c r="C1105" s="130" t="s">
        <v>372</v>
      </c>
      <c r="D1105" s="43" t="s">
        <v>320</v>
      </c>
      <c r="E1105" s="126" t="s">
        <v>510</v>
      </c>
      <c r="F1105" s="504">
        <v>2.6</v>
      </c>
      <c r="G1105" s="248" t="s">
        <v>3736</v>
      </c>
      <c r="H1105" s="542" t="s">
        <v>3737</v>
      </c>
      <c r="I1105" s="319" t="s">
        <v>1302</v>
      </c>
      <c r="J1105" s="494" t="s">
        <v>3738</v>
      </c>
      <c r="K1105" s="132" t="s">
        <v>1900</v>
      </c>
    </row>
    <row r="1106" spans="2:11" ht="46.8" x14ac:dyDescent="0.3">
      <c r="B1106" s="31" t="s">
        <v>3116</v>
      </c>
      <c r="C1106" s="130" t="s">
        <v>372</v>
      </c>
      <c r="D1106" s="43" t="s">
        <v>320</v>
      </c>
      <c r="E1106" s="126" t="s">
        <v>510</v>
      </c>
      <c r="F1106" s="504">
        <v>2.5</v>
      </c>
      <c r="G1106" s="248" t="s">
        <v>3760</v>
      </c>
      <c r="H1106" s="542" t="s">
        <v>3495</v>
      </c>
      <c r="I1106" s="319" t="s">
        <v>1302</v>
      </c>
      <c r="J1106" s="494" t="s">
        <v>3761</v>
      </c>
      <c r="K1106" s="132" t="s">
        <v>1900</v>
      </c>
    </row>
    <row r="1107" spans="2:11" ht="46.8" x14ac:dyDescent="0.3">
      <c r="B1107" s="31" t="s">
        <v>3116</v>
      </c>
      <c r="C1107" s="130" t="s">
        <v>372</v>
      </c>
      <c r="D1107" s="43" t="s">
        <v>320</v>
      </c>
      <c r="E1107" s="126" t="s">
        <v>510</v>
      </c>
      <c r="F1107" s="504">
        <v>2.5</v>
      </c>
      <c r="G1107" s="248" t="s">
        <v>3844</v>
      </c>
      <c r="H1107" s="542" t="s">
        <v>3845</v>
      </c>
      <c r="I1107" s="319" t="s">
        <v>937</v>
      </c>
      <c r="J1107" s="494" t="s">
        <v>3846</v>
      </c>
      <c r="K1107" s="132" t="s">
        <v>1900</v>
      </c>
    </row>
    <row r="1108" spans="2:11" ht="46.8" x14ac:dyDescent="0.3">
      <c r="B1108" s="31" t="s">
        <v>3116</v>
      </c>
      <c r="C1108" s="130" t="s">
        <v>372</v>
      </c>
      <c r="D1108" s="43" t="s">
        <v>320</v>
      </c>
      <c r="E1108" s="126" t="s">
        <v>510</v>
      </c>
      <c r="F1108" s="504">
        <v>2.7</v>
      </c>
      <c r="G1108" s="248" t="s">
        <v>3915</v>
      </c>
      <c r="H1108" s="542" t="s">
        <v>3916</v>
      </c>
      <c r="I1108" s="319" t="s">
        <v>1509</v>
      </c>
      <c r="J1108" s="494" t="s">
        <v>3917</v>
      </c>
      <c r="K1108" s="132" t="s">
        <v>1900</v>
      </c>
    </row>
    <row r="1109" spans="2:11" ht="46.8" x14ac:dyDescent="0.3">
      <c r="B1109" s="31" t="s">
        <v>3116</v>
      </c>
      <c r="C1109" s="130" t="s">
        <v>372</v>
      </c>
      <c r="D1109" s="43" t="s">
        <v>320</v>
      </c>
      <c r="E1109" s="126" t="s">
        <v>510</v>
      </c>
      <c r="F1109" s="504">
        <v>2.8</v>
      </c>
      <c r="G1109" s="248" t="s">
        <v>3981</v>
      </c>
      <c r="H1109" s="542" t="s">
        <v>3982</v>
      </c>
      <c r="I1109" s="319" t="s">
        <v>1509</v>
      </c>
      <c r="J1109" s="494" t="s">
        <v>3983</v>
      </c>
      <c r="K1109" s="132" t="s">
        <v>1900</v>
      </c>
    </row>
    <row r="1110" spans="2:11" ht="46.8" x14ac:dyDescent="0.3">
      <c r="B1110" s="31" t="s">
        <v>3116</v>
      </c>
      <c r="C1110" s="130" t="s">
        <v>372</v>
      </c>
      <c r="D1110" s="43" t="s">
        <v>320</v>
      </c>
      <c r="E1110" s="126" t="s">
        <v>510</v>
      </c>
      <c r="F1110" s="504">
        <v>2.5</v>
      </c>
      <c r="G1110" s="248" t="s">
        <v>4052</v>
      </c>
      <c r="H1110" s="542" t="s">
        <v>4053</v>
      </c>
      <c r="I1110" s="319" t="s">
        <v>940</v>
      </c>
      <c r="J1110" s="494" t="s">
        <v>4054</v>
      </c>
      <c r="K1110" s="132" t="s">
        <v>1900</v>
      </c>
    </row>
    <row r="1111" spans="2:11" ht="46.8" x14ac:dyDescent="0.3">
      <c r="B1111" s="31" t="s">
        <v>3116</v>
      </c>
      <c r="C1111" s="130" t="s">
        <v>372</v>
      </c>
      <c r="D1111" s="43" t="s">
        <v>320</v>
      </c>
      <c r="E1111" s="126" t="s">
        <v>510</v>
      </c>
      <c r="F1111" s="504">
        <v>2.5</v>
      </c>
      <c r="G1111" s="248" t="s">
        <v>4117</v>
      </c>
      <c r="H1111" s="542" t="s">
        <v>4118</v>
      </c>
      <c r="I1111" s="319" t="s">
        <v>940</v>
      </c>
      <c r="J1111" s="494" t="s">
        <v>4119</v>
      </c>
      <c r="K1111" s="132" t="s">
        <v>1900</v>
      </c>
    </row>
    <row r="1112" spans="2:11" ht="46.8" x14ac:dyDescent="0.3">
      <c r="B1112" s="31" t="s">
        <v>3116</v>
      </c>
      <c r="C1112" s="130" t="s">
        <v>372</v>
      </c>
      <c r="D1112" s="43" t="s">
        <v>320</v>
      </c>
      <c r="E1112" s="126" t="s">
        <v>510</v>
      </c>
      <c r="F1112" s="504">
        <v>2.5</v>
      </c>
      <c r="G1112" s="248" t="s">
        <v>4182</v>
      </c>
      <c r="H1112" s="542" t="s">
        <v>3854</v>
      </c>
      <c r="I1112" s="319" t="s">
        <v>940</v>
      </c>
      <c r="J1112" s="494" t="s">
        <v>4183</v>
      </c>
      <c r="K1112" s="132" t="s">
        <v>1900</v>
      </c>
    </row>
    <row r="1113" spans="2:11" ht="46.8" x14ac:dyDescent="0.3">
      <c r="B1113" s="31" t="s">
        <v>3116</v>
      </c>
      <c r="C1113" s="130" t="s">
        <v>372</v>
      </c>
      <c r="D1113" s="43" t="s">
        <v>320</v>
      </c>
      <c r="E1113" s="126" t="s">
        <v>510</v>
      </c>
      <c r="F1113" s="504">
        <v>2.5</v>
      </c>
      <c r="G1113" s="248" t="s">
        <v>4255</v>
      </c>
      <c r="H1113" s="542" t="s">
        <v>4059</v>
      </c>
      <c r="I1113" s="319" t="s">
        <v>1026</v>
      </c>
      <c r="J1113" s="494" t="s">
        <v>4256</v>
      </c>
      <c r="K1113" s="132" t="s">
        <v>1900</v>
      </c>
    </row>
    <row r="1114" spans="2:11" ht="46.8" x14ac:dyDescent="0.3">
      <c r="B1114" s="31" t="s">
        <v>3116</v>
      </c>
      <c r="C1114" s="130" t="s">
        <v>372</v>
      </c>
      <c r="D1114" s="43" t="s">
        <v>320</v>
      </c>
      <c r="E1114" s="126" t="s">
        <v>510</v>
      </c>
      <c r="F1114" s="504">
        <v>2.5</v>
      </c>
      <c r="G1114" s="248" t="s">
        <v>4334</v>
      </c>
      <c r="H1114" s="542" t="s">
        <v>4335</v>
      </c>
      <c r="I1114" s="319" t="s">
        <v>1282</v>
      </c>
      <c r="J1114" s="494" t="s">
        <v>4336</v>
      </c>
      <c r="K1114" s="132" t="s">
        <v>1900</v>
      </c>
    </row>
    <row r="1115" spans="2:11" ht="46.8" x14ac:dyDescent="0.3">
      <c r="B1115" s="31" t="s">
        <v>3116</v>
      </c>
      <c r="C1115" s="130" t="s">
        <v>372</v>
      </c>
      <c r="D1115" s="43" t="s">
        <v>320</v>
      </c>
      <c r="E1115" s="126" t="s">
        <v>510</v>
      </c>
      <c r="F1115" s="504">
        <v>2.2999999999999998</v>
      </c>
      <c r="G1115" s="248" t="s">
        <v>4392</v>
      </c>
      <c r="H1115" s="542" t="s">
        <v>4393</v>
      </c>
      <c r="I1115" s="319" t="s">
        <v>943</v>
      </c>
      <c r="J1115" s="494" t="s">
        <v>4394</v>
      </c>
      <c r="K1115" s="132" t="s">
        <v>1900</v>
      </c>
    </row>
    <row r="1116" spans="2:11" ht="46.8" x14ac:dyDescent="0.3">
      <c r="B1116" s="31" t="s">
        <v>3116</v>
      </c>
      <c r="C1116" s="130" t="s">
        <v>372</v>
      </c>
      <c r="D1116" s="43" t="s">
        <v>320</v>
      </c>
      <c r="E1116" s="126" t="s">
        <v>510</v>
      </c>
      <c r="F1116" s="504">
        <v>2.7</v>
      </c>
      <c r="G1116" s="248" t="s">
        <v>4450</v>
      </c>
      <c r="H1116" s="542" t="s">
        <v>4451</v>
      </c>
      <c r="I1116" s="319" t="s">
        <v>943</v>
      </c>
      <c r="J1116" s="494" t="s">
        <v>4452</v>
      </c>
      <c r="K1116" s="132" t="s">
        <v>1900</v>
      </c>
    </row>
    <row r="1117" spans="2:11" ht="46.8" x14ac:dyDescent="0.3">
      <c r="B1117" s="31" t="s">
        <v>3116</v>
      </c>
      <c r="C1117" s="130" t="s">
        <v>372</v>
      </c>
      <c r="D1117" s="43" t="s">
        <v>320</v>
      </c>
      <c r="E1117" s="126" t="s">
        <v>510</v>
      </c>
      <c r="F1117" s="504">
        <v>2.5</v>
      </c>
      <c r="G1117" s="248" t="s">
        <v>4494</v>
      </c>
      <c r="H1117" s="542" t="s">
        <v>4396</v>
      </c>
      <c r="I1117" s="319" t="s">
        <v>943</v>
      </c>
      <c r="J1117" s="494" t="s">
        <v>4495</v>
      </c>
      <c r="K1117" s="132" t="s">
        <v>1900</v>
      </c>
    </row>
    <row r="1118" spans="2:11" ht="46.8" x14ac:dyDescent="0.3">
      <c r="B1118" s="31" t="s">
        <v>3116</v>
      </c>
      <c r="C1118" s="130" t="s">
        <v>372</v>
      </c>
      <c r="D1118" s="43" t="s">
        <v>320</v>
      </c>
      <c r="E1118" s="126" t="s">
        <v>510</v>
      </c>
      <c r="F1118" s="504">
        <f>2.5-0.7</f>
        <v>1.8</v>
      </c>
      <c r="G1118" s="248" t="s">
        <v>4540</v>
      </c>
      <c r="H1118" s="542" t="s">
        <v>4541</v>
      </c>
      <c r="I1118" s="319" t="s">
        <v>1417</v>
      </c>
      <c r="J1118" s="494" t="s">
        <v>4542</v>
      </c>
      <c r="K1118" s="132" t="s">
        <v>1900</v>
      </c>
    </row>
    <row r="1119" spans="2:11" ht="46.8" x14ac:dyDescent="0.3">
      <c r="B1119" s="31" t="s">
        <v>3116</v>
      </c>
      <c r="C1119" s="130" t="s">
        <v>372</v>
      </c>
      <c r="D1119" s="43" t="s">
        <v>320</v>
      </c>
      <c r="E1119" s="126" t="s">
        <v>510</v>
      </c>
      <c r="F1119" s="1127">
        <f>-0.05</f>
        <v>-0.05</v>
      </c>
      <c r="G1119" s="587"/>
      <c r="H1119" s="585"/>
      <c r="I1119" s="784" t="s">
        <v>1315</v>
      </c>
      <c r="J1119" s="494" t="s">
        <v>4542</v>
      </c>
      <c r="K1119" s="132" t="s">
        <v>1900</v>
      </c>
    </row>
    <row r="1120" spans="2:11" ht="31.2" x14ac:dyDescent="0.3">
      <c r="B1120" s="855"/>
      <c r="C1120" s="1937"/>
      <c r="D1120" s="769"/>
      <c r="E1120" s="858"/>
      <c r="F1120" s="1167"/>
      <c r="G1120" s="858"/>
      <c r="H1120" s="855"/>
      <c r="I1120" s="755"/>
      <c r="J1120" s="1993"/>
    </row>
    <row r="1121" spans="2:10" ht="46.8" x14ac:dyDescent="0.3">
      <c r="B1121" s="1927"/>
      <c r="C1121" s="1938" t="s">
        <v>141</v>
      </c>
      <c r="D1121" s="1945"/>
      <c r="E1121" s="1953"/>
      <c r="F1121" s="1962"/>
      <c r="G1121" s="1953"/>
      <c r="H1121" s="1979"/>
      <c r="I1121" s="1982"/>
      <c r="J1121" s="1994"/>
    </row>
    <row r="1122" spans="2:10" ht="46.8" x14ac:dyDescent="0.3">
      <c r="B1122" s="1925"/>
      <c r="C1122" s="1935"/>
      <c r="D1122" s="1944"/>
      <c r="E1122" s="1952"/>
      <c r="F1122" s="1961"/>
      <c r="G1122" s="858"/>
      <c r="H1122" s="1976" t="str">
        <f>'Schedule 3'!H3</f>
        <v>Period of bill : 1st Jul'26 to 31st Jul'26</v>
      </c>
      <c r="I1122" s="1987"/>
      <c r="J1122" s="1992"/>
    </row>
    <row r="1123" spans="2:10" ht="46.8" x14ac:dyDescent="0.3">
      <c r="B1123" s="1922" t="s">
        <v>3043</v>
      </c>
      <c r="C1123" s="1929"/>
      <c r="D1123" s="1940"/>
      <c r="E1123" s="1947"/>
      <c r="F1123" s="1955"/>
      <c r="G1123" s="1947"/>
      <c r="H1123" s="1922"/>
      <c r="I1123" s="1982"/>
      <c r="J1123" s="1990" t="str">
        <f>'Schedule 1'!J4</f>
        <v>IPC - 34</v>
      </c>
    </row>
    <row r="1124" spans="2:10" ht="46.8" x14ac:dyDescent="0.3">
      <c r="B1124" s="1922" t="s">
        <v>762</v>
      </c>
      <c r="C1124" s="1929"/>
      <c r="D1124" s="1940"/>
      <c r="E1124" s="1947"/>
      <c r="F1124" s="1955"/>
      <c r="G1124" s="1947"/>
      <c r="H1124" s="1922"/>
      <c r="I1124" s="1989"/>
      <c r="J1124" s="1992"/>
    </row>
    <row r="1125" spans="2:10" ht="46.8" x14ac:dyDescent="0.3">
      <c r="B1125" s="1924" t="s">
        <v>498</v>
      </c>
      <c r="C1125" s="1932" t="s">
        <v>176</v>
      </c>
      <c r="D1125" s="1942" t="s">
        <v>500</v>
      </c>
      <c r="E1125" s="1950" t="s">
        <v>501</v>
      </c>
      <c r="F1125" s="1958" t="s">
        <v>502</v>
      </c>
      <c r="G1125" s="1950" t="s">
        <v>763</v>
      </c>
      <c r="H1125" s="1924" t="s">
        <v>504</v>
      </c>
      <c r="I1125" s="533" t="s">
        <v>764</v>
      </c>
      <c r="J1125" s="1991" t="s">
        <v>507</v>
      </c>
    </row>
    <row r="1126" spans="2:10" ht="46.8" x14ac:dyDescent="0.3">
      <c r="B1126" s="31"/>
      <c r="C1126" s="130"/>
      <c r="D1126" s="43"/>
      <c r="E1126" s="126"/>
      <c r="F1126" s="351"/>
      <c r="G1126" s="126"/>
      <c r="H1126" s="1972"/>
      <c r="I1126" s="319"/>
      <c r="J1126" s="494"/>
    </row>
    <row r="1127" spans="2:10" ht="46.8" x14ac:dyDescent="0.3">
      <c r="B1127" s="1533">
        <v>401</v>
      </c>
      <c r="C1127" s="1534" t="s">
        <v>367</v>
      </c>
      <c r="D1127" s="1535"/>
      <c r="E1127" s="1949"/>
      <c r="F1127" s="1957"/>
      <c r="G1127" s="1949"/>
      <c r="H1127" s="1537"/>
      <c r="I1127" s="1985"/>
      <c r="J1127" s="1538"/>
    </row>
    <row r="1128" spans="2:10" ht="46.8" x14ac:dyDescent="0.3">
      <c r="B1128" s="31" t="s">
        <v>3044</v>
      </c>
      <c r="C1128" s="130" t="s">
        <v>368</v>
      </c>
      <c r="D1128" s="43" t="s">
        <v>190</v>
      </c>
      <c r="E1128" s="126" t="s">
        <v>510</v>
      </c>
      <c r="F1128" s="504">
        <v>14</v>
      </c>
      <c r="G1128" s="126" t="s">
        <v>3045</v>
      </c>
      <c r="H1128" s="304">
        <v>45565</v>
      </c>
      <c r="I1128" s="319" t="s">
        <v>797</v>
      </c>
      <c r="J1128" s="537" t="s">
        <v>3046</v>
      </c>
    </row>
    <row r="1129" spans="2:10" ht="46.8" x14ac:dyDescent="0.3">
      <c r="B1129" s="31" t="s">
        <v>3044</v>
      </c>
      <c r="C1129" s="130" t="s">
        <v>368</v>
      </c>
      <c r="D1129" s="43" t="s">
        <v>190</v>
      </c>
      <c r="E1129" s="126" t="s">
        <v>515</v>
      </c>
      <c r="F1129" s="504">
        <v>1</v>
      </c>
      <c r="G1129" s="126" t="s">
        <v>3047</v>
      </c>
      <c r="H1129" s="304">
        <v>45565</v>
      </c>
      <c r="I1129" s="319" t="s">
        <v>797</v>
      </c>
      <c r="J1129" s="494" t="s">
        <v>3048</v>
      </c>
    </row>
    <row r="1130" spans="2:10" ht="46.8" x14ac:dyDescent="0.3">
      <c r="B1130" s="31" t="s">
        <v>3044</v>
      </c>
      <c r="C1130" s="130" t="s">
        <v>368</v>
      </c>
      <c r="D1130" s="43" t="s">
        <v>190</v>
      </c>
      <c r="E1130" s="126" t="s">
        <v>515</v>
      </c>
      <c r="F1130" s="504">
        <v>1</v>
      </c>
      <c r="G1130" s="126" t="s">
        <v>3049</v>
      </c>
      <c r="H1130" s="304">
        <v>45593</v>
      </c>
      <c r="I1130" s="319" t="s">
        <v>871</v>
      </c>
      <c r="J1130" s="494" t="s">
        <v>3048</v>
      </c>
    </row>
    <row r="1131" spans="2:10" ht="46.8" x14ac:dyDescent="0.3">
      <c r="B1131" s="31" t="s">
        <v>3044</v>
      </c>
      <c r="C1131" s="130" t="s">
        <v>368</v>
      </c>
      <c r="D1131" s="43" t="s">
        <v>190</v>
      </c>
      <c r="E1131" s="126" t="s">
        <v>510</v>
      </c>
      <c r="F1131" s="504">
        <v>9</v>
      </c>
      <c r="G1131" s="126" t="s">
        <v>3050</v>
      </c>
      <c r="H1131" s="304">
        <v>45596</v>
      </c>
      <c r="I1131" s="319" t="s">
        <v>871</v>
      </c>
      <c r="J1131" s="537" t="s">
        <v>3051</v>
      </c>
    </row>
    <row r="1132" spans="2:10" ht="46.8" x14ac:dyDescent="0.3">
      <c r="B1132" s="31" t="s">
        <v>3044</v>
      </c>
      <c r="C1132" s="130" t="s">
        <v>368</v>
      </c>
      <c r="D1132" s="43" t="s">
        <v>190</v>
      </c>
      <c r="E1132" s="126" t="s">
        <v>510</v>
      </c>
      <c r="F1132" s="1127">
        <f>-2</f>
        <v>-2</v>
      </c>
      <c r="G1132" s="126"/>
      <c r="H1132" s="304"/>
      <c r="I1132" s="319" t="s">
        <v>1417</v>
      </c>
      <c r="J1132" s="537" t="s">
        <v>3052</v>
      </c>
    </row>
    <row r="1133" spans="2:10" ht="46.8" x14ac:dyDescent="0.3">
      <c r="B1133" s="31" t="s">
        <v>3044</v>
      </c>
      <c r="C1133" s="130" t="s">
        <v>368</v>
      </c>
      <c r="D1133" s="43" t="s">
        <v>190</v>
      </c>
      <c r="E1133" s="126" t="s">
        <v>510</v>
      </c>
      <c r="F1133" s="504">
        <v>1</v>
      </c>
      <c r="G1133" s="126" t="s">
        <v>3053</v>
      </c>
      <c r="H1133" s="304">
        <v>45997</v>
      </c>
      <c r="I1133" s="319" t="s">
        <v>1417</v>
      </c>
      <c r="J1133" s="537" t="s">
        <v>3054</v>
      </c>
    </row>
    <row r="1134" spans="2:10" ht="46.8" x14ac:dyDescent="0.3">
      <c r="B1134" s="31" t="s">
        <v>3044</v>
      </c>
      <c r="C1134" s="130" t="s">
        <v>368</v>
      </c>
      <c r="D1134" s="43" t="s">
        <v>190</v>
      </c>
      <c r="E1134" s="126" t="s">
        <v>510</v>
      </c>
      <c r="F1134" s="504">
        <v>1</v>
      </c>
      <c r="G1134" s="126" t="s">
        <v>3055</v>
      </c>
      <c r="H1134" s="304">
        <v>46029</v>
      </c>
      <c r="I1134" s="319" t="s">
        <v>949</v>
      </c>
      <c r="J1134" s="537" t="s">
        <v>3056</v>
      </c>
    </row>
    <row r="1135" spans="2:10" ht="46.8" x14ac:dyDescent="0.3">
      <c r="B1135" s="31" t="s">
        <v>3044</v>
      </c>
      <c r="C1135" s="130" t="s">
        <v>368</v>
      </c>
      <c r="D1135" s="43" t="s">
        <v>190</v>
      </c>
      <c r="E1135" s="126" t="s">
        <v>510</v>
      </c>
      <c r="F1135" s="504">
        <v>1</v>
      </c>
      <c r="G1135" s="126" t="s">
        <v>3057</v>
      </c>
      <c r="H1135" s="304">
        <v>46160</v>
      </c>
      <c r="I1135" s="319" t="s">
        <v>949</v>
      </c>
      <c r="J1135" s="537" t="s">
        <v>1903</v>
      </c>
    </row>
    <row r="1136" spans="2:10" ht="46.8" x14ac:dyDescent="0.3">
      <c r="B1136" s="31"/>
      <c r="C1136" s="130"/>
      <c r="D1136" s="43"/>
      <c r="E1136" s="126"/>
      <c r="F1136" s="351"/>
      <c r="G1136" s="126"/>
      <c r="H1136" s="304"/>
      <c r="I1136" s="319"/>
      <c r="J1136" s="494"/>
    </row>
    <row r="1137" spans="1:37" ht="46.8" x14ac:dyDescent="0.3">
      <c r="A1137" s="58"/>
      <c r="B1137" s="352"/>
      <c r="C1137" s="353" t="s">
        <v>771</v>
      </c>
      <c r="D1137" s="354" t="s">
        <v>190</v>
      </c>
      <c r="E1137" s="355"/>
      <c r="F1137" s="1040">
        <f>SUM(F1128:F1136)</f>
        <v>26</v>
      </c>
      <c r="G1137" s="357"/>
      <c r="H1137" s="358"/>
      <c r="I1137" s="359"/>
      <c r="J1137" s="526"/>
      <c r="K1137" s="58"/>
      <c r="L1137" s="58"/>
      <c r="M1137" s="58"/>
      <c r="N1137" s="58"/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58"/>
      <c r="AD1137" s="58"/>
      <c r="AE1137" s="58"/>
      <c r="AF1137" s="58"/>
      <c r="AG1137" s="58"/>
      <c r="AH1137" s="58"/>
      <c r="AI1137" s="58"/>
      <c r="AJ1137" s="58"/>
      <c r="AK1137" s="58"/>
    </row>
    <row r="1138" spans="1:37" ht="46.8" x14ac:dyDescent="0.3">
      <c r="A1138" s="58"/>
      <c r="B1138" s="352"/>
      <c r="C1138" s="353" t="s">
        <v>772</v>
      </c>
      <c r="D1138" s="354" t="s">
        <v>190</v>
      </c>
      <c r="E1138" s="355"/>
      <c r="F1138" s="1040">
        <v>26</v>
      </c>
      <c r="G1138" s="357"/>
      <c r="H1138" s="358"/>
      <c r="I1138" s="359"/>
      <c r="J1138" s="526"/>
      <c r="K1138" s="58"/>
      <c r="L1138" s="58"/>
      <c r="M1138" s="58"/>
      <c r="N1138" s="58"/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  <c r="AA1138" s="58"/>
      <c r="AB1138" s="58"/>
      <c r="AC1138" s="58"/>
      <c r="AD1138" s="58"/>
      <c r="AE1138" s="58"/>
      <c r="AF1138" s="58"/>
      <c r="AG1138" s="58"/>
      <c r="AH1138" s="58"/>
      <c r="AI1138" s="58"/>
      <c r="AJ1138" s="58"/>
      <c r="AK1138" s="58"/>
    </row>
    <row r="1139" spans="1:37" ht="46.8" x14ac:dyDescent="0.3">
      <c r="A1139" s="58"/>
      <c r="B1139" s="352"/>
      <c r="C1139" s="353" t="s">
        <v>773</v>
      </c>
      <c r="D1139" s="354" t="s">
        <v>190</v>
      </c>
      <c r="E1139" s="355"/>
      <c r="F1139" s="1096">
        <f>F1137-F1138</f>
        <v>0</v>
      </c>
      <c r="G1139" s="357"/>
      <c r="H1139" s="358"/>
      <c r="I1139" s="359"/>
      <c r="J1139" s="526"/>
      <c r="K1139" s="58"/>
      <c r="L1139" s="58"/>
      <c r="M1139" s="58"/>
      <c r="N1139" s="58"/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  <c r="AA1139" s="58"/>
      <c r="AB1139" s="58"/>
      <c r="AC1139" s="58"/>
      <c r="AD1139" s="58"/>
      <c r="AE1139" s="58"/>
      <c r="AF1139" s="58"/>
      <c r="AG1139" s="58"/>
      <c r="AH1139" s="58"/>
      <c r="AI1139" s="58"/>
      <c r="AJ1139" s="58"/>
      <c r="AK1139" s="58"/>
    </row>
    <row r="1140" spans="1:37" ht="46.8" x14ac:dyDescent="0.3">
      <c r="B1140" s="31"/>
      <c r="C1140" s="130"/>
      <c r="D1140" s="43"/>
      <c r="E1140" s="126"/>
      <c r="F1140" s="351"/>
      <c r="G1140" s="126"/>
      <c r="H1140" s="1972"/>
      <c r="I1140" s="319"/>
      <c r="J1140" s="494"/>
    </row>
    <row r="1141" spans="1:37" ht="46.8" x14ac:dyDescent="0.3">
      <c r="B1141" s="31" t="s">
        <v>3058</v>
      </c>
      <c r="C1141" s="130" t="s">
        <v>369</v>
      </c>
      <c r="D1141" s="43" t="s">
        <v>190</v>
      </c>
      <c r="E1141" s="126" t="s">
        <v>510</v>
      </c>
      <c r="F1141" s="1127">
        <f>-2</f>
        <v>-2</v>
      </c>
      <c r="G1141" s="126"/>
      <c r="H1141" s="304"/>
      <c r="I1141" s="319" t="s">
        <v>1417</v>
      </c>
      <c r="J1141" s="494" t="s">
        <v>3052</v>
      </c>
    </row>
    <row r="1142" spans="1:37" ht="46.8" x14ac:dyDescent="0.3">
      <c r="B1142" s="31"/>
      <c r="C1142" s="130"/>
      <c r="D1142" s="43"/>
      <c r="E1142" s="126"/>
      <c r="F1142" s="351"/>
      <c r="G1142" s="126"/>
      <c r="H1142" s="304"/>
      <c r="I1142" s="319"/>
      <c r="J1142" s="494"/>
    </row>
    <row r="1143" spans="1:37" ht="46.8" x14ac:dyDescent="0.3">
      <c r="A1143" s="58"/>
      <c r="B1143" s="352"/>
      <c r="C1143" s="353" t="s">
        <v>771</v>
      </c>
      <c r="D1143" s="354" t="s">
        <v>190</v>
      </c>
      <c r="E1143" s="355"/>
      <c r="F1143" s="1040">
        <f>SUM(F1114:F1142)</f>
        <v>87.75</v>
      </c>
      <c r="G1143" s="357"/>
      <c r="H1143" s="358"/>
      <c r="I1143" s="359"/>
      <c r="J1143" s="526"/>
      <c r="K1143" s="58"/>
      <c r="M1143" s="58"/>
      <c r="N1143" s="58"/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  <c r="AA1143" s="58"/>
      <c r="AB1143" s="58"/>
      <c r="AC1143" s="58"/>
      <c r="AD1143" s="58"/>
      <c r="AE1143" s="58"/>
      <c r="AF1143" s="58"/>
      <c r="AG1143" s="58"/>
      <c r="AH1143" s="58"/>
      <c r="AI1143" s="58"/>
      <c r="AJ1143" s="58"/>
      <c r="AK1143" s="58"/>
    </row>
    <row r="1144" spans="1:37" ht="46.8" x14ac:dyDescent="0.3">
      <c r="A1144" s="58"/>
      <c r="B1144" s="352"/>
      <c r="C1144" s="353" t="s">
        <v>772</v>
      </c>
      <c r="D1144" s="354" t="s">
        <v>190</v>
      </c>
      <c r="E1144" s="355"/>
      <c r="F1144" s="1040">
        <v>25</v>
      </c>
      <c r="G1144" s="357"/>
      <c r="H1144" s="358"/>
      <c r="I1144" s="359"/>
      <c r="J1144" s="526"/>
      <c r="K1144" s="58"/>
      <c r="M1144" s="58"/>
      <c r="N1144" s="58"/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  <c r="AD1144" s="58"/>
      <c r="AE1144" s="58"/>
      <c r="AF1144" s="58"/>
      <c r="AG1144" s="58"/>
      <c r="AH1144" s="58"/>
      <c r="AI1144" s="58"/>
      <c r="AJ1144" s="58"/>
      <c r="AK1144" s="58"/>
    </row>
    <row r="1145" spans="1:37" ht="46.8" x14ac:dyDescent="0.3">
      <c r="A1145" s="58"/>
      <c r="B1145" s="352"/>
      <c r="C1145" s="353" t="s">
        <v>773</v>
      </c>
      <c r="D1145" s="354" t="s">
        <v>190</v>
      </c>
      <c r="E1145" s="355"/>
      <c r="F1145" s="1040">
        <f>F1143-F1144</f>
        <v>62.75</v>
      </c>
      <c r="G1145" s="357"/>
      <c r="H1145" s="358"/>
      <c r="I1145" s="359"/>
      <c r="J1145" s="526"/>
      <c r="K1145" s="58"/>
      <c r="M1145" s="58"/>
      <c r="N1145" s="58"/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58"/>
      <c r="AE1145" s="58"/>
      <c r="AF1145" s="58"/>
      <c r="AG1145" s="58"/>
      <c r="AH1145" s="58"/>
      <c r="AI1145" s="58"/>
      <c r="AJ1145" s="58"/>
      <c r="AK1145" s="58"/>
    </row>
    <row r="1146" spans="1:37" ht="46.8" x14ac:dyDescent="0.3">
      <c r="B1146" s="31"/>
      <c r="C1146" s="130"/>
      <c r="D1146" s="43"/>
      <c r="E1146" s="126"/>
      <c r="F1146" s="351"/>
      <c r="G1146" s="126"/>
      <c r="H1146" s="1972"/>
      <c r="I1146" s="319"/>
      <c r="J1146" s="494"/>
    </row>
    <row r="1147" spans="1:37" ht="46.8" x14ac:dyDescent="0.3">
      <c r="B1147" s="31" t="s">
        <v>3087</v>
      </c>
      <c r="C1147" s="130" t="s">
        <v>3088</v>
      </c>
      <c r="D1147" s="43" t="s">
        <v>190</v>
      </c>
      <c r="E1147" s="126" t="s">
        <v>510</v>
      </c>
      <c r="F1147" s="1127">
        <f>-2</f>
        <v>-2</v>
      </c>
      <c r="G1147" s="126"/>
      <c r="H1147" s="304"/>
      <c r="I1147" s="319" t="s">
        <v>1417</v>
      </c>
      <c r="J1147" s="494" t="s">
        <v>3052</v>
      </c>
      <c r="L1147" s="58"/>
    </row>
    <row r="1148" spans="1:37" ht="46.8" x14ac:dyDescent="0.3">
      <c r="B1148" s="31"/>
      <c r="C1148" s="130"/>
      <c r="D1148" s="43"/>
      <c r="E1148" s="126"/>
      <c r="F1148" s="504"/>
      <c r="G1148" s="126"/>
      <c r="H1148" s="304"/>
      <c r="I1148" s="319"/>
      <c r="J1148" s="494"/>
      <c r="L1148" s="58"/>
    </row>
    <row r="1149" spans="1:37" ht="46.8" x14ac:dyDescent="0.3">
      <c r="A1149" s="58"/>
      <c r="B1149" s="352"/>
      <c r="C1149" s="353" t="s">
        <v>771</v>
      </c>
      <c r="D1149" s="354" t="s">
        <v>190</v>
      </c>
      <c r="E1149" s="355"/>
      <c r="F1149" s="1040">
        <f>SUM(F1120:F1148)</f>
        <v>249.5</v>
      </c>
      <c r="G1149" s="357"/>
      <c r="H1149" s="358"/>
      <c r="I1149" s="359"/>
      <c r="J1149" s="526"/>
      <c r="K1149" s="58"/>
      <c r="M1149" s="58"/>
      <c r="N1149" s="58"/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  <c r="AD1149" s="58"/>
      <c r="AE1149" s="58"/>
      <c r="AF1149" s="58"/>
      <c r="AG1149" s="58"/>
      <c r="AH1149" s="58"/>
      <c r="AI1149" s="58"/>
      <c r="AJ1149" s="58"/>
      <c r="AK1149" s="58"/>
    </row>
    <row r="1150" spans="1:37" ht="46.8" x14ac:dyDescent="0.3">
      <c r="A1150" s="58"/>
      <c r="B1150" s="352"/>
      <c r="C1150" s="353" t="s">
        <v>772</v>
      </c>
      <c r="D1150" s="354" t="s">
        <v>190</v>
      </c>
      <c r="E1150" s="355"/>
      <c r="F1150" s="1040">
        <v>25</v>
      </c>
      <c r="G1150" s="357"/>
      <c r="H1150" s="358"/>
      <c r="I1150" s="359"/>
      <c r="J1150" s="526"/>
      <c r="K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  <c r="AD1150" s="58"/>
      <c r="AE1150" s="58"/>
      <c r="AF1150" s="58"/>
      <c r="AG1150" s="58"/>
      <c r="AH1150" s="58"/>
      <c r="AI1150" s="58"/>
      <c r="AJ1150" s="58"/>
      <c r="AK1150" s="58"/>
    </row>
    <row r="1151" spans="1:37" ht="46.8" x14ac:dyDescent="0.3">
      <c r="A1151" s="58"/>
      <c r="B1151" s="352"/>
      <c r="C1151" s="353" t="s">
        <v>773</v>
      </c>
      <c r="D1151" s="354" t="s">
        <v>190</v>
      </c>
      <c r="E1151" s="355"/>
      <c r="F1151" s="1040">
        <f>F1149-F1150</f>
        <v>224.5</v>
      </c>
      <c r="G1151" s="357"/>
      <c r="H1151" s="358"/>
      <c r="I1151" s="359"/>
      <c r="J1151" s="526"/>
      <c r="K1151" s="58"/>
      <c r="M1151" s="58"/>
      <c r="N1151" s="58"/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  <c r="AD1151" s="58"/>
      <c r="AE1151" s="58"/>
      <c r="AF1151" s="58"/>
      <c r="AG1151" s="58"/>
      <c r="AH1151" s="58"/>
      <c r="AI1151" s="58"/>
      <c r="AJ1151" s="58"/>
      <c r="AK1151" s="58"/>
    </row>
    <row r="1152" spans="1:37" ht="46.8" x14ac:dyDescent="0.3">
      <c r="B1152" s="31"/>
      <c r="C1152" s="130"/>
      <c r="D1152" s="43"/>
      <c r="E1152" s="126"/>
      <c r="F1152" s="351"/>
      <c r="G1152" s="126"/>
      <c r="H1152" s="1972"/>
      <c r="I1152" s="319"/>
      <c r="J1152" s="494"/>
    </row>
    <row r="1153" spans="2:10" ht="46.8" x14ac:dyDescent="0.3">
      <c r="B1153" s="1533">
        <v>402</v>
      </c>
      <c r="C1153" s="1534" t="s">
        <v>371</v>
      </c>
      <c r="D1153" s="1535"/>
      <c r="E1153" s="1949"/>
      <c r="F1153" s="1957"/>
      <c r="G1153" s="1949"/>
      <c r="H1153" s="1537"/>
      <c r="I1153" s="1985"/>
      <c r="J1153" s="1538"/>
    </row>
    <row r="1154" spans="2:10" ht="46.8" x14ac:dyDescent="0.3">
      <c r="B1154" s="31"/>
      <c r="C1154" s="130"/>
      <c r="D1154" s="43"/>
      <c r="E1154" s="126"/>
      <c r="F1154" s="504"/>
      <c r="G1154" s="248"/>
      <c r="H1154" s="542"/>
      <c r="I1154" s="319"/>
      <c r="J1154" s="494"/>
    </row>
    <row r="1155" spans="2:10" ht="46.8" x14ac:dyDescent="0.3">
      <c r="B1155" s="31"/>
      <c r="C1155" s="130"/>
      <c r="D1155" s="43"/>
      <c r="E1155" s="126"/>
      <c r="F1155" s="504"/>
      <c r="G1155" s="248"/>
      <c r="H1155" s="542"/>
      <c r="I1155" s="319"/>
      <c r="J1155" s="494"/>
    </row>
    <row r="1156" spans="2:10" ht="46.8" x14ac:dyDescent="0.3">
      <c r="B1156" s="31"/>
      <c r="C1156" s="130"/>
      <c r="D1156" s="43"/>
      <c r="E1156" s="126"/>
      <c r="F1156" s="504"/>
      <c r="G1156" s="248"/>
      <c r="H1156" s="542"/>
      <c r="I1156" s="319"/>
      <c r="J1156" s="494"/>
    </row>
    <row r="1157" spans="2:10" ht="46.8" x14ac:dyDescent="0.3">
      <c r="B1157" s="31"/>
      <c r="C1157" s="130"/>
      <c r="D1157" s="43"/>
      <c r="E1157" s="126"/>
      <c r="F1157" s="504"/>
      <c r="G1157" s="248"/>
      <c r="H1157" s="542"/>
      <c r="I1157" s="319"/>
      <c r="J1157" s="494"/>
    </row>
    <row r="1158" spans="2:10" ht="46.8" x14ac:dyDescent="0.3">
      <c r="B1158" s="31"/>
      <c r="C1158" s="130"/>
      <c r="D1158" s="43"/>
      <c r="E1158" s="126"/>
      <c r="F1158" s="504"/>
      <c r="G1158" s="248"/>
      <c r="H1158" s="542"/>
      <c r="I1158" s="319"/>
      <c r="J1158" s="494"/>
    </row>
    <row r="1159" spans="2:10" ht="46.8" x14ac:dyDescent="0.3">
      <c r="B1159" s="31"/>
      <c r="C1159" s="130"/>
      <c r="D1159" s="43"/>
      <c r="E1159" s="126"/>
      <c r="F1159" s="504"/>
      <c r="G1159" s="248"/>
      <c r="H1159" s="542"/>
      <c r="I1159" s="319"/>
      <c r="J1159" s="494"/>
    </row>
    <row r="1160" spans="2:10" ht="46.8" x14ac:dyDescent="0.3">
      <c r="B1160" s="31"/>
      <c r="C1160" s="130"/>
      <c r="D1160" s="43"/>
      <c r="E1160" s="126"/>
      <c r="F1160" s="504"/>
      <c r="G1160" s="248"/>
      <c r="H1160" s="542"/>
      <c r="I1160" s="319"/>
      <c r="J1160" s="494"/>
    </row>
    <row r="1161" spans="2:10" ht="46.8" x14ac:dyDescent="0.3">
      <c r="B1161" s="31"/>
      <c r="C1161" s="130"/>
      <c r="D1161" s="43"/>
      <c r="E1161" s="126"/>
      <c r="F1161" s="504"/>
      <c r="G1161" s="248"/>
      <c r="H1161" s="542"/>
      <c r="I1161" s="319"/>
      <c r="J1161" s="494"/>
    </row>
    <row r="1162" spans="2:10" ht="46.8" x14ac:dyDescent="0.3">
      <c r="B1162" s="31"/>
      <c r="C1162" s="130"/>
      <c r="D1162" s="43"/>
      <c r="E1162" s="126"/>
      <c r="F1162" s="504"/>
      <c r="G1162" s="248"/>
      <c r="H1162" s="542"/>
      <c r="I1162" s="319"/>
      <c r="J1162" s="494"/>
    </row>
    <row r="1163" spans="2:10" ht="46.8" x14ac:dyDescent="0.3">
      <c r="B1163" s="31"/>
      <c r="C1163" s="130"/>
      <c r="D1163" s="43"/>
      <c r="E1163" s="126"/>
      <c r="F1163" s="504"/>
      <c r="G1163" s="248"/>
      <c r="H1163" s="542"/>
      <c r="I1163" s="319"/>
      <c r="J1163" s="494"/>
    </row>
    <row r="1164" spans="2:10" ht="46.8" x14ac:dyDescent="0.3">
      <c r="B1164" s="31"/>
      <c r="C1164" s="130"/>
      <c r="D1164" s="43"/>
      <c r="E1164" s="126"/>
      <c r="F1164" s="504"/>
      <c r="G1164" s="248"/>
      <c r="H1164" s="542"/>
      <c r="I1164" s="319"/>
      <c r="J1164" s="494"/>
    </row>
    <row r="1165" spans="2:10" ht="46.8" x14ac:dyDescent="0.3">
      <c r="B1165" s="31"/>
      <c r="C1165" s="130"/>
      <c r="D1165" s="43"/>
      <c r="E1165" s="126"/>
      <c r="F1165" s="504"/>
      <c r="G1165" s="248"/>
      <c r="H1165" s="542"/>
      <c r="I1165" s="319"/>
      <c r="J1165" s="494"/>
    </row>
    <row r="1166" spans="2:10" ht="46.8" x14ac:dyDescent="0.3">
      <c r="B1166" s="31"/>
      <c r="C1166" s="130"/>
      <c r="D1166" s="43"/>
      <c r="E1166" s="126"/>
      <c r="F1166" s="504"/>
      <c r="G1166" s="248"/>
      <c r="H1166" s="542"/>
      <c r="I1166" s="319"/>
      <c r="J1166" s="494"/>
    </row>
    <row r="1167" spans="2:10" ht="31.2" x14ac:dyDescent="0.3">
      <c r="B1167" s="31"/>
      <c r="C1167" s="130"/>
      <c r="D1167" s="43"/>
      <c r="E1167" s="126"/>
      <c r="F1167" s="504"/>
      <c r="G1167" s="248"/>
      <c r="H1167" s="542"/>
      <c r="I1167" s="319"/>
      <c r="J1167" s="494"/>
    </row>
    <row r="1168" spans="2:10" ht="46.8" x14ac:dyDescent="0.3">
      <c r="B1168" s="31"/>
      <c r="C1168" s="130"/>
      <c r="D1168" s="43"/>
      <c r="E1168" s="126"/>
      <c r="F1168" s="504"/>
      <c r="G1168" s="248"/>
      <c r="H1168" s="542"/>
      <c r="I1168" s="319"/>
      <c r="J1168" s="494"/>
    </row>
    <row r="1169" spans="1:37" ht="46.8" x14ac:dyDescent="0.3">
      <c r="B1169" s="31"/>
      <c r="C1169" s="130"/>
      <c r="D1169" s="43"/>
      <c r="E1169" s="126"/>
      <c r="F1169" s="504"/>
      <c r="G1169" s="248"/>
      <c r="H1169" s="542"/>
      <c r="I1169" s="319"/>
      <c r="J1169" s="494"/>
    </row>
    <row r="1170" spans="1:37" ht="46.8" x14ac:dyDescent="0.3">
      <c r="B1170" s="31"/>
      <c r="C1170" s="130"/>
      <c r="D1170" s="43"/>
      <c r="E1170" s="126"/>
      <c r="F1170" s="504"/>
      <c r="G1170" s="248"/>
      <c r="H1170" s="542"/>
      <c r="I1170" s="319"/>
      <c r="J1170" s="494"/>
    </row>
    <row r="1171" spans="1:37" ht="46.8" x14ac:dyDescent="0.3">
      <c r="B1171" s="31"/>
      <c r="C1171" s="130"/>
      <c r="D1171" s="43"/>
      <c r="E1171" s="126"/>
      <c r="F1171" s="504"/>
      <c r="G1171" s="248"/>
      <c r="H1171" s="542"/>
      <c r="I1171" s="319"/>
      <c r="J1171" s="494"/>
    </row>
    <row r="1172" spans="1:37" ht="31.2" x14ac:dyDescent="0.3">
      <c r="B1172" s="31"/>
      <c r="C1172" s="130"/>
      <c r="D1172" s="43"/>
      <c r="E1172" s="126"/>
      <c r="F1172" s="504"/>
      <c r="G1172" s="248"/>
      <c r="H1172" s="542"/>
      <c r="I1172" s="319"/>
      <c r="J1172" s="494"/>
    </row>
    <row r="1173" spans="1:37" ht="46.8" x14ac:dyDescent="0.3">
      <c r="B1173" s="31"/>
      <c r="C1173" s="130"/>
      <c r="D1173" s="43"/>
      <c r="E1173" s="126"/>
      <c r="F1173" s="504"/>
      <c r="G1173" s="248"/>
      <c r="H1173" s="542"/>
      <c r="I1173" s="319"/>
      <c r="J1173" s="494"/>
    </row>
    <row r="1174" spans="1:37" ht="46.8" x14ac:dyDescent="0.3">
      <c r="B1174" s="31"/>
      <c r="C1174" s="130"/>
      <c r="D1174" s="43"/>
      <c r="E1174" s="126"/>
      <c r="F1174" s="504"/>
      <c r="G1174" s="248"/>
      <c r="H1174" s="542"/>
      <c r="I1174" s="319"/>
      <c r="J1174" s="494"/>
    </row>
    <row r="1175" spans="1:37" ht="46.8" x14ac:dyDescent="0.3">
      <c r="B1175" s="31"/>
      <c r="C1175" s="130"/>
      <c r="D1175" s="43"/>
      <c r="E1175" s="126"/>
      <c r="F1175" s="504"/>
      <c r="G1175" s="248"/>
      <c r="H1175" s="542"/>
      <c r="I1175" s="319"/>
      <c r="J1175" s="494"/>
    </row>
    <row r="1176" spans="1:37" ht="46.8" x14ac:dyDescent="0.3">
      <c r="B1176" s="31"/>
      <c r="C1176" s="130"/>
      <c r="D1176" s="43"/>
      <c r="E1176" s="126"/>
      <c r="F1176" s="504"/>
      <c r="G1176" s="248"/>
      <c r="H1176" s="542"/>
      <c r="I1176" s="319"/>
      <c r="J1176" s="494"/>
    </row>
    <row r="1177" spans="1:37" ht="46.8" x14ac:dyDescent="0.3">
      <c r="A1177" s="58"/>
      <c r="B1177" s="352"/>
      <c r="C1177" s="353" t="s">
        <v>771</v>
      </c>
      <c r="D1177" s="354" t="s">
        <v>320</v>
      </c>
      <c r="E1177" s="355"/>
      <c r="F1177" s="1042">
        <f>ROUND(SUM(F616:F1176),3)</f>
        <v>1952.9939999999999</v>
      </c>
      <c r="G1177" s="357"/>
      <c r="H1177" s="358"/>
      <c r="I1177" s="359"/>
      <c r="J1177" s="526"/>
      <c r="K1177" s="58"/>
    </row>
    <row r="1178" spans="1:37" ht="46.8" x14ac:dyDescent="0.3">
      <c r="A1178" s="58"/>
      <c r="B1178" s="352"/>
      <c r="C1178" s="353" t="s">
        <v>772</v>
      </c>
      <c r="D1178" s="354" t="s">
        <v>320</v>
      </c>
      <c r="E1178" s="355"/>
      <c r="F1178" s="1040">
        <v>1289.47</v>
      </c>
      <c r="G1178" s="357"/>
      <c r="H1178" s="358"/>
      <c r="I1178" s="359"/>
      <c r="J1178" s="526"/>
      <c r="K1178" s="58"/>
      <c r="M1178" s="58"/>
      <c r="N1178" s="58"/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  <c r="AA1178" s="58"/>
      <c r="AB1178" s="58"/>
      <c r="AC1178" s="58"/>
      <c r="AD1178" s="58"/>
      <c r="AE1178" s="58"/>
      <c r="AF1178" s="58"/>
      <c r="AG1178" s="58"/>
      <c r="AH1178" s="58"/>
      <c r="AI1178" s="58"/>
      <c r="AJ1178" s="58"/>
      <c r="AK1178" s="58"/>
    </row>
    <row r="1179" spans="1:37" ht="46.8" x14ac:dyDescent="0.3">
      <c r="A1179" s="58"/>
      <c r="B1179" s="352"/>
      <c r="C1179" s="353" t="s">
        <v>773</v>
      </c>
      <c r="D1179" s="354" t="s">
        <v>320</v>
      </c>
      <c r="E1179" s="355"/>
      <c r="F1179" s="1040">
        <f>F1177-F1178</f>
        <v>663.52399999999989</v>
      </c>
      <c r="G1179" s="1132"/>
      <c r="H1179" s="358"/>
      <c r="I1179" s="359"/>
      <c r="J1179" s="526"/>
      <c r="K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  <c r="AA1179" s="58"/>
      <c r="AB1179" s="58"/>
      <c r="AC1179" s="58"/>
      <c r="AD1179" s="58"/>
      <c r="AE1179" s="58"/>
      <c r="AF1179" s="58"/>
      <c r="AG1179" s="58"/>
      <c r="AH1179" s="58"/>
      <c r="AI1179" s="58"/>
      <c r="AJ1179" s="58"/>
      <c r="AK1179" s="58"/>
    </row>
    <row r="1180" spans="1:37" ht="46.8" x14ac:dyDescent="0.3">
      <c r="B1180" s="31"/>
      <c r="C1180" s="130"/>
      <c r="D1180" s="43"/>
      <c r="E1180" s="126"/>
      <c r="F1180" s="351"/>
      <c r="G1180" s="126"/>
      <c r="H1180" s="1972"/>
      <c r="I1180" s="319"/>
      <c r="J1180" s="494"/>
    </row>
    <row r="1181" spans="1:37" ht="46.8" x14ac:dyDescent="0.3">
      <c r="B1181" s="31" t="s">
        <v>4584</v>
      </c>
      <c r="C1181" s="130" t="s">
        <v>373</v>
      </c>
      <c r="D1181" s="43" t="s">
        <v>190</v>
      </c>
      <c r="E1181" s="126" t="s">
        <v>515</v>
      </c>
      <c r="F1181" s="504">
        <v>1</v>
      </c>
      <c r="G1181" s="587" t="s">
        <v>4585</v>
      </c>
      <c r="H1181" s="585">
        <v>46056</v>
      </c>
      <c r="I1181" s="784" t="s">
        <v>1315</v>
      </c>
      <c r="J1181" s="537" t="s">
        <v>4586</v>
      </c>
      <c r="L1181" s="62" t="s">
        <v>4587</v>
      </c>
    </row>
    <row r="1182" spans="1:37" ht="46.8" x14ac:dyDescent="0.3">
      <c r="B1182" s="31" t="s">
        <v>4584</v>
      </c>
      <c r="C1182" s="130" t="s">
        <v>373</v>
      </c>
      <c r="D1182" s="43" t="s">
        <v>190</v>
      </c>
      <c r="E1182" s="126" t="s">
        <v>510</v>
      </c>
      <c r="F1182" s="504">
        <v>1</v>
      </c>
      <c r="G1182" s="587" t="s">
        <v>4588</v>
      </c>
      <c r="H1182" s="585">
        <v>46059</v>
      </c>
      <c r="I1182" s="784" t="s">
        <v>1315</v>
      </c>
      <c r="J1182" s="494" t="s">
        <v>4589</v>
      </c>
    </row>
    <row r="1183" spans="1:37" ht="46.8" x14ac:dyDescent="0.3">
      <c r="B1183" s="31" t="s">
        <v>4584</v>
      </c>
      <c r="C1183" s="130" t="s">
        <v>373</v>
      </c>
      <c r="D1183" s="43" t="s">
        <v>190</v>
      </c>
      <c r="E1183" s="126" t="s">
        <v>515</v>
      </c>
      <c r="F1183" s="504">
        <v>1</v>
      </c>
      <c r="G1183" s="587" t="s">
        <v>4590</v>
      </c>
      <c r="H1183" s="585">
        <v>46078</v>
      </c>
      <c r="I1183" s="784" t="s">
        <v>1315</v>
      </c>
      <c r="J1183" s="494" t="s">
        <v>4591</v>
      </c>
    </row>
    <row r="1184" spans="1:37" ht="31.2" x14ac:dyDescent="0.3">
      <c r="B1184" s="31" t="s">
        <v>4584</v>
      </c>
      <c r="C1184" s="130" t="s">
        <v>373</v>
      </c>
      <c r="D1184" s="43" t="s">
        <v>190</v>
      </c>
      <c r="E1184" s="126" t="s">
        <v>515</v>
      </c>
      <c r="F1184" s="504">
        <v>1</v>
      </c>
      <c r="G1184" s="587" t="s">
        <v>4592</v>
      </c>
      <c r="H1184" s="585">
        <v>46101</v>
      </c>
      <c r="I1184" s="784" t="s">
        <v>946</v>
      </c>
      <c r="J1184" s="494" t="s">
        <v>4593</v>
      </c>
    </row>
    <row r="1185" spans="1:37" ht="46.8" x14ac:dyDescent="0.3">
      <c r="B1185" s="31" t="s">
        <v>4584</v>
      </c>
      <c r="C1185" s="130" t="s">
        <v>373</v>
      </c>
      <c r="D1185" s="43" t="s">
        <v>190</v>
      </c>
      <c r="E1185" s="126" t="s">
        <v>515</v>
      </c>
      <c r="F1185" s="504">
        <v>1</v>
      </c>
      <c r="G1185" s="587" t="s">
        <v>4594</v>
      </c>
      <c r="H1185" s="304">
        <v>46109</v>
      </c>
      <c r="I1185" s="784" t="s">
        <v>946</v>
      </c>
      <c r="J1185" s="494" t="s">
        <v>4595</v>
      </c>
    </row>
    <row r="1186" spans="1:37" ht="46.8" x14ac:dyDescent="0.3">
      <c r="B1186" s="31" t="s">
        <v>4584</v>
      </c>
      <c r="C1186" s="130" t="s">
        <v>373</v>
      </c>
      <c r="D1186" s="43" t="s">
        <v>190</v>
      </c>
      <c r="E1186" s="126" t="s">
        <v>515</v>
      </c>
      <c r="F1186" s="504">
        <v>1</v>
      </c>
      <c r="G1186" s="587" t="s">
        <v>4596</v>
      </c>
      <c r="H1186" s="304">
        <v>46130</v>
      </c>
      <c r="I1186" s="784" t="s">
        <v>1053</v>
      </c>
      <c r="J1186" s="494" t="s">
        <v>4597</v>
      </c>
    </row>
    <row r="1187" spans="1:37" ht="46.8" x14ac:dyDescent="0.3">
      <c r="B1187" s="31" t="s">
        <v>4584</v>
      </c>
      <c r="C1187" s="130" t="s">
        <v>373</v>
      </c>
      <c r="D1187" s="43" t="s">
        <v>190</v>
      </c>
      <c r="E1187" s="126" t="s">
        <v>510</v>
      </c>
      <c r="F1187" s="504">
        <v>1</v>
      </c>
      <c r="G1187" s="587" t="s">
        <v>4598</v>
      </c>
      <c r="H1187" s="304">
        <v>46142</v>
      </c>
      <c r="I1187" s="784" t="s">
        <v>1053</v>
      </c>
      <c r="J1187" s="494" t="s">
        <v>4599</v>
      </c>
    </row>
    <row r="1188" spans="1:37" ht="46.8" x14ac:dyDescent="0.3">
      <c r="B1188" s="31" t="s">
        <v>4584</v>
      </c>
      <c r="C1188" s="130" t="s">
        <v>373</v>
      </c>
      <c r="D1188" s="43" t="s">
        <v>190</v>
      </c>
      <c r="E1188" s="126" t="s">
        <v>515</v>
      </c>
      <c r="F1188" s="504">
        <v>1</v>
      </c>
      <c r="G1188" s="587" t="s">
        <v>4600</v>
      </c>
      <c r="H1188" s="304">
        <v>46170</v>
      </c>
      <c r="I1188" s="784" t="s">
        <v>1579</v>
      </c>
      <c r="J1188" s="494" t="s">
        <v>4601</v>
      </c>
    </row>
    <row r="1189" spans="1:37" ht="46.8" x14ac:dyDescent="0.3">
      <c r="B1189" s="31" t="s">
        <v>4584</v>
      </c>
      <c r="C1189" s="130" t="s">
        <v>373</v>
      </c>
      <c r="D1189" s="43" t="s">
        <v>190</v>
      </c>
      <c r="E1189" s="126" t="s">
        <v>515</v>
      </c>
      <c r="F1189" s="504">
        <v>1</v>
      </c>
      <c r="G1189" s="587" t="s">
        <v>4602</v>
      </c>
      <c r="H1189" s="304">
        <v>46194</v>
      </c>
      <c r="I1189" s="784" t="s">
        <v>949</v>
      </c>
      <c r="J1189" s="494" t="s">
        <v>4603</v>
      </c>
    </row>
    <row r="1190" spans="1:37" ht="46.8" x14ac:dyDescent="0.3">
      <c r="B1190" s="31" t="s">
        <v>4584</v>
      </c>
      <c r="C1190" s="130" t="s">
        <v>373</v>
      </c>
      <c r="D1190" s="43" t="s">
        <v>190</v>
      </c>
      <c r="E1190" s="126" t="s">
        <v>515</v>
      </c>
      <c r="F1190" s="504">
        <v>1</v>
      </c>
      <c r="G1190" s="587" t="s">
        <v>4604</v>
      </c>
      <c r="H1190" s="304">
        <v>46203</v>
      </c>
      <c r="I1190" s="784" t="s">
        <v>949</v>
      </c>
      <c r="J1190" s="494" t="s">
        <v>4605</v>
      </c>
    </row>
    <row r="1191" spans="1:37" ht="46.8" x14ac:dyDescent="0.3">
      <c r="B1191" s="31"/>
      <c r="C1191" s="130"/>
      <c r="D1191" s="43"/>
      <c r="E1191" s="126"/>
      <c r="F1191" s="504"/>
      <c r="G1191" s="126"/>
      <c r="H1191" s="304"/>
      <c r="I1191" s="319"/>
      <c r="J1191" s="494"/>
    </row>
    <row r="1192" spans="1:37" ht="46.8" x14ac:dyDescent="0.3">
      <c r="A1192" s="58"/>
      <c r="B1192" s="352"/>
      <c r="C1192" s="353" t="s">
        <v>771</v>
      </c>
      <c r="D1192" s="354" t="s">
        <v>190</v>
      </c>
      <c r="E1192" s="355"/>
      <c r="F1192" s="1042">
        <f>SUM(F1181:F1191)</f>
        <v>10</v>
      </c>
      <c r="G1192" s="357"/>
      <c r="H1192" s="358"/>
      <c r="I1192" s="359"/>
      <c r="J1192" s="526"/>
      <c r="K1192" s="58"/>
      <c r="L1192" s="58"/>
      <c r="M1192" s="58"/>
      <c r="N1192" s="58"/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  <c r="AA1192" s="58"/>
      <c r="AB1192" s="58"/>
      <c r="AC1192" s="58"/>
      <c r="AD1192" s="58"/>
      <c r="AE1192" s="58"/>
      <c r="AF1192" s="58"/>
      <c r="AG1192" s="58"/>
      <c r="AH1192" s="58"/>
      <c r="AI1192" s="58"/>
      <c r="AJ1192" s="58"/>
      <c r="AK1192" s="58"/>
    </row>
    <row r="1193" spans="1:37" ht="46.8" x14ac:dyDescent="0.3">
      <c r="A1193" s="58"/>
      <c r="B1193" s="352"/>
      <c r="C1193" s="353" t="s">
        <v>772</v>
      </c>
      <c r="D1193" s="354" t="s">
        <v>190</v>
      </c>
      <c r="E1193" s="355"/>
      <c r="F1193" s="1042">
        <v>10</v>
      </c>
      <c r="G1193" s="357"/>
      <c r="H1193" s="358"/>
      <c r="I1193" s="359"/>
      <c r="J1193" s="526"/>
      <c r="K1193" s="58"/>
      <c r="L1193" s="58"/>
      <c r="M1193" s="58"/>
      <c r="N1193" s="58"/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  <c r="AA1193" s="58"/>
      <c r="AB1193" s="58"/>
      <c r="AC1193" s="58"/>
      <c r="AD1193" s="58"/>
      <c r="AE1193" s="58"/>
      <c r="AF1193" s="58"/>
      <c r="AG1193" s="58"/>
      <c r="AH1193" s="58"/>
      <c r="AI1193" s="58"/>
      <c r="AJ1193" s="58"/>
      <c r="AK1193" s="58"/>
    </row>
    <row r="1194" spans="1:37" ht="46.8" x14ac:dyDescent="0.3">
      <c r="A1194" s="58"/>
      <c r="B1194" s="352"/>
      <c r="C1194" s="353" t="s">
        <v>773</v>
      </c>
      <c r="D1194" s="354" t="s">
        <v>190</v>
      </c>
      <c r="E1194" s="355"/>
      <c r="F1194" s="1096">
        <f>F1192-F1193</f>
        <v>0</v>
      </c>
      <c r="G1194" s="357"/>
      <c r="H1194" s="358"/>
      <c r="I1194" s="359"/>
      <c r="J1194" s="526"/>
      <c r="K1194" s="58"/>
      <c r="L1194" s="58"/>
      <c r="M1194" s="58"/>
      <c r="N1194" s="58"/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  <c r="AA1194" s="58"/>
      <c r="AB1194" s="58"/>
      <c r="AC1194" s="58"/>
      <c r="AD1194" s="58"/>
      <c r="AE1194" s="58"/>
      <c r="AF1194" s="58"/>
      <c r="AG1194" s="58"/>
      <c r="AH1194" s="58"/>
      <c r="AI1194" s="58"/>
      <c r="AJ1194" s="58"/>
      <c r="AK1194" s="58"/>
    </row>
    <row r="1195" spans="1:37" ht="46.8" x14ac:dyDescent="0.3">
      <c r="B1195" s="31"/>
      <c r="C1195" s="130"/>
      <c r="D1195" s="43"/>
      <c r="E1195" s="126"/>
      <c r="F1195" s="504"/>
      <c r="G1195" s="126"/>
      <c r="H1195" s="1972"/>
      <c r="I1195" s="319"/>
      <c r="J1195" s="494"/>
    </row>
    <row r="1196" spans="1:37" ht="46.8" x14ac:dyDescent="0.3">
      <c r="B1196" s="31" t="s">
        <v>683</v>
      </c>
      <c r="C1196" s="130" t="s">
        <v>374</v>
      </c>
      <c r="D1196" s="43" t="s">
        <v>190</v>
      </c>
      <c r="E1196" s="126" t="s">
        <v>515</v>
      </c>
      <c r="F1196" s="504">
        <v>1</v>
      </c>
      <c r="G1196" s="587" t="s">
        <v>4606</v>
      </c>
      <c r="H1196" s="585">
        <v>46078</v>
      </c>
      <c r="I1196" s="784" t="s">
        <v>1315</v>
      </c>
      <c r="J1196" s="537" t="s">
        <v>4607</v>
      </c>
      <c r="L1196" s="62" t="s">
        <v>4608</v>
      </c>
    </row>
    <row r="1197" spans="1:37" ht="46.8" x14ac:dyDescent="0.3">
      <c r="B1197" s="31" t="s">
        <v>683</v>
      </c>
      <c r="C1197" s="130" t="s">
        <v>374</v>
      </c>
      <c r="D1197" s="43" t="s">
        <v>190</v>
      </c>
      <c r="E1197" s="126" t="s">
        <v>510</v>
      </c>
      <c r="F1197" s="504">
        <v>1</v>
      </c>
      <c r="G1197" s="587" t="s">
        <v>4609</v>
      </c>
      <c r="H1197" s="585" t="s">
        <v>4610</v>
      </c>
      <c r="I1197" s="784" t="s">
        <v>1315</v>
      </c>
      <c r="J1197" s="494" t="s">
        <v>4611</v>
      </c>
    </row>
    <row r="1198" spans="1:37" ht="46.8" x14ac:dyDescent="0.3">
      <c r="B1198" s="31" t="s">
        <v>683</v>
      </c>
      <c r="C1198" s="130" t="s">
        <v>374</v>
      </c>
      <c r="D1198" s="43" t="s">
        <v>190</v>
      </c>
      <c r="E1198" s="126" t="s">
        <v>515</v>
      </c>
      <c r="F1198" s="504">
        <v>1</v>
      </c>
      <c r="G1198" s="587" t="s">
        <v>4612</v>
      </c>
      <c r="H1198" s="585" t="s">
        <v>4613</v>
      </c>
      <c r="I1198" s="784" t="s">
        <v>946</v>
      </c>
      <c r="J1198" s="494" t="s">
        <v>4614</v>
      </c>
    </row>
    <row r="1199" spans="1:37" ht="46.8" x14ac:dyDescent="0.3">
      <c r="B1199" s="31" t="s">
        <v>683</v>
      </c>
      <c r="C1199" s="130" t="s">
        <v>374</v>
      </c>
      <c r="D1199" s="43" t="s">
        <v>190</v>
      </c>
      <c r="E1199" s="126" t="s">
        <v>515</v>
      </c>
      <c r="F1199" s="504">
        <v>1</v>
      </c>
      <c r="G1199" s="587" t="s">
        <v>4615</v>
      </c>
      <c r="H1199" s="585" t="s">
        <v>4616</v>
      </c>
      <c r="I1199" s="784" t="s">
        <v>946</v>
      </c>
      <c r="J1199" s="494" t="s">
        <v>4617</v>
      </c>
    </row>
    <row r="1200" spans="1:37" ht="46.8" x14ac:dyDescent="0.3">
      <c r="B1200" s="31" t="s">
        <v>683</v>
      </c>
      <c r="C1200" s="130" t="s">
        <v>374</v>
      </c>
      <c r="D1200" s="43" t="s">
        <v>190</v>
      </c>
      <c r="E1200" s="126" t="s">
        <v>515</v>
      </c>
      <c r="F1200" s="504">
        <v>1</v>
      </c>
      <c r="G1200" s="587" t="s">
        <v>4618</v>
      </c>
      <c r="H1200" s="585" t="s">
        <v>4619</v>
      </c>
      <c r="I1200" s="784" t="s">
        <v>1053</v>
      </c>
      <c r="J1200" s="494" t="s">
        <v>4620</v>
      </c>
    </row>
    <row r="1201" spans="1:37" ht="46.8" x14ac:dyDescent="0.3">
      <c r="B1201" s="31" t="s">
        <v>683</v>
      </c>
      <c r="C1201" s="130" t="s">
        <v>374</v>
      </c>
      <c r="D1201" s="43" t="s">
        <v>190</v>
      </c>
      <c r="E1201" s="126" t="s">
        <v>515</v>
      </c>
      <c r="F1201" s="504">
        <v>1</v>
      </c>
      <c r="G1201" s="587" t="s">
        <v>4621</v>
      </c>
      <c r="H1201" s="585" t="s">
        <v>4622</v>
      </c>
      <c r="I1201" s="784" t="s">
        <v>1579</v>
      </c>
      <c r="J1201" s="494" t="s">
        <v>4623</v>
      </c>
    </row>
    <row r="1202" spans="1:37" ht="46.8" x14ac:dyDescent="0.3">
      <c r="B1202" s="31" t="s">
        <v>683</v>
      </c>
      <c r="C1202" s="130" t="s">
        <v>374</v>
      </c>
      <c r="D1202" s="43" t="s">
        <v>190</v>
      </c>
      <c r="E1202" s="126" t="s">
        <v>510</v>
      </c>
      <c r="F1202" s="504">
        <v>1</v>
      </c>
      <c r="G1202" s="587" t="s">
        <v>4624</v>
      </c>
      <c r="H1202" s="585" t="s">
        <v>4625</v>
      </c>
      <c r="I1202" s="784" t="s">
        <v>1579</v>
      </c>
      <c r="J1202" s="494" t="s">
        <v>4626</v>
      </c>
    </row>
    <row r="1203" spans="1:37" ht="46.8" x14ac:dyDescent="0.3">
      <c r="B1203" s="31" t="s">
        <v>683</v>
      </c>
      <c r="C1203" s="130" t="s">
        <v>374</v>
      </c>
      <c r="D1203" s="43" t="s">
        <v>190</v>
      </c>
      <c r="E1203" s="126" t="s">
        <v>515</v>
      </c>
      <c r="F1203" s="504">
        <v>1</v>
      </c>
      <c r="G1203" s="587" t="s">
        <v>4627</v>
      </c>
      <c r="H1203" s="585" t="s">
        <v>4628</v>
      </c>
      <c r="I1203" s="784" t="s">
        <v>949</v>
      </c>
      <c r="J1203" s="494" t="s">
        <v>4629</v>
      </c>
    </row>
    <row r="1204" spans="1:37" ht="46.8" x14ac:dyDescent="0.3">
      <c r="B1204" s="31" t="s">
        <v>683</v>
      </c>
      <c r="C1204" s="130" t="s">
        <v>374</v>
      </c>
      <c r="D1204" s="43" t="s">
        <v>190</v>
      </c>
      <c r="E1204" s="126" t="s">
        <v>515</v>
      </c>
      <c r="F1204" s="1195">
        <v>1</v>
      </c>
      <c r="G1204" s="587" t="s">
        <v>4630</v>
      </c>
      <c r="H1204" s="585" t="s">
        <v>4631</v>
      </c>
      <c r="I1204" s="1306" t="s">
        <v>119</v>
      </c>
      <c r="J1204" s="494" t="s">
        <v>685</v>
      </c>
    </row>
    <row r="1205" spans="1:37" ht="46.8" x14ac:dyDescent="0.3">
      <c r="B1205" s="31"/>
      <c r="C1205" s="130"/>
      <c r="D1205" s="43"/>
      <c r="E1205" s="126"/>
      <c r="F1205" s="351"/>
      <c r="G1205" s="126"/>
      <c r="H1205" s="304"/>
      <c r="I1205" s="319"/>
      <c r="J1205" s="494"/>
    </row>
    <row r="1206" spans="1:37" ht="46.8" x14ac:dyDescent="0.3">
      <c r="A1206" s="58"/>
      <c r="B1206" s="352"/>
      <c r="C1206" s="353" t="s">
        <v>771</v>
      </c>
      <c r="D1206" s="354" t="s">
        <v>190</v>
      </c>
      <c r="E1206" s="355"/>
      <c r="F1206" s="1040">
        <f>SUM(F1196:F1205)</f>
        <v>9</v>
      </c>
      <c r="G1206" s="357"/>
      <c r="H1206" s="358"/>
      <c r="I1206" s="359"/>
      <c r="J1206" s="526"/>
      <c r="K1206" s="58"/>
      <c r="L1206" s="58"/>
      <c r="M1206" s="58"/>
      <c r="N1206" s="58"/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  <c r="AA1206" s="58"/>
      <c r="AB1206" s="58"/>
      <c r="AC1206" s="58"/>
      <c r="AD1206" s="58"/>
      <c r="AE1206" s="58"/>
      <c r="AF1206" s="58"/>
      <c r="AG1206" s="58"/>
      <c r="AH1206" s="58"/>
      <c r="AI1206" s="58"/>
      <c r="AJ1206" s="58"/>
      <c r="AK1206" s="58"/>
    </row>
    <row r="1207" spans="1:37" ht="46.8" x14ac:dyDescent="0.3">
      <c r="A1207" s="58"/>
      <c r="B1207" s="352"/>
      <c r="C1207" s="353" t="s">
        <v>772</v>
      </c>
      <c r="D1207" s="354" t="s">
        <v>190</v>
      </c>
      <c r="E1207" s="355"/>
      <c r="F1207" s="1040">
        <v>8</v>
      </c>
      <c r="G1207" s="357"/>
      <c r="H1207" s="358"/>
      <c r="I1207" s="359"/>
      <c r="J1207" s="526"/>
      <c r="K1207" s="58"/>
      <c r="L1207" s="58"/>
      <c r="M1207" s="58"/>
      <c r="N1207" s="58"/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  <c r="AA1207" s="58"/>
      <c r="AB1207" s="58"/>
      <c r="AC1207" s="58"/>
      <c r="AD1207" s="58"/>
      <c r="AE1207" s="58"/>
      <c r="AF1207" s="58"/>
      <c r="AG1207" s="58"/>
      <c r="AH1207" s="58"/>
      <c r="AI1207" s="58"/>
      <c r="AJ1207" s="58"/>
      <c r="AK1207" s="58"/>
    </row>
    <row r="1208" spans="1:37" ht="46.8" x14ac:dyDescent="0.3">
      <c r="A1208" s="58"/>
      <c r="B1208" s="352"/>
      <c r="C1208" s="353" t="s">
        <v>773</v>
      </c>
      <c r="D1208" s="354" t="s">
        <v>190</v>
      </c>
      <c r="E1208" s="355"/>
      <c r="F1208" s="1096">
        <f>F1206-F1207</f>
        <v>1</v>
      </c>
      <c r="G1208" s="357"/>
      <c r="H1208" s="358"/>
      <c r="I1208" s="359"/>
      <c r="J1208" s="526"/>
      <c r="K1208" s="58"/>
      <c r="L1208" s="58"/>
      <c r="M1208" s="58"/>
      <c r="N1208" s="58"/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  <c r="AA1208" s="58"/>
      <c r="AB1208" s="58"/>
      <c r="AC1208" s="58"/>
      <c r="AD1208" s="58"/>
      <c r="AE1208" s="58"/>
      <c r="AF1208" s="58"/>
      <c r="AG1208" s="58"/>
      <c r="AH1208" s="58"/>
      <c r="AI1208" s="58"/>
      <c r="AJ1208" s="58"/>
      <c r="AK1208" s="58"/>
    </row>
    <row r="1209" spans="1:37" ht="46.8" x14ac:dyDescent="0.3">
      <c r="B1209" s="31"/>
      <c r="C1209" s="130"/>
      <c r="D1209" s="43"/>
      <c r="E1209" s="126"/>
      <c r="F1209" s="351"/>
      <c r="G1209" s="126"/>
      <c r="H1209" s="1972"/>
      <c r="I1209" s="319"/>
      <c r="J1209" s="494"/>
    </row>
    <row r="1210" spans="1:37" ht="46.8" x14ac:dyDescent="0.3">
      <c r="A1210" s="481"/>
      <c r="B1210" s="1533">
        <v>403</v>
      </c>
      <c r="C1210" s="1534" t="s">
        <v>375</v>
      </c>
      <c r="D1210" s="1535"/>
      <c r="E1210" s="1949"/>
      <c r="F1210" s="1960"/>
      <c r="G1210" s="1949"/>
      <c r="H1210" s="1537"/>
      <c r="I1210" s="1536"/>
      <c r="J1210" s="1538"/>
      <c r="M1210" s="481"/>
      <c r="N1210" s="481"/>
      <c r="O1210" s="481"/>
      <c r="P1210" s="481"/>
      <c r="Q1210" s="481"/>
      <c r="R1210" s="481"/>
      <c r="S1210" s="481"/>
      <c r="T1210" s="481"/>
      <c r="U1210" s="481"/>
      <c r="V1210" s="481"/>
      <c r="W1210" s="481"/>
      <c r="X1210" s="481"/>
      <c r="Y1210" s="481"/>
      <c r="Z1210" s="481"/>
      <c r="AA1210" s="481"/>
      <c r="AB1210" s="481"/>
      <c r="AC1210" s="481"/>
      <c r="AD1210" s="481"/>
      <c r="AE1210" s="481"/>
      <c r="AF1210" s="481"/>
      <c r="AG1210" s="481"/>
      <c r="AH1210" s="481"/>
      <c r="AI1210" s="481"/>
      <c r="AJ1210" s="481"/>
      <c r="AK1210" s="481"/>
    </row>
    <row r="1211" spans="1:37" ht="46.8" x14ac:dyDescent="0.3">
      <c r="A1211" s="481"/>
      <c r="B1211" s="589"/>
      <c r="C1211" s="590"/>
      <c r="D1211" s="41"/>
      <c r="E1211" s="586"/>
      <c r="F1211" s="504"/>
      <c r="G1211" s="586"/>
      <c r="H1211" s="595"/>
      <c r="I1211" s="784"/>
      <c r="J1211" s="494"/>
      <c r="K1211" s="481"/>
      <c r="L1211" s="481"/>
      <c r="M1211" s="481"/>
      <c r="N1211" s="481"/>
      <c r="O1211" s="481"/>
      <c r="P1211" s="481"/>
      <c r="Q1211" s="481"/>
      <c r="R1211" s="481"/>
      <c r="S1211" s="481"/>
      <c r="T1211" s="481"/>
      <c r="U1211" s="481"/>
      <c r="V1211" s="481"/>
      <c r="W1211" s="481"/>
      <c r="X1211" s="481"/>
      <c r="Y1211" s="481"/>
      <c r="Z1211" s="481"/>
      <c r="AA1211" s="481"/>
      <c r="AB1211" s="481"/>
      <c r="AC1211" s="481"/>
      <c r="AD1211" s="481"/>
      <c r="AE1211" s="481"/>
      <c r="AF1211" s="481"/>
      <c r="AG1211" s="481"/>
      <c r="AH1211" s="481"/>
      <c r="AI1211" s="481"/>
      <c r="AJ1211" s="481"/>
      <c r="AK1211" s="481"/>
    </row>
    <row r="1212" spans="1:37" ht="46.8" x14ac:dyDescent="0.3">
      <c r="A1212" s="1192"/>
      <c r="B1212" s="1184"/>
      <c r="C1212" s="1185" t="s">
        <v>771</v>
      </c>
      <c r="D1212" s="1186" t="s">
        <v>320</v>
      </c>
      <c r="E1212" s="1187"/>
      <c r="F1212" s="1040">
        <f>SUM(F1180:F1211)</f>
        <v>57</v>
      </c>
      <c r="G1212" s="1188"/>
      <c r="H1212" s="1189"/>
      <c r="I1212" s="1190"/>
      <c r="J1212" s="1191"/>
      <c r="K1212" s="1192"/>
      <c r="L1212" s="1192"/>
      <c r="M1212" s="1192"/>
      <c r="N1212" s="1192"/>
      <c r="O1212" s="1192"/>
      <c r="P1212" s="1192"/>
      <c r="Q1212" s="1192"/>
      <c r="R1212" s="1192"/>
      <c r="S1212" s="1192"/>
      <c r="T1212" s="1192"/>
      <c r="U1212" s="1192"/>
      <c r="V1212" s="1192"/>
      <c r="W1212" s="1192"/>
      <c r="X1212" s="1192"/>
      <c r="Y1212" s="1192"/>
      <c r="Z1212" s="1192"/>
      <c r="AA1212" s="1192"/>
      <c r="AB1212" s="1192"/>
      <c r="AC1212" s="1192"/>
      <c r="AD1212" s="1192"/>
      <c r="AE1212" s="1192"/>
      <c r="AF1212" s="1192"/>
      <c r="AG1212" s="1192"/>
      <c r="AH1212" s="1192"/>
      <c r="AI1212" s="1192"/>
      <c r="AJ1212" s="1192"/>
      <c r="AK1212" s="1192"/>
    </row>
    <row r="1213" spans="1:37" ht="46.8" x14ac:dyDescent="0.3">
      <c r="A1213" s="1192"/>
      <c r="B1213" s="1184"/>
      <c r="C1213" s="1185" t="s">
        <v>772</v>
      </c>
      <c r="D1213" s="1186" t="s">
        <v>320</v>
      </c>
      <c r="E1213" s="1187"/>
      <c r="F1213" s="1040">
        <v>56.970000000000006</v>
      </c>
      <c r="G1213" s="1188"/>
      <c r="H1213" s="1189"/>
      <c r="I1213" s="1190"/>
      <c r="J1213" s="1191"/>
      <c r="K1213" s="1192"/>
      <c r="L1213" s="1192"/>
      <c r="M1213" s="1192"/>
      <c r="N1213" s="1192"/>
      <c r="O1213" s="1192"/>
      <c r="P1213" s="1192"/>
      <c r="Q1213" s="1192"/>
      <c r="R1213" s="1192"/>
      <c r="S1213" s="1192"/>
      <c r="T1213" s="1192"/>
      <c r="U1213" s="1192"/>
      <c r="V1213" s="1192"/>
      <c r="W1213" s="1192"/>
      <c r="X1213" s="1192"/>
      <c r="Y1213" s="1192"/>
      <c r="Z1213" s="1192"/>
      <c r="AA1213" s="1192"/>
      <c r="AB1213" s="1192"/>
      <c r="AC1213" s="1192"/>
      <c r="AD1213" s="1192"/>
      <c r="AE1213" s="1192"/>
      <c r="AF1213" s="1192"/>
      <c r="AG1213" s="1192"/>
      <c r="AH1213" s="1192"/>
      <c r="AI1213" s="1192"/>
      <c r="AJ1213" s="1192"/>
      <c r="AK1213" s="1192"/>
    </row>
    <row r="1214" spans="1:37" ht="46.8" x14ac:dyDescent="0.3">
      <c r="A1214" s="1192"/>
      <c r="B1214" s="1184"/>
      <c r="C1214" s="1185" t="s">
        <v>773</v>
      </c>
      <c r="D1214" s="1186" t="s">
        <v>320</v>
      </c>
      <c r="E1214" s="1187"/>
      <c r="F1214" s="1040">
        <f>F1212-F1213</f>
        <v>2.9999999999994031E-2</v>
      </c>
      <c r="G1214" s="1188"/>
      <c r="H1214" s="1189"/>
      <c r="I1214" s="1190"/>
      <c r="J1214" s="1191"/>
      <c r="K1214" s="1192"/>
      <c r="L1214" s="1192"/>
      <c r="M1214" s="1192"/>
      <c r="N1214" s="1192"/>
      <c r="O1214" s="1192"/>
      <c r="P1214" s="1192"/>
      <c r="Q1214" s="1192"/>
      <c r="R1214" s="1192"/>
      <c r="S1214" s="1192"/>
      <c r="T1214" s="1192"/>
      <c r="U1214" s="1192"/>
      <c r="V1214" s="1192"/>
      <c r="W1214" s="1192"/>
      <c r="X1214" s="1192"/>
      <c r="Y1214" s="1192"/>
      <c r="Z1214" s="1192"/>
      <c r="AA1214" s="1192"/>
      <c r="AB1214" s="1192"/>
      <c r="AC1214" s="1192"/>
      <c r="AD1214" s="1192"/>
      <c r="AE1214" s="1192"/>
      <c r="AF1214" s="1192"/>
      <c r="AG1214" s="1192"/>
      <c r="AH1214" s="1192"/>
      <c r="AI1214" s="1192"/>
      <c r="AJ1214" s="1192"/>
      <c r="AK1214" s="1192"/>
    </row>
    <row r="1215" spans="1:37" ht="46.8" x14ac:dyDescent="0.3">
      <c r="B1215" s="31"/>
      <c r="C1215" s="130"/>
      <c r="D1215" s="43"/>
      <c r="E1215" s="126"/>
      <c r="F1215" s="348"/>
      <c r="G1215" s="126"/>
      <c r="H1215" s="1972"/>
      <c r="I1215" s="319"/>
      <c r="J1215" s="494"/>
    </row>
    <row r="1216" spans="1:37" ht="46.8" x14ac:dyDescent="0.3">
      <c r="B1216" s="1533"/>
      <c r="C1216" s="1534" t="s">
        <v>509</v>
      </c>
      <c r="D1216" s="1535"/>
      <c r="E1216" s="1949"/>
      <c r="F1216" s="1957"/>
      <c r="G1216" s="1949"/>
      <c r="H1216" s="1537"/>
      <c r="I1216" s="1985"/>
      <c r="J1216" s="1538"/>
      <c r="L1216" s="593"/>
    </row>
    <row r="1217" spans="2:15" ht="15.6" x14ac:dyDescent="0.3">
      <c r="B1217" s="31"/>
      <c r="C1217" s="130"/>
      <c r="D1217" s="43"/>
      <c r="E1217" s="126"/>
      <c r="F1217" s="504"/>
      <c r="G1217" s="126"/>
      <c r="H1217" s="304"/>
      <c r="I1217" s="151"/>
      <c r="J1217" s="494"/>
      <c r="K1217" s="919"/>
      <c r="O1217"/>
    </row>
    <row r="1218" spans="2:15" ht="15.6" x14ac:dyDescent="0.3">
      <c r="B1218" s="148">
        <v>406</v>
      </c>
      <c r="C1218" s="149" t="s">
        <v>379</v>
      </c>
      <c r="D1218" s="138"/>
      <c r="E1218" s="139"/>
      <c r="F1218" s="1039"/>
      <c r="G1218" s="139"/>
      <c r="H1218" s="139"/>
      <c r="I1218" s="516"/>
      <c r="J1218" s="500"/>
      <c r="O1218"/>
    </row>
    <row r="1219" spans="2:15" ht="15.6" x14ac:dyDescent="0.3">
      <c r="B1219" s="145" t="s">
        <v>6037</v>
      </c>
      <c r="C1219" s="150" t="s">
        <v>380</v>
      </c>
      <c r="D1219" s="146"/>
      <c r="E1219" s="147"/>
      <c r="F1219" s="964"/>
      <c r="G1219" s="147"/>
      <c r="H1219" s="492"/>
      <c r="I1219" s="319"/>
      <c r="J1219" s="528"/>
      <c r="O1219"/>
    </row>
    <row r="1220" spans="2:15" ht="15.6" x14ac:dyDescent="0.3">
      <c r="B1220" s="145"/>
      <c r="C1220" s="150"/>
      <c r="D1220" s="146"/>
      <c r="E1220" s="147"/>
      <c r="F1220" s="964"/>
      <c r="G1220" s="147"/>
      <c r="H1220" s="492"/>
      <c r="I1220" s="319"/>
      <c r="J1220" s="528"/>
      <c r="O1220"/>
    </row>
    <row r="1221" spans="2:15" s="58" customFormat="1" ht="15.6" x14ac:dyDescent="0.3">
      <c r="B1221" s="352"/>
      <c r="C1221" s="353" t="s">
        <v>771</v>
      </c>
      <c r="D1221" s="354" t="s">
        <v>190</v>
      </c>
      <c r="E1221" s="355"/>
      <c r="F1221" s="1040">
        <f>SUM(F721:F1217)</f>
        <v>5777.3019999999997</v>
      </c>
      <c r="G1221" s="357"/>
      <c r="H1221" s="358"/>
      <c r="I1221" s="359"/>
      <c r="J1221" s="526"/>
      <c r="O1221"/>
    </row>
    <row r="1222" spans="2:15" s="58" customFormat="1" ht="15.6" x14ac:dyDescent="0.3">
      <c r="B1222" s="352"/>
      <c r="C1222" s="353" t="s">
        <v>772</v>
      </c>
      <c r="D1222" s="354" t="s">
        <v>190</v>
      </c>
      <c r="E1222" s="355"/>
      <c r="F1222" s="1040">
        <v>452</v>
      </c>
      <c r="G1222" s="357"/>
      <c r="H1222" s="358"/>
      <c r="I1222" s="359"/>
      <c r="J1222" s="526"/>
      <c r="O1222"/>
    </row>
    <row r="1223" spans="2:15" s="58" customFormat="1" ht="15.6" x14ac:dyDescent="0.3">
      <c r="B1223" s="360"/>
      <c r="C1223" s="361" t="s">
        <v>773</v>
      </c>
      <c r="D1223" s="362" t="s">
        <v>190</v>
      </c>
      <c r="E1223" s="363"/>
      <c r="F1223" s="1041">
        <f>F1221-F1222</f>
        <v>5325.3019999999997</v>
      </c>
      <c r="G1223" s="365"/>
      <c r="H1223" s="366"/>
      <c r="I1223" s="367"/>
      <c r="J1223" s="527"/>
      <c r="O1223"/>
    </row>
    <row r="1224" spans="2:15" ht="7.5" customHeight="1" x14ac:dyDescent="0.3">
      <c r="B1224" s="338"/>
      <c r="C1224" s="142"/>
      <c r="D1224" s="143"/>
      <c r="E1224" s="144"/>
      <c r="F1224" s="1038"/>
      <c r="G1224" s="144"/>
      <c r="H1224" s="144"/>
      <c r="I1224" s="515"/>
      <c r="J1224" s="524"/>
      <c r="O1224"/>
    </row>
    <row r="1225" spans="2:15" ht="15.6" x14ac:dyDescent="0.3">
      <c r="B1225" s="148">
        <v>407</v>
      </c>
      <c r="C1225" s="149" t="s">
        <v>382</v>
      </c>
      <c r="D1225" s="138"/>
      <c r="E1225" s="139"/>
      <c r="F1225" s="1039"/>
      <c r="G1225" s="139"/>
      <c r="H1225" s="139"/>
      <c r="I1225" s="516"/>
      <c r="J1225" s="500"/>
      <c r="O1225"/>
    </row>
    <row r="1226" spans="2:15" ht="15.6" x14ac:dyDescent="0.3">
      <c r="B1226" s="145" t="s">
        <v>6038</v>
      </c>
      <c r="C1226" s="150" t="s">
        <v>385</v>
      </c>
      <c r="D1226" s="146"/>
      <c r="E1226" s="147"/>
      <c r="F1226" s="964"/>
      <c r="G1226" s="147"/>
      <c r="H1226" s="492"/>
      <c r="I1226" s="319"/>
      <c r="J1226" s="528"/>
      <c r="O1226"/>
    </row>
    <row r="1227" spans="2:15" ht="15.6" x14ac:dyDescent="0.3">
      <c r="B1227" s="145"/>
      <c r="C1227" s="150"/>
      <c r="D1227" s="146"/>
      <c r="E1227" s="147"/>
      <c r="F1227" s="964"/>
      <c r="G1227" s="147"/>
      <c r="H1227" s="492"/>
      <c r="I1227" s="319"/>
      <c r="J1227" s="528"/>
      <c r="O1227"/>
    </row>
    <row r="1228" spans="2:15" s="58" customFormat="1" ht="15.6" x14ac:dyDescent="0.3">
      <c r="B1228" s="352"/>
      <c r="C1228" s="353" t="s">
        <v>771</v>
      </c>
      <c r="D1228" s="354" t="s">
        <v>190</v>
      </c>
      <c r="E1228" s="355"/>
      <c r="F1228" s="1040">
        <f>SUM(F721:F1217)</f>
        <v>5777.3019999999997</v>
      </c>
      <c r="G1228" s="357"/>
      <c r="H1228" s="358"/>
      <c r="I1228" s="359"/>
      <c r="J1228" s="526"/>
      <c r="L1228" s="132"/>
      <c r="O1228"/>
    </row>
    <row r="1229" spans="2:15" s="58" customFormat="1" ht="15.6" x14ac:dyDescent="0.3">
      <c r="B1229" s="352"/>
      <c r="C1229" s="353" t="s">
        <v>772</v>
      </c>
      <c r="D1229" s="354" t="s">
        <v>190</v>
      </c>
      <c r="E1229" s="355"/>
      <c r="F1229" s="1040">
        <v>452</v>
      </c>
      <c r="G1229" s="357"/>
      <c r="H1229" s="358"/>
      <c r="I1229" s="359"/>
      <c r="J1229" s="526"/>
      <c r="L1229"/>
      <c r="O1229"/>
    </row>
    <row r="1230" spans="2:15" s="58" customFormat="1" ht="15.6" x14ac:dyDescent="0.3">
      <c r="B1230" s="360"/>
      <c r="C1230" s="361" t="s">
        <v>773</v>
      </c>
      <c r="D1230" s="362" t="s">
        <v>190</v>
      </c>
      <c r="E1230" s="363"/>
      <c r="F1230" s="1041">
        <f>F1228-F1229</f>
        <v>5325.3019999999997</v>
      </c>
      <c r="G1230" s="365"/>
      <c r="H1230" s="366"/>
      <c r="I1230" s="367"/>
      <c r="J1230" s="527"/>
      <c r="L1230"/>
      <c r="O1230"/>
    </row>
    <row r="1231" spans="2:15" ht="6.6" customHeight="1" x14ac:dyDescent="0.3">
      <c r="B1231" s="338"/>
      <c r="C1231" s="142"/>
      <c r="D1231" s="143"/>
      <c r="E1231" s="144"/>
      <c r="F1231" s="1038"/>
      <c r="G1231" s="144"/>
      <c r="H1231" s="144"/>
      <c r="I1231" s="515"/>
      <c r="J1231" s="524"/>
      <c r="L1231"/>
      <c r="O1231"/>
    </row>
    <row r="1232" spans="2:15" ht="15.6" x14ac:dyDescent="0.3">
      <c r="B1232" s="148">
        <v>408</v>
      </c>
      <c r="C1232" s="149" t="s">
        <v>388</v>
      </c>
      <c r="D1232" s="138"/>
      <c r="E1232" s="139"/>
      <c r="F1232" s="1039"/>
      <c r="G1232" s="139"/>
      <c r="H1232" s="139"/>
      <c r="I1232" s="516"/>
      <c r="J1232" s="500"/>
      <c r="L1232"/>
      <c r="O1232"/>
    </row>
    <row r="1233" spans="2:15" ht="15.6" x14ac:dyDescent="0.3">
      <c r="B1233" s="145" t="s">
        <v>6039</v>
      </c>
      <c r="C1233" s="150" t="s">
        <v>389</v>
      </c>
      <c r="D1233" s="146" t="s">
        <v>333</v>
      </c>
      <c r="E1233" s="147"/>
      <c r="F1233" s="491">
        <f>217.835+232.643</f>
        <v>450.47800000000001</v>
      </c>
      <c r="G1233" s="147" t="s">
        <v>760</v>
      </c>
      <c r="H1233" s="492"/>
      <c r="I1233" s="319" t="s">
        <v>946</v>
      </c>
      <c r="J1233" s="528"/>
    </row>
    <row r="1234" spans="2:15" ht="15.6" x14ac:dyDescent="0.3">
      <c r="B1234" s="145" t="s">
        <v>6039</v>
      </c>
      <c r="C1234" s="150" t="s">
        <v>389</v>
      </c>
      <c r="D1234" s="146" t="s">
        <v>333</v>
      </c>
      <c r="E1234" s="147"/>
      <c r="F1234" s="491">
        <f>342.381+154.925-F1233+307.515</f>
        <v>354.34299999999996</v>
      </c>
      <c r="G1234" s="147" t="s">
        <v>760</v>
      </c>
      <c r="H1234" s="492"/>
      <c r="I1234" s="319" t="s">
        <v>1579</v>
      </c>
      <c r="J1234" s="528"/>
    </row>
    <row r="1235" spans="2:15" ht="15.6" x14ac:dyDescent="0.3">
      <c r="B1235" s="145"/>
      <c r="C1235" s="150"/>
      <c r="D1235" s="146"/>
      <c r="E1235" s="147"/>
      <c r="F1235" s="491"/>
      <c r="G1235" s="147"/>
      <c r="H1235" s="358"/>
      <c r="I1235" s="319"/>
      <c r="J1235" s="528"/>
      <c r="L1235"/>
    </row>
    <row r="1236" spans="2:15" s="58" customFormat="1" ht="15.6" x14ac:dyDescent="0.3">
      <c r="B1236" s="352"/>
      <c r="C1236" s="353" t="s">
        <v>771</v>
      </c>
      <c r="D1236" s="354" t="s">
        <v>333</v>
      </c>
      <c r="E1236" s="355"/>
      <c r="F1236" s="1042">
        <f>SUM(F1233:F1235)</f>
        <v>804.82099999999991</v>
      </c>
      <c r="G1236" s="147"/>
      <c r="H1236" s="358"/>
      <c r="I1236" s="359"/>
      <c r="J1236" s="526"/>
      <c r="L1236"/>
    </row>
    <row r="1237" spans="2:15" s="58" customFormat="1" ht="15.6" x14ac:dyDescent="0.3">
      <c r="B1237" s="352"/>
      <c r="C1237" s="353" t="s">
        <v>772</v>
      </c>
      <c r="D1237" s="354" t="s">
        <v>333</v>
      </c>
      <c r="E1237" s="355"/>
      <c r="F1237" s="1042">
        <v>804.82099999999991</v>
      </c>
      <c r="G1237" s="357"/>
      <c r="H1237" s="358"/>
      <c r="I1237" s="359"/>
      <c r="J1237" s="526"/>
      <c r="L1237"/>
    </row>
    <row r="1238" spans="2:15" s="58" customFormat="1" ht="15.6" x14ac:dyDescent="0.3">
      <c r="B1238" s="360"/>
      <c r="C1238" s="361" t="s">
        <v>773</v>
      </c>
      <c r="D1238" s="354" t="s">
        <v>333</v>
      </c>
      <c r="E1238" s="363"/>
      <c r="F1238" s="810">
        <f>F1236-F1237</f>
        <v>0</v>
      </c>
      <c r="G1238" s="365"/>
      <c r="H1238" s="366"/>
      <c r="I1238" s="367"/>
      <c r="J1238" s="527"/>
      <c r="L1238"/>
    </row>
    <row r="1239" spans="2:15" ht="6.6" customHeight="1" x14ac:dyDescent="0.3">
      <c r="B1239" s="338"/>
      <c r="C1239" s="142"/>
      <c r="D1239" s="143"/>
      <c r="E1239" s="144"/>
      <c r="F1239" s="1143"/>
      <c r="G1239" s="144"/>
      <c r="H1239" s="144"/>
      <c r="I1239" s="515"/>
      <c r="J1239" s="524"/>
      <c r="L1239"/>
    </row>
    <row r="1240" spans="2:15" ht="15.6" x14ac:dyDescent="0.3">
      <c r="B1240" s="145" t="s">
        <v>759</v>
      </c>
      <c r="C1240" s="150" t="s">
        <v>384</v>
      </c>
      <c r="D1240" s="146" t="s">
        <v>333</v>
      </c>
      <c r="E1240" s="147"/>
      <c r="F1240" s="491">
        <v>450.47800000000001</v>
      </c>
      <c r="G1240" s="489" t="s">
        <v>6040</v>
      </c>
      <c r="H1240" s="1222">
        <v>46112</v>
      </c>
      <c r="I1240" s="319" t="s">
        <v>1053</v>
      </c>
      <c r="J1240" s="528"/>
    </row>
    <row r="1241" spans="2:15" ht="15.6" x14ac:dyDescent="0.3">
      <c r="B1241" s="145" t="s">
        <v>759</v>
      </c>
      <c r="C1241" s="150" t="s">
        <v>384</v>
      </c>
      <c r="D1241" s="146" t="s">
        <v>333</v>
      </c>
      <c r="E1241" s="147"/>
      <c r="F1241" s="1520">
        <f>F1234</f>
        <v>354.34299999999996</v>
      </c>
      <c r="G1241" s="489" t="s">
        <v>760</v>
      </c>
      <c r="H1241" s="1222"/>
      <c r="I1241" s="1306" t="s">
        <v>119</v>
      </c>
      <c r="J1241" s="528"/>
    </row>
    <row r="1242" spans="2:15" ht="15.6" x14ac:dyDescent="0.3">
      <c r="B1242" s="145"/>
      <c r="C1242" s="150"/>
      <c r="D1242" s="146"/>
      <c r="E1242" s="147"/>
      <c r="F1242" s="491"/>
      <c r="G1242" s="147"/>
      <c r="H1242" s="492"/>
      <c r="I1242" s="319"/>
      <c r="J1242" s="528"/>
      <c r="L1242"/>
    </row>
    <row r="1243" spans="2:15" s="58" customFormat="1" ht="15.6" x14ac:dyDescent="0.3">
      <c r="B1243" s="352"/>
      <c r="C1243" s="353" t="s">
        <v>771</v>
      </c>
      <c r="D1243" s="354" t="s">
        <v>333</v>
      </c>
      <c r="E1243" s="355"/>
      <c r="F1243" s="1040">
        <f>SUM(F1240:F1242)</f>
        <v>804.82099999999991</v>
      </c>
      <c r="G1243" s="357"/>
      <c r="H1243" s="358"/>
      <c r="I1243" s="359"/>
      <c r="J1243" s="526"/>
      <c r="L1243"/>
    </row>
    <row r="1244" spans="2:15" s="58" customFormat="1" ht="15.6" x14ac:dyDescent="0.3">
      <c r="B1244" s="352"/>
      <c r="C1244" s="353" t="s">
        <v>772</v>
      </c>
      <c r="D1244" s="354" t="s">
        <v>333</v>
      </c>
      <c r="E1244" s="355"/>
      <c r="F1244" s="1040">
        <v>450.47800000000001</v>
      </c>
      <c r="G1244" s="357"/>
      <c r="H1244" s="358"/>
      <c r="I1244" s="359"/>
      <c r="J1244" s="526"/>
      <c r="L1244"/>
    </row>
    <row r="1245" spans="2:15" s="58" customFormat="1" ht="15.6" x14ac:dyDescent="0.3">
      <c r="B1245" s="360"/>
      <c r="C1245" s="361" t="s">
        <v>773</v>
      </c>
      <c r="D1245" s="362" t="s">
        <v>333</v>
      </c>
      <c r="E1245" s="363"/>
      <c r="F1245" s="1041">
        <f>F1243-F1244</f>
        <v>354.3429999999999</v>
      </c>
      <c r="G1245" s="365"/>
      <c r="H1245" s="366"/>
      <c r="I1245" s="367"/>
      <c r="J1245" s="527"/>
      <c r="L1245"/>
    </row>
    <row r="1246" spans="2:15" ht="6.6" customHeight="1" x14ac:dyDescent="0.3">
      <c r="B1246" s="338"/>
      <c r="C1246" s="142"/>
      <c r="D1246" s="143"/>
      <c r="E1246" s="144"/>
      <c r="F1246" s="1143"/>
      <c r="G1246" s="144"/>
      <c r="H1246" s="144"/>
      <c r="I1246" s="515"/>
      <c r="J1246" s="524"/>
      <c r="L1246"/>
    </row>
    <row r="1247" spans="2:15" ht="15.6" x14ac:dyDescent="0.3">
      <c r="B1247" s="145" t="s">
        <v>6041</v>
      </c>
      <c r="C1247" s="150" t="s">
        <v>390</v>
      </c>
      <c r="D1247" s="146"/>
      <c r="E1247" s="147"/>
      <c r="F1247" s="964"/>
      <c r="G1247" s="147"/>
      <c r="H1247" s="492"/>
      <c r="I1247" s="319"/>
      <c r="J1247" s="528"/>
      <c r="L1247"/>
      <c r="O1247"/>
    </row>
    <row r="1248" spans="2:15" ht="15.6" x14ac:dyDescent="0.3">
      <c r="B1248" s="145"/>
      <c r="C1248" s="150"/>
      <c r="D1248" s="146"/>
      <c r="E1248" s="147"/>
      <c r="F1248" s="964"/>
      <c r="G1248" s="147"/>
      <c r="H1248" s="492"/>
      <c r="I1248" s="319"/>
      <c r="J1248" s="528"/>
      <c r="L1248"/>
      <c r="O1248"/>
    </row>
    <row r="1249" spans="2:15" s="58" customFormat="1" ht="15.6" x14ac:dyDescent="0.3">
      <c r="B1249" s="352"/>
      <c r="C1249" s="353" t="s">
        <v>771</v>
      </c>
      <c r="D1249" s="354" t="s">
        <v>190</v>
      </c>
      <c r="E1249" s="355"/>
      <c r="F1249" s="1040">
        <f>COUNTIFS($J$670:$J$1217,"*©*",$F$670:$F$1217,"1")</f>
        <v>0</v>
      </c>
      <c r="G1249" s="357"/>
      <c r="H1249" s="358"/>
      <c r="I1249" s="359"/>
      <c r="J1249" s="526"/>
      <c r="L1249"/>
      <c r="O1249"/>
    </row>
    <row r="1250" spans="2:15" s="58" customFormat="1" ht="15.6" x14ac:dyDescent="0.3">
      <c r="B1250" s="352"/>
      <c r="C1250" s="353" t="s">
        <v>772</v>
      </c>
      <c r="D1250" s="354" t="s">
        <v>190</v>
      </c>
      <c r="E1250" s="355"/>
      <c r="F1250" s="1040">
        <v>174</v>
      </c>
      <c r="G1250" s="357"/>
      <c r="H1250" s="358"/>
      <c r="I1250" s="359"/>
      <c r="J1250" s="526"/>
      <c r="L1250"/>
      <c r="O1250"/>
    </row>
    <row r="1251" spans="2:15" s="58" customFormat="1" ht="15.6" x14ac:dyDescent="0.3">
      <c r="B1251" s="360"/>
      <c r="C1251" s="361" t="s">
        <v>773</v>
      </c>
      <c r="D1251" s="362" t="s">
        <v>190</v>
      </c>
      <c r="E1251" s="363"/>
      <c r="F1251" s="1041">
        <f>F1249-F1250</f>
        <v>-174</v>
      </c>
      <c r="G1251" s="365"/>
      <c r="H1251" s="366"/>
      <c r="I1251" s="367"/>
      <c r="J1251" s="527"/>
      <c r="L1251"/>
      <c r="O1251"/>
    </row>
    <row r="1252" spans="2:15" ht="6.6" customHeight="1" x14ac:dyDescent="0.3">
      <c r="B1252" s="338"/>
      <c r="C1252" s="142"/>
      <c r="D1252" s="143"/>
      <c r="E1252" s="144"/>
      <c r="F1252" s="1038"/>
      <c r="G1252" s="144"/>
      <c r="H1252" s="144"/>
      <c r="I1252" s="515"/>
      <c r="J1252" s="524"/>
      <c r="L1252"/>
      <c r="O1252"/>
    </row>
    <row r="1253" spans="2:15" x14ac:dyDescent="0.3">
      <c r="L1253"/>
    </row>
    <row r="1254" spans="2:15" x14ac:dyDescent="0.3">
      <c r="L1254"/>
    </row>
    <row r="1255" spans="2:15" x14ac:dyDescent="0.3">
      <c r="L1255"/>
    </row>
    <row r="1256" spans="2:15" x14ac:dyDescent="0.3">
      <c r="L1256"/>
    </row>
    <row r="1257" spans="2:15" x14ac:dyDescent="0.3">
      <c r="L1257"/>
    </row>
    <row r="1258" spans="2:15" x14ac:dyDescent="0.3">
      <c r="L1258"/>
    </row>
    <row r="1259" spans="2:15" x14ac:dyDescent="0.3">
      <c r="L1259"/>
    </row>
    <row r="1260" spans="2:15" x14ac:dyDescent="0.3">
      <c r="L1260"/>
    </row>
    <row r="1261" spans="2:15" x14ac:dyDescent="0.3">
      <c r="L1261"/>
    </row>
    <row r="1262" spans="2:15" x14ac:dyDescent="0.3">
      <c r="I1262" s="132">
        <f>74.22/1.18</f>
        <v>62.898305084745765</v>
      </c>
      <c r="L1262"/>
    </row>
    <row r="1263" spans="2:15" x14ac:dyDescent="0.3">
      <c r="L1263"/>
    </row>
    <row r="1264" spans="2:15" x14ac:dyDescent="0.3">
      <c r="L1264"/>
    </row>
    <row r="1265" spans="12:12" x14ac:dyDescent="0.3">
      <c r="L1265"/>
    </row>
    <row r="1266" spans="12:12" x14ac:dyDescent="0.3">
      <c r="L1266"/>
    </row>
    <row r="1267" spans="12:12" x14ac:dyDescent="0.3">
      <c r="L1267"/>
    </row>
    <row r="1268" spans="12:12" x14ac:dyDescent="0.3">
      <c r="L1268"/>
    </row>
    <row r="1269" spans="12:12" x14ac:dyDescent="0.3">
      <c r="L1269"/>
    </row>
    <row r="1270" spans="12:12" x14ac:dyDescent="0.3">
      <c r="L1270"/>
    </row>
    <row r="1271" spans="12:12" x14ac:dyDescent="0.3">
      <c r="L1271"/>
    </row>
    <row r="1272" spans="12:12" x14ac:dyDescent="0.3">
      <c r="L1272"/>
    </row>
    <row r="1273" spans="12:12" x14ac:dyDescent="0.3">
      <c r="L1273"/>
    </row>
    <row r="1274" spans="12:12" x14ac:dyDescent="0.3">
      <c r="L1274"/>
    </row>
    <row r="1275" spans="12:12" x14ac:dyDescent="0.3">
      <c r="L1275"/>
    </row>
    <row r="1276" spans="12:12" x14ac:dyDescent="0.3">
      <c r="L1276"/>
    </row>
    <row r="1277" spans="12:12" x14ac:dyDescent="0.3">
      <c r="L1277"/>
    </row>
    <row r="1278" spans="12:12" x14ac:dyDescent="0.3">
      <c r="L1278"/>
    </row>
    <row r="1279" spans="12:12" x14ac:dyDescent="0.3">
      <c r="L1279"/>
    </row>
    <row r="1280" spans="12:12" x14ac:dyDescent="0.3">
      <c r="L1280"/>
    </row>
    <row r="1281" spans="12:12" x14ac:dyDescent="0.3">
      <c r="L1281"/>
    </row>
    <row r="1282" spans="12:12" x14ac:dyDescent="0.3">
      <c r="L1282"/>
    </row>
    <row r="1283" spans="12:12" x14ac:dyDescent="0.3">
      <c r="L1283"/>
    </row>
    <row r="1284" spans="12:12" x14ac:dyDescent="0.3">
      <c r="L1284"/>
    </row>
    <row r="1285" spans="12:12" x14ac:dyDescent="0.3">
      <c r="L1285"/>
    </row>
    <row r="1286" spans="12:12" x14ac:dyDescent="0.3">
      <c r="L1286"/>
    </row>
    <row r="1287" spans="12:12" x14ac:dyDescent="0.3">
      <c r="L1287"/>
    </row>
    <row r="1288" spans="12:12" x14ac:dyDescent="0.3">
      <c r="L1288"/>
    </row>
    <row r="1289" spans="12:12" x14ac:dyDescent="0.3">
      <c r="L1289"/>
    </row>
    <row r="1290" spans="12:12" x14ac:dyDescent="0.3">
      <c r="L1290"/>
    </row>
    <row r="1291" spans="12:12" x14ac:dyDescent="0.3">
      <c r="L1291"/>
    </row>
    <row r="1292" spans="12:12" x14ac:dyDescent="0.3">
      <c r="L1292"/>
    </row>
    <row r="1293" spans="12:12" x14ac:dyDescent="0.3">
      <c r="L1293"/>
    </row>
    <row r="1294" spans="12:12" x14ac:dyDescent="0.3">
      <c r="L1294"/>
    </row>
    <row r="1295" spans="12:12" x14ac:dyDescent="0.3">
      <c r="L1295"/>
    </row>
    <row r="1296" spans="12:12" x14ac:dyDescent="0.3">
      <c r="L1296"/>
    </row>
    <row r="1297" spans="12:12" x14ac:dyDescent="0.3">
      <c r="L1297"/>
    </row>
    <row r="1298" spans="12:12" x14ac:dyDescent="0.3">
      <c r="L1298"/>
    </row>
    <row r="1299" spans="12:12" x14ac:dyDescent="0.3">
      <c r="L1299"/>
    </row>
    <row r="1300" spans="12:12" x14ac:dyDescent="0.3">
      <c r="L1300"/>
    </row>
    <row r="1301" spans="12:12" x14ac:dyDescent="0.3">
      <c r="L1301"/>
    </row>
    <row r="1302" spans="12:12" x14ac:dyDescent="0.3">
      <c r="L1302"/>
    </row>
    <row r="1303" spans="12:12" x14ac:dyDescent="0.3">
      <c r="L1303"/>
    </row>
    <row r="1304" spans="12:12" x14ac:dyDescent="0.3">
      <c r="L1304"/>
    </row>
    <row r="1305" spans="12:12" x14ac:dyDescent="0.3">
      <c r="L1305"/>
    </row>
    <row r="1306" spans="12:12" x14ac:dyDescent="0.3">
      <c r="L1306"/>
    </row>
    <row r="1307" spans="12:12" x14ac:dyDescent="0.3">
      <c r="L1307"/>
    </row>
    <row r="1308" spans="12:12" x14ac:dyDescent="0.3">
      <c r="L1308"/>
    </row>
    <row r="1309" spans="12:12" x14ac:dyDescent="0.3">
      <c r="L1309"/>
    </row>
    <row r="1310" spans="12:12" x14ac:dyDescent="0.3">
      <c r="L1310"/>
    </row>
    <row r="1311" spans="12:12" x14ac:dyDescent="0.3">
      <c r="L1311"/>
    </row>
    <row r="1312" spans="12:12" x14ac:dyDescent="0.3">
      <c r="L1312"/>
    </row>
    <row r="1313" spans="12:12" x14ac:dyDescent="0.3">
      <c r="L1313"/>
    </row>
    <row r="1314" spans="12:12" x14ac:dyDescent="0.3">
      <c r="L1314"/>
    </row>
    <row r="1315" spans="12:12" x14ac:dyDescent="0.3">
      <c r="L1315"/>
    </row>
    <row r="1316" spans="12:12" x14ac:dyDescent="0.3">
      <c r="L1316"/>
    </row>
    <row r="1317" spans="12:12" x14ac:dyDescent="0.3">
      <c r="L1317"/>
    </row>
    <row r="1318" spans="12:12" x14ac:dyDescent="0.3">
      <c r="L1318"/>
    </row>
    <row r="1319" spans="12:12" x14ac:dyDescent="0.3">
      <c r="L1319"/>
    </row>
    <row r="1320" spans="12:12" x14ac:dyDescent="0.3">
      <c r="L1320"/>
    </row>
    <row r="1321" spans="12:12" x14ac:dyDescent="0.3">
      <c r="L1321"/>
    </row>
    <row r="1322" spans="12:12" x14ac:dyDescent="0.3">
      <c r="L1322"/>
    </row>
    <row r="1323" spans="12:12" x14ac:dyDescent="0.3">
      <c r="L1323"/>
    </row>
    <row r="1324" spans="12:12" x14ac:dyDescent="0.3">
      <c r="L1324"/>
    </row>
    <row r="1325" spans="12:12" x14ac:dyDescent="0.3">
      <c r="L1325"/>
    </row>
    <row r="1326" spans="12:12" x14ac:dyDescent="0.3">
      <c r="L1326"/>
    </row>
    <row r="1327" spans="12:12" x14ac:dyDescent="0.3">
      <c r="L1327"/>
    </row>
    <row r="1328" spans="12:12" x14ac:dyDescent="0.3">
      <c r="L1328"/>
    </row>
    <row r="1329" spans="12:12" x14ac:dyDescent="0.3">
      <c r="L1329"/>
    </row>
    <row r="1330" spans="12:12" x14ac:dyDescent="0.3">
      <c r="L1330"/>
    </row>
    <row r="1331" spans="12:12" x14ac:dyDescent="0.3">
      <c r="L1331"/>
    </row>
    <row r="1332" spans="12:12" x14ac:dyDescent="0.3">
      <c r="L1332"/>
    </row>
    <row r="1333" spans="12:12" x14ac:dyDescent="0.3">
      <c r="L1333"/>
    </row>
    <row r="1334" spans="12:12" x14ac:dyDescent="0.3">
      <c r="L1334"/>
    </row>
    <row r="1335" spans="12:12" x14ac:dyDescent="0.3">
      <c r="L1335"/>
    </row>
    <row r="1336" spans="12:12" x14ac:dyDescent="0.3">
      <c r="L1336"/>
    </row>
    <row r="1337" spans="12:12" x14ac:dyDescent="0.3">
      <c r="L1337"/>
    </row>
    <row r="1338" spans="12:12" x14ac:dyDescent="0.3">
      <c r="L1338"/>
    </row>
    <row r="1339" spans="12:12" x14ac:dyDescent="0.3">
      <c r="L1339"/>
    </row>
    <row r="1340" spans="12:12" x14ac:dyDescent="0.3">
      <c r="L1340"/>
    </row>
    <row r="1341" spans="12:12" x14ac:dyDescent="0.3">
      <c r="L1341"/>
    </row>
    <row r="1342" spans="12:12" x14ac:dyDescent="0.3">
      <c r="L1342"/>
    </row>
    <row r="1343" spans="12:12" x14ac:dyDescent="0.3">
      <c r="L1343"/>
    </row>
    <row r="1344" spans="12:12" x14ac:dyDescent="0.3">
      <c r="L1344"/>
    </row>
    <row r="1345" spans="12:12" x14ac:dyDescent="0.3">
      <c r="L1345"/>
    </row>
    <row r="1346" spans="12:12" x14ac:dyDescent="0.3">
      <c r="L1346"/>
    </row>
    <row r="1347" spans="12:12" x14ac:dyDescent="0.3">
      <c r="L1347"/>
    </row>
    <row r="1348" spans="12:12" x14ac:dyDescent="0.3">
      <c r="L1348"/>
    </row>
    <row r="1349" spans="12:12" x14ac:dyDescent="0.3">
      <c r="L1349"/>
    </row>
    <row r="1350" spans="12:12" x14ac:dyDescent="0.3">
      <c r="L1350"/>
    </row>
    <row r="1351" spans="12:12" x14ac:dyDescent="0.3">
      <c r="L1351"/>
    </row>
    <row r="1352" spans="12:12" x14ac:dyDescent="0.3">
      <c r="L1352"/>
    </row>
    <row r="1353" spans="12:12" x14ac:dyDescent="0.3">
      <c r="L1353"/>
    </row>
    <row r="1354" spans="12:12" x14ac:dyDescent="0.3">
      <c r="L1354"/>
    </row>
    <row r="1355" spans="12:12" x14ac:dyDescent="0.3">
      <c r="L1355"/>
    </row>
    <row r="1356" spans="12:12" x14ac:dyDescent="0.3">
      <c r="L1356"/>
    </row>
    <row r="1357" spans="12:12" x14ac:dyDescent="0.3">
      <c r="L1357"/>
    </row>
    <row r="1358" spans="12:12" x14ac:dyDescent="0.3">
      <c r="L1358"/>
    </row>
    <row r="1359" spans="12:12" x14ac:dyDescent="0.3">
      <c r="L1359"/>
    </row>
    <row r="1360" spans="12:12" x14ac:dyDescent="0.3">
      <c r="L1360"/>
    </row>
    <row r="1361" spans="12:12" x14ac:dyDescent="0.3">
      <c r="L1361"/>
    </row>
    <row r="1362" spans="12:12" x14ac:dyDescent="0.3">
      <c r="L1362"/>
    </row>
    <row r="1363" spans="12:12" x14ac:dyDescent="0.3">
      <c r="L1363"/>
    </row>
    <row r="1364" spans="12:12" x14ac:dyDescent="0.3">
      <c r="L1364"/>
    </row>
    <row r="1365" spans="12:12" x14ac:dyDescent="0.3">
      <c r="L1365"/>
    </row>
    <row r="1366" spans="12:12" x14ac:dyDescent="0.3">
      <c r="L1366"/>
    </row>
    <row r="1367" spans="12:12" x14ac:dyDescent="0.3">
      <c r="L1367"/>
    </row>
    <row r="1368" spans="12:12" x14ac:dyDescent="0.3">
      <c r="L1368"/>
    </row>
    <row r="1369" spans="12:12" x14ac:dyDescent="0.3">
      <c r="L1369"/>
    </row>
    <row r="1370" spans="12:12" x14ac:dyDescent="0.3">
      <c r="L1370"/>
    </row>
    <row r="1371" spans="12:12" x14ac:dyDescent="0.3">
      <c r="L1371"/>
    </row>
    <row r="1372" spans="12:12" x14ac:dyDescent="0.3">
      <c r="L1372"/>
    </row>
    <row r="1373" spans="12:12" x14ac:dyDescent="0.3">
      <c r="L1373"/>
    </row>
    <row r="1374" spans="12:12" x14ac:dyDescent="0.3">
      <c r="L1374"/>
    </row>
    <row r="1375" spans="12:12" x14ac:dyDescent="0.3">
      <c r="L1375"/>
    </row>
    <row r="1376" spans="12:12" x14ac:dyDescent="0.3">
      <c r="L1376"/>
    </row>
    <row r="1377" spans="12:12" x14ac:dyDescent="0.3">
      <c r="L1377"/>
    </row>
    <row r="1378" spans="12:12" x14ac:dyDescent="0.3">
      <c r="L1378"/>
    </row>
    <row r="1379" spans="12:12" x14ac:dyDescent="0.3">
      <c r="L1379"/>
    </row>
    <row r="1380" spans="12:12" x14ac:dyDescent="0.3">
      <c r="L1380"/>
    </row>
  </sheetData>
  <autoFilter ref="B6:J1234" xr:uid="{B098B733-37A0-43E8-A4E1-269D851903A9}"/>
  <sortState xmlns:xlrd2="http://schemas.microsoft.com/office/spreadsheetml/2017/richdata2" ref="A1:AK1380">
    <sortCondition ref="K1:K1380"/>
  </sortState>
  <phoneticPr fontId="23" type="noConversion"/>
  <conditionalFormatting sqref="D7:D1252">
    <cfRule type="cellIs" dxfId="159" priority="3" operator="lessThan">
      <formula>0</formula>
    </cfRule>
  </conditionalFormatting>
  <conditionalFormatting sqref="J89:J650">
    <cfRule type="duplicateValues" dxfId="158" priority="3500"/>
  </conditionalFormatting>
  <conditionalFormatting sqref="J684:J715">
    <cfRule type="duplicateValues" dxfId="157" priority="3493"/>
    <cfRule type="duplicateValues" dxfId="156" priority="3494"/>
  </conditionalFormatting>
  <conditionalFormatting sqref="J720:J1048576 J1:J8 J87:J682">
    <cfRule type="duplicateValues" dxfId="155" priority="4"/>
  </conditionalFormatting>
  <conditionalFormatting sqref="J727:J985 J990:J999 J1007:J1216">
    <cfRule type="duplicateValues" dxfId="154" priority="3488"/>
  </conditionalFormatting>
  <conditionalFormatting sqref="K22:K82">
    <cfRule type="duplicateValues" dxfId="153" priority="958"/>
  </conditionalFormatting>
  <printOptions horizontalCentered="1"/>
  <pageMargins left="0.39370078740157483" right="0.39370078740157483" top="0.55118110236220474" bottom="0.94488188976377963" header="0.31496062992125984" footer="0.31496062992125984"/>
  <pageSetup paperSize="9" scale="50" fitToHeight="0" orientation="portrait" r:id="rId1"/>
  <rowBreaks count="3" manualBreakCount="3">
    <brk id="87" min="1" max="9" man="1"/>
    <brk id="1093" min="1" max="9" man="1"/>
    <brk id="1121" min="1" max="9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FE79-D238-4BF9-A92A-8357687BBCCE}">
  <sheetPr codeName="Sheet15"/>
  <dimension ref="B1:AO610"/>
  <sheetViews>
    <sheetView view="pageBreakPreview" zoomScale="70" zoomScaleNormal="80" zoomScaleSheetLayoutView="70" workbookViewId="0">
      <pane ySplit="4" topLeftCell="A88" activePane="bottomLeft" state="frozen"/>
      <selection pane="bottomLeft" activeCell="S36" sqref="S36"/>
    </sheetView>
  </sheetViews>
  <sheetFormatPr defaultColWidth="8.88671875" defaultRowHeight="14.4" x14ac:dyDescent="0.3"/>
  <cols>
    <col min="1" max="1" width="3.44140625" style="132" customWidth="1"/>
    <col min="2" max="2" width="8.88671875" style="132"/>
    <col min="3" max="4" width="10.88671875" style="339" customWidth="1"/>
    <col min="5" max="5" width="17.88671875" style="132" bestFit="1" customWidth="1"/>
    <col min="6" max="8" width="9" style="778" bestFit="1" customWidth="1"/>
    <col min="9" max="21" width="9" style="778" customWidth="1"/>
    <col min="22" max="22" width="9" style="778" bestFit="1" customWidth="1"/>
    <col min="23" max="27" width="9" style="778" customWidth="1"/>
    <col min="28" max="28" width="10.88671875" style="778" customWidth="1"/>
    <col min="29" max="29" width="9" style="778" bestFit="1" customWidth="1"/>
    <col min="30" max="30" width="3.88671875" style="132" customWidth="1"/>
    <col min="31" max="31" width="12.44140625" style="132" bestFit="1" customWidth="1"/>
    <col min="32" max="33" width="11.109375" style="62" customWidth="1"/>
    <col min="34" max="34" width="16.44140625" style="62" bestFit="1" customWidth="1"/>
    <col min="35" max="36" width="11.109375" style="62" customWidth="1"/>
    <col min="37" max="38" width="8.88671875" style="62"/>
    <col min="39" max="39" width="55.5546875" style="132" bestFit="1" customWidth="1"/>
    <col min="40" max="41" width="8.88671875" style="62"/>
    <col min="42" max="16384" width="8.88671875" style="132"/>
  </cols>
  <sheetData>
    <row r="1" spans="2:41" x14ac:dyDescent="0.3">
      <c r="B1" s="1747" t="s">
        <v>141</v>
      </c>
      <c r="C1" s="1747"/>
      <c r="D1" s="1747"/>
      <c r="E1" s="1747"/>
      <c r="F1" s="1747"/>
      <c r="G1" s="1747"/>
      <c r="H1" s="1747"/>
      <c r="I1" s="1747"/>
      <c r="J1" s="1747"/>
      <c r="K1" s="1747"/>
      <c r="L1" s="1747"/>
      <c r="M1" s="1747"/>
      <c r="N1" s="1747"/>
      <c r="O1" s="1747"/>
      <c r="P1" s="1747"/>
      <c r="Q1" s="1747"/>
      <c r="R1" s="1747"/>
      <c r="S1" s="1747"/>
      <c r="T1" s="1747"/>
      <c r="U1" s="1747"/>
      <c r="V1" s="1747"/>
      <c r="W1" s="1747"/>
      <c r="X1" s="1747"/>
      <c r="Y1" s="1747"/>
      <c r="Z1" s="1747"/>
      <c r="AA1" s="1747"/>
      <c r="AB1" s="1747"/>
      <c r="AC1" s="1747"/>
    </row>
    <row r="2" spans="2:41" x14ac:dyDescent="0.3">
      <c r="B2" s="1747" t="s">
        <v>6042</v>
      </c>
      <c r="C2" s="1747"/>
      <c r="D2" s="1747"/>
      <c r="E2" s="1747"/>
      <c r="F2" s="1747"/>
      <c r="G2" s="1747"/>
      <c r="H2" s="1747"/>
      <c r="I2" s="1747"/>
      <c r="J2" s="1747"/>
      <c r="K2" s="1747"/>
      <c r="L2" s="1747"/>
      <c r="M2" s="1747"/>
      <c r="N2" s="1747"/>
      <c r="O2" s="1747"/>
      <c r="P2" s="1747"/>
      <c r="Q2" s="1747"/>
      <c r="R2" s="1747"/>
      <c r="S2" s="1747"/>
      <c r="T2" s="1747"/>
      <c r="U2" s="1747"/>
      <c r="V2" s="1747"/>
      <c r="W2" s="1747"/>
      <c r="X2" s="1747"/>
      <c r="Y2" s="1747"/>
      <c r="Z2" s="1747"/>
      <c r="AA2" s="1747"/>
      <c r="AB2" s="1747"/>
      <c r="AC2" s="1747"/>
    </row>
    <row r="3" spans="2:41" x14ac:dyDescent="0.3">
      <c r="B3" s="1745" t="s">
        <v>6043</v>
      </c>
      <c r="C3" s="1748" t="s">
        <v>6044</v>
      </c>
      <c r="D3" s="1748" t="s">
        <v>6045</v>
      </c>
      <c r="E3" s="1745" t="s">
        <v>6046</v>
      </c>
      <c r="F3" s="1742" t="s">
        <v>898</v>
      </c>
      <c r="G3" s="1742" t="s">
        <v>931</v>
      </c>
      <c r="H3" s="1742" t="s">
        <v>1326</v>
      </c>
      <c r="I3" s="1742" t="s">
        <v>1250</v>
      </c>
      <c r="J3" s="1742" t="s">
        <v>934</v>
      </c>
      <c r="K3" s="1742" t="s">
        <v>1302</v>
      </c>
      <c r="L3" s="1742" t="s">
        <v>97</v>
      </c>
      <c r="M3" s="1742" t="s">
        <v>937</v>
      </c>
      <c r="N3" s="1742" t="s">
        <v>1262</v>
      </c>
      <c r="O3" s="1742" t="s">
        <v>1509</v>
      </c>
      <c r="P3" s="1742" t="s">
        <v>940</v>
      </c>
      <c r="Q3" s="1742" t="s">
        <v>1026</v>
      </c>
      <c r="R3" s="1742" t="s">
        <v>1282</v>
      </c>
      <c r="S3" s="1742" t="s">
        <v>943</v>
      </c>
      <c r="T3" s="1742" t="s">
        <v>1417</v>
      </c>
      <c r="U3" s="1742" t="s">
        <v>1315</v>
      </c>
      <c r="V3" s="1742" t="s">
        <v>946</v>
      </c>
      <c r="W3" s="1742" t="s">
        <v>1053</v>
      </c>
      <c r="X3" s="1742" t="s">
        <v>1579</v>
      </c>
      <c r="Y3" s="1742" t="s">
        <v>949</v>
      </c>
      <c r="Z3" s="1742" t="s">
        <v>119</v>
      </c>
      <c r="AA3" s="1742"/>
      <c r="AB3" s="1742" t="s">
        <v>165</v>
      </c>
      <c r="AC3" s="1742" t="s">
        <v>6047</v>
      </c>
      <c r="AE3" s="1723" t="s">
        <v>6048</v>
      </c>
      <c r="AF3" s="1744" t="s">
        <v>6049</v>
      </c>
      <c r="AG3" s="1744"/>
      <c r="AH3" s="1744"/>
      <c r="AI3" s="1744"/>
      <c r="AJ3" s="1744"/>
      <c r="AK3" s="1745" t="s">
        <v>6050</v>
      </c>
      <c r="AL3" s="1745" t="s">
        <v>6051</v>
      </c>
      <c r="AM3" s="1723" t="s">
        <v>6052</v>
      </c>
    </row>
    <row r="4" spans="2:41" s="425" customFormat="1" ht="28.8" x14ac:dyDescent="0.3">
      <c r="B4" s="1746"/>
      <c r="C4" s="1749"/>
      <c r="D4" s="1749"/>
      <c r="E4" s="1746"/>
      <c r="F4" s="1743"/>
      <c r="G4" s="1743"/>
      <c r="H4" s="1743"/>
      <c r="I4" s="1743"/>
      <c r="J4" s="1743"/>
      <c r="K4" s="1743"/>
      <c r="L4" s="1743"/>
      <c r="M4" s="1743"/>
      <c r="N4" s="1743"/>
      <c r="O4" s="1743"/>
      <c r="P4" s="1743"/>
      <c r="Q4" s="1743"/>
      <c r="R4" s="1743"/>
      <c r="S4" s="1743"/>
      <c r="T4" s="1743"/>
      <c r="U4" s="1743"/>
      <c r="V4" s="1743"/>
      <c r="W4" s="1743"/>
      <c r="X4" s="1743"/>
      <c r="Y4" s="1743"/>
      <c r="Z4" s="1743"/>
      <c r="AA4" s="1743"/>
      <c r="AB4" s="1743"/>
      <c r="AC4" s="1743"/>
      <c r="AE4" s="1725"/>
      <c r="AF4" s="749" t="s">
        <v>6053</v>
      </c>
      <c r="AG4" s="750" t="s">
        <v>6054</v>
      </c>
      <c r="AH4" s="751" t="s">
        <v>6055</v>
      </c>
      <c r="AI4" s="751" t="s">
        <v>6056</v>
      </c>
      <c r="AJ4" s="752" t="s">
        <v>165</v>
      </c>
      <c r="AK4" s="1746"/>
      <c r="AL4" s="1746"/>
      <c r="AM4" s="1725"/>
      <c r="AN4" s="753"/>
      <c r="AO4" s="753"/>
    </row>
    <row r="5" spans="2:41" x14ac:dyDescent="0.3">
      <c r="B5" s="1733" t="s">
        <v>6057</v>
      </c>
      <c r="C5" s="1736">
        <v>50.55</v>
      </c>
      <c r="D5" s="1729">
        <f>SUMIFS('Schedule 5'!$F$506:$F$544,'Schedule 5'!K506:K544,'Well Cal.'!$B$5)</f>
        <v>48.699999999999996</v>
      </c>
      <c r="E5" s="754" t="s">
        <v>6058</v>
      </c>
      <c r="F5" s="728">
        <f>SUMIFS('Schedule 5'!$F$506:$F$544,'Schedule 5'!$I$506:$I$544,'Well Cal.'!F$3,'Schedule 5'!$J$506:$J$544,'Well Cal.'!$E5)</f>
        <v>0</v>
      </c>
      <c r="G5" s="728">
        <f>SUMIFS('Schedule 5'!$F$506:$F$544,'Schedule 5'!$I$506:$I$544,'Well Cal.'!G$3,'Schedule 5'!$J$506:$J$544,'Well Cal.'!$E5)</f>
        <v>0</v>
      </c>
      <c r="H5" s="728">
        <f>SUMIFS('Schedule 5'!$F$506:$F$544,'Schedule 5'!$I$506:$I$544,'Well Cal.'!H$3,'Schedule 5'!$J$506:$J$544,'Well Cal.'!$E5)</f>
        <v>0</v>
      </c>
      <c r="I5" s="728">
        <f>SUMIFS('Schedule 5'!$F$506:$F$544,'Schedule 5'!$I$506:$I$544,'Well Cal.'!I$3,'Schedule 5'!$J$506:$J$544,'Well Cal.'!$E5)</f>
        <v>0</v>
      </c>
      <c r="J5" s="728">
        <f>SUMIFS('Schedule 5'!$F$506:$F$544,'Schedule 5'!$I$506:$I$544,'Well Cal.'!J$3,'Schedule 5'!$J$506:$J$544,'Well Cal.'!$E5)</f>
        <v>0</v>
      </c>
      <c r="K5" s="728">
        <f>SUMIFS('Schedule 5'!$F$506:$F$544,'Schedule 5'!$I$506:$I$544,'Well Cal.'!K$3,'Schedule 5'!$J$506:$J$544,'Well Cal.'!$E5)</f>
        <v>0</v>
      </c>
      <c r="L5" s="728">
        <f>SUMIFS('Schedule 5'!$F$506:$F$544,'Schedule 5'!$I$506:$I$544,'Well Cal.'!L$3,'Schedule 5'!$J$506:$J$544,'Well Cal.'!$E5)</f>
        <v>0</v>
      </c>
      <c r="M5" s="728">
        <f>SUMIFS('Schedule 5'!$F$506:$F$544,'Schedule 5'!$I$506:$I$544,'Well Cal.'!M$3,'Schedule 5'!$J$506:$J$544,'Well Cal.'!$E5)</f>
        <v>0</v>
      </c>
      <c r="N5" s="728">
        <f>SUMIFS('Schedule 5'!$F$506:$F$544,'Schedule 5'!$I$506:$I$544,'Well Cal.'!N$3,'Schedule 5'!$J$506:$J$544,'Well Cal.'!$E5)</f>
        <v>4.4800000000000004</v>
      </c>
      <c r="O5" s="728">
        <f>SUMIFS('Schedule 5'!$F$506:$F$544,'Schedule 5'!$I$506:$I$544,'Well Cal.'!O$3,'Schedule 5'!$J$506:$J$544,'Well Cal.'!$E5)</f>
        <v>0</v>
      </c>
      <c r="P5" s="728">
        <f>SUMIFS('Schedule 5'!$F$506:$F$544,'Schedule 5'!$I$506:$I$544,'Well Cal.'!P$3,'Schedule 5'!$J$506:$J$544,'Well Cal.'!$E5)</f>
        <v>0</v>
      </c>
      <c r="Q5" s="728">
        <f>SUMIFS('Schedule 5'!$F$506:$F$544,'Schedule 5'!$I$506:$I$544,'Well Cal.'!Q$3,'Schedule 5'!$J$506:$J$544,'Well Cal.'!$E5)</f>
        <v>0</v>
      </c>
      <c r="R5" s="728">
        <f>SUMIFS('Schedule 5'!$F$506:$F$544,'Schedule 5'!$I$506:$I$544,'Well Cal.'!R$3,'Schedule 5'!$J$506:$J$544,'Well Cal.'!$E5)</f>
        <v>0</v>
      </c>
      <c r="S5" s="728">
        <f>SUMIFS('Schedule 5'!$F$506:$F$544,'Schedule 5'!$I$506:$I$544,'Well Cal.'!S$3,'Schedule 5'!$J$506:$J$544,'Well Cal.'!$E5)</f>
        <v>0</v>
      </c>
      <c r="T5" s="728">
        <f>SUMIFS('Schedule 5'!$F$506:$F$544,'Schedule 5'!$I$506:$I$544,'Well Cal.'!T$3,'Schedule 5'!$J$506:$J$544,'Well Cal.'!$E5)</f>
        <v>0</v>
      </c>
      <c r="U5" s="728">
        <f>SUMIFS('Schedule 5'!$F$506:$F$544,'Schedule 5'!$I$506:$I$544,'Well Cal.'!U$3,'Schedule 5'!$J$506:$J$544,'Well Cal.'!$E5)</f>
        <v>0</v>
      </c>
      <c r="V5" s="728">
        <f>SUMIFS('Schedule 5'!$F$506:$F$544,'Schedule 5'!$I$506:$I$544,'Well Cal.'!V$3,'Schedule 5'!$J$506:$J$544,'Well Cal.'!$E5)</f>
        <v>0</v>
      </c>
      <c r="W5" s="728">
        <f>SUMIFS('Schedule 5'!$F$506:$F$544,'Schedule 5'!$I$506:$I$544,'Well Cal.'!W$3,'Schedule 5'!$J$506:$J$544,'Well Cal.'!$E5)</f>
        <v>0</v>
      </c>
      <c r="X5" s="728">
        <f>SUMIFS('Schedule 5'!$F$506:$F$544,'Schedule 5'!$I$506:$I$544,'Well Cal.'!X$3,'Schedule 5'!$J$506:$J$544,'Well Cal.'!$E5)</f>
        <v>0</v>
      </c>
      <c r="Y5" s="728">
        <f>SUMIFS('Schedule 5'!$F$506:$F$544,'Schedule 5'!$I$506:$I$544,'Well Cal.'!Y$3,'Schedule 5'!$J$506:$J$544,'Well Cal.'!$E5)</f>
        <v>0</v>
      </c>
      <c r="Z5" s="728">
        <f>SUMIFS('Schedule 5'!$F$506:$F$544,'Schedule 5'!$I$506:$I$544,'Well Cal.'!Z$3,'Schedule 5'!$J$506:$J$544,'Well Cal.'!$E5)</f>
        <v>0</v>
      </c>
      <c r="AA5" s="728"/>
      <c r="AB5" s="1729">
        <f>SUM(F5:AA24)</f>
        <v>48.699999999999996</v>
      </c>
      <c r="AC5" s="1729">
        <f>D5-AB5</f>
        <v>0</v>
      </c>
      <c r="AE5" s="755"/>
      <c r="AF5" s="756"/>
      <c r="AG5" s="757"/>
      <c r="AH5" s="758"/>
      <c r="AI5" s="758"/>
      <c r="AJ5" s="759"/>
      <c r="AK5" s="760"/>
      <c r="AL5" s="760"/>
      <c r="AM5" s="755"/>
    </row>
    <row r="6" spans="2:41" x14ac:dyDescent="0.3">
      <c r="B6" s="1734"/>
      <c r="C6" s="1737"/>
      <c r="D6" s="1730"/>
      <c r="E6" s="761" t="s">
        <v>6059</v>
      </c>
      <c r="F6" s="954">
        <f>SUMIFS('Schedule 5'!$F$506:$F$544,'Schedule 5'!$I$506:$I$544,'Well Cal.'!F$3,'Schedule 5'!$J$506:$J$544,'Well Cal.'!$E6)</f>
        <v>0</v>
      </c>
      <c r="G6" s="954">
        <f>SUMIFS('Schedule 5'!$F$506:$F$544,'Schedule 5'!$I$506:$I$544,'Well Cal.'!G$3,'Schedule 5'!$J$506:$J$544,'Well Cal.'!$E6)</f>
        <v>0</v>
      </c>
      <c r="H6" s="954">
        <f>SUMIFS('Schedule 5'!$F$506:$F$544,'Schedule 5'!$I$506:$I$544,'Well Cal.'!H$3,'Schedule 5'!$J$506:$J$544,'Well Cal.'!$E6)</f>
        <v>0</v>
      </c>
      <c r="I6" s="954">
        <f>SUMIFS('Schedule 5'!$F$506:$F$544,'Schedule 5'!$I$506:$I$544,'Well Cal.'!I$3,'Schedule 5'!$J$506:$J$544,'Well Cal.'!$E6)</f>
        <v>0</v>
      </c>
      <c r="J6" s="954">
        <f>SUMIFS('Schedule 5'!$F$506:$F$544,'Schedule 5'!$I$506:$I$544,'Well Cal.'!J$3,'Schedule 5'!$J$506:$J$544,'Well Cal.'!$E6)</f>
        <v>0</v>
      </c>
      <c r="K6" s="954">
        <f>SUMIFS('Schedule 5'!$F$506:$F$544,'Schedule 5'!$I$506:$I$544,'Well Cal.'!K$3,'Schedule 5'!$J$506:$J$544,'Well Cal.'!$E6)</f>
        <v>0</v>
      </c>
      <c r="L6" s="954">
        <f>SUMIFS('Schedule 5'!$F$506:$F$544,'Schedule 5'!$I$506:$I$544,'Well Cal.'!L$3,'Schedule 5'!$J$506:$J$544,'Well Cal.'!$E6)</f>
        <v>0</v>
      </c>
      <c r="M6" s="954">
        <f>SUMIFS('Schedule 5'!$F$506:$F$544,'Schedule 5'!$I$506:$I$544,'Well Cal.'!M$3,'Schedule 5'!$J$506:$J$544,'Well Cal.'!$E6)</f>
        <v>0</v>
      </c>
      <c r="N6" s="954">
        <f>SUMIFS('Schedule 5'!$F$506:$F$544,'Schedule 5'!$I$506:$I$544,'Well Cal.'!N$3,'Schedule 5'!$J$506:$J$544,'Well Cal.'!$E6)</f>
        <v>0</v>
      </c>
      <c r="O6" s="954">
        <f>SUMIFS('Schedule 5'!$F$506:$F$544,'Schedule 5'!$I$506:$I$544,'Well Cal.'!O$3,'Schedule 5'!$J$506:$J$544,'Well Cal.'!$E6)</f>
        <v>2.5</v>
      </c>
      <c r="P6" s="954">
        <f>SUMIFS('Schedule 5'!$F$506:$F$544,'Schedule 5'!$I$506:$I$544,'Well Cal.'!P$3,'Schedule 5'!$J$506:$J$544,'Well Cal.'!$E6)</f>
        <v>0</v>
      </c>
      <c r="Q6" s="954">
        <f>SUMIFS('Schedule 5'!$F$506:$F$544,'Schedule 5'!$I$506:$I$544,'Well Cal.'!Q$3,'Schedule 5'!$J$506:$J$544,'Well Cal.'!$E6)</f>
        <v>0</v>
      </c>
      <c r="R6" s="954">
        <f>SUMIFS('Schedule 5'!$F$506:$F$544,'Schedule 5'!$I$506:$I$544,'Well Cal.'!R$3,'Schedule 5'!$J$506:$J$544,'Well Cal.'!$E6)</f>
        <v>0</v>
      </c>
      <c r="S6" s="954">
        <f>SUMIFS('Schedule 5'!$F$506:$F$544,'Schedule 5'!$I$506:$I$544,'Well Cal.'!S$3,'Schedule 5'!$J$506:$J$544,'Well Cal.'!$E6)</f>
        <v>0</v>
      </c>
      <c r="T6" s="954">
        <f>SUMIFS('Schedule 5'!$F$506:$F$544,'Schedule 5'!$I$506:$I$544,'Well Cal.'!T$3,'Schedule 5'!$J$506:$J$544,'Well Cal.'!$E6)</f>
        <v>0</v>
      </c>
      <c r="U6" s="954">
        <f>SUMIFS('Schedule 5'!$F$506:$F$544,'Schedule 5'!$I$506:$I$544,'Well Cal.'!U$3,'Schedule 5'!$J$506:$J$544,'Well Cal.'!$E6)</f>
        <v>0</v>
      </c>
      <c r="V6" s="954">
        <f>SUMIFS('Schedule 5'!$F$506:$F$544,'Schedule 5'!$I$506:$I$544,'Well Cal.'!V$3,'Schedule 5'!$J$506:$J$544,'Well Cal.'!$E6)</f>
        <v>0</v>
      </c>
      <c r="W6" s="954">
        <f>SUMIFS('Schedule 5'!$F$506:$F$544,'Schedule 5'!$I$506:$I$544,'Well Cal.'!W$3,'Schedule 5'!$J$506:$J$544,'Well Cal.'!$E6)</f>
        <v>0</v>
      </c>
      <c r="X6" s="954">
        <f>SUMIFS('Schedule 5'!$F$506:$F$544,'Schedule 5'!$I$506:$I$544,'Well Cal.'!X$3,'Schedule 5'!$J$506:$J$544,'Well Cal.'!$E6)</f>
        <v>0</v>
      </c>
      <c r="Y6" s="954">
        <f>SUMIFS('Schedule 5'!$F$506:$F$544,'Schedule 5'!$I$506:$I$544,'Well Cal.'!Y$3,'Schedule 5'!$J$506:$J$544,'Well Cal.'!$E6)</f>
        <v>0</v>
      </c>
      <c r="Z6" s="954">
        <f>SUMIFS('Schedule 5'!$F$506:$F$544,'Schedule 5'!$I$506:$I$544,'Well Cal.'!Z$3,'Schedule 5'!$J$506:$J$544,'Well Cal.'!$E6)</f>
        <v>0</v>
      </c>
      <c r="AA6" s="954"/>
      <c r="AB6" s="1730"/>
      <c r="AC6" s="1730"/>
      <c r="AE6" s="762" t="s">
        <v>6060</v>
      </c>
      <c r="AF6" s="763">
        <v>4.32</v>
      </c>
      <c r="AG6" s="764">
        <v>30.53</v>
      </c>
      <c r="AH6" s="765">
        <v>2.7</v>
      </c>
      <c r="AI6" s="765">
        <v>16.5</v>
      </c>
      <c r="AJ6" s="766">
        <f>SUM(AF6:AI6)</f>
        <v>54.050000000000004</v>
      </c>
      <c r="AK6" s="767">
        <v>6</v>
      </c>
      <c r="AL6" s="768">
        <f>AJ6*AK6</f>
        <v>324.3</v>
      </c>
      <c r="AM6" s="769" t="s">
        <v>6061</v>
      </c>
    </row>
    <row r="7" spans="2:41" x14ac:dyDescent="0.3">
      <c r="B7" s="1734"/>
      <c r="C7" s="1737"/>
      <c r="D7" s="1730"/>
      <c r="E7" s="761" t="s">
        <v>6062</v>
      </c>
      <c r="F7" s="726">
        <f>SUMIFS('Schedule 5'!$F$506:$F$544,'Schedule 5'!$I$506:$I$544,'Well Cal.'!F$3,'Schedule 5'!$J$506:$J$544,'Well Cal.'!$E7)</f>
        <v>0</v>
      </c>
      <c r="G7" s="726">
        <f>SUMIFS('Schedule 5'!$F$506:$F$544,'Schedule 5'!$I$506:$I$544,'Well Cal.'!G$3,'Schedule 5'!$J$506:$J$544,'Well Cal.'!$E7)</f>
        <v>0</v>
      </c>
      <c r="H7" s="726">
        <f>SUMIFS('Schedule 5'!$F$506:$F$544,'Schedule 5'!$I$506:$I$544,'Well Cal.'!H$3,'Schedule 5'!$J$506:$J$544,'Well Cal.'!$E7)</f>
        <v>0</v>
      </c>
      <c r="I7" s="726">
        <f>SUMIFS('Schedule 5'!$F$506:$F$544,'Schedule 5'!$I$506:$I$544,'Well Cal.'!I$3,'Schedule 5'!$J$506:$J$544,'Well Cal.'!$E7)</f>
        <v>0</v>
      </c>
      <c r="J7" s="726">
        <f>SUMIFS('Schedule 5'!$F$506:$F$544,'Schedule 5'!$I$506:$I$544,'Well Cal.'!J$3,'Schedule 5'!$J$506:$J$544,'Well Cal.'!$E7)</f>
        <v>0</v>
      </c>
      <c r="K7" s="726">
        <f>SUMIFS('Schedule 5'!$F$506:$F$544,'Schedule 5'!$I$506:$I$544,'Well Cal.'!K$3,'Schedule 5'!$J$506:$J$544,'Well Cal.'!$E7)</f>
        <v>0</v>
      </c>
      <c r="L7" s="726">
        <f>SUMIFS('Schedule 5'!$F$506:$F$544,'Schedule 5'!$I$506:$I$544,'Well Cal.'!L$3,'Schedule 5'!$J$506:$J$544,'Well Cal.'!$E7)</f>
        <v>0</v>
      </c>
      <c r="M7" s="726">
        <f>SUMIFS('Schedule 5'!$F$506:$F$544,'Schedule 5'!$I$506:$I$544,'Well Cal.'!M$3,'Schedule 5'!$J$506:$J$544,'Well Cal.'!$E7)</f>
        <v>0</v>
      </c>
      <c r="N7" s="726">
        <f>SUMIFS('Schedule 5'!$F$506:$F$544,'Schedule 5'!$I$506:$I$544,'Well Cal.'!N$3,'Schedule 5'!$J$506:$J$544,'Well Cal.'!$E7)</f>
        <v>0</v>
      </c>
      <c r="O7" s="726">
        <f>SUMIFS('Schedule 5'!$F$506:$F$544,'Schedule 5'!$I$506:$I$544,'Well Cal.'!O$3,'Schedule 5'!$J$506:$J$544,'Well Cal.'!$E7)</f>
        <v>2.5</v>
      </c>
      <c r="P7" s="726">
        <f>SUMIFS('Schedule 5'!$F$506:$F$544,'Schedule 5'!$I$506:$I$544,'Well Cal.'!P$3,'Schedule 5'!$J$506:$J$544,'Well Cal.'!$E7)</f>
        <v>0</v>
      </c>
      <c r="Q7" s="726">
        <f>SUMIFS('Schedule 5'!$F$506:$F$544,'Schedule 5'!$I$506:$I$544,'Well Cal.'!Q$3,'Schedule 5'!$J$506:$J$544,'Well Cal.'!$E7)</f>
        <v>0</v>
      </c>
      <c r="R7" s="726">
        <f>SUMIFS('Schedule 5'!$F$506:$F$544,'Schedule 5'!$I$506:$I$544,'Well Cal.'!R$3,'Schedule 5'!$J$506:$J$544,'Well Cal.'!$E7)</f>
        <v>0</v>
      </c>
      <c r="S7" s="726">
        <f>SUMIFS('Schedule 5'!$F$506:$F$544,'Schedule 5'!$I$506:$I$544,'Well Cal.'!S$3,'Schedule 5'!$J$506:$J$544,'Well Cal.'!$E7)</f>
        <v>0</v>
      </c>
      <c r="T7" s="726">
        <f>SUMIFS('Schedule 5'!$F$506:$F$544,'Schedule 5'!$I$506:$I$544,'Well Cal.'!T$3,'Schedule 5'!$J$506:$J$544,'Well Cal.'!$E7)</f>
        <v>0</v>
      </c>
      <c r="U7" s="726">
        <f>SUMIFS('Schedule 5'!$F$506:$F$544,'Schedule 5'!$I$506:$I$544,'Well Cal.'!U$3,'Schedule 5'!$J$506:$J$544,'Well Cal.'!$E7)</f>
        <v>0</v>
      </c>
      <c r="V7" s="726">
        <f>SUMIFS('Schedule 5'!$F$506:$F$544,'Schedule 5'!$I$506:$I$544,'Well Cal.'!V$3,'Schedule 5'!$J$506:$J$544,'Well Cal.'!$E7)</f>
        <v>0</v>
      </c>
      <c r="W7" s="726">
        <f>SUMIFS('Schedule 5'!$F$506:$F$544,'Schedule 5'!$I$506:$I$544,'Well Cal.'!W$3,'Schedule 5'!$J$506:$J$544,'Well Cal.'!$E7)</f>
        <v>0</v>
      </c>
      <c r="X7" s="726">
        <f>SUMIFS('Schedule 5'!$F$506:$F$544,'Schedule 5'!$I$506:$I$544,'Well Cal.'!X$3,'Schedule 5'!$J$506:$J$544,'Well Cal.'!$E7)</f>
        <v>0</v>
      </c>
      <c r="Y7" s="726">
        <f>SUMIFS('Schedule 5'!$F$506:$F$544,'Schedule 5'!$I$506:$I$544,'Well Cal.'!Y$3,'Schedule 5'!$J$506:$J$544,'Well Cal.'!$E7)</f>
        <v>0</v>
      </c>
      <c r="Z7" s="726">
        <f>SUMIFS('Schedule 5'!$F$506:$F$544,'Schedule 5'!$I$506:$I$544,'Well Cal.'!Z$3,'Schedule 5'!$J$506:$J$544,'Well Cal.'!$E7)</f>
        <v>0</v>
      </c>
      <c r="AA7" s="726"/>
      <c r="AB7" s="1730"/>
      <c r="AC7" s="1730"/>
      <c r="AE7" s="762" t="s">
        <v>6063</v>
      </c>
      <c r="AF7" s="763">
        <v>4.32</v>
      </c>
      <c r="AG7" s="764">
        <v>17.98</v>
      </c>
      <c r="AH7" s="765">
        <v>2.7</v>
      </c>
      <c r="AI7" s="765">
        <v>25.55</v>
      </c>
      <c r="AJ7" s="766">
        <f>SUM(AF7:AI7)</f>
        <v>50.55</v>
      </c>
      <c r="AK7" s="767">
        <v>7</v>
      </c>
      <c r="AL7" s="768">
        <f>AJ7*AK7</f>
        <v>353.84999999999997</v>
      </c>
      <c r="AM7" s="769" t="s">
        <v>6064</v>
      </c>
    </row>
    <row r="8" spans="2:41" x14ac:dyDescent="0.3">
      <c r="B8" s="1734"/>
      <c r="C8" s="1737"/>
      <c r="D8" s="1730"/>
      <c r="E8" s="761" t="s">
        <v>6065</v>
      </c>
      <c r="F8" s="726">
        <f>SUMIFS('Schedule 5'!$F$506:$F$544,'Schedule 5'!$I$506:$I$544,'Well Cal.'!F$3,'Schedule 5'!$J$506:$J$544,'Well Cal.'!$E8)</f>
        <v>0</v>
      </c>
      <c r="G8" s="726">
        <f>SUMIFS('Schedule 5'!$F$506:$F$544,'Schedule 5'!$I$506:$I$544,'Well Cal.'!G$3,'Schedule 5'!$J$506:$J$544,'Well Cal.'!$E8)</f>
        <v>0</v>
      </c>
      <c r="H8" s="726">
        <f>SUMIFS('Schedule 5'!$F$506:$F$544,'Schedule 5'!$I$506:$I$544,'Well Cal.'!H$3,'Schedule 5'!$J$506:$J$544,'Well Cal.'!$E8)</f>
        <v>0</v>
      </c>
      <c r="I8" s="726">
        <f>SUMIFS('Schedule 5'!$F$506:$F$544,'Schedule 5'!$I$506:$I$544,'Well Cal.'!I$3,'Schedule 5'!$J$506:$J$544,'Well Cal.'!$E8)</f>
        <v>0</v>
      </c>
      <c r="J8" s="726">
        <f>SUMIFS('Schedule 5'!$F$506:$F$544,'Schedule 5'!$I$506:$I$544,'Well Cal.'!J$3,'Schedule 5'!$J$506:$J$544,'Well Cal.'!$E8)</f>
        <v>0</v>
      </c>
      <c r="K8" s="726">
        <f>SUMIFS('Schedule 5'!$F$506:$F$544,'Schedule 5'!$I$506:$I$544,'Well Cal.'!K$3,'Schedule 5'!$J$506:$J$544,'Well Cal.'!$E8)</f>
        <v>0</v>
      </c>
      <c r="L8" s="726">
        <f>SUMIFS('Schedule 5'!$F$506:$F$544,'Schedule 5'!$I$506:$I$544,'Well Cal.'!L$3,'Schedule 5'!$J$506:$J$544,'Well Cal.'!$E8)</f>
        <v>0</v>
      </c>
      <c r="M8" s="726">
        <f>SUMIFS('Schedule 5'!$F$506:$F$544,'Schedule 5'!$I$506:$I$544,'Well Cal.'!M$3,'Schedule 5'!$J$506:$J$544,'Well Cal.'!$E8)</f>
        <v>0</v>
      </c>
      <c r="N8" s="726">
        <f>SUMIFS('Schedule 5'!$F$506:$F$544,'Schedule 5'!$I$506:$I$544,'Well Cal.'!N$3,'Schedule 5'!$J$506:$J$544,'Well Cal.'!$E8)</f>
        <v>0</v>
      </c>
      <c r="O8" s="726">
        <f>SUMIFS('Schedule 5'!$F$506:$F$544,'Schedule 5'!$I$506:$I$544,'Well Cal.'!O$3,'Schedule 5'!$J$506:$J$544,'Well Cal.'!$E8)</f>
        <v>2.5</v>
      </c>
      <c r="P8" s="726">
        <f>SUMIFS('Schedule 5'!$F$506:$F$544,'Schedule 5'!$I$506:$I$544,'Well Cal.'!P$3,'Schedule 5'!$J$506:$J$544,'Well Cal.'!$E8)</f>
        <v>0</v>
      </c>
      <c r="Q8" s="726">
        <f>SUMIFS('Schedule 5'!$F$506:$F$544,'Schedule 5'!$I$506:$I$544,'Well Cal.'!Q$3,'Schedule 5'!$J$506:$J$544,'Well Cal.'!$E8)</f>
        <v>0</v>
      </c>
      <c r="R8" s="726">
        <f>SUMIFS('Schedule 5'!$F$506:$F$544,'Schedule 5'!$I$506:$I$544,'Well Cal.'!R$3,'Schedule 5'!$J$506:$J$544,'Well Cal.'!$E8)</f>
        <v>0</v>
      </c>
      <c r="S8" s="726">
        <f>SUMIFS('Schedule 5'!$F$506:$F$544,'Schedule 5'!$I$506:$I$544,'Well Cal.'!S$3,'Schedule 5'!$J$506:$J$544,'Well Cal.'!$E8)</f>
        <v>0</v>
      </c>
      <c r="T8" s="726">
        <f>SUMIFS('Schedule 5'!$F$506:$F$544,'Schedule 5'!$I$506:$I$544,'Well Cal.'!T$3,'Schedule 5'!$J$506:$J$544,'Well Cal.'!$E8)</f>
        <v>0</v>
      </c>
      <c r="U8" s="726">
        <f>SUMIFS('Schedule 5'!$F$506:$F$544,'Schedule 5'!$I$506:$I$544,'Well Cal.'!U$3,'Schedule 5'!$J$506:$J$544,'Well Cal.'!$E8)</f>
        <v>0</v>
      </c>
      <c r="V8" s="726">
        <f>SUMIFS('Schedule 5'!$F$506:$F$544,'Schedule 5'!$I$506:$I$544,'Well Cal.'!V$3,'Schedule 5'!$J$506:$J$544,'Well Cal.'!$E8)</f>
        <v>0</v>
      </c>
      <c r="W8" s="726">
        <f>SUMIFS('Schedule 5'!$F$506:$F$544,'Schedule 5'!$I$506:$I$544,'Well Cal.'!W$3,'Schedule 5'!$J$506:$J$544,'Well Cal.'!$E8)</f>
        <v>0</v>
      </c>
      <c r="X8" s="726">
        <f>SUMIFS('Schedule 5'!$F$506:$F$544,'Schedule 5'!$I$506:$I$544,'Well Cal.'!X$3,'Schedule 5'!$J$506:$J$544,'Well Cal.'!$E8)</f>
        <v>0</v>
      </c>
      <c r="Y8" s="726">
        <f>SUMIFS('Schedule 5'!$F$506:$F$544,'Schedule 5'!$I$506:$I$544,'Well Cal.'!Y$3,'Schedule 5'!$J$506:$J$544,'Well Cal.'!$E8)</f>
        <v>0</v>
      </c>
      <c r="Z8" s="726">
        <f>SUMIFS('Schedule 5'!$F$506:$F$544,'Schedule 5'!$I$506:$I$544,'Well Cal.'!Z$3,'Schedule 5'!$J$506:$J$544,'Well Cal.'!$E8)</f>
        <v>0</v>
      </c>
      <c r="AA8" s="726"/>
      <c r="AB8" s="1730"/>
      <c r="AC8" s="1730"/>
      <c r="AE8" s="762" t="s">
        <v>6066</v>
      </c>
      <c r="AF8" s="763">
        <v>6.04</v>
      </c>
      <c r="AG8" s="764">
        <v>19.760000000000002</v>
      </c>
      <c r="AH8" s="765">
        <v>4.8</v>
      </c>
      <c r="AI8" s="765">
        <v>23.45</v>
      </c>
      <c r="AJ8" s="766">
        <f>SUM(AF8:AI8)</f>
        <v>54.05</v>
      </c>
      <c r="AK8" s="767">
        <v>12</v>
      </c>
      <c r="AL8" s="768">
        <f>AJ8*AK8</f>
        <v>648.59999999999991</v>
      </c>
      <c r="AM8" s="769" t="s">
        <v>6067</v>
      </c>
    </row>
    <row r="9" spans="2:41" x14ac:dyDescent="0.3">
      <c r="B9" s="1734"/>
      <c r="C9" s="1737"/>
      <c r="D9" s="1730"/>
      <c r="E9" s="761" t="s">
        <v>6068</v>
      </c>
      <c r="F9" s="726">
        <f>SUMIFS('Schedule 5'!$F$506:$F$544,'Schedule 5'!$I$506:$I$544,'Well Cal.'!F$3,'Schedule 5'!$J$506:$J$544,'Well Cal.'!$E9)</f>
        <v>0</v>
      </c>
      <c r="G9" s="726">
        <f>SUMIFS('Schedule 5'!$F$506:$F$544,'Schedule 5'!$I$506:$I$544,'Well Cal.'!G$3,'Schedule 5'!$J$506:$J$544,'Well Cal.'!$E9)</f>
        <v>0</v>
      </c>
      <c r="H9" s="726">
        <f>SUMIFS('Schedule 5'!$F$506:$F$544,'Schedule 5'!$I$506:$I$544,'Well Cal.'!H$3,'Schedule 5'!$J$506:$J$544,'Well Cal.'!$E9)</f>
        <v>0</v>
      </c>
      <c r="I9" s="726">
        <f>SUMIFS('Schedule 5'!$F$506:$F$544,'Schedule 5'!$I$506:$I$544,'Well Cal.'!I$3,'Schedule 5'!$J$506:$J$544,'Well Cal.'!$E9)</f>
        <v>0</v>
      </c>
      <c r="J9" s="726">
        <f>SUMIFS('Schedule 5'!$F$506:$F$544,'Schedule 5'!$I$506:$I$544,'Well Cal.'!J$3,'Schedule 5'!$J$506:$J$544,'Well Cal.'!$E9)</f>
        <v>0</v>
      </c>
      <c r="K9" s="726">
        <f>SUMIFS('Schedule 5'!$F$506:$F$544,'Schedule 5'!$I$506:$I$544,'Well Cal.'!K$3,'Schedule 5'!$J$506:$J$544,'Well Cal.'!$E9)</f>
        <v>0</v>
      </c>
      <c r="L9" s="726">
        <f>SUMIFS('Schedule 5'!$F$506:$F$544,'Schedule 5'!$I$506:$I$544,'Well Cal.'!L$3,'Schedule 5'!$J$506:$J$544,'Well Cal.'!$E9)</f>
        <v>0</v>
      </c>
      <c r="M9" s="726">
        <f>SUMIFS('Schedule 5'!$F$506:$F$544,'Schedule 5'!$I$506:$I$544,'Well Cal.'!M$3,'Schedule 5'!$J$506:$J$544,'Well Cal.'!$E9)</f>
        <v>0</v>
      </c>
      <c r="N9" s="726">
        <f>SUMIFS('Schedule 5'!$F$506:$F$544,'Schedule 5'!$I$506:$I$544,'Well Cal.'!N$3,'Schedule 5'!$J$506:$J$544,'Well Cal.'!$E9)</f>
        <v>0</v>
      </c>
      <c r="O9" s="726">
        <f>SUMIFS('Schedule 5'!$F$506:$F$544,'Schedule 5'!$I$506:$I$544,'Well Cal.'!O$3,'Schedule 5'!$J$506:$J$544,'Well Cal.'!$E9)</f>
        <v>2.5</v>
      </c>
      <c r="P9" s="726">
        <f>SUMIFS('Schedule 5'!$F$506:$F$544,'Schedule 5'!$I$506:$I$544,'Well Cal.'!P$3,'Schedule 5'!$J$506:$J$544,'Well Cal.'!$E9)</f>
        <v>0</v>
      </c>
      <c r="Q9" s="726">
        <f>SUMIFS('Schedule 5'!$F$506:$F$544,'Schedule 5'!$I$506:$I$544,'Well Cal.'!Q$3,'Schedule 5'!$J$506:$J$544,'Well Cal.'!$E9)</f>
        <v>0</v>
      </c>
      <c r="R9" s="726">
        <f>SUMIFS('Schedule 5'!$F$506:$F$544,'Schedule 5'!$I$506:$I$544,'Well Cal.'!R$3,'Schedule 5'!$J$506:$J$544,'Well Cal.'!$E9)</f>
        <v>0</v>
      </c>
      <c r="S9" s="726">
        <f>SUMIFS('Schedule 5'!$F$506:$F$544,'Schedule 5'!$I$506:$I$544,'Well Cal.'!S$3,'Schedule 5'!$J$506:$J$544,'Well Cal.'!$E9)</f>
        <v>0</v>
      </c>
      <c r="T9" s="726">
        <f>SUMIFS('Schedule 5'!$F$506:$F$544,'Schedule 5'!$I$506:$I$544,'Well Cal.'!T$3,'Schedule 5'!$J$506:$J$544,'Well Cal.'!$E9)</f>
        <v>0</v>
      </c>
      <c r="U9" s="726">
        <f>SUMIFS('Schedule 5'!$F$506:$F$544,'Schedule 5'!$I$506:$I$544,'Well Cal.'!U$3,'Schedule 5'!$J$506:$J$544,'Well Cal.'!$E9)</f>
        <v>0</v>
      </c>
      <c r="V9" s="726">
        <f>SUMIFS('Schedule 5'!$F$506:$F$544,'Schedule 5'!$I$506:$I$544,'Well Cal.'!V$3,'Schedule 5'!$J$506:$J$544,'Well Cal.'!$E9)</f>
        <v>0</v>
      </c>
      <c r="W9" s="726">
        <f>SUMIFS('Schedule 5'!$F$506:$F$544,'Schedule 5'!$I$506:$I$544,'Well Cal.'!W$3,'Schedule 5'!$J$506:$J$544,'Well Cal.'!$E9)</f>
        <v>0</v>
      </c>
      <c r="X9" s="726">
        <f>SUMIFS('Schedule 5'!$F$506:$F$544,'Schedule 5'!$I$506:$I$544,'Well Cal.'!X$3,'Schedule 5'!$J$506:$J$544,'Well Cal.'!$E9)</f>
        <v>0</v>
      </c>
      <c r="Y9" s="726">
        <f>SUMIFS('Schedule 5'!$F$506:$F$544,'Schedule 5'!$I$506:$I$544,'Well Cal.'!Y$3,'Schedule 5'!$J$506:$J$544,'Well Cal.'!$E9)</f>
        <v>0</v>
      </c>
      <c r="Z9" s="726">
        <f>SUMIFS('Schedule 5'!$F$506:$F$544,'Schedule 5'!$I$506:$I$544,'Well Cal.'!Z$3,'Schedule 5'!$J$506:$J$544,'Well Cal.'!$E9)</f>
        <v>0</v>
      </c>
      <c r="AA9" s="726"/>
      <c r="AB9" s="1730"/>
      <c r="AC9" s="1730"/>
      <c r="AE9" s="770"/>
      <c r="AF9" s="771"/>
      <c r="AG9" s="772"/>
      <c r="AH9" s="773"/>
      <c r="AI9" s="773"/>
      <c r="AJ9" s="774"/>
      <c r="AK9" s="87"/>
      <c r="AL9" s="87"/>
      <c r="AM9" s="770"/>
    </row>
    <row r="10" spans="2:41" x14ac:dyDescent="0.3">
      <c r="B10" s="1734"/>
      <c r="C10" s="1737"/>
      <c r="D10" s="1730"/>
      <c r="E10" s="761" t="s">
        <v>6069</v>
      </c>
      <c r="F10" s="726">
        <f>SUMIFS('Schedule 5'!$F$506:$F$544,'Schedule 5'!$I$506:$I$544,'Well Cal.'!F$3,'Schedule 5'!$J$506:$J$544,'Well Cal.'!$E10)</f>
        <v>0</v>
      </c>
      <c r="G10" s="726">
        <f>SUMIFS('Schedule 5'!$F$506:$F$544,'Schedule 5'!$I$506:$I$544,'Well Cal.'!G$3,'Schedule 5'!$J$506:$J$544,'Well Cal.'!$E10)</f>
        <v>0</v>
      </c>
      <c r="H10" s="726">
        <f>SUMIFS('Schedule 5'!$F$506:$F$544,'Schedule 5'!$I$506:$I$544,'Well Cal.'!H$3,'Schedule 5'!$J$506:$J$544,'Well Cal.'!$E10)</f>
        <v>0</v>
      </c>
      <c r="I10" s="726">
        <f>SUMIFS('Schedule 5'!$F$506:$F$544,'Schedule 5'!$I$506:$I$544,'Well Cal.'!I$3,'Schedule 5'!$J$506:$J$544,'Well Cal.'!$E10)</f>
        <v>0</v>
      </c>
      <c r="J10" s="726">
        <f>SUMIFS('Schedule 5'!$F$506:$F$544,'Schedule 5'!$I$506:$I$544,'Well Cal.'!J$3,'Schedule 5'!$J$506:$J$544,'Well Cal.'!$E10)</f>
        <v>0</v>
      </c>
      <c r="K10" s="726">
        <f>SUMIFS('Schedule 5'!$F$506:$F$544,'Schedule 5'!$I$506:$I$544,'Well Cal.'!K$3,'Schedule 5'!$J$506:$J$544,'Well Cal.'!$E10)</f>
        <v>0</v>
      </c>
      <c r="L10" s="726">
        <f>SUMIFS('Schedule 5'!$F$506:$F$544,'Schedule 5'!$I$506:$I$544,'Well Cal.'!L$3,'Schedule 5'!$J$506:$J$544,'Well Cal.'!$E10)</f>
        <v>0</v>
      </c>
      <c r="M10" s="726">
        <f>SUMIFS('Schedule 5'!$F$506:$F$544,'Schedule 5'!$I$506:$I$544,'Well Cal.'!M$3,'Schedule 5'!$J$506:$J$544,'Well Cal.'!$E10)</f>
        <v>0</v>
      </c>
      <c r="N10" s="726">
        <f>SUMIFS('Schedule 5'!$F$506:$F$544,'Schedule 5'!$I$506:$I$544,'Well Cal.'!N$3,'Schedule 5'!$J$506:$J$544,'Well Cal.'!$E10)</f>
        <v>0</v>
      </c>
      <c r="O10" s="726">
        <f>SUMIFS('Schedule 5'!$F$506:$F$544,'Schedule 5'!$I$506:$I$544,'Well Cal.'!O$3,'Schedule 5'!$J$506:$J$544,'Well Cal.'!$E10)</f>
        <v>0</v>
      </c>
      <c r="P10" s="726">
        <f>SUMIFS('Schedule 5'!$F$506:$F$544,'Schedule 5'!$I$506:$I$544,'Well Cal.'!P$3,'Schedule 5'!$J$506:$J$544,'Well Cal.'!$E10)</f>
        <v>2.5</v>
      </c>
      <c r="Q10" s="726">
        <f>SUMIFS('Schedule 5'!$F$506:$F$544,'Schedule 5'!$I$506:$I$544,'Well Cal.'!Q$3,'Schedule 5'!$J$506:$J$544,'Well Cal.'!$E10)</f>
        <v>0</v>
      </c>
      <c r="R10" s="726">
        <f>SUMIFS('Schedule 5'!$F$506:$F$544,'Schedule 5'!$I$506:$I$544,'Well Cal.'!R$3,'Schedule 5'!$J$506:$J$544,'Well Cal.'!$E10)</f>
        <v>0</v>
      </c>
      <c r="S10" s="726">
        <f>SUMIFS('Schedule 5'!$F$506:$F$544,'Schedule 5'!$I$506:$I$544,'Well Cal.'!S$3,'Schedule 5'!$J$506:$J$544,'Well Cal.'!$E10)</f>
        <v>0</v>
      </c>
      <c r="T10" s="726">
        <f>SUMIFS('Schedule 5'!$F$506:$F$544,'Schedule 5'!$I$506:$I$544,'Well Cal.'!T$3,'Schedule 5'!$J$506:$J$544,'Well Cal.'!$E10)</f>
        <v>0</v>
      </c>
      <c r="U10" s="726">
        <f>SUMIFS('Schedule 5'!$F$506:$F$544,'Schedule 5'!$I$506:$I$544,'Well Cal.'!U$3,'Schedule 5'!$J$506:$J$544,'Well Cal.'!$E10)</f>
        <v>0</v>
      </c>
      <c r="V10" s="726">
        <f>SUMIFS('Schedule 5'!$F$506:$F$544,'Schedule 5'!$I$506:$I$544,'Well Cal.'!V$3,'Schedule 5'!$J$506:$J$544,'Well Cal.'!$E10)</f>
        <v>0</v>
      </c>
      <c r="W10" s="726">
        <f>SUMIFS('Schedule 5'!$F$506:$F$544,'Schedule 5'!$I$506:$I$544,'Well Cal.'!W$3,'Schedule 5'!$J$506:$J$544,'Well Cal.'!$E10)</f>
        <v>0</v>
      </c>
      <c r="X10" s="726">
        <f>SUMIFS('Schedule 5'!$F$506:$F$544,'Schedule 5'!$I$506:$I$544,'Well Cal.'!X$3,'Schedule 5'!$J$506:$J$544,'Well Cal.'!$E10)</f>
        <v>0</v>
      </c>
      <c r="Y10" s="726">
        <f>SUMIFS('Schedule 5'!$F$506:$F$544,'Schedule 5'!$I$506:$I$544,'Well Cal.'!Y$3,'Schedule 5'!$J$506:$J$544,'Well Cal.'!$E10)</f>
        <v>0</v>
      </c>
      <c r="Z10" s="726">
        <f>SUMIFS('Schedule 5'!$F$506:$F$544,'Schedule 5'!$I$506:$I$544,'Well Cal.'!Z$3,'Schedule 5'!$J$506:$J$544,'Well Cal.'!$E10)</f>
        <v>0</v>
      </c>
      <c r="AA10" s="726"/>
      <c r="AB10" s="1730"/>
      <c r="AC10" s="1730"/>
    </row>
    <row r="11" spans="2:41" x14ac:dyDescent="0.3">
      <c r="B11" s="1734"/>
      <c r="C11" s="1737"/>
      <c r="D11" s="1730"/>
      <c r="E11" s="761" t="s">
        <v>6070</v>
      </c>
      <c r="F11" s="726">
        <f>SUMIFS('Schedule 5'!$F$506:$F$544,'Schedule 5'!$I$506:$I$544,'Well Cal.'!F$3,'Schedule 5'!$J$506:$J$544,'Well Cal.'!$E11)</f>
        <v>0</v>
      </c>
      <c r="G11" s="726">
        <f>SUMIFS('Schedule 5'!$F$506:$F$544,'Schedule 5'!$I$506:$I$544,'Well Cal.'!G$3,'Schedule 5'!$J$506:$J$544,'Well Cal.'!$E11)</f>
        <v>0</v>
      </c>
      <c r="H11" s="726">
        <f>SUMIFS('Schedule 5'!$F$506:$F$544,'Schedule 5'!$I$506:$I$544,'Well Cal.'!H$3,'Schedule 5'!$J$506:$J$544,'Well Cal.'!$E11)</f>
        <v>0</v>
      </c>
      <c r="I11" s="726">
        <f>SUMIFS('Schedule 5'!$F$506:$F$544,'Schedule 5'!$I$506:$I$544,'Well Cal.'!I$3,'Schedule 5'!$J$506:$J$544,'Well Cal.'!$E11)</f>
        <v>0</v>
      </c>
      <c r="J11" s="726">
        <f>SUMIFS('Schedule 5'!$F$506:$F$544,'Schedule 5'!$I$506:$I$544,'Well Cal.'!J$3,'Schedule 5'!$J$506:$J$544,'Well Cal.'!$E11)</f>
        <v>0</v>
      </c>
      <c r="K11" s="726">
        <f>SUMIFS('Schedule 5'!$F$506:$F$544,'Schedule 5'!$I$506:$I$544,'Well Cal.'!K$3,'Schedule 5'!$J$506:$J$544,'Well Cal.'!$E11)</f>
        <v>0</v>
      </c>
      <c r="L11" s="726">
        <f>SUMIFS('Schedule 5'!$F$506:$F$544,'Schedule 5'!$I$506:$I$544,'Well Cal.'!L$3,'Schedule 5'!$J$506:$J$544,'Well Cal.'!$E11)</f>
        <v>0</v>
      </c>
      <c r="M11" s="726">
        <f>SUMIFS('Schedule 5'!$F$506:$F$544,'Schedule 5'!$I$506:$I$544,'Well Cal.'!M$3,'Schedule 5'!$J$506:$J$544,'Well Cal.'!$E11)</f>
        <v>0</v>
      </c>
      <c r="N11" s="726">
        <f>SUMIFS('Schedule 5'!$F$506:$F$544,'Schedule 5'!$I$506:$I$544,'Well Cal.'!N$3,'Schedule 5'!$J$506:$J$544,'Well Cal.'!$E11)</f>
        <v>0</v>
      </c>
      <c r="O11" s="726">
        <f>SUMIFS('Schedule 5'!$F$506:$F$544,'Schedule 5'!$I$506:$I$544,'Well Cal.'!O$3,'Schedule 5'!$J$506:$J$544,'Well Cal.'!$E11)</f>
        <v>0</v>
      </c>
      <c r="P11" s="726">
        <f>SUMIFS('Schedule 5'!$F$506:$F$544,'Schedule 5'!$I$506:$I$544,'Well Cal.'!P$3,'Schedule 5'!$J$506:$J$544,'Well Cal.'!$E11)</f>
        <v>2.5</v>
      </c>
      <c r="Q11" s="726">
        <f>SUMIFS('Schedule 5'!$F$506:$F$544,'Schedule 5'!$I$506:$I$544,'Well Cal.'!Q$3,'Schedule 5'!$J$506:$J$544,'Well Cal.'!$E11)</f>
        <v>0</v>
      </c>
      <c r="R11" s="726">
        <f>SUMIFS('Schedule 5'!$F$506:$F$544,'Schedule 5'!$I$506:$I$544,'Well Cal.'!R$3,'Schedule 5'!$J$506:$J$544,'Well Cal.'!$E11)</f>
        <v>0</v>
      </c>
      <c r="S11" s="726">
        <f>SUMIFS('Schedule 5'!$F$506:$F$544,'Schedule 5'!$I$506:$I$544,'Well Cal.'!S$3,'Schedule 5'!$J$506:$J$544,'Well Cal.'!$E11)</f>
        <v>0</v>
      </c>
      <c r="T11" s="726">
        <f>SUMIFS('Schedule 5'!$F$506:$F$544,'Schedule 5'!$I$506:$I$544,'Well Cal.'!T$3,'Schedule 5'!$J$506:$J$544,'Well Cal.'!$E11)</f>
        <v>0</v>
      </c>
      <c r="U11" s="726">
        <f>SUMIFS('Schedule 5'!$F$506:$F$544,'Schedule 5'!$I$506:$I$544,'Well Cal.'!U$3,'Schedule 5'!$J$506:$J$544,'Well Cal.'!$E11)</f>
        <v>0</v>
      </c>
      <c r="V11" s="726">
        <f>SUMIFS('Schedule 5'!$F$506:$F$544,'Schedule 5'!$I$506:$I$544,'Well Cal.'!V$3,'Schedule 5'!$J$506:$J$544,'Well Cal.'!$E11)</f>
        <v>0</v>
      </c>
      <c r="W11" s="726">
        <f>SUMIFS('Schedule 5'!$F$506:$F$544,'Schedule 5'!$I$506:$I$544,'Well Cal.'!W$3,'Schedule 5'!$J$506:$J$544,'Well Cal.'!$E11)</f>
        <v>0</v>
      </c>
      <c r="X11" s="726">
        <f>SUMIFS('Schedule 5'!$F$506:$F$544,'Schedule 5'!$I$506:$I$544,'Well Cal.'!X$3,'Schedule 5'!$J$506:$J$544,'Well Cal.'!$E11)</f>
        <v>0</v>
      </c>
      <c r="Y11" s="726">
        <f>SUMIFS('Schedule 5'!$F$506:$F$544,'Schedule 5'!$I$506:$I$544,'Well Cal.'!Y$3,'Schedule 5'!$J$506:$J$544,'Well Cal.'!$E11)</f>
        <v>0</v>
      </c>
      <c r="Z11" s="726">
        <f>SUMIFS('Schedule 5'!$F$506:$F$544,'Schedule 5'!$I$506:$I$544,'Well Cal.'!Z$3,'Schedule 5'!$J$506:$J$544,'Well Cal.'!$E11)</f>
        <v>0</v>
      </c>
      <c r="AA11" s="726"/>
      <c r="AB11" s="1730"/>
      <c r="AC11" s="1730"/>
      <c r="AE11" s="521" t="s">
        <v>6071</v>
      </c>
      <c r="AF11" s="86" t="s">
        <v>1245</v>
      </c>
    </row>
    <row r="12" spans="2:41" x14ac:dyDescent="0.3">
      <c r="B12" s="1735"/>
      <c r="C12" s="1738"/>
      <c r="D12" s="1731"/>
      <c r="E12" s="761" t="s">
        <v>6072</v>
      </c>
      <c r="F12" s="726">
        <f>SUMIFS('Schedule 5'!$F$506:$F$544,'Schedule 5'!$I$506:$I$544,'Well Cal.'!F$3,'Schedule 5'!$J$506:$J$544,'Well Cal.'!$E12)</f>
        <v>0</v>
      </c>
      <c r="G12" s="726">
        <f>SUMIFS('Schedule 5'!$F$506:$F$544,'Schedule 5'!$I$506:$I$544,'Well Cal.'!G$3,'Schedule 5'!$J$506:$J$544,'Well Cal.'!$E12)</f>
        <v>0</v>
      </c>
      <c r="H12" s="726">
        <f>SUMIFS('Schedule 5'!$F$506:$F$544,'Schedule 5'!$I$506:$I$544,'Well Cal.'!H$3,'Schedule 5'!$J$506:$J$544,'Well Cal.'!$E12)</f>
        <v>0</v>
      </c>
      <c r="I12" s="726">
        <f>SUMIFS('Schedule 5'!$F$506:$F$544,'Schedule 5'!$I$506:$I$544,'Well Cal.'!I$3,'Schedule 5'!$J$506:$J$544,'Well Cal.'!$E12)</f>
        <v>0</v>
      </c>
      <c r="J12" s="726">
        <f>SUMIFS('Schedule 5'!$F$506:$F$544,'Schedule 5'!$I$506:$I$544,'Well Cal.'!J$3,'Schedule 5'!$J$506:$J$544,'Well Cal.'!$E12)</f>
        <v>0</v>
      </c>
      <c r="K12" s="726">
        <f>SUMIFS('Schedule 5'!$F$506:$F$544,'Schedule 5'!$I$506:$I$544,'Well Cal.'!K$3,'Schedule 5'!$J$506:$J$544,'Well Cal.'!$E12)</f>
        <v>0</v>
      </c>
      <c r="L12" s="726">
        <f>SUMIFS('Schedule 5'!$F$506:$F$544,'Schedule 5'!$I$506:$I$544,'Well Cal.'!L$3,'Schedule 5'!$J$506:$J$544,'Well Cal.'!$E12)</f>
        <v>0</v>
      </c>
      <c r="M12" s="726">
        <f>SUMIFS('Schedule 5'!$F$506:$F$544,'Schedule 5'!$I$506:$I$544,'Well Cal.'!M$3,'Schedule 5'!$J$506:$J$544,'Well Cal.'!$E12)</f>
        <v>0</v>
      </c>
      <c r="N12" s="726">
        <f>SUMIFS('Schedule 5'!$F$506:$F$544,'Schedule 5'!$I$506:$I$544,'Well Cal.'!N$3,'Schedule 5'!$J$506:$J$544,'Well Cal.'!$E12)</f>
        <v>0</v>
      </c>
      <c r="O12" s="726">
        <f>SUMIFS('Schedule 5'!$F$506:$F$544,'Schedule 5'!$I$506:$I$544,'Well Cal.'!O$3,'Schedule 5'!$J$506:$J$544,'Well Cal.'!$E12)</f>
        <v>0</v>
      </c>
      <c r="P12" s="726">
        <f>SUMIFS('Schedule 5'!$F$506:$F$544,'Schedule 5'!$I$506:$I$544,'Well Cal.'!P$3,'Schedule 5'!$J$506:$J$544,'Well Cal.'!$E12)</f>
        <v>2.5</v>
      </c>
      <c r="Q12" s="726">
        <f>SUMIFS('Schedule 5'!$F$506:$F$544,'Schedule 5'!$I$506:$I$544,'Well Cal.'!Q$3,'Schedule 5'!$J$506:$J$544,'Well Cal.'!$E12)</f>
        <v>0</v>
      </c>
      <c r="R12" s="726">
        <f>SUMIFS('Schedule 5'!$F$506:$F$544,'Schedule 5'!$I$506:$I$544,'Well Cal.'!R$3,'Schedule 5'!$J$506:$J$544,'Well Cal.'!$E12)</f>
        <v>0</v>
      </c>
      <c r="S12" s="726">
        <f>SUMIFS('Schedule 5'!$F$506:$F$544,'Schedule 5'!$I$506:$I$544,'Well Cal.'!S$3,'Schedule 5'!$J$506:$J$544,'Well Cal.'!$E12)</f>
        <v>0</v>
      </c>
      <c r="T12" s="726">
        <f>SUMIFS('Schedule 5'!$F$506:$F$544,'Schedule 5'!$I$506:$I$544,'Well Cal.'!T$3,'Schedule 5'!$J$506:$J$544,'Well Cal.'!$E12)</f>
        <v>0</v>
      </c>
      <c r="U12" s="726">
        <f>SUMIFS('Schedule 5'!$F$506:$F$544,'Schedule 5'!$I$506:$I$544,'Well Cal.'!U$3,'Schedule 5'!$J$506:$J$544,'Well Cal.'!$E12)</f>
        <v>0</v>
      </c>
      <c r="V12" s="726">
        <f>SUMIFS('Schedule 5'!$F$506:$F$544,'Schedule 5'!$I$506:$I$544,'Well Cal.'!V$3,'Schedule 5'!$J$506:$J$544,'Well Cal.'!$E12)</f>
        <v>0</v>
      </c>
      <c r="W12" s="726">
        <f>SUMIFS('Schedule 5'!$F$506:$F$544,'Schedule 5'!$I$506:$I$544,'Well Cal.'!W$3,'Schedule 5'!$J$506:$J$544,'Well Cal.'!$E12)</f>
        <v>0</v>
      </c>
      <c r="X12" s="726">
        <f>SUMIFS('Schedule 5'!$F$506:$F$544,'Schedule 5'!$I$506:$I$544,'Well Cal.'!X$3,'Schedule 5'!$J$506:$J$544,'Well Cal.'!$E12)</f>
        <v>0</v>
      </c>
      <c r="Y12" s="726">
        <f>SUMIFS('Schedule 5'!$F$506:$F$544,'Schedule 5'!$I$506:$I$544,'Well Cal.'!Y$3,'Schedule 5'!$J$506:$J$544,'Well Cal.'!$E12)</f>
        <v>0</v>
      </c>
      <c r="Z12" s="726">
        <f>SUMIFS('Schedule 5'!$F$506:$F$544,'Schedule 5'!$I$506:$I$544,'Well Cal.'!Z$3,'Schedule 5'!$J$506:$J$544,'Well Cal.'!$E12)</f>
        <v>0</v>
      </c>
      <c r="AA12" s="726"/>
      <c r="AB12" s="1731"/>
      <c r="AC12" s="1731"/>
      <c r="AE12" s="521" t="s">
        <v>6073</v>
      </c>
      <c r="AF12" s="86" t="s">
        <v>1247</v>
      </c>
    </row>
    <row r="13" spans="2:41" x14ac:dyDescent="0.3">
      <c r="B13" s="1735"/>
      <c r="C13" s="1738"/>
      <c r="D13" s="1731"/>
      <c r="E13" s="761" t="s">
        <v>6074</v>
      </c>
      <c r="F13" s="726">
        <f>SUMIFS('Schedule 5'!$F$506:$F$544,'Schedule 5'!$I$506:$I$544,'Well Cal.'!F$3,'Schedule 5'!$J$506:$J$544,'Well Cal.'!$E13)</f>
        <v>0</v>
      </c>
      <c r="G13" s="726">
        <f>SUMIFS('Schedule 5'!$F$506:$F$544,'Schedule 5'!$I$506:$I$544,'Well Cal.'!G$3,'Schedule 5'!$J$506:$J$544,'Well Cal.'!$E13)</f>
        <v>0</v>
      </c>
      <c r="H13" s="726">
        <f>SUMIFS('Schedule 5'!$F$506:$F$544,'Schedule 5'!$I$506:$I$544,'Well Cal.'!H$3,'Schedule 5'!$J$506:$J$544,'Well Cal.'!$E13)</f>
        <v>0</v>
      </c>
      <c r="I13" s="726">
        <f>SUMIFS('Schedule 5'!$F$506:$F$544,'Schedule 5'!$I$506:$I$544,'Well Cal.'!I$3,'Schedule 5'!$J$506:$J$544,'Well Cal.'!$E13)</f>
        <v>0</v>
      </c>
      <c r="J13" s="726">
        <f>SUMIFS('Schedule 5'!$F$506:$F$544,'Schedule 5'!$I$506:$I$544,'Well Cal.'!J$3,'Schedule 5'!$J$506:$J$544,'Well Cal.'!$E13)</f>
        <v>0</v>
      </c>
      <c r="K13" s="726">
        <f>SUMIFS('Schedule 5'!$F$506:$F$544,'Schedule 5'!$I$506:$I$544,'Well Cal.'!K$3,'Schedule 5'!$J$506:$J$544,'Well Cal.'!$E13)</f>
        <v>0</v>
      </c>
      <c r="L13" s="726">
        <f>SUMIFS('Schedule 5'!$F$506:$F$544,'Schedule 5'!$I$506:$I$544,'Well Cal.'!L$3,'Schedule 5'!$J$506:$J$544,'Well Cal.'!$E13)</f>
        <v>0</v>
      </c>
      <c r="M13" s="726">
        <f>SUMIFS('Schedule 5'!$F$506:$F$544,'Schedule 5'!$I$506:$I$544,'Well Cal.'!M$3,'Schedule 5'!$J$506:$J$544,'Well Cal.'!$E13)</f>
        <v>0</v>
      </c>
      <c r="N13" s="726">
        <f>SUMIFS('Schedule 5'!$F$506:$F$544,'Schedule 5'!$I$506:$I$544,'Well Cal.'!N$3,'Schedule 5'!$J$506:$J$544,'Well Cal.'!$E13)</f>
        <v>0</v>
      </c>
      <c r="O13" s="726">
        <f>SUMIFS('Schedule 5'!$F$506:$F$544,'Schedule 5'!$I$506:$I$544,'Well Cal.'!O$3,'Schedule 5'!$J$506:$J$544,'Well Cal.'!$E13)</f>
        <v>0</v>
      </c>
      <c r="P13" s="726">
        <f>SUMIFS('Schedule 5'!$F$506:$F$544,'Schedule 5'!$I$506:$I$544,'Well Cal.'!P$3,'Schedule 5'!$J$506:$J$544,'Well Cal.'!$E13)</f>
        <v>0</v>
      </c>
      <c r="Q13" s="726">
        <f>SUMIFS('Schedule 5'!$F$506:$F$544,'Schedule 5'!$I$506:$I$544,'Well Cal.'!Q$3,'Schedule 5'!$J$506:$J$544,'Well Cal.'!$E13)</f>
        <v>3.17</v>
      </c>
      <c r="R13" s="726">
        <f>SUMIFS('Schedule 5'!$F$506:$F$544,'Schedule 5'!$I$506:$I$544,'Well Cal.'!R$3,'Schedule 5'!$J$506:$J$544,'Well Cal.'!$E13)</f>
        <v>0</v>
      </c>
      <c r="S13" s="726">
        <f>SUMIFS('Schedule 5'!$F$506:$F$544,'Schedule 5'!$I$506:$I$544,'Well Cal.'!S$3,'Schedule 5'!$J$506:$J$544,'Well Cal.'!$E13)</f>
        <v>0</v>
      </c>
      <c r="T13" s="726">
        <f>SUMIFS('Schedule 5'!$F$506:$F$544,'Schedule 5'!$I$506:$I$544,'Well Cal.'!T$3,'Schedule 5'!$J$506:$J$544,'Well Cal.'!$E13)</f>
        <v>0</v>
      </c>
      <c r="U13" s="726">
        <f>SUMIFS('Schedule 5'!$F$506:$F$544,'Schedule 5'!$I$506:$I$544,'Well Cal.'!U$3,'Schedule 5'!$J$506:$J$544,'Well Cal.'!$E13)</f>
        <v>0</v>
      </c>
      <c r="V13" s="726">
        <f>SUMIFS('Schedule 5'!$F$506:$F$544,'Schedule 5'!$I$506:$I$544,'Well Cal.'!V$3,'Schedule 5'!$J$506:$J$544,'Well Cal.'!$E13)</f>
        <v>0</v>
      </c>
      <c r="W13" s="726">
        <f>SUMIFS('Schedule 5'!$F$506:$F$544,'Schedule 5'!$I$506:$I$544,'Well Cal.'!W$3,'Schedule 5'!$J$506:$J$544,'Well Cal.'!$E13)</f>
        <v>0</v>
      </c>
      <c r="X13" s="726">
        <f>SUMIFS('Schedule 5'!$F$506:$F$544,'Schedule 5'!$I$506:$I$544,'Well Cal.'!X$3,'Schedule 5'!$J$506:$J$544,'Well Cal.'!$E13)</f>
        <v>0</v>
      </c>
      <c r="Y13" s="726">
        <f>SUMIFS('Schedule 5'!$F$506:$F$544,'Schedule 5'!$I$506:$I$544,'Well Cal.'!Y$3,'Schedule 5'!$J$506:$J$544,'Well Cal.'!$E13)</f>
        <v>0</v>
      </c>
      <c r="Z13" s="726">
        <f>SUMIFS('Schedule 5'!$F$506:$F$544,'Schedule 5'!$I$506:$I$544,'Well Cal.'!Z$3,'Schedule 5'!$J$506:$J$544,'Well Cal.'!$E13)</f>
        <v>0</v>
      </c>
      <c r="AA13" s="726"/>
      <c r="AB13" s="1731"/>
      <c r="AC13" s="1731"/>
      <c r="AE13" s="521" t="s">
        <v>6075</v>
      </c>
      <c r="AF13" s="86" t="s">
        <v>1252</v>
      </c>
    </row>
    <row r="14" spans="2:41" x14ac:dyDescent="0.3">
      <c r="B14" s="1735"/>
      <c r="C14" s="1738"/>
      <c r="D14" s="1731"/>
      <c r="E14" s="761" t="s">
        <v>6076</v>
      </c>
      <c r="F14" s="726">
        <f>SUMIFS('Schedule 5'!$F$506:$F$544,'Schedule 5'!$I$506:$I$544,'Well Cal.'!F$3,'Schedule 5'!$J$506:$J$544,'Well Cal.'!$E14)</f>
        <v>0</v>
      </c>
      <c r="G14" s="726">
        <f>SUMIFS('Schedule 5'!$F$506:$F$544,'Schedule 5'!$I$506:$I$544,'Well Cal.'!G$3,'Schedule 5'!$J$506:$J$544,'Well Cal.'!$E14)</f>
        <v>0</v>
      </c>
      <c r="H14" s="726">
        <f>SUMIFS('Schedule 5'!$F$506:$F$544,'Schedule 5'!$I$506:$I$544,'Well Cal.'!H$3,'Schedule 5'!$J$506:$J$544,'Well Cal.'!$E14)</f>
        <v>0</v>
      </c>
      <c r="I14" s="726">
        <f>SUMIFS('Schedule 5'!$F$506:$F$544,'Schedule 5'!$I$506:$I$544,'Well Cal.'!I$3,'Schedule 5'!$J$506:$J$544,'Well Cal.'!$E14)</f>
        <v>0</v>
      </c>
      <c r="J14" s="726">
        <f>SUMIFS('Schedule 5'!$F$506:$F$544,'Schedule 5'!$I$506:$I$544,'Well Cal.'!J$3,'Schedule 5'!$J$506:$J$544,'Well Cal.'!$E14)</f>
        <v>0</v>
      </c>
      <c r="K14" s="726">
        <f>SUMIFS('Schedule 5'!$F$506:$F$544,'Schedule 5'!$I$506:$I$544,'Well Cal.'!K$3,'Schedule 5'!$J$506:$J$544,'Well Cal.'!$E14)</f>
        <v>0</v>
      </c>
      <c r="L14" s="726">
        <f>SUMIFS('Schedule 5'!$F$506:$F$544,'Schedule 5'!$I$506:$I$544,'Well Cal.'!L$3,'Schedule 5'!$J$506:$J$544,'Well Cal.'!$E14)</f>
        <v>0</v>
      </c>
      <c r="M14" s="726">
        <f>SUMIFS('Schedule 5'!$F$506:$F$544,'Schedule 5'!$I$506:$I$544,'Well Cal.'!M$3,'Schedule 5'!$J$506:$J$544,'Well Cal.'!$E14)</f>
        <v>0</v>
      </c>
      <c r="N14" s="726">
        <f>SUMIFS('Schedule 5'!$F$506:$F$544,'Schedule 5'!$I$506:$I$544,'Well Cal.'!N$3,'Schedule 5'!$J$506:$J$544,'Well Cal.'!$E14)</f>
        <v>0</v>
      </c>
      <c r="O14" s="726">
        <f>SUMIFS('Schedule 5'!$F$506:$F$544,'Schedule 5'!$I$506:$I$544,'Well Cal.'!O$3,'Schedule 5'!$J$506:$J$544,'Well Cal.'!$E14)</f>
        <v>0</v>
      </c>
      <c r="P14" s="726">
        <f>SUMIFS('Schedule 5'!$F$506:$F$544,'Schedule 5'!$I$506:$I$544,'Well Cal.'!P$3,'Schedule 5'!$J$506:$J$544,'Well Cal.'!$E14)</f>
        <v>0</v>
      </c>
      <c r="Q14" s="726">
        <f>SUMIFS('Schedule 5'!$F$506:$F$544,'Schedule 5'!$I$506:$I$544,'Well Cal.'!Q$3,'Schedule 5'!$J$506:$J$544,'Well Cal.'!$E14)</f>
        <v>2.5</v>
      </c>
      <c r="R14" s="726">
        <f>SUMIFS('Schedule 5'!$F$506:$F$544,'Schedule 5'!$I$506:$I$544,'Well Cal.'!R$3,'Schedule 5'!$J$506:$J$544,'Well Cal.'!$E14)</f>
        <v>0</v>
      </c>
      <c r="S14" s="726">
        <f>SUMIFS('Schedule 5'!$F$506:$F$544,'Schedule 5'!$I$506:$I$544,'Well Cal.'!S$3,'Schedule 5'!$J$506:$J$544,'Well Cal.'!$E14)</f>
        <v>0</v>
      </c>
      <c r="T14" s="726">
        <f>SUMIFS('Schedule 5'!$F$506:$F$544,'Schedule 5'!$I$506:$I$544,'Well Cal.'!T$3,'Schedule 5'!$J$506:$J$544,'Well Cal.'!$E14)</f>
        <v>0</v>
      </c>
      <c r="U14" s="726">
        <f>SUMIFS('Schedule 5'!$F$506:$F$544,'Schedule 5'!$I$506:$I$544,'Well Cal.'!U$3,'Schedule 5'!$J$506:$J$544,'Well Cal.'!$E14)</f>
        <v>0</v>
      </c>
      <c r="V14" s="726">
        <f>SUMIFS('Schedule 5'!$F$506:$F$544,'Schedule 5'!$I$506:$I$544,'Well Cal.'!V$3,'Schedule 5'!$J$506:$J$544,'Well Cal.'!$E14)</f>
        <v>0</v>
      </c>
      <c r="W14" s="726">
        <f>SUMIFS('Schedule 5'!$F$506:$F$544,'Schedule 5'!$I$506:$I$544,'Well Cal.'!W$3,'Schedule 5'!$J$506:$J$544,'Well Cal.'!$E14)</f>
        <v>0</v>
      </c>
      <c r="X14" s="726">
        <f>SUMIFS('Schedule 5'!$F$506:$F$544,'Schedule 5'!$I$506:$I$544,'Well Cal.'!X$3,'Schedule 5'!$J$506:$J$544,'Well Cal.'!$E14)</f>
        <v>0</v>
      </c>
      <c r="Y14" s="726">
        <f>SUMIFS('Schedule 5'!$F$506:$F$544,'Schedule 5'!$I$506:$I$544,'Well Cal.'!Y$3,'Schedule 5'!$J$506:$J$544,'Well Cal.'!$E14)</f>
        <v>0</v>
      </c>
      <c r="Z14" s="726">
        <f>SUMIFS('Schedule 5'!$F$506:$F$544,'Schedule 5'!$I$506:$I$544,'Well Cal.'!Z$3,'Schedule 5'!$J$506:$J$544,'Well Cal.'!$E14)</f>
        <v>0</v>
      </c>
      <c r="AA14" s="726"/>
      <c r="AB14" s="1731"/>
      <c r="AC14" s="1731"/>
      <c r="AE14" s="521" t="s">
        <v>6077</v>
      </c>
      <c r="AF14" s="86" t="s">
        <v>1254</v>
      </c>
    </row>
    <row r="15" spans="2:41" x14ac:dyDescent="0.3">
      <c r="B15" s="1735"/>
      <c r="C15" s="1738"/>
      <c r="D15" s="1731"/>
      <c r="E15" s="761" t="s">
        <v>6078</v>
      </c>
      <c r="F15" s="726">
        <f>SUMIFS('Schedule 5'!$F$506:$F$544,'Schedule 5'!$I$506:$I$544,'Well Cal.'!F$3,'Schedule 5'!$J$506:$J$544,'Well Cal.'!$E15)</f>
        <v>0</v>
      </c>
      <c r="G15" s="726">
        <f>SUMIFS('Schedule 5'!$F$506:$F$544,'Schedule 5'!$I$506:$I$544,'Well Cal.'!G$3,'Schedule 5'!$J$506:$J$544,'Well Cal.'!$E15)</f>
        <v>0</v>
      </c>
      <c r="H15" s="726">
        <f>SUMIFS('Schedule 5'!$F$506:$F$544,'Schedule 5'!$I$506:$I$544,'Well Cal.'!H$3,'Schedule 5'!$J$506:$J$544,'Well Cal.'!$E15)</f>
        <v>0</v>
      </c>
      <c r="I15" s="726">
        <f>SUMIFS('Schedule 5'!$F$506:$F$544,'Schedule 5'!$I$506:$I$544,'Well Cal.'!I$3,'Schedule 5'!$J$506:$J$544,'Well Cal.'!$E15)</f>
        <v>0</v>
      </c>
      <c r="J15" s="726">
        <f>SUMIFS('Schedule 5'!$F$506:$F$544,'Schedule 5'!$I$506:$I$544,'Well Cal.'!J$3,'Schedule 5'!$J$506:$J$544,'Well Cal.'!$E15)</f>
        <v>0</v>
      </c>
      <c r="K15" s="726">
        <f>SUMIFS('Schedule 5'!$F$506:$F$544,'Schedule 5'!$I$506:$I$544,'Well Cal.'!K$3,'Schedule 5'!$J$506:$J$544,'Well Cal.'!$E15)</f>
        <v>0</v>
      </c>
      <c r="L15" s="726">
        <f>SUMIFS('Schedule 5'!$F$506:$F$544,'Schedule 5'!$I$506:$I$544,'Well Cal.'!L$3,'Schedule 5'!$J$506:$J$544,'Well Cal.'!$E15)</f>
        <v>0</v>
      </c>
      <c r="M15" s="726">
        <f>SUMIFS('Schedule 5'!$F$506:$F$544,'Schedule 5'!$I$506:$I$544,'Well Cal.'!M$3,'Schedule 5'!$J$506:$J$544,'Well Cal.'!$E15)</f>
        <v>0</v>
      </c>
      <c r="N15" s="726">
        <f>SUMIFS('Schedule 5'!$F$506:$F$544,'Schedule 5'!$I$506:$I$544,'Well Cal.'!N$3,'Schedule 5'!$J$506:$J$544,'Well Cal.'!$E15)</f>
        <v>0</v>
      </c>
      <c r="O15" s="726">
        <f>SUMIFS('Schedule 5'!$F$506:$F$544,'Schedule 5'!$I$506:$I$544,'Well Cal.'!O$3,'Schedule 5'!$J$506:$J$544,'Well Cal.'!$E15)</f>
        <v>0</v>
      </c>
      <c r="P15" s="726">
        <f>SUMIFS('Schedule 5'!$F$506:$F$544,'Schedule 5'!$I$506:$I$544,'Well Cal.'!P$3,'Schedule 5'!$J$506:$J$544,'Well Cal.'!$E15)</f>
        <v>0</v>
      </c>
      <c r="Q15" s="726">
        <f>SUMIFS('Schedule 5'!$F$506:$F$544,'Schedule 5'!$I$506:$I$544,'Well Cal.'!Q$3,'Schedule 5'!$J$506:$J$544,'Well Cal.'!$E15)</f>
        <v>2.5</v>
      </c>
      <c r="R15" s="726">
        <f>SUMIFS('Schedule 5'!$F$506:$F$544,'Schedule 5'!$I$506:$I$544,'Well Cal.'!R$3,'Schedule 5'!$J$506:$J$544,'Well Cal.'!$E15)</f>
        <v>0</v>
      </c>
      <c r="S15" s="726">
        <f>SUMIFS('Schedule 5'!$F$506:$F$544,'Schedule 5'!$I$506:$I$544,'Well Cal.'!S$3,'Schedule 5'!$J$506:$J$544,'Well Cal.'!$E15)</f>
        <v>0</v>
      </c>
      <c r="T15" s="726">
        <f>SUMIFS('Schedule 5'!$F$506:$F$544,'Schedule 5'!$I$506:$I$544,'Well Cal.'!T$3,'Schedule 5'!$J$506:$J$544,'Well Cal.'!$E15)</f>
        <v>0</v>
      </c>
      <c r="U15" s="726">
        <f>SUMIFS('Schedule 5'!$F$506:$F$544,'Schedule 5'!$I$506:$I$544,'Well Cal.'!U$3,'Schedule 5'!$J$506:$J$544,'Well Cal.'!$E15)</f>
        <v>0</v>
      </c>
      <c r="V15" s="726">
        <f>SUMIFS('Schedule 5'!$F$506:$F$544,'Schedule 5'!$I$506:$I$544,'Well Cal.'!V$3,'Schedule 5'!$J$506:$J$544,'Well Cal.'!$E15)</f>
        <v>0</v>
      </c>
      <c r="W15" s="726">
        <f>SUMIFS('Schedule 5'!$F$506:$F$544,'Schedule 5'!$I$506:$I$544,'Well Cal.'!W$3,'Schedule 5'!$J$506:$J$544,'Well Cal.'!$E15)</f>
        <v>0</v>
      </c>
      <c r="X15" s="726">
        <f>SUMIFS('Schedule 5'!$F$506:$F$544,'Schedule 5'!$I$506:$I$544,'Well Cal.'!X$3,'Schedule 5'!$J$506:$J$544,'Well Cal.'!$E15)</f>
        <v>0</v>
      </c>
      <c r="Y15" s="726">
        <f>SUMIFS('Schedule 5'!$F$506:$F$544,'Schedule 5'!$I$506:$I$544,'Well Cal.'!Y$3,'Schedule 5'!$J$506:$J$544,'Well Cal.'!$E15)</f>
        <v>0</v>
      </c>
      <c r="Z15" s="726">
        <f>SUMIFS('Schedule 5'!$F$506:$F$544,'Schedule 5'!$I$506:$I$544,'Well Cal.'!Z$3,'Schedule 5'!$J$506:$J$544,'Well Cal.'!$E15)</f>
        <v>0</v>
      </c>
      <c r="AA15" s="726"/>
      <c r="AB15" s="1731"/>
      <c r="AC15" s="1731"/>
    </row>
    <row r="16" spans="2:41" x14ac:dyDescent="0.3">
      <c r="B16" s="1735"/>
      <c r="C16" s="1738"/>
      <c r="D16" s="1731"/>
      <c r="E16" s="761" t="s">
        <v>6079</v>
      </c>
      <c r="F16" s="726">
        <f>SUMIFS('Schedule 5'!$F$506:$F$544,'Schedule 5'!$I$506:$I$544,'Well Cal.'!F$3,'Schedule 5'!$J$506:$J$544,'Well Cal.'!$E16)</f>
        <v>0</v>
      </c>
      <c r="G16" s="726">
        <f>SUMIFS('Schedule 5'!$F$506:$F$544,'Schedule 5'!$I$506:$I$544,'Well Cal.'!G$3,'Schedule 5'!$J$506:$J$544,'Well Cal.'!$E16)</f>
        <v>0</v>
      </c>
      <c r="H16" s="726">
        <f>SUMIFS('Schedule 5'!$F$506:$F$544,'Schedule 5'!$I$506:$I$544,'Well Cal.'!H$3,'Schedule 5'!$J$506:$J$544,'Well Cal.'!$E16)</f>
        <v>0</v>
      </c>
      <c r="I16" s="726">
        <f>SUMIFS('Schedule 5'!$F$506:$F$544,'Schedule 5'!$I$506:$I$544,'Well Cal.'!I$3,'Schedule 5'!$J$506:$J$544,'Well Cal.'!$E16)</f>
        <v>0</v>
      </c>
      <c r="J16" s="726">
        <f>SUMIFS('Schedule 5'!$F$506:$F$544,'Schedule 5'!$I$506:$I$544,'Well Cal.'!J$3,'Schedule 5'!$J$506:$J$544,'Well Cal.'!$E16)</f>
        <v>0</v>
      </c>
      <c r="K16" s="726">
        <f>SUMIFS('Schedule 5'!$F$506:$F$544,'Schedule 5'!$I$506:$I$544,'Well Cal.'!K$3,'Schedule 5'!$J$506:$J$544,'Well Cal.'!$E16)</f>
        <v>0</v>
      </c>
      <c r="L16" s="726">
        <f>SUMIFS('Schedule 5'!$F$506:$F$544,'Schedule 5'!$I$506:$I$544,'Well Cal.'!L$3,'Schedule 5'!$J$506:$J$544,'Well Cal.'!$E16)</f>
        <v>0</v>
      </c>
      <c r="M16" s="726">
        <f>SUMIFS('Schedule 5'!$F$506:$F$544,'Schedule 5'!$I$506:$I$544,'Well Cal.'!M$3,'Schedule 5'!$J$506:$J$544,'Well Cal.'!$E16)</f>
        <v>0</v>
      </c>
      <c r="N16" s="726">
        <f>SUMIFS('Schedule 5'!$F$506:$F$544,'Schedule 5'!$I$506:$I$544,'Well Cal.'!N$3,'Schedule 5'!$J$506:$J$544,'Well Cal.'!$E16)</f>
        <v>0</v>
      </c>
      <c r="O16" s="726">
        <f>SUMIFS('Schedule 5'!$F$506:$F$544,'Schedule 5'!$I$506:$I$544,'Well Cal.'!O$3,'Schedule 5'!$J$506:$J$544,'Well Cal.'!$E16)</f>
        <v>0</v>
      </c>
      <c r="P16" s="726">
        <f>SUMIFS('Schedule 5'!$F$506:$F$544,'Schedule 5'!$I$506:$I$544,'Well Cal.'!P$3,'Schedule 5'!$J$506:$J$544,'Well Cal.'!$E16)</f>
        <v>0</v>
      </c>
      <c r="Q16" s="726">
        <f>SUMIFS('Schedule 5'!$F$506:$F$544,'Schedule 5'!$I$506:$I$544,'Well Cal.'!Q$3,'Schedule 5'!$J$506:$J$544,'Well Cal.'!$E16)</f>
        <v>0</v>
      </c>
      <c r="R16" s="726">
        <f>SUMIFS('Schedule 5'!$F$506:$F$544,'Schedule 5'!$I$506:$I$544,'Well Cal.'!R$3,'Schedule 5'!$J$506:$J$544,'Well Cal.'!$E16)</f>
        <v>2.5</v>
      </c>
      <c r="S16" s="726">
        <f>SUMIFS('Schedule 5'!$F$506:$F$544,'Schedule 5'!$I$506:$I$544,'Well Cal.'!S$3,'Schedule 5'!$J$506:$J$544,'Well Cal.'!$E16)</f>
        <v>0</v>
      </c>
      <c r="T16" s="726">
        <f>SUMIFS('Schedule 5'!$F$506:$F$544,'Schedule 5'!$I$506:$I$544,'Well Cal.'!T$3,'Schedule 5'!$J$506:$J$544,'Well Cal.'!$E16)</f>
        <v>0</v>
      </c>
      <c r="U16" s="726">
        <f>SUMIFS('Schedule 5'!$F$506:$F$544,'Schedule 5'!$I$506:$I$544,'Well Cal.'!U$3,'Schedule 5'!$J$506:$J$544,'Well Cal.'!$E16)</f>
        <v>0</v>
      </c>
      <c r="V16" s="726">
        <f>SUMIFS('Schedule 5'!$F$506:$F$544,'Schedule 5'!$I$506:$I$544,'Well Cal.'!V$3,'Schedule 5'!$J$506:$J$544,'Well Cal.'!$E16)</f>
        <v>0</v>
      </c>
      <c r="W16" s="726">
        <f>SUMIFS('Schedule 5'!$F$506:$F$544,'Schedule 5'!$I$506:$I$544,'Well Cal.'!W$3,'Schedule 5'!$J$506:$J$544,'Well Cal.'!$E16)</f>
        <v>0</v>
      </c>
      <c r="X16" s="726">
        <f>SUMIFS('Schedule 5'!$F$506:$F$544,'Schedule 5'!$I$506:$I$544,'Well Cal.'!X$3,'Schedule 5'!$J$506:$J$544,'Well Cal.'!$E16)</f>
        <v>0</v>
      </c>
      <c r="Y16" s="726">
        <f>SUMIFS('Schedule 5'!$F$506:$F$544,'Schedule 5'!$I$506:$I$544,'Well Cal.'!Y$3,'Schedule 5'!$J$506:$J$544,'Well Cal.'!$E16)</f>
        <v>0</v>
      </c>
      <c r="Z16" s="726">
        <f>SUMIFS('Schedule 5'!$F$506:$F$544,'Schedule 5'!$I$506:$I$544,'Well Cal.'!Z$3,'Schedule 5'!$J$506:$J$544,'Well Cal.'!$E16)</f>
        <v>0</v>
      </c>
      <c r="AA16" s="726"/>
      <c r="AB16" s="1731"/>
      <c r="AC16" s="1731"/>
    </row>
    <row r="17" spans="2:29" x14ac:dyDescent="0.3">
      <c r="B17" s="1735"/>
      <c r="C17" s="1738"/>
      <c r="D17" s="1731"/>
      <c r="E17" s="761" t="s">
        <v>6080</v>
      </c>
      <c r="F17" s="726">
        <f>SUMIFS('Schedule 5'!$F$506:$F$544,'Schedule 5'!$I$506:$I$544,'Well Cal.'!F$3,'Schedule 5'!$J$506:$J$544,'Well Cal.'!$E17)</f>
        <v>0</v>
      </c>
      <c r="G17" s="726">
        <f>SUMIFS('Schedule 5'!$F$506:$F$544,'Schedule 5'!$I$506:$I$544,'Well Cal.'!G$3,'Schedule 5'!$J$506:$J$544,'Well Cal.'!$E17)</f>
        <v>0</v>
      </c>
      <c r="H17" s="726">
        <f>SUMIFS('Schedule 5'!$F$506:$F$544,'Schedule 5'!$I$506:$I$544,'Well Cal.'!H$3,'Schedule 5'!$J$506:$J$544,'Well Cal.'!$E17)</f>
        <v>0</v>
      </c>
      <c r="I17" s="726">
        <f>SUMIFS('Schedule 5'!$F$506:$F$544,'Schedule 5'!$I$506:$I$544,'Well Cal.'!I$3,'Schedule 5'!$J$506:$J$544,'Well Cal.'!$E17)</f>
        <v>0</v>
      </c>
      <c r="J17" s="726">
        <f>SUMIFS('Schedule 5'!$F$506:$F$544,'Schedule 5'!$I$506:$I$544,'Well Cal.'!J$3,'Schedule 5'!$J$506:$J$544,'Well Cal.'!$E17)</f>
        <v>0</v>
      </c>
      <c r="K17" s="726">
        <f>SUMIFS('Schedule 5'!$F$506:$F$544,'Schedule 5'!$I$506:$I$544,'Well Cal.'!K$3,'Schedule 5'!$J$506:$J$544,'Well Cal.'!$E17)</f>
        <v>0</v>
      </c>
      <c r="L17" s="726">
        <f>SUMIFS('Schedule 5'!$F$506:$F$544,'Schedule 5'!$I$506:$I$544,'Well Cal.'!L$3,'Schedule 5'!$J$506:$J$544,'Well Cal.'!$E17)</f>
        <v>0</v>
      </c>
      <c r="M17" s="726">
        <f>SUMIFS('Schedule 5'!$F$506:$F$544,'Schedule 5'!$I$506:$I$544,'Well Cal.'!M$3,'Schedule 5'!$J$506:$J$544,'Well Cal.'!$E17)</f>
        <v>0</v>
      </c>
      <c r="N17" s="726">
        <f>SUMIFS('Schedule 5'!$F$506:$F$544,'Schedule 5'!$I$506:$I$544,'Well Cal.'!N$3,'Schedule 5'!$J$506:$J$544,'Well Cal.'!$E17)</f>
        <v>0</v>
      </c>
      <c r="O17" s="726">
        <f>SUMIFS('Schedule 5'!$F$506:$F$544,'Schedule 5'!$I$506:$I$544,'Well Cal.'!O$3,'Schedule 5'!$J$506:$J$544,'Well Cal.'!$E17)</f>
        <v>0</v>
      </c>
      <c r="P17" s="726">
        <f>SUMIFS('Schedule 5'!$F$506:$F$544,'Schedule 5'!$I$506:$I$544,'Well Cal.'!P$3,'Schedule 5'!$J$506:$J$544,'Well Cal.'!$E17)</f>
        <v>0</v>
      </c>
      <c r="Q17" s="726">
        <f>SUMIFS('Schedule 5'!$F$506:$F$544,'Schedule 5'!$I$506:$I$544,'Well Cal.'!Q$3,'Schedule 5'!$J$506:$J$544,'Well Cal.'!$E17)</f>
        <v>0</v>
      </c>
      <c r="R17" s="726">
        <f>SUMIFS('Schedule 5'!$F$506:$F$544,'Schedule 5'!$I$506:$I$544,'Well Cal.'!R$3,'Schedule 5'!$J$506:$J$544,'Well Cal.'!$E17)</f>
        <v>2.5</v>
      </c>
      <c r="S17" s="726">
        <f>SUMIFS('Schedule 5'!$F$506:$F$544,'Schedule 5'!$I$506:$I$544,'Well Cal.'!S$3,'Schedule 5'!$J$506:$J$544,'Well Cal.'!$E17)</f>
        <v>0</v>
      </c>
      <c r="T17" s="726">
        <f>SUMIFS('Schedule 5'!$F$506:$F$544,'Schedule 5'!$I$506:$I$544,'Well Cal.'!T$3,'Schedule 5'!$J$506:$J$544,'Well Cal.'!$E17)</f>
        <v>0</v>
      </c>
      <c r="U17" s="726">
        <f>SUMIFS('Schedule 5'!$F$506:$F$544,'Schedule 5'!$I$506:$I$544,'Well Cal.'!U$3,'Schedule 5'!$J$506:$J$544,'Well Cal.'!$E17)</f>
        <v>0</v>
      </c>
      <c r="V17" s="726">
        <f>SUMIFS('Schedule 5'!$F$506:$F$544,'Schedule 5'!$I$506:$I$544,'Well Cal.'!V$3,'Schedule 5'!$J$506:$J$544,'Well Cal.'!$E17)</f>
        <v>0</v>
      </c>
      <c r="W17" s="726">
        <f>SUMIFS('Schedule 5'!$F$506:$F$544,'Schedule 5'!$I$506:$I$544,'Well Cal.'!W$3,'Schedule 5'!$J$506:$J$544,'Well Cal.'!$E17)</f>
        <v>0</v>
      </c>
      <c r="X17" s="726">
        <f>SUMIFS('Schedule 5'!$F$506:$F$544,'Schedule 5'!$I$506:$I$544,'Well Cal.'!X$3,'Schedule 5'!$J$506:$J$544,'Well Cal.'!$E17)</f>
        <v>0</v>
      </c>
      <c r="Y17" s="726">
        <f>SUMIFS('Schedule 5'!$F$506:$F$544,'Schedule 5'!$I$506:$I$544,'Well Cal.'!Y$3,'Schedule 5'!$J$506:$J$544,'Well Cal.'!$E17)</f>
        <v>0</v>
      </c>
      <c r="Z17" s="726">
        <f>SUMIFS('Schedule 5'!$F$506:$F$544,'Schedule 5'!$I$506:$I$544,'Well Cal.'!Z$3,'Schedule 5'!$J$506:$J$544,'Well Cal.'!$E17)</f>
        <v>0</v>
      </c>
      <c r="AA17" s="726"/>
      <c r="AB17" s="1731"/>
      <c r="AC17" s="1731"/>
    </row>
    <row r="18" spans="2:29" x14ac:dyDescent="0.3">
      <c r="B18" s="1735"/>
      <c r="C18" s="1738"/>
      <c r="D18" s="1731"/>
      <c r="E18" s="761" t="s">
        <v>6081</v>
      </c>
      <c r="F18" s="726">
        <f>SUMIFS('Schedule 5'!$F$506:$F$544,'Schedule 5'!$I$506:$I$544,'Well Cal.'!F$3,'Schedule 5'!$J$506:$J$544,'Well Cal.'!$E18)</f>
        <v>0</v>
      </c>
      <c r="G18" s="726">
        <f>SUMIFS('Schedule 5'!$F$506:$F$544,'Schedule 5'!$I$506:$I$544,'Well Cal.'!G$3,'Schedule 5'!$J$506:$J$544,'Well Cal.'!$E18)</f>
        <v>0</v>
      </c>
      <c r="H18" s="726">
        <f>SUMIFS('Schedule 5'!$F$506:$F$544,'Schedule 5'!$I$506:$I$544,'Well Cal.'!H$3,'Schedule 5'!$J$506:$J$544,'Well Cal.'!$E18)</f>
        <v>0</v>
      </c>
      <c r="I18" s="726">
        <f>SUMIFS('Schedule 5'!$F$506:$F$544,'Schedule 5'!$I$506:$I$544,'Well Cal.'!I$3,'Schedule 5'!$J$506:$J$544,'Well Cal.'!$E18)</f>
        <v>0</v>
      </c>
      <c r="J18" s="726">
        <f>SUMIFS('Schedule 5'!$F$506:$F$544,'Schedule 5'!$I$506:$I$544,'Well Cal.'!J$3,'Schedule 5'!$J$506:$J$544,'Well Cal.'!$E18)</f>
        <v>0</v>
      </c>
      <c r="K18" s="726">
        <f>SUMIFS('Schedule 5'!$F$506:$F$544,'Schedule 5'!$I$506:$I$544,'Well Cal.'!K$3,'Schedule 5'!$J$506:$J$544,'Well Cal.'!$E18)</f>
        <v>0</v>
      </c>
      <c r="L18" s="726">
        <f>SUMIFS('Schedule 5'!$F$506:$F$544,'Schedule 5'!$I$506:$I$544,'Well Cal.'!L$3,'Schedule 5'!$J$506:$J$544,'Well Cal.'!$E18)</f>
        <v>0</v>
      </c>
      <c r="M18" s="726">
        <f>SUMIFS('Schedule 5'!$F$506:$F$544,'Schedule 5'!$I$506:$I$544,'Well Cal.'!M$3,'Schedule 5'!$J$506:$J$544,'Well Cal.'!$E18)</f>
        <v>0</v>
      </c>
      <c r="N18" s="726">
        <f>SUMIFS('Schedule 5'!$F$506:$F$544,'Schedule 5'!$I$506:$I$544,'Well Cal.'!N$3,'Schedule 5'!$J$506:$J$544,'Well Cal.'!$E18)</f>
        <v>0</v>
      </c>
      <c r="O18" s="726">
        <f>SUMIFS('Schedule 5'!$F$506:$F$544,'Schedule 5'!$I$506:$I$544,'Well Cal.'!O$3,'Schedule 5'!$J$506:$J$544,'Well Cal.'!$E18)</f>
        <v>0</v>
      </c>
      <c r="P18" s="726">
        <f>SUMIFS('Schedule 5'!$F$506:$F$544,'Schedule 5'!$I$506:$I$544,'Well Cal.'!P$3,'Schedule 5'!$J$506:$J$544,'Well Cal.'!$E18)</f>
        <v>0</v>
      </c>
      <c r="Q18" s="726">
        <f>SUMIFS('Schedule 5'!$F$506:$F$544,'Schedule 5'!$I$506:$I$544,'Well Cal.'!Q$3,'Schedule 5'!$J$506:$J$544,'Well Cal.'!$E18)</f>
        <v>0</v>
      </c>
      <c r="R18" s="726">
        <f>SUMIFS('Schedule 5'!$F$506:$F$544,'Schedule 5'!$I$506:$I$544,'Well Cal.'!R$3,'Schedule 5'!$J$506:$J$544,'Well Cal.'!$E18)</f>
        <v>2.5</v>
      </c>
      <c r="S18" s="726">
        <f>SUMIFS('Schedule 5'!$F$506:$F$544,'Schedule 5'!$I$506:$I$544,'Well Cal.'!S$3,'Schedule 5'!$J$506:$J$544,'Well Cal.'!$E18)</f>
        <v>0</v>
      </c>
      <c r="T18" s="726">
        <f>SUMIFS('Schedule 5'!$F$506:$F$544,'Schedule 5'!$I$506:$I$544,'Well Cal.'!T$3,'Schedule 5'!$J$506:$J$544,'Well Cal.'!$E18)</f>
        <v>0</v>
      </c>
      <c r="U18" s="726">
        <f>SUMIFS('Schedule 5'!$F$506:$F$544,'Schedule 5'!$I$506:$I$544,'Well Cal.'!U$3,'Schedule 5'!$J$506:$J$544,'Well Cal.'!$E18)</f>
        <v>0</v>
      </c>
      <c r="V18" s="726">
        <f>SUMIFS('Schedule 5'!$F$506:$F$544,'Schedule 5'!$I$506:$I$544,'Well Cal.'!V$3,'Schedule 5'!$J$506:$J$544,'Well Cal.'!$E18)</f>
        <v>0</v>
      </c>
      <c r="W18" s="726">
        <f>SUMIFS('Schedule 5'!$F$506:$F$544,'Schedule 5'!$I$506:$I$544,'Well Cal.'!W$3,'Schedule 5'!$J$506:$J$544,'Well Cal.'!$E18)</f>
        <v>0</v>
      </c>
      <c r="X18" s="726">
        <f>SUMIFS('Schedule 5'!$F$506:$F$544,'Schedule 5'!$I$506:$I$544,'Well Cal.'!X$3,'Schedule 5'!$J$506:$J$544,'Well Cal.'!$E18)</f>
        <v>0</v>
      </c>
      <c r="Y18" s="726">
        <f>SUMIFS('Schedule 5'!$F$506:$F$544,'Schedule 5'!$I$506:$I$544,'Well Cal.'!Y$3,'Schedule 5'!$J$506:$J$544,'Well Cal.'!$E18)</f>
        <v>0</v>
      </c>
      <c r="Z18" s="726">
        <f>SUMIFS('Schedule 5'!$F$506:$F$544,'Schedule 5'!$I$506:$I$544,'Well Cal.'!Z$3,'Schedule 5'!$J$506:$J$544,'Well Cal.'!$E18)</f>
        <v>0</v>
      </c>
      <c r="AA18" s="726"/>
      <c r="AB18" s="1731"/>
      <c r="AC18" s="1731"/>
    </row>
    <row r="19" spans="2:29" x14ac:dyDescent="0.3">
      <c r="B19" s="1735"/>
      <c r="C19" s="1738"/>
      <c r="D19" s="1731"/>
      <c r="E19" s="761" t="s">
        <v>6082</v>
      </c>
      <c r="F19" s="726">
        <f>SUMIFS('Schedule 5'!$F$506:$F$544,'Schedule 5'!$I$506:$I$544,'Well Cal.'!F$3,'Schedule 5'!$J$506:$J$544,'Well Cal.'!$E19)</f>
        <v>0</v>
      </c>
      <c r="G19" s="726">
        <f>SUMIFS('Schedule 5'!$F$506:$F$544,'Schedule 5'!$I$506:$I$544,'Well Cal.'!G$3,'Schedule 5'!$J$506:$J$544,'Well Cal.'!$E19)</f>
        <v>0</v>
      </c>
      <c r="H19" s="726">
        <f>SUMIFS('Schedule 5'!$F$506:$F$544,'Schedule 5'!$I$506:$I$544,'Well Cal.'!H$3,'Schedule 5'!$J$506:$J$544,'Well Cal.'!$E19)</f>
        <v>0</v>
      </c>
      <c r="I19" s="726">
        <f>SUMIFS('Schedule 5'!$F$506:$F$544,'Schedule 5'!$I$506:$I$544,'Well Cal.'!I$3,'Schedule 5'!$J$506:$J$544,'Well Cal.'!$E19)</f>
        <v>0</v>
      </c>
      <c r="J19" s="726">
        <f>SUMIFS('Schedule 5'!$F$506:$F$544,'Schedule 5'!$I$506:$I$544,'Well Cal.'!J$3,'Schedule 5'!$J$506:$J$544,'Well Cal.'!$E19)</f>
        <v>0</v>
      </c>
      <c r="K19" s="726">
        <f>SUMIFS('Schedule 5'!$F$506:$F$544,'Schedule 5'!$I$506:$I$544,'Well Cal.'!K$3,'Schedule 5'!$J$506:$J$544,'Well Cal.'!$E19)</f>
        <v>0</v>
      </c>
      <c r="L19" s="726">
        <f>SUMIFS('Schedule 5'!$F$506:$F$544,'Schedule 5'!$I$506:$I$544,'Well Cal.'!L$3,'Schedule 5'!$J$506:$J$544,'Well Cal.'!$E19)</f>
        <v>0</v>
      </c>
      <c r="M19" s="726">
        <f>SUMIFS('Schedule 5'!$F$506:$F$544,'Schedule 5'!$I$506:$I$544,'Well Cal.'!M$3,'Schedule 5'!$J$506:$J$544,'Well Cal.'!$E19)</f>
        <v>0</v>
      </c>
      <c r="N19" s="726">
        <f>SUMIFS('Schedule 5'!$F$506:$F$544,'Schedule 5'!$I$506:$I$544,'Well Cal.'!N$3,'Schedule 5'!$J$506:$J$544,'Well Cal.'!$E19)</f>
        <v>0</v>
      </c>
      <c r="O19" s="726">
        <f>SUMIFS('Schedule 5'!$F$506:$F$544,'Schedule 5'!$I$506:$I$544,'Well Cal.'!O$3,'Schedule 5'!$J$506:$J$544,'Well Cal.'!$E19)</f>
        <v>0</v>
      </c>
      <c r="P19" s="726">
        <f>SUMIFS('Schedule 5'!$F$506:$F$544,'Schedule 5'!$I$506:$I$544,'Well Cal.'!P$3,'Schedule 5'!$J$506:$J$544,'Well Cal.'!$E19)</f>
        <v>0</v>
      </c>
      <c r="Q19" s="726">
        <f>SUMIFS('Schedule 5'!$F$506:$F$544,'Schedule 5'!$I$506:$I$544,'Well Cal.'!Q$3,'Schedule 5'!$J$506:$J$544,'Well Cal.'!$E19)</f>
        <v>0</v>
      </c>
      <c r="R19" s="726">
        <f>SUMIFS('Schedule 5'!$F$506:$F$544,'Schedule 5'!$I$506:$I$544,'Well Cal.'!R$3,'Schedule 5'!$J$506:$J$544,'Well Cal.'!$E19)</f>
        <v>0</v>
      </c>
      <c r="S19" s="726">
        <f>SUMIFS('Schedule 5'!$F$506:$F$544,'Schedule 5'!$I$506:$I$544,'Well Cal.'!S$3,'Schedule 5'!$J$506:$J$544,'Well Cal.'!$E19)</f>
        <v>0</v>
      </c>
      <c r="T19" s="726">
        <f>SUMIFS('Schedule 5'!$F$506:$F$544,'Schedule 5'!$I$506:$I$544,'Well Cal.'!T$3,'Schedule 5'!$J$506:$J$544,'Well Cal.'!$E19)</f>
        <v>2.5</v>
      </c>
      <c r="U19" s="726">
        <f>SUMIFS('Schedule 5'!$F$506:$F$544,'Schedule 5'!$I$506:$I$544,'Well Cal.'!U$3,'Schedule 5'!$J$506:$J$544,'Well Cal.'!$E19)</f>
        <v>0</v>
      </c>
      <c r="V19" s="726">
        <f>SUMIFS('Schedule 5'!$F$506:$F$544,'Schedule 5'!$I$506:$I$544,'Well Cal.'!V$3,'Schedule 5'!$J$506:$J$544,'Well Cal.'!$E19)</f>
        <v>0</v>
      </c>
      <c r="W19" s="726">
        <f>SUMIFS('Schedule 5'!$F$506:$F$544,'Schedule 5'!$I$506:$I$544,'Well Cal.'!W$3,'Schedule 5'!$J$506:$J$544,'Well Cal.'!$E19)</f>
        <v>0</v>
      </c>
      <c r="X19" s="726">
        <f>SUMIFS('Schedule 5'!$F$506:$F$544,'Schedule 5'!$I$506:$I$544,'Well Cal.'!X$3,'Schedule 5'!$J$506:$J$544,'Well Cal.'!$E19)</f>
        <v>0</v>
      </c>
      <c r="Y19" s="726">
        <f>SUMIFS('Schedule 5'!$F$506:$F$544,'Schedule 5'!$I$506:$I$544,'Well Cal.'!Y$3,'Schedule 5'!$J$506:$J$544,'Well Cal.'!$E19)</f>
        <v>0</v>
      </c>
      <c r="Z19" s="726">
        <f>SUMIFS('Schedule 5'!$F$506:$F$544,'Schedule 5'!$I$506:$I$544,'Well Cal.'!Z$3,'Schedule 5'!$J$506:$J$544,'Well Cal.'!$E19)</f>
        <v>0</v>
      </c>
      <c r="AA19" s="726"/>
      <c r="AB19" s="1731"/>
      <c r="AC19" s="1731"/>
    </row>
    <row r="20" spans="2:29" x14ac:dyDescent="0.3">
      <c r="B20" s="1735"/>
      <c r="C20" s="1738"/>
      <c r="D20" s="1731"/>
      <c r="E20" s="761" t="s">
        <v>6083</v>
      </c>
      <c r="F20" s="726">
        <f>SUMIFS('Schedule 5'!$F$506:$F$544,'Schedule 5'!$I$506:$I$544,'Well Cal.'!F$3,'Schedule 5'!$J$506:$J$544,'Well Cal.'!$E20)</f>
        <v>0</v>
      </c>
      <c r="G20" s="726">
        <f>SUMIFS('Schedule 5'!$F$506:$F$544,'Schedule 5'!$I$506:$I$544,'Well Cal.'!G$3,'Schedule 5'!$J$506:$J$544,'Well Cal.'!$E20)</f>
        <v>0</v>
      </c>
      <c r="H20" s="726">
        <f>SUMIFS('Schedule 5'!$F$506:$F$544,'Schedule 5'!$I$506:$I$544,'Well Cal.'!H$3,'Schedule 5'!$J$506:$J$544,'Well Cal.'!$E20)</f>
        <v>0</v>
      </c>
      <c r="I20" s="726">
        <f>SUMIFS('Schedule 5'!$F$506:$F$544,'Schedule 5'!$I$506:$I$544,'Well Cal.'!I$3,'Schedule 5'!$J$506:$J$544,'Well Cal.'!$E20)</f>
        <v>0</v>
      </c>
      <c r="J20" s="726">
        <f>SUMIFS('Schedule 5'!$F$506:$F$544,'Schedule 5'!$I$506:$I$544,'Well Cal.'!J$3,'Schedule 5'!$J$506:$J$544,'Well Cal.'!$E20)</f>
        <v>0</v>
      </c>
      <c r="K20" s="726">
        <f>SUMIFS('Schedule 5'!$F$506:$F$544,'Schedule 5'!$I$506:$I$544,'Well Cal.'!K$3,'Schedule 5'!$J$506:$J$544,'Well Cal.'!$E20)</f>
        <v>0</v>
      </c>
      <c r="L20" s="726">
        <f>SUMIFS('Schedule 5'!$F$506:$F$544,'Schedule 5'!$I$506:$I$544,'Well Cal.'!L$3,'Schedule 5'!$J$506:$J$544,'Well Cal.'!$E20)</f>
        <v>0</v>
      </c>
      <c r="M20" s="726">
        <f>SUMIFS('Schedule 5'!$F$506:$F$544,'Schedule 5'!$I$506:$I$544,'Well Cal.'!M$3,'Schedule 5'!$J$506:$J$544,'Well Cal.'!$E20)</f>
        <v>0</v>
      </c>
      <c r="N20" s="726">
        <f>SUMIFS('Schedule 5'!$F$506:$F$544,'Schedule 5'!$I$506:$I$544,'Well Cal.'!N$3,'Schedule 5'!$J$506:$J$544,'Well Cal.'!$E20)</f>
        <v>0</v>
      </c>
      <c r="O20" s="726">
        <f>SUMIFS('Schedule 5'!$F$506:$F$544,'Schedule 5'!$I$506:$I$544,'Well Cal.'!O$3,'Schedule 5'!$J$506:$J$544,'Well Cal.'!$E20)</f>
        <v>0</v>
      </c>
      <c r="P20" s="726">
        <f>SUMIFS('Schedule 5'!$F$506:$F$544,'Schedule 5'!$I$506:$I$544,'Well Cal.'!P$3,'Schedule 5'!$J$506:$J$544,'Well Cal.'!$E20)</f>
        <v>0</v>
      </c>
      <c r="Q20" s="726">
        <f>SUMIFS('Schedule 5'!$F$506:$F$544,'Schedule 5'!$I$506:$I$544,'Well Cal.'!Q$3,'Schedule 5'!$J$506:$J$544,'Well Cal.'!$E20)</f>
        <v>0</v>
      </c>
      <c r="R20" s="726">
        <f>SUMIFS('Schedule 5'!$F$506:$F$544,'Schedule 5'!$I$506:$I$544,'Well Cal.'!R$3,'Schedule 5'!$J$506:$J$544,'Well Cal.'!$E20)</f>
        <v>0</v>
      </c>
      <c r="S20" s="726">
        <f>SUMIFS('Schedule 5'!$F$506:$F$544,'Schedule 5'!$I$506:$I$544,'Well Cal.'!S$3,'Schedule 5'!$J$506:$J$544,'Well Cal.'!$E20)</f>
        <v>0</v>
      </c>
      <c r="T20" s="726">
        <f>SUMIFS('Schedule 5'!$F$506:$F$544,'Schedule 5'!$I$506:$I$544,'Well Cal.'!T$3,'Schedule 5'!$J$506:$J$544,'Well Cal.'!$E20)</f>
        <v>2.5</v>
      </c>
      <c r="U20" s="726">
        <f>SUMIFS('Schedule 5'!$F$506:$F$544,'Schedule 5'!$I$506:$I$544,'Well Cal.'!U$3,'Schedule 5'!$J$506:$J$544,'Well Cal.'!$E20)</f>
        <v>0</v>
      </c>
      <c r="V20" s="726">
        <f>SUMIFS('Schedule 5'!$F$506:$F$544,'Schedule 5'!$I$506:$I$544,'Well Cal.'!V$3,'Schedule 5'!$J$506:$J$544,'Well Cal.'!$E20)</f>
        <v>0</v>
      </c>
      <c r="W20" s="726">
        <f>SUMIFS('Schedule 5'!$F$506:$F$544,'Schedule 5'!$I$506:$I$544,'Well Cal.'!W$3,'Schedule 5'!$J$506:$J$544,'Well Cal.'!$E20)</f>
        <v>0</v>
      </c>
      <c r="X20" s="726">
        <f>SUMIFS('Schedule 5'!$F$506:$F$544,'Schedule 5'!$I$506:$I$544,'Well Cal.'!X$3,'Schedule 5'!$J$506:$J$544,'Well Cal.'!$E20)</f>
        <v>0</v>
      </c>
      <c r="Y20" s="726">
        <f>SUMIFS('Schedule 5'!$F$506:$F$544,'Schedule 5'!$I$506:$I$544,'Well Cal.'!Y$3,'Schedule 5'!$J$506:$J$544,'Well Cal.'!$E20)</f>
        <v>0</v>
      </c>
      <c r="Z20" s="726">
        <f>SUMIFS('Schedule 5'!$F$506:$F$544,'Schedule 5'!$I$506:$I$544,'Well Cal.'!Z$3,'Schedule 5'!$J$506:$J$544,'Well Cal.'!$E20)</f>
        <v>0</v>
      </c>
      <c r="AA20" s="726"/>
      <c r="AB20" s="1731"/>
      <c r="AC20" s="1731"/>
    </row>
    <row r="21" spans="2:29" x14ac:dyDescent="0.3">
      <c r="B21" s="1735"/>
      <c r="C21" s="1738"/>
      <c r="D21" s="1731"/>
      <c r="E21" s="761" t="s">
        <v>6084</v>
      </c>
      <c r="F21" s="726">
        <f>SUMIFS('Schedule 5'!$F$506:$F$544,'Schedule 5'!$I$506:$I$544,'Well Cal.'!F$3,'Schedule 5'!$J$506:$J$544,'Well Cal.'!$E21)</f>
        <v>0</v>
      </c>
      <c r="G21" s="726">
        <f>SUMIFS('Schedule 5'!$F$506:$F$544,'Schedule 5'!$I$506:$I$544,'Well Cal.'!G$3,'Schedule 5'!$J$506:$J$544,'Well Cal.'!$E21)</f>
        <v>0</v>
      </c>
      <c r="H21" s="726">
        <f>SUMIFS('Schedule 5'!$F$506:$F$544,'Schedule 5'!$I$506:$I$544,'Well Cal.'!H$3,'Schedule 5'!$J$506:$J$544,'Well Cal.'!$E21)</f>
        <v>0</v>
      </c>
      <c r="I21" s="726">
        <f>SUMIFS('Schedule 5'!$F$506:$F$544,'Schedule 5'!$I$506:$I$544,'Well Cal.'!I$3,'Schedule 5'!$J$506:$J$544,'Well Cal.'!$E21)</f>
        <v>0</v>
      </c>
      <c r="J21" s="726">
        <f>SUMIFS('Schedule 5'!$F$506:$F$544,'Schedule 5'!$I$506:$I$544,'Well Cal.'!J$3,'Schedule 5'!$J$506:$J$544,'Well Cal.'!$E21)</f>
        <v>0</v>
      </c>
      <c r="K21" s="726">
        <f>SUMIFS('Schedule 5'!$F$506:$F$544,'Schedule 5'!$I$506:$I$544,'Well Cal.'!K$3,'Schedule 5'!$J$506:$J$544,'Well Cal.'!$E21)</f>
        <v>0</v>
      </c>
      <c r="L21" s="726">
        <f>SUMIFS('Schedule 5'!$F$506:$F$544,'Schedule 5'!$I$506:$I$544,'Well Cal.'!L$3,'Schedule 5'!$J$506:$J$544,'Well Cal.'!$E21)</f>
        <v>0</v>
      </c>
      <c r="M21" s="726">
        <f>SUMIFS('Schedule 5'!$F$506:$F$544,'Schedule 5'!$I$506:$I$544,'Well Cal.'!M$3,'Schedule 5'!$J$506:$J$544,'Well Cal.'!$E21)</f>
        <v>0</v>
      </c>
      <c r="N21" s="726">
        <f>SUMIFS('Schedule 5'!$F$506:$F$544,'Schedule 5'!$I$506:$I$544,'Well Cal.'!N$3,'Schedule 5'!$J$506:$J$544,'Well Cal.'!$E21)</f>
        <v>0</v>
      </c>
      <c r="O21" s="726">
        <f>SUMIFS('Schedule 5'!$F$506:$F$544,'Schedule 5'!$I$506:$I$544,'Well Cal.'!O$3,'Schedule 5'!$J$506:$J$544,'Well Cal.'!$E21)</f>
        <v>0</v>
      </c>
      <c r="P21" s="726">
        <f>SUMIFS('Schedule 5'!$F$506:$F$544,'Schedule 5'!$I$506:$I$544,'Well Cal.'!P$3,'Schedule 5'!$J$506:$J$544,'Well Cal.'!$E21)</f>
        <v>0</v>
      </c>
      <c r="Q21" s="726">
        <f>SUMIFS('Schedule 5'!$F$506:$F$544,'Schedule 5'!$I$506:$I$544,'Well Cal.'!Q$3,'Schedule 5'!$J$506:$J$544,'Well Cal.'!$E21)</f>
        <v>0</v>
      </c>
      <c r="R21" s="726">
        <f>SUMIFS('Schedule 5'!$F$506:$F$544,'Schedule 5'!$I$506:$I$544,'Well Cal.'!R$3,'Schedule 5'!$J$506:$J$544,'Well Cal.'!$E21)</f>
        <v>0</v>
      </c>
      <c r="S21" s="726">
        <f>SUMIFS('Schedule 5'!$F$506:$F$544,'Schedule 5'!$I$506:$I$544,'Well Cal.'!S$3,'Schedule 5'!$J$506:$J$544,'Well Cal.'!$E21)</f>
        <v>0</v>
      </c>
      <c r="T21" s="726">
        <f>SUMIFS('Schedule 5'!$F$506:$F$544,'Schedule 5'!$I$506:$I$544,'Well Cal.'!T$3,'Schedule 5'!$J$506:$J$544,'Well Cal.'!$E21)</f>
        <v>0</v>
      </c>
      <c r="U21" s="726">
        <f>SUMIFS('Schedule 5'!$F$506:$F$544,'Schedule 5'!$I$506:$I$544,'Well Cal.'!U$3,'Schedule 5'!$J$506:$J$544,'Well Cal.'!$E21)</f>
        <v>0</v>
      </c>
      <c r="V21" s="726">
        <f>SUMIFS('Schedule 5'!$F$506:$F$544,'Schedule 5'!$I$506:$I$544,'Well Cal.'!V$3,'Schedule 5'!$J$506:$J$544,'Well Cal.'!$E21)</f>
        <v>0</v>
      </c>
      <c r="W21" s="726">
        <f>SUMIFS('Schedule 5'!$F$506:$F$544,'Schedule 5'!$I$506:$I$544,'Well Cal.'!W$3,'Schedule 5'!$J$506:$J$544,'Well Cal.'!$E21)</f>
        <v>0</v>
      </c>
      <c r="X21" s="726">
        <f>SUMIFS('Schedule 5'!$F$506:$F$544,'Schedule 5'!$I$506:$I$544,'Well Cal.'!X$3,'Schedule 5'!$J$506:$J$544,'Well Cal.'!$E21)</f>
        <v>2.5</v>
      </c>
      <c r="Y21" s="726">
        <f>SUMIFS('Schedule 5'!$F$506:$F$544,'Schedule 5'!$I$506:$I$544,'Well Cal.'!Y$3,'Schedule 5'!$J$506:$J$544,'Well Cal.'!$E21)</f>
        <v>0</v>
      </c>
      <c r="Z21" s="726">
        <f>SUMIFS('Schedule 5'!$F$506:$F$544,'Schedule 5'!$I$506:$I$544,'Well Cal.'!Z$3,'Schedule 5'!$J$506:$J$544,'Well Cal.'!$E21)</f>
        <v>0</v>
      </c>
      <c r="AA21" s="727"/>
      <c r="AB21" s="1731"/>
      <c r="AC21" s="1731"/>
    </row>
    <row r="22" spans="2:29" x14ac:dyDescent="0.3">
      <c r="B22" s="1735"/>
      <c r="C22" s="1738"/>
      <c r="D22" s="1731"/>
      <c r="E22" s="761" t="s">
        <v>6085</v>
      </c>
      <c r="F22" s="726">
        <f>SUMIFS('Schedule 5'!$F$506:$F$544,'Schedule 5'!$I$506:$I$544,'Well Cal.'!F$3,'Schedule 5'!$J$506:$J$544,'Well Cal.'!$E22)</f>
        <v>0</v>
      </c>
      <c r="G22" s="726">
        <f>SUMIFS('Schedule 5'!$F$506:$F$544,'Schedule 5'!$I$506:$I$544,'Well Cal.'!G$3,'Schedule 5'!$J$506:$J$544,'Well Cal.'!$E22)</f>
        <v>0</v>
      </c>
      <c r="H22" s="726">
        <f>SUMIFS('Schedule 5'!$F$506:$F$544,'Schedule 5'!$I$506:$I$544,'Well Cal.'!H$3,'Schedule 5'!$J$506:$J$544,'Well Cal.'!$E22)</f>
        <v>0</v>
      </c>
      <c r="I22" s="726">
        <f>SUMIFS('Schedule 5'!$F$506:$F$544,'Schedule 5'!$I$506:$I$544,'Well Cal.'!I$3,'Schedule 5'!$J$506:$J$544,'Well Cal.'!$E22)</f>
        <v>0</v>
      </c>
      <c r="J22" s="726">
        <f>SUMIFS('Schedule 5'!$F$506:$F$544,'Schedule 5'!$I$506:$I$544,'Well Cal.'!J$3,'Schedule 5'!$J$506:$J$544,'Well Cal.'!$E22)</f>
        <v>0</v>
      </c>
      <c r="K22" s="726">
        <f>SUMIFS('Schedule 5'!$F$506:$F$544,'Schedule 5'!$I$506:$I$544,'Well Cal.'!K$3,'Schedule 5'!$J$506:$J$544,'Well Cal.'!$E22)</f>
        <v>0</v>
      </c>
      <c r="L22" s="726">
        <f>SUMIFS('Schedule 5'!$F$506:$F$544,'Schedule 5'!$I$506:$I$544,'Well Cal.'!L$3,'Schedule 5'!$J$506:$J$544,'Well Cal.'!$E22)</f>
        <v>0</v>
      </c>
      <c r="M22" s="726">
        <f>SUMIFS('Schedule 5'!$F$506:$F$544,'Schedule 5'!$I$506:$I$544,'Well Cal.'!M$3,'Schedule 5'!$J$506:$J$544,'Well Cal.'!$E22)</f>
        <v>0</v>
      </c>
      <c r="N22" s="726">
        <f>SUMIFS('Schedule 5'!$F$506:$F$544,'Schedule 5'!$I$506:$I$544,'Well Cal.'!N$3,'Schedule 5'!$J$506:$J$544,'Well Cal.'!$E22)</f>
        <v>0</v>
      </c>
      <c r="O22" s="726">
        <f>SUMIFS('Schedule 5'!$F$506:$F$544,'Schedule 5'!$I$506:$I$544,'Well Cal.'!O$3,'Schedule 5'!$J$506:$J$544,'Well Cal.'!$E22)</f>
        <v>0</v>
      </c>
      <c r="P22" s="726">
        <f>SUMIFS('Schedule 5'!$F$506:$F$544,'Schedule 5'!$I$506:$I$544,'Well Cal.'!P$3,'Schedule 5'!$J$506:$J$544,'Well Cal.'!$E22)</f>
        <v>0</v>
      </c>
      <c r="Q22" s="726">
        <f>SUMIFS('Schedule 5'!$F$506:$F$544,'Schedule 5'!$I$506:$I$544,'Well Cal.'!Q$3,'Schedule 5'!$J$506:$J$544,'Well Cal.'!$E22)</f>
        <v>0</v>
      </c>
      <c r="R22" s="726">
        <f>SUMIFS('Schedule 5'!$F$506:$F$544,'Schedule 5'!$I$506:$I$544,'Well Cal.'!R$3,'Schedule 5'!$J$506:$J$544,'Well Cal.'!$E22)</f>
        <v>0</v>
      </c>
      <c r="S22" s="726">
        <f>SUMIFS('Schedule 5'!$F$506:$F$544,'Schedule 5'!$I$506:$I$544,'Well Cal.'!S$3,'Schedule 5'!$J$506:$J$544,'Well Cal.'!$E22)</f>
        <v>0</v>
      </c>
      <c r="T22" s="726">
        <f>SUMIFS('Schedule 5'!$F$506:$F$544,'Schedule 5'!$I$506:$I$544,'Well Cal.'!T$3,'Schedule 5'!$J$506:$J$544,'Well Cal.'!$E22)</f>
        <v>0</v>
      </c>
      <c r="U22" s="726">
        <f>SUMIFS('Schedule 5'!$F$506:$F$544,'Schedule 5'!$I$506:$I$544,'Well Cal.'!U$3,'Schedule 5'!$J$506:$J$544,'Well Cal.'!$E22)</f>
        <v>0</v>
      </c>
      <c r="V22" s="726">
        <f>SUMIFS('Schedule 5'!$F$506:$F$544,'Schedule 5'!$I$506:$I$544,'Well Cal.'!V$3,'Schedule 5'!$J$506:$J$544,'Well Cal.'!$E22)</f>
        <v>0</v>
      </c>
      <c r="W22" s="726">
        <f>SUMIFS('Schedule 5'!$F$506:$F$544,'Schedule 5'!$I$506:$I$544,'Well Cal.'!W$3,'Schedule 5'!$J$506:$J$544,'Well Cal.'!$E22)</f>
        <v>0</v>
      </c>
      <c r="X22" s="726">
        <f>SUMIFS('Schedule 5'!$F$506:$F$544,'Schedule 5'!$I$506:$I$544,'Well Cal.'!X$3,'Schedule 5'!$J$506:$J$544,'Well Cal.'!$E22)</f>
        <v>2.5</v>
      </c>
      <c r="Y22" s="726">
        <f>SUMIFS('Schedule 5'!$F$506:$F$544,'Schedule 5'!$I$506:$I$544,'Well Cal.'!Y$3,'Schedule 5'!$J$506:$J$544,'Well Cal.'!$E22)</f>
        <v>0</v>
      </c>
      <c r="Z22" s="726">
        <f>SUMIFS('Schedule 5'!$F$506:$F$544,'Schedule 5'!$I$506:$I$544,'Well Cal.'!Z$3,'Schedule 5'!$J$506:$J$544,'Well Cal.'!$E22)</f>
        <v>0</v>
      </c>
      <c r="AA22" s="727"/>
      <c r="AB22" s="1731"/>
      <c r="AC22" s="1731"/>
    </row>
    <row r="23" spans="2:29" x14ac:dyDescent="0.3">
      <c r="B23" s="1735"/>
      <c r="C23" s="1738"/>
      <c r="D23" s="1731"/>
      <c r="E23" s="761" t="s">
        <v>569</v>
      </c>
      <c r="F23" s="726">
        <f>SUMIFS('Schedule 5'!$F$506:$F$544,'Schedule 5'!$I$506:$I$544,'Well Cal.'!F$3,'Schedule 5'!$J$506:$J$544,'Well Cal.'!$E23)</f>
        <v>0</v>
      </c>
      <c r="G23" s="726">
        <f>SUMIFS('Schedule 5'!$F$506:$F$544,'Schedule 5'!$I$506:$I$544,'Well Cal.'!G$3,'Schedule 5'!$J$506:$J$544,'Well Cal.'!$E23)</f>
        <v>0</v>
      </c>
      <c r="H23" s="726">
        <f>SUMIFS('Schedule 5'!$F$506:$F$544,'Schedule 5'!$I$506:$I$544,'Well Cal.'!H$3,'Schedule 5'!$J$506:$J$544,'Well Cal.'!$E23)</f>
        <v>0</v>
      </c>
      <c r="I23" s="726">
        <f>SUMIFS('Schedule 5'!$F$506:$F$544,'Schedule 5'!$I$506:$I$544,'Well Cal.'!I$3,'Schedule 5'!$J$506:$J$544,'Well Cal.'!$E23)</f>
        <v>0</v>
      </c>
      <c r="J23" s="726">
        <f>SUMIFS('Schedule 5'!$F$506:$F$544,'Schedule 5'!$I$506:$I$544,'Well Cal.'!J$3,'Schedule 5'!$J$506:$J$544,'Well Cal.'!$E23)</f>
        <v>0</v>
      </c>
      <c r="K23" s="726">
        <f>SUMIFS('Schedule 5'!$F$506:$F$544,'Schedule 5'!$I$506:$I$544,'Well Cal.'!K$3,'Schedule 5'!$J$506:$J$544,'Well Cal.'!$E23)</f>
        <v>0</v>
      </c>
      <c r="L23" s="726">
        <f>SUMIFS('Schedule 5'!$F$506:$F$544,'Schedule 5'!$I$506:$I$544,'Well Cal.'!L$3,'Schedule 5'!$J$506:$J$544,'Well Cal.'!$E23)</f>
        <v>0</v>
      </c>
      <c r="M23" s="726">
        <f>SUMIFS('Schedule 5'!$F$506:$F$544,'Schedule 5'!$I$506:$I$544,'Well Cal.'!M$3,'Schedule 5'!$J$506:$J$544,'Well Cal.'!$E23)</f>
        <v>0</v>
      </c>
      <c r="N23" s="726">
        <f>SUMIFS('Schedule 5'!$F$506:$F$544,'Schedule 5'!$I$506:$I$544,'Well Cal.'!N$3,'Schedule 5'!$J$506:$J$544,'Well Cal.'!$E23)</f>
        <v>0</v>
      </c>
      <c r="O23" s="726">
        <f>SUMIFS('Schedule 5'!$F$506:$F$544,'Schedule 5'!$I$506:$I$544,'Well Cal.'!O$3,'Schedule 5'!$J$506:$J$544,'Well Cal.'!$E23)</f>
        <v>0</v>
      </c>
      <c r="P23" s="726">
        <f>SUMIFS('Schedule 5'!$F$506:$F$544,'Schedule 5'!$I$506:$I$544,'Well Cal.'!P$3,'Schedule 5'!$J$506:$J$544,'Well Cal.'!$E23)</f>
        <v>0</v>
      </c>
      <c r="Q23" s="726">
        <f>SUMIFS('Schedule 5'!$F$506:$F$544,'Schedule 5'!$I$506:$I$544,'Well Cal.'!Q$3,'Schedule 5'!$J$506:$J$544,'Well Cal.'!$E23)</f>
        <v>0</v>
      </c>
      <c r="R23" s="726">
        <f>SUMIFS('Schedule 5'!$F$506:$F$544,'Schedule 5'!$I$506:$I$544,'Well Cal.'!R$3,'Schedule 5'!$J$506:$J$544,'Well Cal.'!$E23)</f>
        <v>0</v>
      </c>
      <c r="S23" s="726">
        <f>SUMIFS('Schedule 5'!$F$506:$F$544,'Schedule 5'!$I$506:$I$544,'Well Cal.'!S$3,'Schedule 5'!$J$506:$J$544,'Well Cal.'!$E23)</f>
        <v>0</v>
      </c>
      <c r="T23" s="726">
        <f>SUMIFS('Schedule 5'!$F$506:$F$544,'Schedule 5'!$I$506:$I$544,'Well Cal.'!T$3,'Schedule 5'!$J$506:$J$544,'Well Cal.'!$E23)</f>
        <v>0</v>
      </c>
      <c r="U23" s="726">
        <f>SUMIFS('Schedule 5'!$F$506:$F$544,'Schedule 5'!$I$506:$I$544,'Well Cal.'!U$3,'Schedule 5'!$J$506:$J$544,'Well Cal.'!$E23)</f>
        <v>0</v>
      </c>
      <c r="V23" s="726">
        <f>SUMIFS('Schedule 5'!$F$506:$F$544,'Schedule 5'!$I$506:$I$544,'Well Cal.'!V$3,'Schedule 5'!$J$506:$J$544,'Well Cal.'!$E23)</f>
        <v>0</v>
      </c>
      <c r="W23" s="726">
        <f>SUMIFS('Schedule 5'!$F$506:$F$544,'Schedule 5'!$I$506:$I$544,'Well Cal.'!W$3,'Schedule 5'!$J$506:$J$544,'Well Cal.'!$E23)</f>
        <v>0</v>
      </c>
      <c r="X23" s="726">
        <f>SUMIFS('Schedule 5'!$F$506:$F$544,'Schedule 5'!$I$506:$I$544,'Well Cal.'!X$3,'Schedule 5'!$J$506:$J$544,'Well Cal.'!$E23)</f>
        <v>0</v>
      </c>
      <c r="Y23" s="726">
        <f>SUMIFS('Schedule 5'!$F$506:$F$544,'Schedule 5'!$I$506:$I$544,'Well Cal.'!Y$3,'Schedule 5'!$J$506:$J$544,'Well Cal.'!$E23)</f>
        <v>0</v>
      </c>
      <c r="Z23" s="726">
        <f>SUMIFS('Schedule 5'!$F$506:$F$544,'Schedule 5'!$I$506:$I$544,'Well Cal.'!Z$3,'Schedule 5'!$J$506:$J$544,'Well Cal.'!$E23)</f>
        <v>1.05</v>
      </c>
      <c r="AA23" s="727"/>
      <c r="AB23" s="1731"/>
      <c r="AC23" s="1731"/>
    </row>
    <row r="24" spans="2:29" x14ac:dyDescent="0.3">
      <c r="B24" s="1735"/>
      <c r="C24" s="1738"/>
      <c r="D24" s="1731"/>
      <c r="E24" s="761"/>
      <c r="F24" s="726"/>
      <c r="G24" s="726"/>
      <c r="H24" s="726"/>
      <c r="I24" s="726"/>
      <c r="J24" s="726"/>
      <c r="K24" s="726"/>
      <c r="L24" s="726"/>
      <c r="M24" s="726"/>
      <c r="N24" s="727"/>
      <c r="O24" s="727"/>
      <c r="P24" s="727"/>
      <c r="Q24" s="727"/>
      <c r="R24" s="727"/>
      <c r="S24" s="727"/>
      <c r="T24" s="727"/>
      <c r="U24" s="727"/>
      <c r="V24" s="727"/>
      <c r="W24" s="727"/>
      <c r="X24" s="727"/>
      <c r="Y24" s="727"/>
      <c r="Z24" s="727"/>
      <c r="AA24" s="727"/>
      <c r="AB24" s="1731"/>
      <c r="AC24" s="1731"/>
    </row>
    <row r="25" spans="2:29" x14ac:dyDescent="0.3">
      <c r="B25" s="1733" t="s">
        <v>6086</v>
      </c>
      <c r="C25" s="1736">
        <v>50.55</v>
      </c>
      <c r="D25" s="1729">
        <f>SUMIFS('Schedule 5'!$F$506:$F$544,'Schedule 5'!$K$506:$K$544,'Well Cal.'!$B$25)</f>
        <v>50.550000000000004</v>
      </c>
      <c r="E25" s="754" t="s">
        <v>6087</v>
      </c>
      <c r="F25" s="728">
        <f>SUMIFS('Schedule 5'!$F$506:$F$544,'Schedule 5'!$I$506:$I$544,'Well Cal.'!F$3,'Schedule 5'!$J$506:$J$544,'Well Cal.'!$E25)</f>
        <v>0</v>
      </c>
      <c r="G25" s="728">
        <f>SUMIFS('Schedule 5'!$F$506:$F$544,'Schedule 5'!$I$506:$I$544,'Well Cal.'!G$3,'Schedule 5'!$J$506:$J$544,'Well Cal.'!$E25)</f>
        <v>0</v>
      </c>
      <c r="H25" s="728">
        <f>SUMIFS('Schedule 5'!$F$506:$F$544,'Schedule 5'!$I$506:$I$544,'Well Cal.'!H$3,'Schedule 5'!$J$506:$J$544,'Well Cal.'!$E25)</f>
        <v>0</v>
      </c>
      <c r="I25" s="728">
        <f>SUMIFS('Schedule 5'!$F$506:$F$544,'Schedule 5'!$I$506:$I$544,'Well Cal.'!I$3,'Schedule 5'!$J$506:$J$544,'Well Cal.'!$E25)</f>
        <v>0</v>
      </c>
      <c r="J25" s="728">
        <f>SUMIFS('Schedule 5'!$F$506:$F$544,'Schedule 5'!$I$506:$I$544,'Well Cal.'!J$3,'Schedule 5'!$J$506:$J$544,'Well Cal.'!$E25)</f>
        <v>0</v>
      </c>
      <c r="K25" s="728">
        <f>SUMIFS('Schedule 5'!$F$506:$F$544,'Schedule 5'!$I$506:$I$544,'Well Cal.'!K$3,'Schedule 5'!$J$506:$J$544,'Well Cal.'!$E25)</f>
        <v>0</v>
      </c>
      <c r="L25" s="728">
        <f>SUMIFS('Schedule 5'!$F$506:$F$544,'Schedule 5'!$I$506:$I$544,'Well Cal.'!L$3,'Schedule 5'!$J$506:$J$544,'Well Cal.'!$E25)</f>
        <v>0</v>
      </c>
      <c r="M25" s="728">
        <f>SUMIFS('Schedule 5'!$F$506:$F$544,'Schedule 5'!$I$506:$I$544,'Well Cal.'!M$3,'Schedule 5'!$J$506:$J$544,'Well Cal.'!$E25)</f>
        <v>0</v>
      </c>
      <c r="N25" s="728">
        <f>SUMIFS('Schedule 5'!$F$506:$F$544,'Schedule 5'!$I$506:$I$544,'Well Cal.'!N$3,'Schedule 5'!$J$506:$J$544,'Well Cal.'!$E25)</f>
        <v>4.4800000000000004</v>
      </c>
      <c r="O25" s="728">
        <f>SUMIFS('Schedule 5'!$F$506:$F$544,'Schedule 5'!$I$506:$I$544,'Well Cal.'!O$3,'Schedule 5'!$J$506:$J$544,'Well Cal.'!$E25)</f>
        <v>0</v>
      </c>
      <c r="P25" s="728">
        <f>SUMIFS('Schedule 5'!$F$506:$F$544,'Schedule 5'!$I$506:$I$544,'Well Cal.'!P$3,'Schedule 5'!$J$506:$J$544,'Well Cal.'!$E25)</f>
        <v>0</v>
      </c>
      <c r="Q25" s="728">
        <f>SUMIFS('Schedule 5'!$F$506:$F$544,'Schedule 5'!$I$506:$I$544,'Well Cal.'!Q$3,'Schedule 5'!$J$506:$J$544,'Well Cal.'!$E25)</f>
        <v>0</v>
      </c>
      <c r="R25" s="728">
        <f>SUMIFS('Schedule 5'!$F$506:$F$544,'Schedule 5'!$I$506:$I$544,'Well Cal.'!R$3,'Schedule 5'!$J$506:$J$544,'Well Cal.'!$E25)</f>
        <v>0</v>
      </c>
      <c r="S25" s="728">
        <f>SUMIFS('Schedule 5'!$F$506:$F$544,'Schedule 5'!$I$506:$I$544,'Well Cal.'!S$3,'Schedule 5'!$J$506:$J$544,'Well Cal.'!$E25)</f>
        <v>0</v>
      </c>
      <c r="T25" s="728">
        <f>SUMIFS('Schedule 5'!$F$506:$F$544,'Schedule 5'!$I$506:$I$544,'Well Cal.'!T$3,'Schedule 5'!$J$506:$J$544,'Well Cal.'!$E25)</f>
        <v>0</v>
      </c>
      <c r="U25" s="728">
        <f>SUMIFS('Schedule 5'!$F$506:$F$544,'Schedule 5'!$I$506:$I$544,'Well Cal.'!U$3,'Schedule 5'!$J$506:$J$544,'Well Cal.'!$E25)</f>
        <v>0</v>
      </c>
      <c r="V25" s="728">
        <f>SUMIFS('Schedule 5'!$F$506:$F$544,'Schedule 5'!$I$506:$I$544,'Well Cal.'!V$3,'Schedule 5'!$J$506:$J$544,'Well Cal.'!$E25)</f>
        <v>0</v>
      </c>
      <c r="W25" s="728">
        <f>SUMIFS('Schedule 5'!$F$506:$F$544,'Schedule 5'!$I$506:$I$544,'Well Cal.'!W$3,'Schedule 5'!$J$506:$J$544,'Well Cal.'!$E25)</f>
        <v>0</v>
      </c>
      <c r="X25" s="728">
        <f>SUMIFS('Schedule 5'!$F$506:$F$544,'Schedule 5'!$I$506:$I$544,'Well Cal.'!X$3,'Schedule 5'!$J$506:$J$544,'Well Cal.'!$E25)</f>
        <v>0</v>
      </c>
      <c r="Y25" s="728">
        <f>SUMIFS('Schedule 5'!$F$506:$F$544,'Schedule 5'!$I$506:$I$544,'Well Cal.'!Y$3,'Schedule 5'!$J$506:$J$544,'Well Cal.'!$E25)</f>
        <v>0</v>
      </c>
      <c r="Z25" s="728">
        <f>SUMIFS('Schedule 5'!$F$506:$F$544,'Schedule 5'!$I$506:$I$544,'Well Cal.'!Z$3,'Schedule 5'!$J$506:$J$544,'Well Cal.'!$E25)</f>
        <v>0</v>
      </c>
      <c r="AA25" s="728"/>
      <c r="AB25" s="1729">
        <f>SUM(F25:AA45)</f>
        <v>50.550000000000004</v>
      </c>
      <c r="AC25" s="1729">
        <f>D25-AB25</f>
        <v>0</v>
      </c>
    </row>
    <row r="26" spans="2:29" x14ac:dyDescent="0.3">
      <c r="B26" s="1734"/>
      <c r="C26" s="1737"/>
      <c r="D26" s="1730"/>
      <c r="E26" s="761" t="s">
        <v>6088</v>
      </c>
      <c r="F26" s="954">
        <f>SUMIFS('Schedule 5'!$F$506:$F$544,'Schedule 5'!$I$506:$I$544,'Well Cal.'!F$3,'Schedule 5'!$J$506:$J$544,'Well Cal.'!$E26)</f>
        <v>0</v>
      </c>
      <c r="G26" s="954">
        <f>SUMIFS('Schedule 5'!$F$506:$F$544,'Schedule 5'!$I$506:$I$544,'Well Cal.'!G$3,'Schedule 5'!$J$506:$J$544,'Well Cal.'!$E26)</f>
        <v>0</v>
      </c>
      <c r="H26" s="954">
        <f>SUMIFS('Schedule 5'!$F$506:$F$544,'Schedule 5'!$I$506:$I$544,'Well Cal.'!H$3,'Schedule 5'!$J$506:$J$544,'Well Cal.'!$E26)</f>
        <v>0</v>
      </c>
      <c r="I26" s="954">
        <f>SUMIFS('Schedule 5'!$F$506:$F$544,'Schedule 5'!$I$506:$I$544,'Well Cal.'!I$3,'Schedule 5'!$J$506:$J$544,'Well Cal.'!$E26)</f>
        <v>0</v>
      </c>
      <c r="J26" s="954">
        <f>SUMIFS('Schedule 5'!$F$506:$F$544,'Schedule 5'!$I$506:$I$544,'Well Cal.'!J$3,'Schedule 5'!$J$506:$J$544,'Well Cal.'!$E26)</f>
        <v>0</v>
      </c>
      <c r="K26" s="954">
        <f>SUMIFS('Schedule 5'!$F$506:$F$544,'Schedule 5'!$I$506:$I$544,'Well Cal.'!K$3,'Schedule 5'!$J$506:$J$544,'Well Cal.'!$E26)</f>
        <v>0</v>
      </c>
      <c r="L26" s="954">
        <f>SUMIFS('Schedule 5'!$F$506:$F$544,'Schedule 5'!$I$506:$I$544,'Well Cal.'!L$3,'Schedule 5'!$J$506:$J$544,'Well Cal.'!$E26)</f>
        <v>0</v>
      </c>
      <c r="M26" s="954">
        <f>SUMIFS('Schedule 5'!$F$506:$F$544,'Schedule 5'!$I$506:$I$544,'Well Cal.'!M$3,'Schedule 5'!$J$506:$J$544,'Well Cal.'!$E26)</f>
        <v>0</v>
      </c>
      <c r="N26" s="954">
        <f>SUMIFS('Schedule 5'!$F$506:$F$544,'Schedule 5'!$I$506:$I$544,'Well Cal.'!N$3,'Schedule 5'!$J$506:$J$544,'Well Cal.'!$E26)</f>
        <v>0</v>
      </c>
      <c r="O26" s="954">
        <f>SUMIFS('Schedule 5'!$F$506:$F$544,'Schedule 5'!$I$506:$I$544,'Well Cal.'!O$3,'Schedule 5'!$J$506:$J$544,'Well Cal.'!$E26)</f>
        <v>2.5</v>
      </c>
      <c r="P26" s="954">
        <f>SUMIFS('Schedule 5'!$F$506:$F$544,'Schedule 5'!$I$506:$I$544,'Well Cal.'!P$3,'Schedule 5'!$J$506:$J$544,'Well Cal.'!$E26)</f>
        <v>0</v>
      </c>
      <c r="Q26" s="954">
        <f>SUMIFS('Schedule 5'!$F$506:$F$544,'Schedule 5'!$I$506:$I$544,'Well Cal.'!Q$3,'Schedule 5'!$J$506:$J$544,'Well Cal.'!$E26)</f>
        <v>0</v>
      </c>
      <c r="R26" s="954">
        <f>SUMIFS('Schedule 5'!$F$506:$F$544,'Schedule 5'!$I$506:$I$544,'Well Cal.'!R$3,'Schedule 5'!$J$506:$J$544,'Well Cal.'!$E26)</f>
        <v>0</v>
      </c>
      <c r="S26" s="954">
        <f>SUMIFS('Schedule 5'!$F$506:$F$544,'Schedule 5'!$I$506:$I$544,'Well Cal.'!S$3,'Schedule 5'!$J$506:$J$544,'Well Cal.'!$E26)</f>
        <v>0</v>
      </c>
      <c r="T26" s="954">
        <f>SUMIFS('Schedule 5'!$F$506:$F$544,'Schedule 5'!$I$506:$I$544,'Well Cal.'!T$3,'Schedule 5'!$J$506:$J$544,'Well Cal.'!$E26)</f>
        <v>0</v>
      </c>
      <c r="U26" s="954">
        <f>SUMIFS('Schedule 5'!$F$506:$F$544,'Schedule 5'!$I$506:$I$544,'Well Cal.'!U$3,'Schedule 5'!$J$506:$J$544,'Well Cal.'!$E26)</f>
        <v>0</v>
      </c>
      <c r="V26" s="954">
        <f>SUMIFS('Schedule 5'!$F$506:$F$544,'Schedule 5'!$I$506:$I$544,'Well Cal.'!V$3,'Schedule 5'!$J$506:$J$544,'Well Cal.'!$E26)</f>
        <v>0</v>
      </c>
      <c r="W26" s="954">
        <f>SUMIFS('Schedule 5'!$F$506:$F$544,'Schedule 5'!$I$506:$I$544,'Well Cal.'!W$3,'Schedule 5'!$J$506:$J$544,'Well Cal.'!$E26)</f>
        <v>0</v>
      </c>
      <c r="X26" s="954">
        <f>SUMIFS('Schedule 5'!$F$506:$F$544,'Schedule 5'!$I$506:$I$544,'Well Cal.'!X$3,'Schedule 5'!$J$506:$J$544,'Well Cal.'!$E26)</f>
        <v>0</v>
      </c>
      <c r="Y26" s="954">
        <f>SUMIFS('Schedule 5'!$F$506:$F$544,'Schedule 5'!$I$506:$I$544,'Well Cal.'!Y$3,'Schedule 5'!$J$506:$J$544,'Well Cal.'!$E26)</f>
        <v>0</v>
      </c>
      <c r="Z26" s="954">
        <f>SUMIFS('Schedule 5'!$F$506:$F$544,'Schedule 5'!$I$506:$I$544,'Well Cal.'!Z$3,'Schedule 5'!$J$506:$J$544,'Well Cal.'!$E26)</f>
        <v>0</v>
      </c>
      <c r="AA26" s="954"/>
      <c r="AB26" s="1730"/>
      <c r="AC26" s="1730"/>
    </row>
    <row r="27" spans="2:29" x14ac:dyDescent="0.3">
      <c r="B27" s="1734"/>
      <c r="C27" s="1737"/>
      <c r="D27" s="1730"/>
      <c r="E27" s="761" t="s">
        <v>6089</v>
      </c>
      <c r="F27" s="726">
        <f>SUMIFS('Schedule 5'!$F$506:$F$544,'Schedule 5'!$I$506:$I$544,'Well Cal.'!F$3,'Schedule 5'!$J$506:$J$544,'Well Cal.'!$E27)</f>
        <v>0</v>
      </c>
      <c r="G27" s="726">
        <f>SUMIFS('Schedule 5'!$F$506:$F$544,'Schedule 5'!$I$506:$I$544,'Well Cal.'!G$3,'Schedule 5'!$J$506:$J$544,'Well Cal.'!$E27)</f>
        <v>0</v>
      </c>
      <c r="H27" s="726">
        <f>SUMIFS('Schedule 5'!$F$506:$F$544,'Schedule 5'!$I$506:$I$544,'Well Cal.'!H$3,'Schedule 5'!$J$506:$J$544,'Well Cal.'!$E27)</f>
        <v>0</v>
      </c>
      <c r="I27" s="726">
        <f>SUMIFS('Schedule 5'!$F$506:$F$544,'Schedule 5'!$I$506:$I$544,'Well Cal.'!I$3,'Schedule 5'!$J$506:$J$544,'Well Cal.'!$E27)</f>
        <v>0</v>
      </c>
      <c r="J27" s="726">
        <f>SUMIFS('Schedule 5'!$F$506:$F$544,'Schedule 5'!$I$506:$I$544,'Well Cal.'!J$3,'Schedule 5'!$J$506:$J$544,'Well Cal.'!$E27)</f>
        <v>0</v>
      </c>
      <c r="K27" s="726">
        <f>SUMIFS('Schedule 5'!$F$506:$F$544,'Schedule 5'!$I$506:$I$544,'Well Cal.'!K$3,'Schedule 5'!$J$506:$J$544,'Well Cal.'!$E27)</f>
        <v>0</v>
      </c>
      <c r="L27" s="726">
        <f>SUMIFS('Schedule 5'!$F$506:$F$544,'Schedule 5'!$I$506:$I$544,'Well Cal.'!L$3,'Schedule 5'!$J$506:$J$544,'Well Cal.'!$E27)</f>
        <v>0</v>
      </c>
      <c r="M27" s="726">
        <f>SUMIFS('Schedule 5'!$F$506:$F$544,'Schedule 5'!$I$506:$I$544,'Well Cal.'!M$3,'Schedule 5'!$J$506:$J$544,'Well Cal.'!$E27)</f>
        <v>0</v>
      </c>
      <c r="N27" s="726">
        <f>SUMIFS('Schedule 5'!$F$506:$F$544,'Schedule 5'!$I$506:$I$544,'Well Cal.'!N$3,'Schedule 5'!$J$506:$J$544,'Well Cal.'!$E27)</f>
        <v>0</v>
      </c>
      <c r="O27" s="726">
        <f>SUMIFS('Schedule 5'!$F$506:$F$544,'Schedule 5'!$I$506:$I$544,'Well Cal.'!O$3,'Schedule 5'!$J$506:$J$544,'Well Cal.'!$E27)</f>
        <v>2.5</v>
      </c>
      <c r="P27" s="726">
        <f>SUMIFS('Schedule 5'!$F$506:$F$544,'Schedule 5'!$I$506:$I$544,'Well Cal.'!P$3,'Schedule 5'!$J$506:$J$544,'Well Cal.'!$E27)</f>
        <v>0</v>
      </c>
      <c r="Q27" s="726">
        <f>SUMIFS('Schedule 5'!$F$506:$F$544,'Schedule 5'!$I$506:$I$544,'Well Cal.'!Q$3,'Schedule 5'!$J$506:$J$544,'Well Cal.'!$E27)</f>
        <v>0</v>
      </c>
      <c r="R27" s="726">
        <f>SUMIFS('Schedule 5'!$F$506:$F$544,'Schedule 5'!$I$506:$I$544,'Well Cal.'!R$3,'Schedule 5'!$J$506:$J$544,'Well Cal.'!$E27)</f>
        <v>0</v>
      </c>
      <c r="S27" s="726">
        <f>SUMIFS('Schedule 5'!$F$506:$F$544,'Schedule 5'!$I$506:$I$544,'Well Cal.'!S$3,'Schedule 5'!$J$506:$J$544,'Well Cal.'!$E27)</f>
        <v>0</v>
      </c>
      <c r="T27" s="726">
        <f>SUMIFS('Schedule 5'!$F$506:$F$544,'Schedule 5'!$I$506:$I$544,'Well Cal.'!T$3,'Schedule 5'!$J$506:$J$544,'Well Cal.'!$E27)</f>
        <v>0</v>
      </c>
      <c r="U27" s="726">
        <f>SUMIFS('Schedule 5'!$F$506:$F$544,'Schedule 5'!$I$506:$I$544,'Well Cal.'!U$3,'Schedule 5'!$J$506:$J$544,'Well Cal.'!$E27)</f>
        <v>0</v>
      </c>
      <c r="V27" s="726">
        <f>SUMIFS('Schedule 5'!$F$506:$F$544,'Schedule 5'!$I$506:$I$544,'Well Cal.'!V$3,'Schedule 5'!$J$506:$J$544,'Well Cal.'!$E27)</f>
        <v>0</v>
      </c>
      <c r="W27" s="726">
        <f>SUMIFS('Schedule 5'!$F$506:$F$544,'Schedule 5'!$I$506:$I$544,'Well Cal.'!W$3,'Schedule 5'!$J$506:$J$544,'Well Cal.'!$E27)</f>
        <v>0</v>
      </c>
      <c r="X27" s="726">
        <f>SUMIFS('Schedule 5'!$F$506:$F$544,'Schedule 5'!$I$506:$I$544,'Well Cal.'!X$3,'Schedule 5'!$J$506:$J$544,'Well Cal.'!$E27)</f>
        <v>0</v>
      </c>
      <c r="Y27" s="726">
        <f>SUMIFS('Schedule 5'!$F$506:$F$544,'Schedule 5'!$I$506:$I$544,'Well Cal.'!Y$3,'Schedule 5'!$J$506:$J$544,'Well Cal.'!$E27)</f>
        <v>0</v>
      </c>
      <c r="Z27" s="726">
        <f>SUMIFS('Schedule 5'!$F$506:$F$544,'Schedule 5'!$I$506:$I$544,'Well Cal.'!Z$3,'Schedule 5'!$J$506:$J$544,'Well Cal.'!$E27)</f>
        <v>0</v>
      </c>
      <c r="AA27" s="726"/>
      <c r="AB27" s="1730"/>
      <c r="AC27" s="1730"/>
    </row>
    <row r="28" spans="2:29" x14ac:dyDescent="0.3">
      <c r="B28" s="1734"/>
      <c r="C28" s="1737"/>
      <c r="D28" s="1730"/>
      <c r="E28" s="761" t="s">
        <v>6090</v>
      </c>
      <c r="F28" s="726">
        <f>SUMIFS('Schedule 5'!$F$506:$F$544,'Schedule 5'!$I$506:$I$544,'Well Cal.'!F$3,'Schedule 5'!$J$506:$J$544,'Well Cal.'!$E28)</f>
        <v>0</v>
      </c>
      <c r="G28" s="726">
        <f>SUMIFS('Schedule 5'!$F$506:$F$544,'Schedule 5'!$I$506:$I$544,'Well Cal.'!G$3,'Schedule 5'!$J$506:$J$544,'Well Cal.'!$E28)</f>
        <v>0</v>
      </c>
      <c r="H28" s="726">
        <f>SUMIFS('Schedule 5'!$F$506:$F$544,'Schedule 5'!$I$506:$I$544,'Well Cal.'!H$3,'Schedule 5'!$J$506:$J$544,'Well Cal.'!$E28)</f>
        <v>0</v>
      </c>
      <c r="I28" s="726">
        <f>SUMIFS('Schedule 5'!$F$506:$F$544,'Schedule 5'!$I$506:$I$544,'Well Cal.'!I$3,'Schedule 5'!$J$506:$J$544,'Well Cal.'!$E28)</f>
        <v>0</v>
      </c>
      <c r="J28" s="726">
        <f>SUMIFS('Schedule 5'!$F$506:$F$544,'Schedule 5'!$I$506:$I$544,'Well Cal.'!J$3,'Schedule 5'!$J$506:$J$544,'Well Cal.'!$E28)</f>
        <v>0</v>
      </c>
      <c r="K28" s="726">
        <f>SUMIFS('Schedule 5'!$F$506:$F$544,'Schedule 5'!$I$506:$I$544,'Well Cal.'!K$3,'Schedule 5'!$J$506:$J$544,'Well Cal.'!$E28)</f>
        <v>0</v>
      </c>
      <c r="L28" s="726">
        <f>SUMIFS('Schedule 5'!$F$506:$F$544,'Schedule 5'!$I$506:$I$544,'Well Cal.'!L$3,'Schedule 5'!$J$506:$J$544,'Well Cal.'!$E28)</f>
        <v>0</v>
      </c>
      <c r="M28" s="726">
        <f>SUMIFS('Schedule 5'!$F$506:$F$544,'Schedule 5'!$I$506:$I$544,'Well Cal.'!M$3,'Schedule 5'!$J$506:$J$544,'Well Cal.'!$E28)</f>
        <v>0</v>
      </c>
      <c r="N28" s="726">
        <f>SUMIFS('Schedule 5'!$F$506:$F$544,'Schedule 5'!$I$506:$I$544,'Well Cal.'!N$3,'Schedule 5'!$J$506:$J$544,'Well Cal.'!$E28)</f>
        <v>0</v>
      </c>
      <c r="O28" s="726">
        <f>SUMIFS('Schedule 5'!$F$506:$F$544,'Schedule 5'!$I$506:$I$544,'Well Cal.'!O$3,'Schedule 5'!$J$506:$J$544,'Well Cal.'!$E28)</f>
        <v>2.5</v>
      </c>
      <c r="P28" s="726">
        <f>SUMIFS('Schedule 5'!$F$506:$F$544,'Schedule 5'!$I$506:$I$544,'Well Cal.'!P$3,'Schedule 5'!$J$506:$J$544,'Well Cal.'!$E28)</f>
        <v>0</v>
      </c>
      <c r="Q28" s="726">
        <f>SUMIFS('Schedule 5'!$F$506:$F$544,'Schedule 5'!$I$506:$I$544,'Well Cal.'!Q$3,'Schedule 5'!$J$506:$J$544,'Well Cal.'!$E28)</f>
        <v>0</v>
      </c>
      <c r="R28" s="726">
        <f>SUMIFS('Schedule 5'!$F$506:$F$544,'Schedule 5'!$I$506:$I$544,'Well Cal.'!R$3,'Schedule 5'!$J$506:$J$544,'Well Cal.'!$E28)</f>
        <v>0</v>
      </c>
      <c r="S28" s="726">
        <f>SUMIFS('Schedule 5'!$F$506:$F$544,'Schedule 5'!$I$506:$I$544,'Well Cal.'!S$3,'Schedule 5'!$J$506:$J$544,'Well Cal.'!$E28)</f>
        <v>0</v>
      </c>
      <c r="T28" s="726">
        <f>SUMIFS('Schedule 5'!$F$506:$F$544,'Schedule 5'!$I$506:$I$544,'Well Cal.'!T$3,'Schedule 5'!$J$506:$J$544,'Well Cal.'!$E28)</f>
        <v>0</v>
      </c>
      <c r="U28" s="726">
        <f>SUMIFS('Schedule 5'!$F$506:$F$544,'Schedule 5'!$I$506:$I$544,'Well Cal.'!U$3,'Schedule 5'!$J$506:$J$544,'Well Cal.'!$E28)</f>
        <v>0</v>
      </c>
      <c r="V28" s="726">
        <f>SUMIFS('Schedule 5'!$F$506:$F$544,'Schedule 5'!$I$506:$I$544,'Well Cal.'!V$3,'Schedule 5'!$J$506:$J$544,'Well Cal.'!$E28)</f>
        <v>0</v>
      </c>
      <c r="W28" s="726">
        <f>SUMIFS('Schedule 5'!$F$506:$F$544,'Schedule 5'!$I$506:$I$544,'Well Cal.'!W$3,'Schedule 5'!$J$506:$J$544,'Well Cal.'!$E28)</f>
        <v>0</v>
      </c>
      <c r="X28" s="726">
        <f>SUMIFS('Schedule 5'!$F$506:$F$544,'Schedule 5'!$I$506:$I$544,'Well Cal.'!X$3,'Schedule 5'!$J$506:$J$544,'Well Cal.'!$E28)</f>
        <v>0</v>
      </c>
      <c r="Y28" s="726">
        <f>SUMIFS('Schedule 5'!$F$506:$F$544,'Schedule 5'!$I$506:$I$544,'Well Cal.'!Y$3,'Schedule 5'!$J$506:$J$544,'Well Cal.'!$E28)</f>
        <v>0</v>
      </c>
      <c r="Z28" s="726">
        <f>SUMIFS('Schedule 5'!$F$506:$F$544,'Schedule 5'!$I$506:$I$544,'Well Cal.'!Z$3,'Schedule 5'!$J$506:$J$544,'Well Cal.'!$E28)</f>
        <v>0</v>
      </c>
      <c r="AA28" s="726"/>
      <c r="AB28" s="1730"/>
      <c r="AC28" s="1730"/>
    </row>
    <row r="29" spans="2:29" x14ac:dyDescent="0.3">
      <c r="B29" s="1734"/>
      <c r="C29" s="1737"/>
      <c r="D29" s="1730"/>
      <c r="E29" s="761" t="s">
        <v>6091</v>
      </c>
      <c r="F29" s="726">
        <f>SUMIFS('Schedule 5'!$F$506:$F$544,'Schedule 5'!$I$506:$I$544,'Well Cal.'!F$3,'Schedule 5'!$J$506:$J$544,'Well Cal.'!$E29)</f>
        <v>0</v>
      </c>
      <c r="G29" s="726">
        <f>SUMIFS('Schedule 5'!$F$506:$F$544,'Schedule 5'!$I$506:$I$544,'Well Cal.'!G$3,'Schedule 5'!$J$506:$J$544,'Well Cal.'!$E29)</f>
        <v>0</v>
      </c>
      <c r="H29" s="726">
        <f>SUMIFS('Schedule 5'!$F$506:$F$544,'Schedule 5'!$I$506:$I$544,'Well Cal.'!H$3,'Schedule 5'!$J$506:$J$544,'Well Cal.'!$E29)</f>
        <v>0</v>
      </c>
      <c r="I29" s="726">
        <f>SUMIFS('Schedule 5'!$F$506:$F$544,'Schedule 5'!$I$506:$I$544,'Well Cal.'!I$3,'Schedule 5'!$J$506:$J$544,'Well Cal.'!$E29)</f>
        <v>0</v>
      </c>
      <c r="J29" s="726">
        <f>SUMIFS('Schedule 5'!$F$506:$F$544,'Schedule 5'!$I$506:$I$544,'Well Cal.'!J$3,'Schedule 5'!$J$506:$J$544,'Well Cal.'!$E29)</f>
        <v>0</v>
      </c>
      <c r="K29" s="726">
        <f>SUMIFS('Schedule 5'!$F$506:$F$544,'Schedule 5'!$I$506:$I$544,'Well Cal.'!K$3,'Schedule 5'!$J$506:$J$544,'Well Cal.'!$E29)</f>
        <v>0</v>
      </c>
      <c r="L29" s="726">
        <f>SUMIFS('Schedule 5'!$F$506:$F$544,'Schedule 5'!$I$506:$I$544,'Well Cal.'!L$3,'Schedule 5'!$J$506:$J$544,'Well Cal.'!$E29)</f>
        <v>0</v>
      </c>
      <c r="M29" s="726">
        <f>SUMIFS('Schedule 5'!$F$506:$F$544,'Schedule 5'!$I$506:$I$544,'Well Cal.'!M$3,'Schedule 5'!$J$506:$J$544,'Well Cal.'!$E29)</f>
        <v>0</v>
      </c>
      <c r="N29" s="726">
        <f>SUMIFS('Schedule 5'!$F$506:$F$544,'Schedule 5'!$I$506:$I$544,'Well Cal.'!N$3,'Schedule 5'!$J$506:$J$544,'Well Cal.'!$E29)</f>
        <v>0</v>
      </c>
      <c r="O29" s="726">
        <f>SUMIFS('Schedule 5'!$F$506:$F$544,'Schedule 5'!$I$506:$I$544,'Well Cal.'!O$3,'Schedule 5'!$J$506:$J$544,'Well Cal.'!$E29)</f>
        <v>2.5</v>
      </c>
      <c r="P29" s="726">
        <f>SUMIFS('Schedule 5'!$F$506:$F$544,'Schedule 5'!$I$506:$I$544,'Well Cal.'!P$3,'Schedule 5'!$J$506:$J$544,'Well Cal.'!$E29)</f>
        <v>0</v>
      </c>
      <c r="Q29" s="726">
        <f>SUMIFS('Schedule 5'!$F$506:$F$544,'Schedule 5'!$I$506:$I$544,'Well Cal.'!Q$3,'Schedule 5'!$J$506:$J$544,'Well Cal.'!$E29)</f>
        <v>0</v>
      </c>
      <c r="R29" s="726">
        <f>SUMIFS('Schedule 5'!$F$506:$F$544,'Schedule 5'!$I$506:$I$544,'Well Cal.'!R$3,'Schedule 5'!$J$506:$J$544,'Well Cal.'!$E29)</f>
        <v>0</v>
      </c>
      <c r="S29" s="726">
        <f>SUMIFS('Schedule 5'!$F$506:$F$544,'Schedule 5'!$I$506:$I$544,'Well Cal.'!S$3,'Schedule 5'!$J$506:$J$544,'Well Cal.'!$E29)</f>
        <v>0</v>
      </c>
      <c r="T29" s="726">
        <f>SUMIFS('Schedule 5'!$F$506:$F$544,'Schedule 5'!$I$506:$I$544,'Well Cal.'!T$3,'Schedule 5'!$J$506:$J$544,'Well Cal.'!$E29)</f>
        <v>0</v>
      </c>
      <c r="U29" s="726">
        <f>SUMIFS('Schedule 5'!$F$506:$F$544,'Schedule 5'!$I$506:$I$544,'Well Cal.'!U$3,'Schedule 5'!$J$506:$J$544,'Well Cal.'!$E29)</f>
        <v>0</v>
      </c>
      <c r="V29" s="726">
        <f>SUMIFS('Schedule 5'!$F$506:$F$544,'Schedule 5'!$I$506:$I$544,'Well Cal.'!V$3,'Schedule 5'!$J$506:$J$544,'Well Cal.'!$E29)</f>
        <v>0</v>
      </c>
      <c r="W29" s="726">
        <f>SUMIFS('Schedule 5'!$F$506:$F$544,'Schedule 5'!$I$506:$I$544,'Well Cal.'!W$3,'Schedule 5'!$J$506:$J$544,'Well Cal.'!$E29)</f>
        <v>0</v>
      </c>
      <c r="X29" s="726">
        <f>SUMIFS('Schedule 5'!$F$506:$F$544,'Schedule 5'!$I$506:$I$544,'Well Cal.'!X$3,'Schedule 5'!$J$506:$J$544,'Well Cal.'!$E29)</f>
        <v>0</v>
      </c>
      <c r="Y29" s="726">
        <f>SUMIFS('Schedule 5'!$F$506:$F$544,'Schedule 5'!$I$506:$I$544,'Well Cal.'!Y$3,'Schedule 5'!$J$506:$J$544,'Well Cal.'!$E29)</f>
        <v>0</v>
      </c>
      <c r="Z29" s="726">
        <f>SUMIFS('Schedule 5'!$F$506:$F$544,'Schedule 5'!$I$506:$I$544,'Well Cal.'!Z$3,'Schedule 5'!$J$506:$J$544,'Well Cal.'!$E29)</f>
        <v>0</v>
      </c>
      <c r="AA29" s="726"/>
      <c r="AB29" s="1730"/>
      <c r="AC29" s="1730"/>
    </row>
    <row r="30" spans="2:29" x14ac:dyDescent="0.3">
      <c r="B30" s="1734"/>
      <c r="C30" s="1737"/>
      <c r="D30" s="1730"/>
      <c r="E30" s="761" t="s">
        <v>6092</v>
      </c>
      <c r="F30" s="726">
        <f>SUMIFS('Schedule 5'!$F$506:$F$544,'Schedule 5'!$I$506:$I$544,'Well Cal.'!F$3,'Schedule 5'!$J$506:$J$544,'Well Cal.'!$E30)</f>
        <v>0</v>
      </c>
      <c r="G30" s="726">
        <f>SUMIFS('Schedule 5'!$F$506:$F$544,'Schedule 5'!$I$506:$I$544,'Well Cal.'!G$3,'Schedule 5'!$J$506:$J$544,'Well Cal.'!$E30)</f>
        <v>0</v>
      </c>
      <c r="H30" s="726">
        <f>SUMIFS('Schedule 5'!$F$506:$F$544,'Schedule 5'!$I$506:$I$544,'Well Cal.'!H$3,'Schedule 5'!$J$506:$J$544,'Well Cal.'!$E30)</f>
        <v>0</v>
      </c>
      <c r="I30" s="726">
        <f>SUMIFS('Schedule 5'!$F$506:$F$544,'Schedule 5'!$I$506:$I$544,'Well Cal.'!I$3,'Schedule 5'!$J$506:$J$544,'Well Cal.'!$E30)</f>
        <v>0</v>
      </c>
      <c r="J30" s="726">
        <f>SUMIFS('Schedule 5'!$F$506:$F$544,'Schedule 5'!$I$506:$I$544,'Well Cal.'!J$3,'Schedule 5'!$J$506:$J$544,'Well Cal.'!$E30)</f>
        <v>0</v>
      </c>
      <c r="K30" s="726">
        <f>SUMIFS('Schedule 5'!$F$506:$F$544,'Schedule 5'!$I$506:$I$544,'Well Cal.'!K$3,'Schedule 5'!$J$506:$J$544,'Well Cal.'!$E30)</f>
        <v>0</v>
      </c>
      <c r="L30" s="726">
        <f>SUMIFS('Schedule 5'!$F$506:$F$544,'Schedule 5'!$I$506:$I$544,'Well Cal.'!L$3,'Schedule 5'!$J$506:$J$544,'Well Cal.'!$E30)</f>
        <v>0</v>
      </c>
      <c r="M30" s="726">
        <f>SUMIFS('Schedule 5'!$F$506:$F$544,'Schedule 5'!$I$506:$I$544,'Well Cal.'!M$3,'Schedule 5'!$J$506:$J$544,'Well Cal.'!$E30)</f>
        <v>0</v>
      </c>
      <c r="N30" s="726">
        <f>SUMIFS('Schedule 5'!$F$506:$F$544,'Schedule 5'!$I$506:$I$544,'Well Cal.'!N$3,'Schedule 5'!$J$506:$J$544,'Well Cal.'!$E30)</f>
        <v>0</v>
      </c>
      <c r="O30" s="726">
        <f>SUMIFS('Schedule 5'!$F$506:$F$544,'Schedule 5'!$I$506:$I$544,'Well Cal.'!O$3,'Schedule 5'!$J$506:$J$544,'Well Cal.'!$E30)</f>
        <v>0</v>
      </c>
      <c r="P30" s="726">
        <f>SUMIFS('Schedule 5'!$F$506:$F$544,'Schedule 5'!$I$506:$I$544,'Well Cal.'!P$3,'Schedule 5'!$J$506:$J$544,'Well Cal.'!$E30)</f>
        <v>2.5</v>
      </c>
      <c r="Q30" s="726">
        <f>SUMIFS('Schedule 5'!$F$506:$F$544,'Schedule 5'!$I$506:$I$544,'Well Cal.'!Q$3,'Schedule 5'!$J$506:$J$544,'Well Cal.'!$E30)</f>
        <v>0</v>
      </c>
      <c r="R30" s="726">
        <f>SUMIFS('Schedule 5'!$F$506:$F$544,'Schedule 5'!$I$506:$I$544,'Well Cal.'!R$3,'Schedule 5'!$J$506:$J$544,'Well Cal.'!$E30)</f>
        <v>0</v>
      </c>
      <c r="S30" s="726">
        <f>SUMIFS('Schedule 5'!$F$506:$F$544,'Schedule 5'!$I$506:$I$544,'Well Cal.'!S$3,'Schedule 5'!$J$506:$J$544,'Well Cal.'!$E30)</f>
        <v>0</v>
      </c>
      <c r="T30" s="726">
        <f>SUMIFS('Schedule 5'!$F$506:$F$544,'Schedule 5'!$I$506:$I$544,'Well Cal.'!T$3,'Schedule 5'!$J$506:$J$544,'Well Cal.'!$E30)</f>
        <v>0</v>
      </c>
      <c r="U30" s="726">
        <f>SUMIFS('Schedule 5'!$F$506:$F$544,'Schedule 5'!$I$506:$I$544,'Well Cal.'!U$3,'Schedule 5'!$J$506:$J$544,'Well Cal.'!$E30)</f>
        <v>0</v>
      </c>
      <c r="V30" s="726">
        <f>SUMIFS('Schedule 5'!$F$506:$F$544,'Schedule 5'!$I$506:$I$544,'Well Cal.'!V$3,'Schedule 5'!$J$506:$J$544,'Well Cal.'!$E30)</f>
        <v>0</v>
      </c>
      <c r="W30" s="726">
        <f>SUMIFS('Schedule 5'!$F$506:$F$544,'Schedule 5'!$I$506:$I$544,'Well Cal.'!W$3,'Schedule 5'!$J$506:$J$544,'Well Cal.'!$E30)</f>
        <v>0</v>
      </c>
      <c r="X30" s="726">
        <f>SUMIFS('Schedule 5'!$F$506:$F$544,'Schedule 5'!$I$506:$I$544,'Well Cal.'!X$3,'Schedule 5'!$J$506:$J$544,'Well Cal.'!$E30)</f>
        <v>0</v>
      </c>
      <c r="Y30" s="726">
        <f>SUMIFS('Schedule 5'!$F$506:$F$544,'Schedule 5'!$I$506:$I$544,'Well Cal.'!Y$3,'Schedule 5'!$J$506:$J$544,'Well Cal.'!$E30)</f>
        <v>0</v>
      </c>
      <c r="Z30" s="726">
        <f>SUMIFS('Schedule 5'!$F$506:$F$544,'Schedule 5'!$I$506:$I$544,'Well Cal.'!Z$3,'Schedule 5'!$J$506:$J$544,'Well Cal.'!$E30)</f>
        <v>0</v>
      </c>
      <c r="AA30" s="726"/>
      <c r="AB30" s="1730"/>
      <c r="AC30" s="1730"/>
    </row>
    <row r="31" spans="2:29" x14ac:dyDescent="0.3">
      <c r="B31" s="1734"/>
      <c r="C31" s="1737"/>
      <c r="D31" s="1730"/>
      <c r="E31" s="761" t="s">
        <v>6093</v>
      </c>
      <c r="F31" s="726">
        <f>SUMIFS('Schedule 5'!$F$506:$F$544,'Schedule 5'!$I$506:$I$544,'Well Cal.'!F$3,'Schedule 5'!$J$506:$J$544,'Well Cal.'!$E31)</f>
        <v>0</v>
      </c>
      <c r="G31" s="726">
        <f>SUMIFS('Schedule 5'!$F$506:$F$544,'Schedule 5'!$I$506:$I$544,'Well Cal.'!G$3,'Schedule 5'!$J$506:$J$544,'Well Cal.'!$E31)</f>
        <v>0</v>
      </c>
      <c r="H31" s="726">
        <f>SUMIFS('Schedule 5'!$F$506:$F$544,'Schedule 5'!$I$506:$I$544,'Well Cal.'!H$3,'Schedule 5'!$J$506:$J$544,'Well Cal.'!$E31)</f>
        <v>0</v>
      </c>
      <c r="I31" s="726">
        <f>SUMIFS('Schedule 5'!$F$506:$F$544,'Schedule 5'!$I$506:$I$544,'Well Cal.'!I$3,'Schedule 5'!$J$506:$J$544,'Well Cal.'!$E31)</f>
        <v>0</v>
      </c>
      <c r="J31" s="726">
        <f>SUMIFS('Schedule 5'!$F$506:$F$544,'Schedule 5'!$I$506:$I$544,'Well Cal.'!J$3,'Schedule 5'!$J$506:$J$544,'Well Cal.'!$E31)</f>
        <v>0</v>
      </c>
      <c r="K31" s="726">
        <f>SUMIFS('Schedule 5'!$F$506:$F$544,'Schedule 5'!$I$506:$I$544,'Well Cal.'!K$3,'Schedule 5'!$J$506:$J$544,'Well Cal.'!$E31)</f>
        <v>0</v>
      </c>
      <c r="L31" s="726">
        <f>SUMIFS('Schedule 5'!$F$506:$F$544,'Schedule 5'!$I$506:$I$544,'Well Cal.'!L$3,'Schedule 5'!$J$506:$J$544,'Well Cal.'!$E31)</f>
        <v>0</v>
      </c>
      <c r="M31" s="726">
        <f>SUMIFS('Schedule 5'!$F$506:$F$544,'Schedule 5'!$I$506:$I$544,'Well Cal.'!M$3,'Schedule 5'!$J$506:$J$544,'Well Cal.'!$E31)</f>
        <v>0</v>
      </c>
      <c r="N31" s="726">
        <f>SUMIFS('Schedule 5'!$F$506:$F$544,'Schedule 5'!$I$506:$I$544,'Well Cal.'!N$3,'Schedule 5'!$J$506:$J$544,'Well Cal.'!$E31)</f>
        <v>0</v>
      </c>
      <c r="O31" s="726">
        <f>SUMIFS('Schedule 5'!$F$506:$F$544,'Schedule 5'!$I$506:$I$544,'Well Cal.'!O$3,'Schedule 5'!$J$506:$J$544,'Well Cal.'!$E31)</f>
        <v>0</v>
      </c>
      <c r="P31" s="726">
        <f>SUMIFS('Schedule 5'!$F$506:$F$544,'Schedule 5'!$I$506:$I$544,'Well Cal.'!P$3,'Schedule 5'!$J$506:$J$544,'Well Cal.'!$E31)</f>
        <v>2.5</v>
      </c>
      <c r="Q31" s="726">
        <f>SUMIFS('Schedule 5'!$F$506:$F$544,'Schedule 5'!$I$506:$I$544,'Well Cal.'!Q$3,'Schedule 5'!$J$506:$J$544,'Well Cal.'!$E31)</f>
        <v>0</v>
      </c>
      <c r="R31" s="726">
        <f>SUMIFS('Schedule 5'!$F$506:$F$544,'Schedule 5'!$I$506:$I$544,'Well Cal.'!R$3,'Schedule 5'!$J$506:$J$544,'Well Cal.'!$E31)</f>
        <v>0</v>
      </c>
      <c r="S31" s="726">
        <f>SUMIFS('Schedule 5'!$F$506:$F$544,'Schedule 5'!$I$506:$I$544,'Well Cal.'!S$3,'Schedule 5'!$J$506:$J$544,'Well Cal.'!$E31)</f>
        <v>0</v>
      </c>
      <c r="T31" s="726">
        <f>SUMIFS('Schedule 5'!$F$506:$F$544,'Schedule 5'!$I$506:$I$544,'Well Cal.'!T$3,'Schedule 5'!$J$506:$J$544,'Well Cal.'!$E31)</f>
        <v>0</v>
      </c>
      <c r="U31" s="726">
        <f>SUMIFS('Schedule 5'!$F$506:$F$544,'Schedule 5'!$I$506:$I$544,'Well Cal.'!U$3,'Schedule 5'!$J$506:$J$544,'Well Cal.'!$E31)</f>
        <v>0</v>
      </c>
      <c r="V31" s="726">
        <f>SUMIFS('Schedule 5'!$F$506:$F$544,'Schedule 5'!$I$506:$I$544,'Well Cal.'!V$3,'Schedule 5'!$J$506:$J$544,'Well Cal.'!$E31)</f>
        <v>0</v>
      </c>
      <c r="W31" s="726">
        <f>SUMIFS('Schedule 5'!$F$506:$F$544,'Schedule 5'!$I$506:$I$544,'Well Cal.'!W$3,'Schedule 5'!$J$506:$J$544,'Well Cal.'!$E31)</f>
        <v>0</v>
      </c>
      <c r="X31" s="726">
        <f>SUMIFS('Schedule 5'!$F$506:$F$544,'Schedule 5'!$I$506:$I$544,'Well Cal.'!X$3,'Schedule 5'!$J$506:$J$544,'Well Cal.'!$E31)</f>
        <v>0</v>
      </c>
      <c r="Y31" s="726">
        <f>SUMIFS('Schedule 5'!$F$506:$F$544,'Schedule 5'!$I$506:$I$544,'Well Cal.'!Y$3,'Schedule 5'!$J$506:$J$544,'Well Cal.'!$E31)</f>
        <v>0</v>
      </c>
      <c r="Z31" s="726">
        <f>SUMIFS('Schedule 5'!$F$506:$F$544,'Schedule 5'!$I$506:$I$544,'Well Cal.'!Z$3,'Schedule 5'!$J$506:$J$544,'Well Cal.'!$E31)</f>
        <v>0</v>
      </c>
      <c r="AA31" s="726"/>
      <c r="AB31" s="1730"/>
      <c r="AC31" s="1730"/>
    </row>
    <row r="32" spans="2:29" x14ac:dyDescent="0.3">
      <c r="B32" s="1735"/>
      <c r="C32" s="1738"/>
      <c r="D32" s="1731"/>
      <c r="E32" s="761" t="s">
        <v>6094</v>
      </c>
      <c r="F32" s="726">
        <f>SUMIFS('Schedule 5'!$F$506:$F$544,'Schedule 5'!$I$506:$I$544,'Well Cal.'!F$3,'Schedule 5'!$J$506:$J$544,'Well Cal.'!$E32)</f>
        <v>0</v>
      </c>
      <c r="G32" s="726">
        <f>SUMIFS('Schedule 5'!$F$506:$F$544,'Schedule 5'!$I$506:$I$544,'Well Cal.'!G$3,'Schedule 5'!$J$506:$J$544,'Well Cal.'!$E32)</f>
        <v>0</v>
      </c>
      <c r="H32" s="726">
        <f>SUMIFS('Schedule 5'!$F$506:$F$544,'Schedule 5'!$I$506:$I$544,'Well Cal.'!H$3,'Schedule 5'!$J$506:$J$544,'Well Cal.'!$E32)</f>
        <v>0</v>
      </c>
      <c r="I32" s="726">
        <f>SUMIFS('Schedule 5'!$F$506:$F$544,'Schedule 5'!$I$506:$I$544,'Well Cal.'!I$3,'Schedule 5'!$J$506:$J$544,'Well Cal.'!$E32)</f>
        <v>0</v>
      </c>
      <c r="J32" s="726">
        <f>SUMIFS('Schedule 5'!$F$506:$F$544,'Schedule 5'!$I$506:$I$544,'Well Cal.'!J$3,'Schedule 5'!$J$506:$J$544,'Well Cal.'!$E32)</f>
        <v>0</v>
      </c>
      <c r="K32" s="726">
        <f>SUMIFS('Schedule 5'!$F$506:$F$544,'Schedule 5'!$I$506:$I$544,'Well Cal.'!K$3,'Schedule 5'!$J$506:$J$544,'Well Cal.'!$E32)</f>
        <v>0</v>
      </c>
      <c r="L32" s="726">
        <f>SUMIFS('Schedule 5'!$F$506:$F$544,'Schedule 5'!$I$506:$I$544,'Well Cal.'!L$3,'Schedule 5'!$J$506:$J$544,'Well Cal.'!$E32)</f>
        <v>0</v>
      </c>
      <c r="M32" s="726">
        <f>SUMIFS('Schedule 5'!$F$506:$F$544,'Schedule 5'!$I$506:$I$544,'Well Cal.'!M$3,'Schedule 5'!$J$506:$J$544,'Well Cal.'!$E32)</f>
        <v>0</v>
      </c>
      <c r="N32" s="726">
        <f>SUMIFS('Schedule 5'!$F$506:$F$544,'Schedule 5'!$I$506:$I$544,'Well Cal.'!N$3,'Schedule 5'!$J$506:$J$544,'Well Cal.'!$E32)</f>
        <v>0</v>
      </c>
      <c r="O32" s="726">
        <f>SUMIFS('Schedule 5'!$F$506:$F$544,'Schedule 5'!$I$506:$I$544,'Well Cal.'!O$3,'Schedule 5'!$J$506:$J$544,'Well Cal.'!$E32)</f>
        <v>0</v>
      </c>
      <c r="P32" s="726">
        <f>SUMIFS('Schedule 5'!$F$506:$F$544,'Schedule 5'!$I$506:$I$544,'Well Cal.'!P$3,'Schedule 5'!$J$506:$J$544,'Well Cal.'!$E32)</f>
        <v>2.5</v>
      </c>
      <c r="Q32" s="726">
        <f>SUMIFS('Schedule 5'!$F$506:$F$544,'Schedule 5'!$I$506:$I$544,'Well Cal.'!Q$3,'Schedule 5'!$J$506:$J$544,'Well Cal.'!$E32)</f>
        <v>0</v>
      </c>
      <c r="R32" s="726">
        <f>SUMIFS('Schedule 5'!$F$506:$F$544,'Schedule 5'!$I$506:$I$544,'Well Cal.'!R$3,'Schedule 5'!$J$506:$J$544,'Well Cal.'!$E32)</f>
        <v>0</v>
      </c>
      <c r="S32" s="726">
        <f>SUMIFS('Schedule 5'!$F$506:$F$544,'Schedule 5'!$I$506:$I$544,'Well Cal.'!S$3,'Schedule 5'!$J$506:$J$544,'Well Cal.'!$E32)</f>
        <v>0</v>
      </c>
      <c r="T32" s="726">
        <f>SUMIFS('Schedule 5'!$F$506:$F$544,'Schedule 5'!$I$506:$I$544,'Well Cal.'!T$3,'Schedule 5'!$J$506:$J$544,'Well Cal.'!$E32)</f>
        <v>0</v>
      </c>
      <c r="U32" s="726">
        <f>SUMIFS('Schedule 5'!$F$506:$F$544,'Schedule 5'!$I$506:$I$544,'Well Cal.'!U$3,'Schedule 5'!$J$506:$J$544,'Well Cal.'!$E32)</f>
        <v>0</v>
      </c>
      <c r="V32" s="726">
        <f>SUMIFS('Schedule 5'!$F$506:$F$544,'Schedule 5'!$I$506:$I$544,'Well Cal.'!V$3,'Schedule 5'!$J$506:$J$544,'Well Cal.'!$E32)</f>
        <v>0</v>
      </c>
      <c r="W32" s="726">
        <f>SUMIFS('Schedule 5'!$F$506:$F$544,'Schedule 5'!$I$506:$I$544,'Well Cal.'!W$3,'Schedule 5'!$J$506:$J$544,'Well Cal.'!$E32)</f>
        <v>0</v>
      </c>
      <c r="X32" s="726">
        <f>SUMIFS('Schedule 5'!$F$506:$F$544,'Schedule 5'!$I$506:$I$544,'Well Cal.'!X$3,'Schedule 5'!$J$506:$J$544,'Well Cal.'!$E32)</f>
        <v>0</v>
      </c>
      <c r="Y32" s="726">
        <f>SUMIFS('Schedule 5'!$F$506:$F$544,'Schedule 5'!$I$506:$I$544,'Well Cal.'!Y$3,'Schedule 5'!$J$506:$J$544,'Well Cal.'!$E32)</f>
        <v>0</v>
      </c>
      <c r="Z32" s="726">
        <f>SUMIFS('Schedule 5'!$F$506:$F$544,'Schedule 5'!$I$506:$I$544,'Well Cal.'!Z$3,'Schedule 5'!$J$506:$J$544,'Well Cal.'!$E32)</f>
        <v>0</v>
      </c>
      <c r="AA32" s="726"/>
      <c r="AB32" s="1731"/>
      <c r="AC32" s="1731"/>
    </row>
    <row r="33" spans="2:34" x14ac:dyDescent="0.3">
      <c r="B33" s="1735"/>
      <c r="C33" s="1738"/>
      <c r="D33" s="1731"/>
      <c r="E33" s="761" t="s">
        <v>6095</v>
      </c>
      <c r="F33" s="726">
        <f>SUMIFS('Schedule 5'!$F$506:$F$544,'Schedule 5'!$I$506:$I$544,'Well Cal.'!F$3,'Schedule 5'!$J$506:$J$544,'Well Cal.'!$E33)</f>
        <v>0</v>
      </c>
      <c r="G33" s="726">
        <f>SUMIFS('Schedule 5'!$F$506:$F$544,'Schedule 5'!$I$506:$I$544,'Well Cal.'!G$3,'Schedule 5'!$J$506:$J$544,'Well Cal.'!$E33)</f>
        <v>0</v>
      </c>
      <c r="H33" s="726">
        <f>SUMIFS('Schedule 5'!$F$506:$F$544,'Schedule 5'!$I$506:$I$544,'Well Cal.'!H$3,'Schedule 5'!$J$506:$J$544,'Well Cal.'!$E33)</f>
        <v>0</v>
      </c>
      <c r="I33" s="726">
        <f>SUMIFS('Schedule 5'!$F$506:$F$544,'Schedule 5'!$I$506:$I$544,'Well Cal.'!I$3,'Schedule 5'!$J$506:$J$544,'Well Cal.'!$E33)</f>
        <v>0</v>
      </c>
      <c r="J33" s="726">
        <f>SUMIFS('Schedule 5'!$F$506:$F$544,'Schedule 5'!$I$506:$I$544,'Well Cal.'!J$3,'Schedule 5'!$J$506:$J$544,'Well Cal.'!$E33)</f>
        <v>0</v>
      </c>
      <c r="K33" s="726">
        <f>SUMIFS('Schedule 5'!$F$506:$F$544,'Schedule 5'!$I$506:$I$544,'Well Cal.'!K$3,'Schedule 5'!$J$506:$J$544,'Well Cal.'!$E33)</f>
        <v>0</v>
      </c>
      <c r="L33" s="726">
        <f>SUMIFS('Schedule 5'!$F$506:$F$544,'Schedule 5'!$I$506:$I$544,'Well Cal.'!L$3,'Schedule 5'!$J$506:$J$544,'Well Cal.'!$E33)</f>
        <v>0</v>
      </c>
      <c r="M33" s="726">
        <f>SUMIFS('Schedule 5'!$F$506:$F$544,'Schedule 5'!$I$506:$I$544,'Well Cal.'!M$3,'Schedule 5'!$J$506:$J$544,'Well Cal.'!$E33)</f>
        <v>0</v>
      </c>
      <c r="N33" s="726">
        <f>SUMIFS('Schedule 5'!$F$506:$F$544,'Schedule 5'!$I$506:$I$544,'Well Cal.'!N$3,'Schedule 5'!$J$506:$J$544,'Well Cal.'!$E33)</f>
        <v>0</v>
      </c>
      <c r="O33" s="726">
        <f>SUMIFS('Schedule 5'!$F$506:$F$544,'Schedule 5'!$I$506:$I$544,'Well Cal.'!O$3,'Schedule 5'!$J$506:$J$544,'Well Cal.'!$E33)</f>
        <v>0</v>
      </c>
      <c r="P33" s="726">
        <f>SUMIFS('Schedule 5'!$F$506:$F$544,'Schedule 5'!$I$506:$I$544,'Well Cal.'!P$3,'Schedule 5'!$J$506:$J$544,'Well Cal.'!$E33)</f>
        <v>3.3</v>
      </c>
      <c r="Q33" s="726">
        <f>SUMIFS('Schedule 5'!$F$506:$F$544,'Schedule 5'!$I$506:$I$544,'Well Cal.'!Q$3,'Schedule 5'!$J$506:$J$544,'Well Cal.'!$E33)</f>
        <v>0</v>
      </c>
      <c r="R33" s="726">
        <f>SUMIFS('Schedule 5'!$F$506:$F$544,'Schedule 5'!$I$506:$I$544,'Well Cal.'!R$3,'Schedule 5'!$J$506:$J$544,'Well Cal.'!$E33)</f>
        <v>0</v>
      </c>
      <c r="S33" s="726">
        <f>SUMIFS('Schedule 5'!$F$506:$F$544,'Schedule 5'!$I$506:$I$544,'Well Cal.'!S$3,'Schedule 5'!$J$506:$J$544,'Well Cal.'!$E33)</f>
        <v>0</v>
      </c>
      <c r="T33" s="726">
        <f>SUMIFS('Schedule 5'!$F$506:$F$544,'Schedule 5'!$I$506:$I$544,'Well Cal.'!T$3,'Schedule 5'!$J$506:$J$544,'Well Cal.'!$E33)</f>
        <v>0</v>
      </c>
      <c r="U33" s="726">
        <f>SUMIFS('Schedule 5'!$F$506:$F$544,'Schedule 5'!$I$506:$I$544,'Well Cal.'!U$3,'Schedule 5'!$J$506:$J$544,'Well Cal.'!$E33)</f>
        <v>0</v>
      </c>
      <c r="V33" s="726">
        <f>SUMIFS('Schedule 5'!$F$506:$F$544,'Schedule 5'!$I$506:$I$544,'Well Cal.'!V$3,'Schedule 5'!$J$506:$J$544,'Well Cal.'!$E33)</f>
        <v>0</v>
      </c>
      <c r="W33" s="726">
        <f>SUMIFS('Schedule 5'!$F$506:$F$544,'Schedule 5'!$I$506:$I$544,'Well Cal.'!W$3,'Schedule 5'!$J$506:$J$544,'Well Cal.'!$E33)</f>
        <v>0</v>
      </c>
      <c r="X33" s="726">
        <f>SUMIFS('Schedule 5'!$F$506:$F$544,'Schedule 5'!$I$506:$I$544,'Well Cal.'!X$3,'Schedule 5'!$J$506:$J$544,'Well Cal.'!$E33)</f>
        <v>0</v>
      </c>
      <c r="Y33" s="726">
        <f>SUMIFS('Schedule 5'!$F$506:$F$544,'Schedule 5'!$I$506:$I$544,'Well Cal.'!Y$3,'Schedule 5'!$J$506:$J$544,'Well Cal.'!$E33)</f>
        <v>0</v>
      </c>
      <c r="Z33" s="726">
        <f>SUMIFS('Schedule 5'!$F$506:$F$544,'Schedule 5'!$I$506:$I$544,'Well Cal.'!Z$3,'Schedule 5'!$J$506:$J$544,'Well Cal.'!$E33)</f>
        <v>0</v>
      </c>
      <c r="AA33" s="726"/>
      <c r="AB33" s="1731"/>
      <c r="AC33" s="1731"/>
    </row>
    <row r="34" spans="2:34" x14ac:dyDescent="0.3">
      <c r="B34" s="1735"/>
      <c r="C34" s="1738"/>
      <c r="D34" s="1731"/>
      <c r="E34" s="761" t="s">
        <v>6096</v>
      </c>
      <c r="F34" s="726">
        <f>SUMIFS('Schedule 5'!$F$506:$F$544,'Schedule 5'!$I$506:$I$544,'Well Cal.'!F$3,'Schedule 5'!$J$506:$J$544,'Well Cal.'!$E34)</f>
        <v>0</v>
      </c>
      <c r="G34" s="726">
        <f>SUMIFS('Schedule 5'!$F$506:$F$544,'Schedule 5'!$I$506:$I$544,'Well Cal.'!G$3,'Schedule 5'!$J$506:$J$544,'Well Cal.'!$E34)</f>
        <v>0</v>
      </c>
      <c r="H34" s="726">
        <f>SUMIFS('Schedule 5'!$F$506:$F$544,'Schedule 5'!$I$506:$I$544,'Well Cal.'!H$3,'Schedule 5'!$J$506:$J$544,'Well Cal.'!$E34)</f>
        <v>0</v>
      </c>
      <c r="I34" s="726">
        <f>SUMIFS('Schedule 5'!$F$506:$F$544,'Schedule 5'!$I$506:$I$544,'Well Cal.'!I$3,'Schedule 5'!$J$506:$J$544,'Well Cal.'!$E34)</f>
        <v>0</v>
      </c>
      <c r="J34" s="726">
        <f>SUMIFS('Schedule 5'!$F$506:$F$544,'Schedule 5'!$I$506:$I$544,'Well Cal.'!J$3,'Schedule 5'!$J$506:$J$544,'Well Cal.'!$E34)</f>
        <v>0</v>
      </c>
      <c r="K34" s="726">
        <f>SUMIFS('Schedule 5'!$F$506:$F$544,'Schedule 5'!$I$506:$I$544,'Well Cal.'!K$3,'Schedule 5'!$J$506:$J$544,'Well Cal.'!$E34)</f>
        <v>0</v>
      </c>
      <c r="L34" s="726">
        <f>SUMIFS('Schedule 5'!$F$506:$F$544,'Schedule 5'!$I$506:$I$544,'Well Cal.'!L$3,'Schedule 5'!$J$506:$J$544,'Well Cal.'!$E34)</f>
        <v>0</v>
      </c>
      <c r="M34" s="726">
        <f>SUMIFS('Schedule 5'!$F$506:$F$544,'Schedule 5'!$I$506:$I$544,'Well Cal.'!M$3,'Schedule 5'!$J$506:$J$544,'Well Cal.'!$E34)</f>
        <v>0</v>
      </c>
      <c r="N34" s="726">
        <f>SUMIFS('Schedule 5'!$F$506:$F$544,'Schedule 5'!$I$506:$I$544,'Well Cal.'!N$3,'Schedule 5'!$J$506:$J$544,'Well Cal.'!$E34)</f>
        <v>0</v>
      </c>
      <c r="O34" s="726">
        <f>SUMIFS('Schedule 5'!$F$506:$F$544,'Schedule 5'!$I$506:$I$544,'Well Cal.'!O$3,'Schedule 5'!$J$506:$J$544,'Well Cal.'!$E34)</f>
        <v>0</v>
      </c>
      <c r="P34" s="726">
        <f>SUMIFS('Schedule 5'!$F$506:$F$544,'Schedule 5'!$I$506:$I$544,'Well Cal.'!P$3,'Schedule 5'!$J$506:$J$544,'Well Cal.'!$E34)</f>
        <v>0</v>
      </c>
      <c r="Q34" s="726">
        <f>SUMIFS('Schedule 5'!$F$506:$F$544,'Schedule 5'!$I$506:$I$544,'Well Cal.'!Q$3,'Schedule 5'!$J$506:$J$544,'Well Cal.'!$E34)</f>
        <v>2.5</v>
      </c>
      <c r="R34" s="726">
        <f>SUMIFS('Schedule 5'!$F$506:$F$544,'Schedule 5'!$I$506:$I$544,'Well Cal.'!R$3,'Schedule 5'!$J$506:$J$544,'Well Cal.'!$E34)</f>
        <v>0</v>
      </c>
      <c r="S34" s="726">
        <f>SUMIFS('Schedule 5'!$F$506:$F$544,'Schedule 5'!$I$506:$I$544,'Well Cal.'!S$3,'Schedule 5'!$J$506:$J$544,'Well Cal.'!$E34)</f>
        <v>0</v>
      </c>
      <c r="T34" s="726">
        <f>SUMIFS('Schedule 5'!$F$506:$F$544,'Schedule 5'!$I$506:$I$544,'Well Cal.'!T$3,'Schedule 5'!$J$506:$J$544,'Well Cal.'!$E34)</f>
        <v>0</v>
      </c>
      <c r="U34" s="726">
        <f>SUMIFS('Schedule 5'!$F$506:$F$544,'Schedule 5'!$I$506:$I$544,'Well Cal.'!U$3,'Schedule 5'!$J$506:$J$544,'Well Cal.'!$E34)</f>
        <v>0</v>
      </c>
      <c r="V34" s="726">
        <f>SUMIFS('Schedule 5'!$F$506:$F$544,'Schedule 5'!$I$506:$I$544,'Well Cal.'!V$3,'Schedule 5'!$J$506:$J$544,'Well Cal.'!$E34)</f>
        <v>0</v>
      </c>
      <c r="W34" s="726">
        <f>SUMIFS('Schedule 5'!$F$506:$F$544,'Schedule 5'!$I$506:$I$544,'Well Cal.'!W$3,'Schedule 5'!$J$506:$J$544,'Well Cal.'!$E34)</f>
        <v>0</v>
      </c>
      <c r="X34" s="726">
        <f>SUMIFS('Schedule 5'!$F$506:$F$544,'Schedule 5'!$I$506:$I$544,'Well Cal.'!X$3,'Schedule 5'!$J$506:$J$544,'Well Cal.'!$E34)</f>
        <v>0</v>
      </c>
      <c r="Y34" s="726">
        <f>SUMIFS('Schedule 5'!$F$506:$F$544,'Schedule 5'!$I$506:$I$544,'Well Cal.'!Y$3,'Schedule 5'!$J$506:$J$544,'Well Cal.'!$E34)</f>
        <v>0</v>
      </c>
      <c r="Z34" s="726">
        <f>SUMIFS('Schedule 5'!$F$506:$F$544,'Schedule 5'!$I$506:$I$544,'Well Cal.'!Z$3,'Schedule 5'!$J$506:$J$544,'Well Cal.'!$E34)</f>
        <v>0</v>
      </c>
      <c r="AA34" s="726"/>
      <c r="AB34" s="1731"/>
      <c r="AC34" s="1731"/>
    </row>
    <row r="35" spans="2:34" x14ac:dyDescent="0.3">
      <c r="B35" s="1735"/>
      <c r="C35" s="1738"/>
      <c r="D35" s="1731"/>
      <c r="E35" s="761" t="s">
        <v>6097</v>
      </c>
      <c r="F35" s="726">
        <f>SUMIFS('Schedule 5'!$F$506:$F$544,'Schedule 5'!$I$506:$I$544,'Well Cal.'!F$3,'Schedule 5'!$J$506:$J$544,'Well Cal.'!$E35)</f>
        <v>0</v>
      </c>
      <c r="G35" s="726">
        <f>SUMIFS('Schedule 5'!$F$506:$F$544,'Schedule 5'!$I$506:$I$544,'Well Cal.'!G$3,'Schedule 5'!$J$506:$J$544,'Well Cal.'!$E35)</f>
        <v>0</v>
      </c>
      <c r="H35" s="726">
        <f>SUMIFS('Schedule 5'!$F$506:$F$544,'Schedule 5'!$I$506:$I$544,'Well Cal.'!H$3,'Schedule 5'!$J$506:$J$544,'Well Cal.'!$E35)</f>
        <v>0</v>
      </c>
      <c r="I35" s="726">
        <f>SUMIFS('Schedule 5'!$F$506:$F$544,'Schedule 5'!$I$506:$I$544,'Well Cal.'!I$3,'Schedule 5'!$J$506:$J$544,'Well Cal.'!$E35)</f>
        <v>0</v>
      </c>
      <c r="J35" s="726">
        <f>SUMIFS('Schedule 5'!$F$506:$F$544,'Schedule 5'!$I$506:$I$544,'Well Cal.'!J$3,'Schedule 5'!$J$506:$J$544,'Well Cal.'!$E35)</f>
        <v>0</v>
      </c>
      <c r="K35" s="726">
        <f>SUMIFS('Schedule 5'!$F$506:$F$544,'Schedule 5'!$I$506:$I$544,'Well Cal.'!K$3,'Schedule 5'!$J$506:$J$544,'Well Cal.'!$E35)</f>
        <v>0</v>
      </c>
      <c r="L35" s="726">
        <f>SUMIFS('Schedule 5'!$F$506:$F$544,'Schedule 5'!$I$506:$I$544,'Well Cal.'!L$3,'Schedule 5'!$J$506:$J$544,'Well Cal.'!$E35)</f>
        <v>0</v>
      </c>
      <c r="M35" s="726">
        <f>SUMIFS('Schedule 5'!$F$506:$F$544,'Schedule 5'!$I$506:$I$544,'Well Cal.'!M$3,'Schedule 5'!$J$506:$J$544,'Well Cal.'!$E35)</f>
        <v>0</v>
      </c>
      <c r="N35" s="726">
        <f>SUMIFS('Schedule 5'!$F$506:$F$544,'Schedule 5'!$I$506:$I$544,'Well Cal.'!N$3,'Schedule 5'!$J$506:$J$544,'Well Cal.'!$E35)</f>
        <v>0</v>
      </c>
      <c r="O35" s="726">
        <f>SUMIFS('Schedule 5'!$F$506:$F$544,'Schedule 5'!$I$506:$I$544,'Well Cal.'!O$3,'Schedule 5'!$J$506:$J$544,'Well Cal.'!$E35)</f>
        <v>0</v>
      </c>
      <c r="P35" s="726">
        <f>SUMIFS('Schedule 5'!$F$506:$F$544,'Schedule 5'!$I$506:$I$544,'Well Cal.'!P$3,'Schedule 5'!$J$506:$J$544,'Well Cal.'!$E35)</f>
        <v>0</v>
      </c>
      <c r="Q35" s="726">
        <f>SUMIFS('Schedule 5'!$F$506:$F$544,'Schedule 5'!$I$506:$I$544,'Well Cal.'!Q$3,'Schedule 5'!$J$506:$J$544,'Well Cal.'!$E35)</f>
        <v>2.5</v>
      </c>
      <c r="R35" s="726">
        <f>SUMIFS('Schedule 5'!$F$506:$F$544,'Schedule 5'!$I$506:$I$544,'Well Cal.'!R$3,'Schedule 5'!$J$506:$J$544,'Well Cal.'!$E35)</f>
        <v>0</v>
      </c>
      <c r="S35" s="726">
        <f>SUMIFS('Schedule 5'!$F$506:$F$544,'Schedule 5'!$I$506:$I$544,'Well Cal.'!S$3,'Schedule 5'!$J$506:$J$544,'Well Cal.'!$E35)</f>
        <v>0</v>
      </c>
      <c r="T35" s="726">
        <f>SUMIFS('Schedule 5'!$F$506:$F$544,'Schedule 5'!$I$506:$I$544,'Well Cal.'!T$3,'Schedule 5'!$J$506:$J$544,'Well Cal.'!$E35)</f>
        <v>0</v>
      </c>
      <c r="U35" s="726">
        <f>SUMIFS('Schedule 5'!$F$506:$F$544,'Schedule 5'!$I$506:$I$544,'Well Cal.'!U$3,'Schedule 5'!$J$506:$J$544,'Well Cal.'!$E35)</f>
        <v>0</v>
      </c>
      <c r="V35" s="726">
        <f>SUMIFS('Schedule 5'!$F$506:$F$544,'Schedule 5'!$I$506:$I$544,'Well Cal.'!V$3,'Schedule 5'!$J$506:$J$544,'Well Cal.'!$E35)</f>
        <v>0</v>
      </c>
      <c r="W35" s="726">
        <f>SUMIFS('Schedule 5'!$F$506:$F$544,'Schedule 5'!$I$506:$I$544,'Well Cal.'!W$3,'Schedule 5'!$J$506:$J$544,'Well Cal.'!$E35)</f>
        <v>0</v>
      </c>
      <c r="X35" s="726">
        <f>SUMIFS('Schedule 5'!$F$506:$F$544,'Schedule 5'!$I$506:$I$544,'Well Cal.'!X$3,'Schedule 5'!$J$506:$J$544,'Well Cal.'!$E35)</f>
        <v>0</v>
      </c>
      <c r="Y35" s="726">
        <f>SUMIFS('Schedule 5'!$F$506:$F$544,'Schedule 5'!$I$506:$I$544,'Well Cal.'!Y$3,'Schedule 5'!$J$506:$J$544,'Well Cal.'!$E35)</f>
        <v>0</v>
      </c>
      <c r="Z35" s="726">
        <f>SUMIFS('Schedule 5'!$F$506:$F$544,'Schedule 5'!$I$506:$I$544,'Well Cal.'!Z$3,'Schedule 5'!$J$506:$J$544,'Well Cal.'!$E35)</f>
        <v>0</v>
      </c>
      <c r="AA35" s="726"/>
      <c r="AB35" s="1731"/>
      <c r="AC35" s="1731"/>
    </row>
    <row r="36" spans="2:34" x14ac:dyDescent="0.3">
      <c r="B36" s="1735"/>
      <c r="C36" s="1738"/>
      <c r="D36" s="1731"/>
      <c r="E36" s="761" t="s">
        <v>6098</v>
      </c>
      <c r="F36" s="726">
        <f>SUMIFS('Schedule 5'!$F$506:$F$544,'Schedule 5'!$I$506:$I$544,'Well Cal.'!F$3,'Schedule 5'!$J$506:$J$544,'Well Cal.'!$E36)</f>
        <v>0</v>
      </c>
      <c r="G36" s="726">
        <f>SUMIFS('Schedule 5'!$F$506:$F$544,'Schedule 5'!$I$506:$I$544,'Well Cal.'!G$3,'Schedule 5'!$J$506:$J$544,'Well Cal.'!$E36)</f>
        <v>0</v>
      </c>
      <c r="H36" s="726">
        <f>SUMIFS('Schedule 5'!$F$506:$F$544,'Schedule 5'!$I$506:$I$544,'Well Cal.'!H$3,'Schedule 5'!$J$506:$J$544,'Well Cal.'!$E36)</f>
        <v>0</v>
      </c>
      <c r="I36" s="726">
        <f>SUMIFS('Schedule 5'!$F$506:$F$544,'Schedule 5'!$I$506:$I$544,'Well Cal.'!I$3,'Schedule 5'!$J$506:$J$544,'Well Cal.'!$E36)</f>
        <v>0</v>
      </c>
      <c r="J36" s="726">
        <f>SUMIFS('Schedule 5'!$F$506:$F$544,'Schedule 5'!$I$506:$I$544,'Well Cal.'!J$3,'Schedule 5'!$J$506:$J$544,'Well Cal.'!$E36)</f>
        <v>0</v>
      </c>
      <c r="K36" s="726">
        <f>SUMIFS('Schedule 5'!$F$506:$F$544,'Schedule 5'!$I$506:$I$544,'Well Cal.'!K$3,'Schedule 5'!$J$506:$J$544,'Well Cal.'!$E36)</f>
        <v>0</v>
      </c>
      <c r="L36" s="726">
        <f>SUMIFS('Schedule 5'!$F$506:$F$544,'Schedule 5'!$I$506:$I$544,'Well Cal.'!L$3,'Schedule 5'!$J$506:$J$544,'Well Cal.'!$E36)</f>
        <v>0</v>
      </c>
      <c r="M36" s="726">
        <f>SUMIFS('Schedule 5'!$F$506:$F$544,'Schedule 5'!$I$506:$I$544,'Well Cal.'!M$3,'Schedule 5'!$J$506:$J$544,'Well Cal.'!$E36)</f>
        <v>0</v>
      </c>
      <c r="N36" s="726">
        <f>SUMIFS('Schedule 5'!$F$506:$F$544,'Schedule 5'!$I$506:$I$544,'Well Cal.'!N$3,'Schedule 5'!$J$506:$J$544,'Well Cal.'!$E36)</f>
        <v>0</v>
      </c>
      <c r="O36" s="726">
        <f>SUMIFS('Schedule 5'!$F$506:$F$544,'Schedule 5'!$I$506:$I$544,'Well Cal.'!O$3,'Schedule 5'!$J$506:$J$544,'Well Cal.'!$E36)</f>
        <v>0</v>
      </c>
      <c r="P36" s="726">
        <f>SUMIFS('Schedule 5'!$F$506:$F$544,'Schedule 5'!$I$506:$I$544,'Well Cal.'!P$3,'Schedule 5'!$J$506:$J$544,'Well Cal.'!$E36)</f>
        <v>0</v>
      </c>
      <c r="Q36" s="726">
        <f>SUMIFS('Schedule 5'!$F$506:$F$544,'Schedule 5'!$I$506:$I$544,'Well Cal.'!Q$3,'Schedule 5'!$J$506:$J$544,'Well Cal.'!$E36)</f>
        <v>0</v>
      </c>
      <c r="R36" s="726">
        <f>SUMIFS('Schedule 5'!$F$506:$F$544,'Schedule 5'!$I$506:$I$544,'Well Cal.'!R$3,'Schedule 5'!$J$506:$J$544,'Well Cal.'!$E36)</f>
        <v>2.5</v>
      </c>
      <c r="S36" s="726">
        <f>SUMIFS('Schedule 5'!$F$506:$F$544,'Schedule 5'!$I$506:$I$544,'Well Cal.'!S$3,'Schedule 5'!$J$506:$J$544,'Well Cal.'!$E36)</f>
        <v>0</v>
      </c>
      <c r="T36" s="726">
        <f>SUMIFS('Schedule 5'!$F$506:$F$544,'Schedule 5'!$I$506:$I$544,'Well Cal.'!T$3,'Schedule 5'!$J$506:$J$544,'Well Cal.'!$E36)</f>
        <v>0</v>
      </c>
      <c r="U36" s="726">
        <f>SUMIFS('Schedule 5'!$F$506:$F$544,'Schedule 5'!$I$506:$I$544,'Well Cal.'!U$3,'Schedule 5'!$J$506:$J$544,'Well Cal.'!$E36)</f>
        <v>0</v>
      </c>
      <c r="V36" s="726">
        <f>SUMIFS('Schedule 5'!$F$506:$F$544,'Schedule 5'!$I$506:$I$544,'Well Cal.'!V$3,'Schedule 5'!$J$506:$J$544,'Well Cal.'!$E36)</f>
        <v>0</v>
      </c>
      <c r="W36" s="726">
        <f>SUMIFS('Schedule 5'!$F$506:$F$544,'Schedule 5'!$I$506:$I$544,'Well Cal.'!W$3,'Schedule 5'!$J$506:$J$544,'Well Cal.'!$E36)</f>
        <v>0</v>
      </c>
      <c r="X36" s="726">
        <f>SUMIFS('Schedule 5'!$F$506:$F$544,'Schedule 5'!$I$506:$I$544,'Well Cal.'!X$3,'Schedule 5'!$J$506:$J$544,'Well Cal.'!$E36)</f>
        <v>0</v>
      </c>
      <c r="Y36" s="726">
        <f>SUMIFS('Schedule 5'!$F$506:$F$544,'Schedule 5'!$I$506:$I$544,'Well Cal.'!Y$3,'Schedule 5'!$J$506:$J$544,'Well Cal.'!$E36)</f>
        <v>0</v>
      </c>
      <c r="Z36" s="726">
        <f>SUMIFS('Schedule 5'!$F$506:$F$544,'Schedule 5'!$I$506:$I$544,'Well Cal.'!Z$3,'Schedule 5'!$J$506:$J$544,'Well Cal.'!$E36)</f>
        <v>0</v>
      </c>
      <c r="AA36" s="726"/>
      <c r="AB36" s="1731"/>
      <c r="AC36" s="1731"/>
    </row>
    <row r="37" spans="2:34" x14ac:dyDescent="0.3">
      <c r="B37" s="1735"/>
      <c r="C37" s="1738"/>
      <c r="D37" s="1731"/>
      <c r="E37" s="761" t="s">
        <v>6099</v>
      </c>
      <c r="F37" s="726">
        <f>SUMIFS('Schedule 5'!$F$506:$F$544,'Schedule 5'!$I$506:$I$544,'Well Cal.'!F$3,'Schedule 5'!$J$506:$J$544,'Well Cal.'!$E37)</f>
        <v>0</v>
      </c>
      <c r="G37" s="726">
        <f>SUMIFS('Schedule 5'!$F$506:$F$544,'Schedule 5'!$I$506:$I$544,'Well Cal.'!G$3,'Schedule 5'!$J$506:$J$544,'Well Cal.'!$E37)</f>
        <v>0</v>
      </c>
      <c r="H37" s="726">
        <f>SUMIFS('Schedule 5'!$F$506:$F$544,'Schedule 5'!$I$506:$I$544,'Well Cal.'!H$3,'Schedule 5'!$J$506:$J$544,'Well Cal.'!$E37)</f>
        <v>0</v>
      </c>
      <c r="I37" s="726">
        <f>SUMIFS('Schedule 5'!$F$506:$F$544,'Schedule 5'!$I$506:$I$544,'Well Cal.'!I$3,'Schedule 5'!$J$506:$J$544,'Well Cal.'!$E37)</f>
        <v>0</v>
      </c>
      <c r="J37" s="726">
        <f>SUMIFS('Schedule 5'!$F$506:$F$544,'Schedule 5'!$I$506:$I$544,'Well Cal.'!J$3,'Schedule 5'!$J$506:$J$544,'Well Cal.'!$E37)</f>
        <v>0</v>
      </c>
      <c r="K37" s="726">
        <f>SUMIFS('Schedule 5'!$F$506:$F$544,'Schedule 5'!$I$506:$I$544,'Well Cal.'!K$3,'Schedule 5'!$J$506:$J$544,'Well Cal.'!$E37)</f>
        <v>0</v>
      </c>
      <c r="L37" s="726">
        <f>SUMIFS('Schedule 5'!$F$506:$F$544,'Schedule 5'!$I$506:$I$544,'Well Cal.'!L$3,'Schedule 5'!$J$506:$J$544,'Well Cal.'!$E37)</f>
        <v>0</v>
      </c>
      <c r="M37" s="726">
        <f>SUMIFS('Schedule 5'!$F$506:$F$544,'Schedule 5'!$I$506:$I$544,'Well Cal.'!M$3,'Schedule 5'!$J$506:$J$544,'Well Cal.'!$E37)</f>
        <v>0</v>
      </c>
      <c r="N37" s="726">
        <f>SUMIFS('Schedule 5'!$F$506:$F$544,'Schedule 5'!$I$506:$I$544,'Well Cal.'!N$3,'Schedule 5'!$J$506:$J$544,'Well Cal.'!$E37)</f>
        <v>0</v>
      </c>
      <c r="O37" s="726">
        <f>SUMIFS('Schedule 5'!$F$506:$F$544,'Schedule 5'!$I$506:$I$544,'Well Cal.'!O$3,'Schedule 5'!$J$506:$J$544,'Well Cal.'!$E37)</f>
        <v>0</v>
      </c>
      <c r="P37" s="726">
        <f>SUMIFS('Schedule 5'!$F$506:$F$544,'Schedule 5'!$I$506:$I$544,'Well Cal.'!P$3,'Schedule 5'!$J$506:$J$544,'Well Cal.'!$E37)</f>
        <v>0</v>
      </c>
      <c r="Q37" s="726">
        <f>SUMIFS('Schedule 5'!$F$506:$F$544,'Schedule 5'!$I$506:$I$544,'Well Cal.'!Q$3,'Schedule 5'!$J$506:$J$544,'Well Cal.'!$E37)</f>
        <v>0</v>
      </c>
      <c r="R37" s="726">
        <f>SUMIFS('Schedule 5'!$F$506:$F$544,'Schedule 5'!$I$506:$I$544,'Well Cal.'!R$3,'Schedule 5'!$J$506:$J$544,'Well Cal.'!$E37)</f>
        <v>0</v>
      </c>
      <c r="S37" s="726">
        <f>SUMIFS('Schedule 5'!$F$506:$F$544,'Schedule 5'!$I$506:$I$544,'Well Cal.'!S$3,'Schedule 5'!$J$506:$J$544,'Well Cal.'!$E37)</f>
        <v>2.5</v>
      </c>
      <c r="T37" s="726">
        <f>SUMIFS('Schedule 5'!$F$506:$F$544,'Schedule 5'!$I$506:$I$544,'Well Cal.'!T$3,'Schedule 5'!$J$506:$J$544,'Well Cal.'!$E37)</f>
        <v>0</v>
      </c>
      <c r="U37" s="726">
        <f>SUMIFS('Schedule 5'!$F$506:$F$544,'Schedule 5'!$I$506:$I$544,'Well Cal.'!U$3,'Schedule 5'!$J$506:$J$544,'Well Cal.'!$E37)</f>
        <v>0</v>
      </c>
      <c r="V37" s="726">
        <f>SUMIFS('Schedule 5'!$F$506:$F$544,'Schedule 5'!$I$506:$I$544,'Well Cal.'!V$3,'Schedule 5'!$J$506:$J$544,'Well Cal.'!$E37)</f>
        <v>0</v>
      </c>
      <c r="W37" s="726">
        <f>SUMIFS('Schedule 5'!$F$506:$F$544,'Schedule 5'!$I$506:$I$544,'Well Cal.'!W$3,'Schedule 5'!$J$506:$J$544,'Well Cal.'!$E37)</f>
        <v>0</v>
      </c>
      <c r="X37" s="726">
        <f>SUMIFS('Schedule 5'!$F$506:$F$544,'Schedule 5'!$I$506:$I$544,'Well Cal.'!X$3,'Schedule 5'!$J$506:$J$544,'Well Cal.'!$E37)</f>
        <v>0</v>
      </c>
      <c r="Y37" s="726">
        <f>SUMIFS('Schedule 5'!$F$506:$F$544,'Schedule 5'!$I$506:$I$544,'Well Cal.'!Y$3,'Schedule 5'!$J$506:$J$544,'Well Cal.'!$E37)</f>
        <v>0</v>
      </c>
      <c r="Z37" s="726">
        <f>SUMIFS('Schedule 5'!$F$506:$F$544,'Schedule 5'!$I$506:$I$544,'Well Cal.'!Z$3,'Schedule 5'!$J$506:$J$544,'Well Cal.'!$E37)</f>
        <v>0</v>
      </c>
      <c r="AA37" s="726"/>
      <c r="AB37" s="1731"/>
      <c r="AC37" s="1731"/>
    </row>
    <row r="38" spans="2:34" x14ac:dyDescent="0.3">
      <c r="B38" s="1735"/>
      <c r="C38" s="1738"/>
      <c r="D38" s="1731"/>
      <c r="E38" s="761" t="s">
        <v>6100</v>
      </c>
      <c r="F38" s="726">
        <f>SUMIFS('Schedule 5'!$F$506:$F$544,'Schedule 5'!$I$506:$I$544,'Well Cal.'!F$3,'Schedule 5'!$J$506:$J$544,'Well Cal.'!$E38)</f>
        <v>0</v>
      </c>
      <c r="G38" s="726">
        <f>SUMIFS('Schedule 5'!$F$506:$F$544,'Schedule 5'!$I$506:$I$544,'Well Cal.'!G$3,'Schedule 5'!$J$506:$J$544,'Well Cal.'!$E38)</f>
        <v>0</v>
      </c>
      <c r="H38" s="726">
        <f>SUMIFS('Schedule 5'!$F$506:$F$544,'Schedule 5'!$I$506:$I$544,'Well Cal.'!H$3,'Schedule 5'!$J$506:$J$544,'Well Cal.'!$E38)</f>
        <v>0</v>
      </c>
      <c r="I38" s="726">
        <f>SUMIFS('Schedule 5'!$F$506:$F$544,'Schedule 5'!$I$506:$I$544,'Well Cal.'!I$3,'Schedule 5'!$J$506:$J$544,'Well Cal.'!$E38)</f>
        <v>0</v>
      </c>
      <c r="J38" s="726">
        <f>SUMIFS('Schedule 5'!$F$506:$F$544,'Schedule 5'!$I$506:$I$544,'Well Cal.'!J$3,'Schedule 5'!$J$506:$J$544,'Well Cal.'!$E38)</f>
        <v>0</v>
      </c>
      <c r="K38" s="726">
        <f>SUMIFS('Schedule 5'!$F$506:$F$544,'Schedule 5'!$I$506:$I$544,'Well Cal.'!K$3,'Schedule 5'!$J$506:$J$544,'Well Cal.'!$E38)</f>
        <v>0</v>
      </c>
      <c r="L38" s="726">
        <f>SUMIFS('Schedule 5'!$F$506:$F$544,'Schedule 5'!$I$506:$I$544,'Well Cal.'!L$3,'Schedule 5'!$J$506:$J$544,'Well Cal.'!$E38)</f>
        <v>0</v>
      </c>
      <c r="M38" s="726">
        <f>SUMIFS('Schedule 5'!$F$506:$F$544,'Schedule 5'!$I$506:$I$544,'Well Cal.'!M$3,'Schedule 5'!$J$506:$J$544,'Well Cal.'!$E38)</f>
        <v>0</v>
      </c>
      <c r="N38" s="726">
        <f>SUMIFS('Schedule 5'!$F$506:$F$544,'Schedule 5'!$I$506:$I$544,'Well Cal.'!N$3,'Schedule 5'!$J$506:$J$544,'Well Cal.'!$E38)</f>
        <v>0</v>
      </c>
      <c r="O38" s="726">
        <f>SUMIFS('Schedule 5'!$F$506:$F$544,'Schedule 5'!$I$506:$I$544,'Well Cal.'!O$3,'Schedule 5'!$J$506:$J$544,'Well Cal.'!$E38)</f>
        <v>0</v>
      </c>
      <c r="P38" s="726">
        <f>SUMIFS('Schedule 5'!$F$506:$F$544,'Schedule 5'!$I$506:$I$544,'Well Cal.'!P$3,'Schedule 5'!$J$506:$J$544,'Well Cal.'!$E38)</f>
        <v>0</v>
      </c>
      <c r="Q38" s="726">
        <f>SUMIFS('Schedule 5'!$F$506:$F$544,'Schedule 5'!$I$506:$I$544,'Well Cal.'!Q$3,'Schedule 5'!$J$506:$J$544,'Well Cal.'!$E38)</f>
        <v>0</v>
      </c>
      <c r="R38" s="726">
        <f>SUMIFS('Schedule 5'!$F$506:$F$544,'Schedule 5'!$I$506:$I$544,'Well Cal.'!R$3,'Schedule 5'!$J$506:$J$544,'Well Cal.'!$E38)</f>
        <v>0</v>
      </c>
      <c r="S38" s="726">
        <f>SUMIFS('Schedule 5'!$F$506:$F$544,'Schedule 5'!$I$506:$I$544,'Well Cal.'!S$3,'Schedule 5'!$J$506:$J$544,'Well Cal.'!$E38)</f>
        <v>2.5</v>
      </c>
      <c r="T38" s="726">
        <f>SUMIFS('Schedule 5'!$F$506:$F$544,'Schedule 5'!$I$506:$I$544,'Well Cal.'!T$3,'Schedule 5'!$J$506:$J$544,'Well Cal.'!$E38)</f>
        <v>0</v>
      </c>
      <c r="U38" s="726">
        <f>SUMIFS('Schedule 5'!$F$506:$F$544,'Schedule 5'!$I$506:$I$544,'Well Cal.'!U$3,'Schedule 5'!$J$506:$J$544,'Well Cal.'!$E38)</f>
        <v>0</v>
      </c>
      <c r="V38" s="726">
        <f>SUMIFS('Schedule 5'!$F$506:$F$544,'Schedule 5'!$I$506:$I$544,'Well Cal.'!V$3,'Schedule 5'!$J$506:$J$544,'Well Cal.'!$E38)</f>
        <v>0</v>
      </c>
      <c r="W38" s="726">
        <f>SUMIFS('Schedule 5'!$F$506:$F$544,'Schedule 5'!$I$506:$I$544,'Well Cal.'!W$3,'Schedule 5'!$J$506:$J$544,'Well Cal.'!$E38)</f>
        <v>0</v>
      </c>
      <c r="X38" s="726">
        <f>SUMIFS('Schedule 5'!$F$506:$F$544,'Schedule 5'!$I$506:$I$544,'Well Cal.'!X$3,'Schedule 5'!$J$506:$J$544,'Well Cal.'!$E38)</f>
        <v>0</v>
      </c>
      <c r="Y38" s="726">
        <f>SUMIFS('Schedule 5'!$F$506:$F$544,'Schedule 5'!$I$506:$I$544,'Well Cal.'!Y$3,'Schedule 5'!$J$506:$J$544,'Well Cal.'!$E38)</f>
        <v>0</v>
      </c>
      <c r="Z38" s="726">
        <f>SUMIFS('Schedule 5'!$F$506:$F$544,'Schedule 5'!$I$506:$I$544,'Well Cal.'!Z$3,'Schedule 5'!$J$506:$J$544,'Well Cal.'!$E38)</f>
        <v>0</v>
      </c>
      <c r="AA38" s="726"/>
      <c r="AB38" s="1731"/>
      <c r="AC38" s="1731"/>
    </row>
    <row r="39" spans="2:34" x14ac:dyDescent="0.3">
      <c r="B39" s="1735"/>
      <c r="C39" s="1738"/>
      <c r="D39" s="1731"/>
      <c r="E39" s="761" t="s">
        <v>6101</v>
      </c>
      <c r="F39" s="726">
        <f>SUMIFS('Schedule 5'!$F$506:$F$544,'Schedule 5'!$I$506:$I$544,'Well Cal.'!F$3,'Schedule 5'!$J$506:$J$544,'Well Cal.'!$E39)</f>
        <v>0</v>
      </c>
      <c r="G39" s="726">
        <f>SUMIFS('Schedule 5'!$F$506:$F$544,'Schedule 5'!$I$506:$I$544,'Well Cal.'!G$3,'Schedule 5'!$J$506:$J$544,'Well Cal.'!$E39)</f>
        <v>0</v>
      </c>
      <c r="H39" s="726">
        <f>SUMIFS('Schedule 5'!$F$506:$F$544,'Schedule 5'!$I$506:$I$544,'Well Cal.'!H$3,'Schedule 5'!$J$506:$J$544,'Well Cal.'!$E39)</f>
        <v>0</v>
      </c>
      <c r="I39" s="726">
        <f>SUMIFS('Schedule 5'!$F$506:$F$544,'Schedule 5'!$I$506:$I$544,'Well Cal.'!I$3,'Schedule 5'!$J$506:$J$544,'Well Cal.'!$E39)</f>
        <v>0</v>
      </c>
      <c r="J39" s="726">
        <f>SUMIFS('Schedule 5'!$F$506:$F$544,'Schedule 5'!$I$506:$I$544,'Well Cal.'!J$3,'Schedule 5'!$J$506:$J$544,'Well Cal.'!$E39)</f>
        <v>0</v>
      </c>
      <c r="K39" s="726">
        <f>SUMIFS('Schedule 5'!$F$506:$F$544,'Schedule 5'!$I$506:$I$544,'Well Cal.'!K$3,'Schedule 5'!$J$506:$J$544,'Well Cal.'!$E39)</f>
        <v>0</v>
      </c>
      <c r="L39" s="726">
        <f>SUMIFS('Schedule 5'!$F$506:$F$544,'Schedule 5'!$I$506:$I$544,'Well Cal.'!L$3,'Schedule 5'!$J$506:$J$544,'Well Cal.'!$E39)</f>
        <v>0</v>
      </c>
      <c r="M39" s="726">
        <f>SUMIFS('Schedule 5'!$F$506:$F$544,'Schedule 5'!$I$506:$I$544,'Well Cal.'!M$3,'Schedule 5'!$J$506:$J$544,'Well Cal.'!$E39)</f>
        <v>0</v>
      </c>
      <c r="N39" s="726">
        <f>SUMIFS('Schedule 5'!$F$506:$F$544,'Schedule 5'!$I$506:$I$544,'Well Cal.'!N$3,'Schedule 5'!$J$506:$J$544,'Well Cal.'!$E39)</f>
        <v>0</v>
      </c>
      <c r="O39" s="726">
        <f>SUMIFS('Schedule 5'!$F$506:$F$544,'Schedule 5'!$I$506:$I$544,'Well Cal.'!O$3,'Schedule 5'!$J$506:$J$544,'Well Cal.'!$E39)</f>
        <v>0</v>
      </c>
      <c r="P39" s="726">
        <f>SUMIFS('Schedule 5'!$F$506:$F$544,'Schedule 5'!$I$506:$I$544,'Well Cal.'!P$3,'Schedule 5'!$J$506:$J$544,'Well Cal.'!$E39)</f>
        <v>0</v>
      </c>
      <c r="Q39" s="726">
        <f>SUMIFS('Schedule 5'!$F$506:$F$544,'Schedule 5'!$I$506:$I$544,'Well Cal.'!Q$3,'Schedule 5'!$J$506:$J$544,'Well Cal.'!$E39)</f>
        <v>0</v>
      </c>
      <c r="R39" s="726">
        <f>SUMIFS('Schedule 5'!$F$506:$F$544,'Schedule 5'!$I$506:$I$544,'Well Cal.'!R$3,'Schedule 5'!$J$506:$J$544,'Well Cal.'!$E39)</f>
        <v>0</v>
      </c>
      <c r="S39" s="726">
        <f>SUMIFS('Schedule 5'!$F$506:$F$544,'Schedule 5'!$I$506:$I$544,'Well Cal.'!S$3,'Schedule 5'!$J$506:$J$544,'Well Cal.'!$E39)</f>
        <v>2.5</v>
      </c>
      <c r="T39" s="726">
        <f>SUMIFS('Schedule 5'!$F$506:$F$544,'Schedule 5'!$I$506:$I$544,'Well Cal.'!T$3,'Schedule 5'!$J$506:$J$544,'Well Cal.'!$E39)</f>
        <v>0</v>
      </c>
      <c r="U39" s="726">
        <f>SUMIFS('Schedule 5'!$F$506:$F$544,'Schedule 5'!$I$506:$I$544,'Well Cal.'!U$3,'Schedule 5'!$J$506:$J$544,'Well Cal.'!$E39)</f>
        <v>0</v>
      </c>
      <c r="V39" s="726">
        <f>SUMIFS('Schedule 5'!$F$506:$F$544,'Schedule 5'!$I$506:$I$544,'Well Cal.'!V$3,'Schedule 5'!$J$506:$J$544,'Well Cal.'!$E39)</f>
        <v>0</v>
      </c>
      <c r="W39" s="726">
        <f>SUMIFS('Schedule 5'!$F$506:$F$544,'Schedule 5'!$I$506:$I$544,'Well Cal.'!W$3,'Schedule 5'!$J$506:$J$544,'Well Cal.'!$E39)</f>
        <v>0</v>
      </c>
      <c r="X39" s="726">
        <f>SUMIFS('Schedule 5'!$F$506:$F$544,'Schedule 5'!$I$506:$I$544,'Well Cal.'!X$3,'Schedule 5'!$J$506:$J$544,'Well Cal.'!$E39)</f>
        <v>0</v>
      </c>
      <c r="Y39" s="726">
        <f>SUMIFS('Schedule 5'!$F$506:$F$544,'Schedule 5'!$I$506:$I$544,'Well Cal.'!Y$3,'Schedule 5'!$J$506:$J$544,'Well Cal.'!$E39)</f>
        <v>0</v>
      </c>
      <c r="Z39" s="726">
        <f>SUMIFS('Schedule 5'!$F$506:$F$544,'Schedule 5'!$I$506:$I$544,'Well Cal.'!Z$3,'Schedule 5'!$J$506:$J$544,'Well Cal.'!$E39)</f>
        <v>0</v>
      </c>
      <c r="AA39" s="726"/>
      <c r="AB39" s="1731"/>
      <c r="AC39" s="1731"/>
    </row>
    <row r="40" spans="2:34" x14ac:dyDescent="0.3">
      <c r="B40" s="1735"/>
      <c r="C40" s="1738"/>
      <c r="D40" s="1731"/>
      <c r="E40" s="761" t="s">
        <v>6102</v>
      </c>
      <c r="F40" s="726">
        <f>SUMIFS('Schedule 5'!$F$506:$F$544,'Schedule 5'!$I$506:$I$544,'Well Cal.'!F$3,'Schedule 5'!$J$506:$J$544,'Well Cal.'!$E40)</f>
        <v>0</v>
      </c>
      <c r="G40" s="726">
        <f>SUMIFS('Schedule 5'!$F$506:$F$544,'Schedule 5'!$I$506:$I$544,'Well Cal.'!G$3,'Schedule 5'!$J$506:$J$544,'Well Cal.'!$E40)</f>
        <v>0</v>
      </c>
      <c r="H40" s="726">
        <f>SUMIFS('Schedule 5'!$F$506:$F$544,'Schedule 5'!$I$506:$I$544,'Well Cal.'!H$3,'Schedule 5'!$J$506:$J$544,'Well Cal.'!$E40)</f>
        <v>0</v>
      </c>
      <c r="I40" s="726">
        <f>SUMIFS('Schedule 5'!$F$506:$F$544,'Schedule 5'!$I$506:$I$544,'Well Cal.'!I$3,'Schedule 5'!$J$506:$J$544,'Well Cal.'!$E40)</f>
        <v>0</v>
      </c>
      <c r="J40" s="726">
        <f>SUMIFS('Schedule 5'!$F$506:$F$544,'Schedule 5'!$I$506:$I$544,'Well Cal.'!J$3,'Schedule 5'!$J$506:$J$544,'Well Cal.'!$E40)</f>
        <v>0</v>
      </c>
      <c r="K40" s="726">
        <f>SUMIFS('Schedule 5'!$F$506:$F$544,'Schedule 5'!$I$506:$I$544,'Well Cal.'!K$3,'Schedule 5'!$J$506:$J$544,'Well Cal.'!$E40)</f>
        <v>0</v>
      </c>
      <c r="L40" s="726">
        <f>SUMIFS('Schedule 5'!$F$506:$F$544,'Schedule 5'!$I$506:$I$544,'Well Cal.'!L$3,'Schedule 5'!$J$506:$J$544,'Well Cal.'!$E40)</f>
        <v>0</v>
      </c>
      <c r="M40" s="726">
        <f>SUMIFS('Schedule 5'!$F$506:$F$544,'Schedule 5'!$I$506:$I$544,'Well Cal.'!M$3,'Schedule 5'!$J$506:$J$544,'Well Cal.'!$E40)</f>
        <v>0</v>
      </c>
      <c r="N40" s="726">
        <f>SUMIFS('Schedule 5'!$F$506:$F$544,'Schedule 5'!$I$506:$I$544,'Well Cal.'!N$3,'Schedule 5'!$J$506:$J$544,'Well Cal.'!$E40)</f>
        <v>0</v>
      </c>
      <c r="O40" s="726">
        <f>SUMIFS('Schedule 5'!$F$506:$F$544,'Schedule 5'!$I$506:$I$544,'Well Cal.'!O$3,'Schedule 5'!$J$506:$J$544,'Well Cal.'!$E40)</f>
        <v>0</v>
      </c>
      <c r="P40" s="726">
        <f>SUMIFS('Schedule 5'!$F$506:$F$544,'Schedule 5'!$I$506:$I$544,'Well Cal.'!P$3,'Schedule 5'!$J$506:$J$544,'Well Cal.'!$E40)</f>
        <v>0</v>
      </c>
      <c r="Q40" s="726">
        <f>SUMIFS('Schedule 5'!$F$506:$F$544,'Schedule 5'!$I$506:$I$544,'Well Cal.'!Q$3,'Schedule 5'!$J$506:$J$544,'Well Cal.'!$E40)</f>
        <v>0</v>
      </c>
      <c r="R40" s="726">
        <f>SUMIFS('Schedule 5'!$F$506:$F$544,'Schedule 5'!$I$506:$I$544,'Well Cal.'!R$3,'Schedule 5'!$J$506:$J$544,'Well Cal.'!$E40)</f>
        <v>0</v>
      </c>
      <c r="S40" s="726">
        <f>SUMIFS('Schedule 5'!$F$506:$F$544,'Schedule 5'!$I$506:$I$544,'Well Cal.'!S$3,'Schedule 5'!$J$506:$J$544,'Well Cal.'!$E40)</f>
        <v>0</v>
      </c>
      <c r="T40" s="726">
        <f>SUMIFS('Schedule 5'!$F$506:$F$544,'Schedule 5'!$I$506:$I$544,'Well Cal.'!T$3,'Schedule 5'!$J$506:$J$544,'Well Cal.'!$E40)</f>
        <v>0</v>
      </c>
      <c r="U40" s="726">
        <f>SUMIFS('Schedule 5'!$F$506:$F$544,'Schedule 5'!$I$506:$I$544,'Well Cal.'!U$3,'Schedule 5'!$J$506:$J$544,'Well Cal.'!$E40)</f>
        <v>0</v>
      </c>
      <c r="V40" s="726">
        <f>SUMIFS('Schedule 5'!$F$506:$F$544,'Schedule 5'!$I$506:$I$544,'Well Cal.'!V$3,'Schedule 5'!$J$506:$J$544,'Well Cal.'!$E40)</f>
        <v>2.5</v>
      </c>
      <c r="W40" s="726">
        <f>SUMIFS('Schedule 5'!$F$506:$F$544,'Schedule 5'!$I$506:$I$544,'Well Cal.'!W$3,'Schedule 5'!$J$506:$J$544,'Well Cal.'!$E40)</f>
        <v>0</v>
      </c>
      <c r="X40" s="726">
        <f>SUMIFS('Schedule 5'!$F$506:$F$544,'Schedule 5'!$I$506:$I$544,'Well Cal.'!X$3,'Schedule 5'!$J$506:$J$544,'Well Cal.'!$E40)</f>
        <v>0</v>
      </c>
      <c r="Y40" s="726">
        <f>SUMIFS('Schedule 5'!$F$506:$F$544,'Schedule 5'!$I$506:$I$544,'Well Cal.'!Y$3,'Schedule 5'!$J$506:$J$544,'Well Cal.'!$E40)</f>
        <v>0</v>
      </c>
      <c r="Z40" s="726">
        <f>SUMIFS('Schedule 5'!$F$506:$F$544,'Schedule 5'!$I$506:$I$544,'Well Cal.'!Z$3,'Schedule 5'!$J$506:$J$544,'Well Cal.'!$E40)</f>
        <v>0</v>
      </c>
      <c r="AA40" s="726"/>
      <c r="AB40" s="1731"/>
      <c r="AC40" s="1731"/>
    </row>
    <row r="41" spans="2:34" x14ac:dyDescent="0.3">
      <c r="B41" s="1735"/>
      <c r="C41" s="1738"/>
      <c r="D41" s="1731"/>
      <c r="E41" s="761" t="s">
        <v>6103</v>
      </c>
      <c r="F41" s="726">
        <f>SUMIFS('Schedule 5'!$F$506:$F$544,'Schedule 5'!$I$506:$I$544,'Well Cal.'!F$3,'Schedule 5'!$J$506:$J$544,'Well Cal.'!$E41)</f>
        <v>0</v>
      </c>
      <c r="G41" s="726">
        <f>SUMIFS('Schedule 5'!$F$506:$F$544,'Schedule 5'!$I$506:$I$544,'Well Cal.'!G$3,'Schedule 5'!$J$506:$J$544,'Well Cal.'!$E41)</f>
        <v>0</v>
      </c>
      <c r="H41" s="726">
        <f>SUMIFS('Schedule 5'!$F$506:$F$544,'Schedule 5'!$I$506:$I$544,'Well Cal.'!H$3,'Schedule 5'!$J$506:$J$544,'Well Cal.'!$E41)</f>
        <v>0</v>
      </c>
      <c r="I41" s="726">
        <f>SUMIFS('Schedule 5'!$F$506:$F$544,'Schedule 5'!$I$506:$I$544,'Well Cal.'!I$3,'Schedule 5'!$J$506:$J$544,'Well Cal.'!$E41)</f>
        <v>0</v>
      </c>
      <c r="J41" s="726">
        <f>SUMIFS('Schedule 5'!$F$506:$F$544,'Schedule 5'!$I$506:$I$544,'Well Cal.'!J$3,'Schedule 5'!$J$506:$J$544,'Well Cal.'!$E41)</f>
        <v>0</v>
      </c>
      <c r="K41" s="726">
        <f>SUMIFS('Schedule 5'!$F$506:$F$544,'Schedule 5'!$I$506:$I$544,'Well Cal.'!K$3,'Schedule 5'!$J$506:$J$544,'Well Cal.'!$E41)</f>
        <v>0</v>
      </c>
      <c r="L41" s="726">
        <f>SUMIFS('Schedule 5'!$F$506:$F$544,'Schedule 5'!$I$506:$I$544,'Well Cal.'!L$3,'Schedule 5'!$J$506:$J$544,'Well Cal.'!$E41)</f>
        <v>0</v>
      </c>
      <c r="M41" s="726">
        <f>SUMIFS('Schedule 5'!$F$506:$F$544,'Schedule 5'!$I$506:$I$544,'Well Cal.'!M$3,'Schedule 5'!$J$506:$J$544,'Well Cal.'!$E41)</f>
        <v>0</v>
      </c>
      <c r="N41" s="726">
        <f>SUMIFS('Schedule 5'!$F$506:$F$544,'Schedule 5'!$I$506:$I$544,'Well Cal.'!N$3,'Schedule 5'!$J$506:$J$544,'Well Cal.'!$E41)</f>
        <v>0</v>
      </c>
      <c r="O41" s="726">
        <f>SUMIFS('Schedule 5'!$F$506:$F$544,'Schedule 5'!$I$506:$I$544,'Well Cal.'!O$3,'Schedule 5'!$J$506:$J$544,'Well Cal.'!$E41)</f>
        <v>0</v>
      </c>
      <c r="P41" s="726">
        <f>SUMIFS('Schedule 5'!$F$506:$F$544,'Schedule 5'!$I$506:$I$544,'Well Cal.'!P$3,'Schedule 5'!$J$506:$J$544,'Well Cal.'!$E41)</f>
        <v>0</v>
      </c>
      <c r="Q41" s="726">
        <f>SUMIFS('Schedule 5'!$F$506:$F$544,'Schedule 5'!$I$506:$I$544,'Well Cal.'!Q$3,'Schedule 5'!$J$506:$J$544,'Well Cal.'!$E41)</f>
        <v>0</v>
      </c>
      <c r="R41" s="726">
        <f>SUMIFS('Schedule 5'!$F$506:$F$544,'Schedule 5'!$I$506:$I$544,'Well Cal.'!R$3,'Schedule 5'!$J$506:$J$544,'Well Cal.'!$E41)</f>
        <v>0</v>
      </c>
      <c r="S41" s="726">
        <f>SUMIFS('Schedule 5'!$F$506:$F$544,'Schedule 5'!$I$506:$I$544,'Well Cal.'!S$3,'Schedule 5'!$J$506:$J$544,'Well Cal.'!$E41)</f>
        <v>0</v>
      </c>
      <c r="T41" s="726">
        <f>SUMIFS('Schedule 5'!$F$506:$F$544,'Schedule 5'!$I$506:$I$544,'Well Cal.'!T$3,'Schedule 5'!$J$506:$J$544,'Well Cal.'!$E41)</f>
        <v>0</v>
      </c>
      <c r="U41" s="726">
        <f>SUMIFS('Schedule 5'!$F$506:$F$544,'Schedule 5'!$I$506:$I$544,'Well Cal.'!U$3,'Schedule 5'!$J$506:$J$544,'Well Cal.'!$E41)</f>
        <v>0</v>
      </c>
      <c r="V41" s="726">
        <f>SUMIFS('Schedule 5'!$F$506:$F$544,'Schedule 5'!$I$506:$I$544,'Well Cal.'!V$3,'Schedule 5'!$J$506:$J$544,'Well Cal.'!$E41)</f>
        <v>0</v>
      </c>
      <c r="W41" s="726">
        <f>SUMIFS('Schedule 5'!$F$506:$F$544,'Schedule 5'!$I$506:$I$544,'Well Cal.'!W$3,'Schedule 5'!$J$506:$J$544,'Well Cal.'!$E41)</f>
        <v>2.5</v>
      </c>
      <c r="X41" s="726">
        <f>SUMIFS('Schedule 5'!$F$506:$F$544,'Schedule 5'!$I$506:$I$544,'Well Cal.'!X$3,'Schedule 5'!$J$506:$J$544,'Well Cal.'!$E41)</f>
        <v>0</v>
      </c>
      <c r="Y41" s="726">
        <f>SUMIFS('Schedule 5'!$F$506:$F$544,'Schedule 5'!$I$506:$I$544,'Well Cal.'!Y$3,'Schedule 5'!$J$506:$J$544,'Well Cal.'!$E41)</f>
        <v>0</v>
      </c>
      <c r="Z41" s="726">
        <f>SUMIFS('Schedule 5'!$F$506:$F$544,'Schedule 5'!$I$506:$I$544,'Well Cal.'!Z$3,'Schedule 5'!$J$506:$J$544,'Well Cal.'!$E41)</f>
        <v>0</v>
      </c>
      <c r="AA41" s="727"/>
      <c r="AB41" s="1731"/>
      <c r="AC41" s="1731"/>
    </row>
    <row r="42" spans="2:34" x14ac:dyDescent="0.3">
      <c r="B42" s="1735"/>
      <c r="C42" s="1738"/>
      <c r="D42" s="1731"/>
      <c r="E42" s="761" t="s">
        <v>6104</v>
      </c>
      <c r="F42" s="726">
        <f>SUMIFS('Schedule 5'!$F$506:$F$544,'Schedule 5'!$I$506:$I$544,'Well Cal.'!F$3,'Schedule 5'!$J$506:$J$544,'Well Cal.'!$E42)</f>
        <v>0</v>
      </c>
      <c r="G42" s="726">
        <f>SUMIFS('Schedule 5'!$F$506:$F$544,'Schedule 5'!$I$506:$I$544,'Well Cal.'!G$3,'Schedule 5'!$J$506:$J$544,'Well Cal.'!$E42)</f>
        <v>0</v>
      </c>
      <c r="H42" s="726">
        <f>SUMIFS('Schedule 5'!$F$506:$F$544,'Schedule 5'!$I$506:$I$544,'Well Cal.'!H$3,'Schedule 5'!$J$506:$J$544,'Well Cal.'!$E42)</f>
        <v>0</v>
      </c>
      <c r="I42" s="726">
        <f>SUMIFS('Schedule 5'!$F$506:$F$544,'Schedule 5'!$I$506:$I$544,'Well Cal.'!I$3,'Schedule 5'!$J$506:$J$544,'Well Cal.'!$E42)</f>
        <v>0</v>
      </c>
      <c r="J42" s="726">
        <f>SUMIFS('Schedule 5'!$F$506:$F$544,'Schedule 5'!$I$506:$I$544,'Well Cal.'!J$3,'Schedule 5'!$J$506:$J$544,'Well Cal.'!$E42)</f>
        <v>0</v>
      </c>
      <c r="K42" s="726">
        <f>SUMIFS('Schedule 5'!$F$506:$F$544,'Schedule 5'!$I$506:$I$544,'Well Cal.'!K$3,'Schedule 5'!$J$506:$J$544,'Well Cal.'!$E42)</f>
        <v>0</v>
      </c>
      <c r="L42" s="726">
        <f>SUMIFS('Schedule 5'!$F$506:$F$544,'Schedule 5'!$I$506:$I$544,'Well Cal.'!L$3,'Schedule 5'!$J$506:$J$544,'Well Cal.'!$E42)</f>
        <v>0</v>
      </c>
      <c r="M42" s="726">
        <f>SUMIFS('Schedule 5'!$F$506:$F$544,'Schedule 5'!$I$506:$I$544,'Well Cal.'!M$3,'Schedule 5'!$J$506:$J$544,'Well Cal.'!$E42)</f>
        <v>0</v>
      </c>
      <c r="N42" s="726">
        <f>SUMIFS('Schedule 5'!$F$506:$F$544,'Schedule 5'!$I$506:$I$544,'Well Cal.'!N$3,'Schedule 5'!$J$506:$J$544,'Well Cal.'!$E42)</f>
        <v>0</v>
      </c>
      <c r="O42" s="726">
        <f>SUMIFS('Schedule 5'!$F$506:$F$544,'Schedule 5'!$I$506:$I$544,'Well Cal.'!O$3,'Schedule 5'!$J$506:$J$544,'Well Cal.'!$E42)</f>
        <v>0</v>
      </c>
      <c r="P42" s="726">
        <f>SUMIFS('Schedule 5'!$F$506:$F$544,'Schedule 5'!$I$506:$I$544,'Well Cal.'!P$3,'Schedule 5'!$J$506:$J$544,'Well Cal.'!$E42)</f>
        <v>0</v>
      </c>
      <c r="Q42" s="726">
        <f>SUMIFS('Schedule 5'!$F$506:$F$544,'Schedule 5'!$I$506:$I$544,'Well Cal.'!Q$3,'Schedule 5'!$J$506:$J$544,'Well Cal.'!$E42)</f>
        <v>0</v>
      </c>
      <c r="R42" s="726">
        <f>SUMIFS('Schedule 5'!$F$506:$F$544,'Schedule 5'!$I$506:$I$544,'Well Cal.'!R$3,'Schedule 5'!$J$506:$J$544,'Well Cal.'!$E42)</f>
        <v>0</v>
      </c>
      <c r="S42" s="726">
        <f>SUMIFS('Schedule 5'!$F$506:$F$544,'Schedule 5'!$I$506:$I$544,'Well Cal.'!S$3,'Schedule 5'!$J$506:$J$544,'Well Cal.'!$E42)</f>
        <v>0</v>
      </c>
      <c r="T42" s="726">
        <f>SUMIFS('Schedule 5'!$F$506:$F$544,'Schedule 5'!$I$506:$I$544,'Well Cal.'!T$3,'Schedule 5'!$J$506:$J$544,'Well Cal.'!$E42)</f>
        <v>0</v>
      </c>
      <c r="U42" s="726">
        <f>SUMIFS('Schedule 5'!$F$506:$F$544,'Schedule 5'!$I$506:$I$544,'Well Cal.'!U$3,'Schedule 5'!$J$506:$J$544,'Well Cal.'!$E42)</f>
        <v>0</v>
      </c>
      <c r="V42" s="726">
        <f>SUMIFS('Schedule 5'!$F$506:$F$544,'Schedule 5'!$I$506:$I$544,'Well Cal.'!V$3,'Schedule 5'!$J$506:$J$544,'Well Cal.'!$E42)</f>
        <v>0</v>
      </c>
      <c r="W42" s="726">
        <f>SUMIFS('Schedule 5'!$F$506:$F$544,'Schedule 5'!$I$506:$I$544,'Well Cal.'!W$3,'Schedule 5'!$J$506:$J$544,'Well Cal.'!$E42)</f>
        <v>0</v>
      </c>
      <c r="X42" s="726">
        <f>SUMIFS('Schedule 5'!$F$506:$F$544,'Schedule 5'!$I$506:$I$544,'Well Cal.'!X$3,'Schedule 5'!$J$506:$J$544,'Well Cal.'!$E42)</f>
        <v>2.5</v>
      </c>
      <c r="Y42" s="726">
        <f>SUMIFS('Schedule 5'!$F$506:$F$544,'Schedule 5'!$I$506:$I$544,'Well Cal.'!Y$3,'Schedule 5'!$J$506:$J$544,'Well Cal.'!$E42)</f>
        <v>0</v>
      </c>
      <c r="Z42" s="726">
        <f>SUMIFS('Schedule 5'!$F$506:$F$544,'Schedule 5'!$I$506:$I$544,'Well Cal.'!Z$3,'Schedule 5'!$J$506:$J$544,'Well Cal.'!$E42)</f>
        <v>0</v>
      </c>
      <c r="AA42" s="727"/>
      <c r="AB42" s="1731"/>
      <c r="AC42" s="1731"/>
    </row>
    <row r="43" spans="2:34" x14ac:dyDescent="0.3">
      <c r="B43" s="1735"/>
      <c r="C43" s="1738"/>
      <c r="D43" s="1731"/>
      <c r="E43" s="761" t="s">
        <v>6105</v>
      </c>
      <c r="F43" s="726">
        <f>SUMIFS('Schedule 5'!$F$506:$F$544,'Schedule 5'!$I$506:$I$544,'Well Cal.'!F$3,'Schedule 5'!$J$506:$J$544,'Well Cal.'!$E43)</f>
        <v>0</v>
      </c>
      <c r="G43" s="726">
        <f>SUMIFS('Schedule 5'!$F$506:$F$544,'Schedule 5'!$I$506:$I$544,'Well Cal.'!G$3,'Schedule 5'!$J$506:$J$544,'Well Cal.'!$E43)</f>
        <v>0</v>
      </c>
      <c r="H43" s="726">
        <f>SUMIFS('Schedule 5'!$F$506:$F$544,'Schedule 5'!$I$506:$I$544,'Well Cal.'!H$3,'Schedule 5'!$J$506:$J$544,'Well Cal.'!$E43)</f>
        <v>0</v>
      </c>
      <c r="I43" s="726">
        <f>SUMIFS('Schedule 5'!$F$506:$F$544,'Schedule 5'!$I$506:$I$544,'Well Cal.'!I$3,'Schedule 5'!$J$506:$J$544,'Well Cal.'!$E43)</f>
        <v>0</v>
      </c>
      <c r="J43" s="726">
        <f>SUMIFS('Schedule 5'!$F$506:$F$544,'Schedule 5'!$I$506:$I$544,'Well Cal.'!J$3,'Schedule 5'!$J$506:$J$544,'Well Cal.'!$E43)</f>
        <v>0</v>
      </c>
      <c r="K43" s="726">
        <f>SUMIFS('Schedule 5'!$F$506:$F$544,'Schedule 5'!$I$506:$I$544,'Well Cal.'!K$3,'Schedule 5'!$J$506:$J$544,'Well Cal.'!$E43)</f>
        <v>0</v>
      </c>
      <c r="L43" s="726">
        <f>SUMIFS('Schedule 5'!$F$506:$F$544,'Schedule 5'!$I$506:$I$544,'Well Cal.'!L$3,'Schedule 5'!$J$506:$J$544,'Well Cal.'!$E43)</f>
        <v>0</v>
      </c>
      <c r="M43" s="726">
        <f>SUMIFS('Schedule 5'!$F$506:$F$544,'Schedule 5'!$I$506:$I$544,'Well Cal.'!M$3,'Schedule 5'!$J$506:$J$544,'Well Cal.'!$E43)</f>
        <v>0</v>
      </c>
      <c r="N43" s="726">
        <f>SUMIFS('Schedule 5'!$F$506:$F$544,'Schedule 5'!$I$506:$I$544,'Well Cal.'!N$3,'Schedule 5'!$J$506:$J$544,'Well Cal.'!$E43)</f>
        <v>0</v>
      </c>
      <c r="O43" s="726">
        <f>SUMIFS('Schedule 5'!$F$506:$F$544,'Schedule 5'!$I$506:$I$544,'Well Cal.'!O$3,'Schedule 5'!$J$506:$J$544,'Well Cal.'!$E43)</f>
        <v>0</v>
      </c>
      <c r="P43" s="726">
        <f>SUMIFS('Schedule 5'!$F$506:$F$544,'Schedule 5'!$I$506:$I$544,'Well Cal.'!P$3,'Schedule 5'!$J$506:$J$544,'Well Cal.'!$E43)</f>
        <v>0</v>
      </c>
      <c r="Q43" s="726">
        <f>SUMIFS('Schedule 5'!$F$506:$F$544,'Schedule 5'!$I$506:$I$544,'Well Cal.'!Q$3,'Schedule 5'!$J$506:$J$544,'Well Cal.'!$E43)</f>
        <v>0</v>
      </c>
      <c r="R43" s="726">
        <f>SUMIFS('Schedule 5'!$F$506:$F$544,'Schedule 5'!$I$506:$I$544,'Well Cal.'!R$3,'Schedule 5'!$J$506:$J$544,'Well Cal.'!$E43)</f>
        <v>0</v>
      </c>
      <c r="S43" s="726">
        <f>SUMIFS('Schedule 5'!$F$506:$F$544,'Schedule 5'!$I$506:$I$544,'Well Cal.'!S$3,'Schedule 5'!$J$506:$J$544,'Well Cal.'!$E43)</f>
        <v>0</v>
      </c>
      <c r="T43" s="726">
        <f>SUMIFS('Schedule 5'!$F$506:$F$544,'Schedule 5'!$I$506:$I$544,'Well Cal.'!T$3,'Schedule 5'!$J$506:$J$544,'Well Cal.'!$E43)</f>
        <v>0</v>
      </c>
      <c r="U43" s="726">
        <f>SUMIFS('Schedule 5'!$F$506:$F$544,'Schedule 5'!$I$506:$I$544,'Well Cal.'!U$3,'Schedule 5'!$J$506:$J$544,'Well Cal.'!$E43)</f>
        <v>0</v>
      </c>
      <c r="V43" s="726">
        <f>SUMIFS('Schedule 5'!$F$506:$F$544,'Schedule 5'!$I$506:$I$544,'Well Cal.'!V$3,'Schedule 5'!$J$506:$J$544,'Well Cal.'!$E43)</f>
        <v>0</v>
      </c>
      <c r="W43" s="726">
        <f>SUMIFS('Schedule 5'!$F$506:$F$544,'Schedule 5'!$I$506:$I$544,'Well Cal.'!W$3,'Schedule 5'!$J$506:$J$544,'Well Cal.'!$E43)</f>
        <v>0</v>
      </c>
      <c r="X43" s="726">
        <f>SUMIFS('Schedule 5'!$F$506:$F$544,'Schedule 5'!$I$506:$I$544,'Well Cal.'!X$3,'Schedule 5'!$J$506:$J$544,'Well Cal.'!$E43)</f>
        <v>0</v>
      </c>
      <c r="Y43" s="726">
        <f>SUMIFS('Schedule 5'!$F$506:$F$544,'Schedule 5'!$I$506:$I$544,'Well Cal.'!Y$3,'Schedule 5'!$J$506:$J$544,'Well Cal.'!$E43)</f>
        <v>2.77</v>
      </c>
      <c r="Z43" s="726">
        <f>SUMIFS('Schedule 5'!$F$506:$F$544,'Schedule 5'!$I$506:$I$544,'Well Cal.'!Z$3,'Schedule 5'!$J$506:$J$544,'Well Cal.'!$E43)</f>
        <v>0</v>
      </c>
      <c r="AA43" s="727"/>
      <c r="AB43" s="1731"/>
      <c r="AC43" s="1731"/>
    </row>
    <row r="44" spans="2:34" x14ac:dyDescent="0.3">
      <c r="B44" s="1735"/>
      <c r="C44" s="1738"/>
      <c r="D44" s="1731"/>
      <c r="E44" s="775"/>
      <c r="F44" s="727"/>
      <c r="G44" s="727"/>
      <c r="H44" s="727"/>
      <c r="I44" s="727"/>
      <c r="J44" s="727"/>
      <c r="K44" s="727"/>
      <c r="L44" s="727"/>
      <c r="M44" s="727"/>
      <c r="N44" s="727"/>
      <c r="O44" s="727"/>
      <c r="P44" s="727"/>
      <c r="Q44" s="727"/>
      <c r="R44" s="727"/>
      <c r="S44" s="727"/>
      <c r="T44" s="727"/>
      <c r="U44" s="727"/>
      <c r="V44" s="727"/>
      <c r="W44" s="727"/>
      <c r="X44" s="727"/>
      <c r="Y44" s="727"/>
      <c r="Z44" s="727"/>
      <c r="AA44" s="727"/>
      <c r="AB44" s="1731"/>
      <c r="AC44" s="1731"/>
    </row>
    <row r="45" spans="2:34" ht="5.0999999999999996" customHeight="1" x14ac:dyDescent="0.3">
      <c r="B45" s="955"/>
      <c r="C45" s="1081"/>
      <c r="D45" s="959"/>
      <c r="E45" s="957"/>
      <c r="F45" s="958"/>
      <c r="G45" s="958"/>
      <c r="H45" s="958"/>
      <c r="I45" s="958"/>
      <c r="J45" s="958"/>
      <c r="K45" s="958"/>
      <c r="L45" s="958"/>
      <c r="M45" s="958"/>
      <c r="N45" s="958"/>
      <c r="O45" s="958"/>
      <c r="P45" s="958"/>
      <c r="Q45" s="958"/>
      <c r="R45" s="958"/>
      <c r="S45" s="958"/>
      <c r="T45" s="958"/>
      <c r="U45" s="958"/>
      <c r="V45" s="958"/>
      <c r="W45" s="958"/>
      <c r="X45" s="958"/>
      <c r="Y45" s="958"/>
      <c r="Z45" s="958"/>
      <c r="AA45" s="958"/>
      <c r="AB45" s="959"/>
      <c r="AC45" s="960"/>
    </row>
    <row r="46" spans="2:34" x14ac:dyDescent="0.3">
      <c r="B46" s="779" t="s">
        <v>165</v>
      </c>
      <c r="C46" s="781">
        <f>C5+C25</f>
        <v>101.1</v>
      </c>
      <c r="D46" s="781">
        <f>D5+D25</f>
        <v>99.25</v>
      </c>
      <c r="E46" s="781"/>
      <c r="F46" s="781">
        <f t="shared" ref="F46:X46" si="0">SUM(F5:F44)</f>
        <v>0</v>
      </c>
      <c r="G46" s="781">
        <f t="shared" si="0"/>
        <v>0</v>
      </c>
      <c r="H46" s="781">
        <f t="shared" si="0"/>
        <v>0</v>
      </c>
      <c r="I46" s="781">
        <f t="shared" si="0"/>
        <v>0</v>
      </c>
      <c r="J46" s="781">
        <f t="shared" si="0"/>
        <v>0</v>
      </c>
      <c r="K46" s="781">
        <f t="shared" si="0"/>
        <v>0</v>
      </c>
      <c r="L46" s="781">
        <f t="shared" si="0"/>
        <v>0</v>
      </c>
      <c r="M46" s="781">
        <f t="shared" si="0"/>
        <v>0</v>
      </c>
      <c r="N46" s="781">
        <f t="shared" si="0"/>
        <v>8.9600000000000009</v>
      </c>
      <c r="O46" s="781">
        <f t="shared" si="0"/>
        <v>20</v>
      </c>
      <c r="P46" s="781">
        <f t="shared" si="0"/>
        <v>18.3</v>
      </c>
      <c r="Q46" s="781">
        <f t="shared" si="0"/>
        <v>13.17</v>
      </c>
      <c r="R46" s="781">
        <f t="shared" si="0"/>
        <v>10</v>
      </c>
      <c r="S46" s="781">
        <f t="shared" si="0"/>
        <v>7.5</v>
      </c>
      <c r="T46" s="781">
        <f t="shared" si="0"/>
        <v>5</v>
      </c>
      <c r="U46" s="781">
        <f t="shared" si="0"/>
        <v>0</v>
      </c>
      <c r="V46" s="781">
        <f t="shared" si="0"/>
        <v>2.5</v>
      </c>
      <c r="W46" s="781">
        <f t="shared" si="0"/>
        <v>2.5</v>
      </c>
      <c r="X46" s="781">
        <f t="shared" si="0"/>
        <v>7.5</v>
      </c>
      <c r="Y46" s="781">
        <f t="shared" ref="Y46:Z46" si="1">SUM(Y5:Y44)</f>
        <v>2.77</v>
      </c>
      <c r="Z46" s="781">
        <f t="shared" si="1"/>
        <v>1.05</v>
      </c>
      <c r="AA46" s="781"/>
      <c r="AB46" s="781">
        <f>SUM(AB5:AB44)</f>
        <v>99.25</v>
      </c>
      <c r="AC46" s="781">
        <f>SUM(AC5:AC44)</f>
        <v>0</v>
      </c>
    </row>
    <row r="47" spans="2:34" x14ac:dyDescent="0.3">
      <c r="B47" s="961"/>
      <c r="C47" s="963"/>
      <c r="D47" s="963"/>
      <c r="E47" s="962"/>
      <c r="F47" s="962"/>
      <c r="G47" s="962"/>
      <c r="H47" s="962"/>
      <c r="I47" s="962"/>
      <c r="J47" s="962"/>
      <c r="K47" s="962"/>
      <c r="L47" s="962"/>
      <c r="M47" s="962"/>
      <c r="N47" s="962"/>
      <c r="O47" s="962"/>
      <c r="P47" s="962"/>
      <c r="Q47" s="962"/>
      <c r="R47" s="962"/>
      <c r="S47" s="962"/>
      <c r="T47" s="962"/>
      <c r="U47" s="962"/>
      <c r="V47" s="963"/>
      <c r="W47" s="963"/>
      <c r="X47" s="963"/>
      <c r="Y47" s="963"/>
      <c r="Z47" s="963"/>
      <c r="AA47" s="963"/>
      <c r="AB47" s="962"/>
      <c r="AC47" s="962"/>
      <c r="AE47" s="980" t="s">
        <v>6043</v>
      </c>
      <c r="AF47" s="60" t="s">
        <v>6106</v>
      </c>
      <c r="AG47" s="60" t="s">
        <v>6107</v>
      </c>
      <c r="AH47" s="60" t="s">
        <v>6108</v>
      </c>
    </row>
    <row r="48" spans="2:34" x14ac:dyDescent="0.3">
      <c r="B48" s="1733" t="s">
        <v>1897</v>
      </c>
      <c r="C48" s="1736">
        <v>50.55</v>
      </c>
      <c r="D48" s="1729">
        <f>SUMIFS('Schedule 4'!$F$89:$F$649,'Schedule 4'!$K$89:$K$649,'Well Cal.'!$B48)</f>
        <v>0</v>
      </c>
      <c r="E48" s="754" t="s">
        <v>3123</v>
      </c>
      <c r="F48" s="728">
        <f>SUMIFS('Schedule 4'!$F$89:$F$649,'Schedule 4'!$I$89:$I$649,'Well Cal.'!F$3,'Schedule 4'!$J$89:$J$649,'Well Cal.'!$E48)</f>
        <v>0</v>
      </c>
      <c r="G48" s="728">
        <f>SUMIFS('Schedule 4'!$F$89:$F$649,'Schedule 4'!$I$89:$I$649,'Well Cal.'!G$3,'Schedule 4'!$J$89:$J$649,'Well Cal.'!$E48)</f>
        <v>0</v>
      </c>
      <c r="H48" s="728">
        <f>SUMIFS('Schedule 4'!$F$89:$F$649,'Schedule 4'!$I$89:$I$649,'Well Cal.'!H$3,'Schedule 4'!$J$89:$J$649,'Well Cal.'!$E48)</f>
        <v>0</v>
      </c>
      <c r="I48" s="728">
        <f>SUMIFS('Schedule 4'!$F$89:$F$649,'Schedule 4'!$I$89:$I$649,'Well Cal.'!I$3,'Schedule 4'!$J$89:$J$649,'Well Cal.'!$E48)</f>
        <v>0</v>
      </c>
      <c r="J48" s="728">
        <f>SUMIFS('Schedule 4'!$F$89:$F$649,'Schedule 4'!$I$89:$I$649,'Well Cal.'!J$3,'Schedule 4'!$J$89:$J$649,'Well Cal.'!$E48)</f>
        <v>0</v>
      </c>
      <c r="K48" s="728">
        <f>SUMIFS('Schedule 4'!$F$89:$F$649,'Schedule 4'!$I$89:$I$649,'Well Cal.'!K$3,'Schedule 4'!$J$89:$J$649,'Well Cal.'!$E48)</f>
        <v>0</v>
      </c>
      <c r="L48" s="728">
        <f>SUMIFS('Schedule 4'!$F$89:$F$649,'Schedule 4'!$I$89:$I$649,'Well Cal.'!L$3,'Schedule 4'!$J$89:$J$649,'Well Cal.'!$E48)</f>
        <v>0</v>
      </c>
      <c r="M48" s="728">
        <f>SUMIFS('Schedule 4'!$F$89:$F$649,'Schedule 4'!$I$89:$I$649,'Well Cal.'!M$3,'Schedule 4'!$J$89:$J$649,'Well Cal.'!$E48)</f>
        <v>0</v>
      </c>
      <c r="N48" s="728">
        <f>SUMIFS('Schedule 4'!$F$89:$F$649,'Schedule 4'!$I$89:$I$649,'Well Cal.'!N$3,'Schedule 4'!$J$89:$J$649,'Well Cal.'!$E48)</f>
        <v>0</v>
      </c>
      <c r="O48" s="728">
        <f>SUMIFS('Schedule 4'!$F$89:$F$649,'Schedule 4'!$I$89:$I$649,'Well Cal.'!O$3,'Schedule 4'!$J$89:$J$649,'Well Cal.'!$E48)</f>
        <v>0</v>
      </c>
      <c r="P48" s="728">
        <f>SUMIFS('Schedule 4'!$F$89:$F$649,'Schedule 4'!$I$89:$I$649,'Well Cal.'!P$3,'Schedule 4'!$J$89:$J$649,'Well Cal.'!$E48)</f>
        <v>0</v>
      </c>
      <c r="Q48" s="728">
        <f>SUMIFS('Schedule 4'!$F$89:$F$649,'Schedule 4'!$I$89:$I$649,'Well Cal.'!Q$3,'Schedule 4'!$J$89:$J$649,'Well Cal.'!$E48)</f>
        <v>0</v>
      </c>
      <c r="R48" s="728">
        <f>SUMIFS('Schedule 4'!$F$89:$F$649,'Schedule 4'!$I$89:$I$649,'Well Cal.'!R$3,'Schedule 4'!$J$89:$J$649,'Well Cal.'!$E48)</f>
        <v>0</v>
      </c>
      <c r="S48" s="728">
        <f>SUMIFS('Schedule 4'!$F$89:$F$649,'Schedule 4'!$I$89:$I$649,'Well Cal.'!S$3,'Schedule 4'!$J$89:$J$649,'Well Cal.'!$E48)</f>
        <v>0</v>
      </c>
      <c r="T48" s="728">
        <f>SUMIFS('Schedule 4'!$F$89:$F$649,'Schedule 4'!$I$89:$I$649,'Well Cal.'!T$3,'Schedule 4'!$J$89:$J$649,'Well Cal.'!$E48)</f>
        <v>0</v>
      </c>
      <c r="U48" s="728">
        <f>SUMIFS('Schedule 4'!$F$89:$F$649,'Schedule 4'!$I$89:$I$649,'Well Cal.'!U$3,'Schedule 4'!$J$89:$J$649,'Well Cal.'!$E48)</f>
        <v>0</v>
      </c>
      <c r="V48" s="728">
        <f>SUMIFS('Schedule 4'!$F$89:$F$649,'Schedule 4'!$I$89:$I$649,'Well Cal.'!V$3,'Schedule 4'!$J$89:$J$649,'Well Cal.'!$E48)</f>
        <v>0</v>
      </c>
      <c r="W48" s="728">
        <f>SUMIFS('Schedule 4'!$F$89:$F$649,'Schedule 4'!$I$89:$I$649,'Well Cal.'!W$3,'Schedule 4'!$J$89:$J$649,'Well Cal.'!$E48)</f>
        <v>0</v>
      </c>
      <c r="X48" s="728">
        <f>SUMIFS('Schedule 4'!$F$89:$F$649,'Schedule 4'!$I$89:$I$649,'Well Cal.'!X$3,'Schedule 4'!$J$89:$J$649,'Well Cal.'!$E48)</f>
        <v>0</v>
      </c>
      <c r="Y48" s="728">
        <f>SUMIFS('Schedule 4'!$F$89:$F$649,'Schedule 4'!$I$89:$I$649,'Well Cal.'!Y$3,'Schedule 4'!$J$89:$J$649,'Well Cal.'!$E48)</f>
        <v>0</v>
      </c>
      <c r="Z48" s="728">
        <f>SUMIFS('Schedule 4'!$F$89:$F$649,'Schedule 4'!$I$89:$I$649,'Well Cal.'!Z$3,'Schedule 4'!$J$89:$J$649,'Well Cal.'!$E48)</f>
        <v>0</v>
      </c>
      <c r="AA48" s="728"/>
      <c r="AB48" s="1729">
        <f>SUM(F48:AA68)</f>
        <v>0</v>
      </c>
      <c r="AC48" s="1729">
        <f>D48-AB48</f>
        <v>0</v>
      </c>
      <c r="AE48" s="521" t="s">
        <v>6057</v>
      </c>
      <c r="AF48" s="1110">
        <f>C5</f>
        <v>50.55</v>
      </c>
      <c r="AG48" s="1110">
        <f>AB5</f>
        <v>48.699999999999996</v>
      </c>
      <c r="AH48" s="1110">
        <f>AF48-AG48</f>
        <v>1.8500000000000014</v>
      </c>
    </row>
    <row r="49" spans="2:36" x14ac:dyDescent="0.3">
      <c r="B49" s="1734"/>
      <c r="C49" s="1737"/>
      <c r="D49" s="1730"/>
      <c r="E49" s="761" t="s">
        <v>3205</v>
      </c>
      <c r="F49" s="726">
        <f>SUMIFS('Schedule 4'!$F$89:$F$649,'Schedule 4'!$I$89:$I$649,'Well Cal.'!F$3,'Schedule 4'!$J$89:$J$649,'Well Cal.'!$E49)</f>
        <v>0</v>
      </c>
      <c r="G49" s="726">
        <f>SUMIFS('Schedule 4'!$F$89:$F$649,'Schedule 4'!$I$89:$I$649,'Well Cal.'!G$3,'Schedule 4'!$J$89:$J$649,'Well Cal.'!$E49)</f>
        <v>0</v>
      </c>
      <c r="H49" s="726">
        <f>SUMIFS('Schedule 4'!$F$89:$F$649,'Schedule 4'!$I$89:$I$649,'Well Cal.'!H$3,'Schedule 4'!$J$89:$J$649,'Well Cal.'!$E49)</f>
        <v>0</v>
      </c>
      <c r="I49" s="726">
        <f>SUMIFS('Schedule 4'!$F$89:$F$649,'Schedule 4'!$I$89:$I$649,'Well Cal.'!I$3,'Schedule 4'!$J$89:$J$649,'Well Cal.'!$E49)</f>
        <v>0</v>
      </c>
      <c r="J49" s="726">
        <f>SUMIFS('Schedule 4'!$F$89:$F$649,'Schedule 4'!$I$89:$I$649,'Well Cal.'!J$3,'Schedule 4'!$J$89:$J$649,'Well Cal.'!$E49)</f>
        <v>0</v>
      </c>
      <c r="K49" s="726">
        <f>SUMIFS('Schedule 4'!$F$89:$F$649,'Schedule 4'!$I$89:$I$649,'Well Cal.'!K$3,'Schedule 4'!$J$89:$J$649,'Well Cal.'!$E49)</f>
        <v>0</v>
      </c>
      <c r="L49" s="726">
        <f>SUMIFS('Schedule 4'!$F$89:$F$649,'Schedule 4'!$I$89:$I$649,'Well Cal.'!L$3,'Schedule 4'!$J$89:$J$649,'Well Cal.'!$E49)</f>
        <v>0</v>
      </c>
      <c r="M49" s="726">
        <f>SUMIFS('Schedule 4'!$F$89:$F$649,'Schedule 4'!$I$89:$I$649,'Well Cal.'!M$3,'Schedule 4'!$J$89:$J$649,'Well Cal.'!$E49)</f>
        <v>0</v>
      </c>
      <c r="N49" s="726">
        <f>SUMIFS('Schedule 4'!$F$89:$F$649,'Schedule 4'!$I$89:$I$649,'Well Cal.'!N$3,'Schedule 4'!$J$89:$J$649,'Well Cal.'!$E49)</f>
        <v>0</v>
      </c>
      <c r="O49" s="726">
        <f>SUMIFS('Schedule 4'!$F$89:$F$649,'Schedule 4'!$I$89:$I$649,'Well Cal.'!O$3,'Schedule 4'!$J$89:$J$649,'Well Cal.'!$E49)</f>
        <v>0</v>
      </c>
      <c r="P49" s="726">
        <f>SUMIFS('Schedule 4'!$F$89:$F$649,'Schedule 4'!$I$89:$I$649,'Well Cal.'!P$3,'Schedule 4'!$J$89:$J$649,'Well Cal.'!$E49)</f>
        <v>0</v>
      </c>
      <c r="Q49" s="726">
        <f>SUMIFS('Schedule 4'!$F$89:$F$649,'Schedule 4'!$I$89:$I$649,'Well Cal.'!Q$3,'Schedule 4'!$J$89:$J$649,'Well Cal.'!$E49)</f>
        <v>0</v>
      </c>
      <c r="R49" s="726">
        <f>SUMIFS('Schedule 4'!$F$89:$F$649,'Schedule 4'!$I$89:$I$649,'Well Cal.'!R$3,'Schedule 4'!$J$89:$J$649,'Well Cal.'!$E49)</f>
        <v>0</v>
      </c>
      <c r="S49" s="726">
        <f>SUMIFS('Schedule 4'!$F$89:$F$649,'Schedule 4'!$I$89:$I$649,'Well Cal.'!S$3,'Schedule 4'!$J$89:$J$649,'Well Cal.'!$E49)</f>
        <v>0</v>
      </c>
      <c r="T49" s="726">
        <f>SUMIFS('Schedule 4'!$F$89:$F$649,'Schedule 4'!$I$89:$I$649,'Well Cal.'!T$3,'Schedule 4'!$J$89:$J$649,'Well Cal.'!$E49)</f>
        <v>0</v>
      </c>
      <c r="U49" s="726">
        <f>SUMIFS('Schedule 4'!$F$89:$F$649,'Schedule 4'!$I$89:$I$649,'Well Cal.'!U$3,'Schedule 4'!$J$89:$J$649,'Well Cal.'!$E49)</f>
        <v>0</v>
      </c>
      <c r="V49" s="726">
        <f>SUMIFS('Schedule 4'!$F$89:$F$649,'Schedule 4'!$I$89:$I$649,'Well Cal.'!V$3,'Schedule 4'!$J$89:$J$649,'Well Cal.'!$E49)</f>
        <v>0</v>
      </c>
      <c r="W49" s="726">
        <f>SUMIFS('Schedule 4'!$F$89:$F$649,'Schedule 4'!$I$89:$I$649,'Well Cal.'!W$3,'Schedule 4'!$J$89:$J$649,'Well Cal.'!$E49)</f>
        <v>0</v>
      </c>
      <c r="X49" s="726">
        <f>SUMIFS('Schedule 4'!$F$89:$F$649,'Schedule 4'!$I$89:$I$649,'Well Cal.'!X$3,'Schedule 4'!$J$89:$J$649,'Well Cal.'!$E49)</f>
        <v>0</v>
      </c>
      <c r="Y49" s="726">
        <f>SUMIFS('Schedule 4'!$F$89:$F$649,'Schedule 4'!$I$89:$I$649,'Well Cal.'!Y$3,'Schedule 4'!$J$89:$J$649,'Well Cal.'!$E49)</f>
        <v>0</v>
      </c>
      <c r="Z49" s="726">
        <f>SUMIFS('Schedule 4'!$F$89:$F$649,'Schedule 4'!$I$89:$I$649,'Well Cal.'!Z$3,'Schedule 4'!$J$89:$J$649,'Well Cal.'!$E49)</f>
        <v>0</v>
      </c>
      <c r="AA49" s="726"/>
      <c r="AB49" s="1730"/>
      <c r="AC49" s="1730"/>
      <c r="AE49" s="521" t="s">
        <v>6086</v>
      </c>
      <c r="AF49" s="1110">
        <f>C25</f>
        <v>50.55</v>
      </c>
      <c r="AG49" s="1110">
        <f>AB25</f>
        <v>50.550000000000004</v>
      </c>
      <c r="AH49" s="1110">
        <f t="shared" ref="AH49:AH75" si="2">AF49-AG49</f>
        <v>0</v>
      </c>
    </row>
    <row r="50" spans="2:36" x14ac:dyDescent="0.3">
      <c r="B50" s="1734"/>
      <c r="C50" s="1737"/>
      <c r="D50" s="1730"/>
      <c r="E50" s="761" t="s">
        <v>3285</v>
      </c>
      <c r="F50" s="726">
        <f>SUMIFS('Schedule 4'!$F$89:$F$649,'Schedule 4'!$I$89:$I$649,'Well Cal.'!F$3,'Schedule 4'!$J$89:$J$649,'Well Cal.'!$E50)</f>
        <v>0</v>
      </c>
      <c r="G50" s="726">
        <f>SUMIFS('Schedule 4'!$F$89:$F$649,'Schedule 4'!$I$89:$I$649,'Well Cal.'!G$3,'Schedule 4'!$J$89:$J$649,'Well Cal.'!$E50)</f>
        <v>0</v>
      </c>
      <c r="H50" s="726">
        <f>SUMIFS('Schedule 4'!$F$89:$F$649,'Schedule 4'!$I$89:$I$649,'Well Cal.'!H$3,'Schedule 4'!$J$89:$J$649,'Well Cal.'!$E50)</f>
        <v>0</v>
      </c>
      <c r="I50" s="726">
        <f>SUMIFS('Schedule 4'!$F$89:$F$649,'Schedule 4'!$I$89:$I$649,'Well Cal.'!I$3,'Schedule 4'!$J$89:$J$649,'Well Cal.'!$E50)</f>
        <v>0</v>
      </c>
      <c r="J50" s="726">
        <f>SUMIFS('Schedule 4'!$F$89:$F$649,'Schedule 4'!$I$89:$I$649,'Well Cal.'!J$3,'Schedule 4'!$J$89:$J$649,'Well Cal.'!$E50)</f>
        <v>0</v>
      </c>
      <c r="K50" s="726">
        <f>SUMIFS('Schedule 4'!$F$89:$F$649,'Schedule 4'!$I$89:$I$649,'Well Cal.'!K$3,'Schedule 4'!$J$89:$J$649,'Well Cal.'!$E50)</f>
        <v>0</v>
      </c>
      <c r="L50" s="726">
        <f>SUMIFS('Schedule 4'!$F$89:$F$649,'Schedule 4'!$I$89:$I$649,'Well Cal.'!L$3,'Schedule 4'!$J$89:$J$649,'Well Cal.'!$E50)</f>
        <v>0</v>
      </c>
      <c r="M50" s="726">
        <f>SUMIFS('Schedule 4'!$F$89:$F$649,'Schedule 4'!$I$89:$I$649,'Well Cal.'!M$3,'Schedule 4'!$J$89:$J$649,'Well Cal.'!$E50)</f>
        <v>0</v>
      </c>
      <c r="N50" s="726">
        <f>SUMIFS('Schedule 4'!$F$89:$F$649,'Schedule 4'!$I$89:$I$649,'Well Cal.'!N$3,'Schedule 4'!$J$89:$J$649,'Well Cal.'!$E50)</f>
        <v>0</v>
      </c>
      <c r="O50" s="726">
        <f>SUMIFS('Schedule 4'!$F$89:$F$649,'Schedule 4'!$I$89:$I$649,'Well Cal.'!O$3,'Schedule 4'!$J$89:$J$649,'Well Cal.'!$E50)</f>
        <v>0</v>
      </c>
      <c r="P50" s="726">
        <f>SUMIFS('Schedule 4'!$F$89:$F$649,'Schedule 4'!$I$89:$I$649,'Well Cal.'!P$3,'Schedule 4'!$J$89:$J$649,'Well Cal.'!$E50)</f>
        <v>0</v>
      </c>
      <c r="Q50" s="726">
        <f>SUMIFS('Schedule 4'!$F$89:$F$649,'Schedule 4'!$I$89:$I$649,'Well Cal.'!Q$3,'Schedule 4'!$J$89:$J$649,'Well Cal.'!$E50)</f>
        <v>0</v>
      </c>
      <c r="R50" s="726">
        <f>SUMIFS('Schedule 4'!$F$89:$F$649,'Schedule 4'!$I$89:$I$649,'Well Cal.'!R$3,'Schedule 4'!$J$89:$J$649,'Well Cal.'!$E50)</f>
        <v>0</v>
      </c>
      <c r="S50" s="726">
        <f>SUMIFS('Schedule 4'!$F$89:$F$649,'Schedule 4'!$I$89:$I$649,'Well Cal.'!S$3,'Schedule 4'!$J$89:$J$649,'Well Cal.'!$E50)</f>
        <v>0</v>
      </c>
      <c r="T50" s="726">
        <f>SUMIFS('Schedule 4'!$F$89:$F$649,'Schedule 4'!$I$89:$I$649,'Well Cal.'!T$3,'Schedule 4'!$J$89:$J$649,'Well Cal.'!$E50)</f>
        <v>0</v>
      </c>
      <c r="U50" s="726">
        <f>SUMIFS('Schedule 4'!$F$89:$F$649,'Schedule 4'!$I$89:$I$649,'Well Cal.'!U$3,'Schedule 4'!$J$89:$J$649,'Well Cal.'!$E50)</f>
        <v>0</v>
      </c>
      <c r="V50" s="726">
        <f>SUMIFS('Schedule 4'!$F$89:$F$649,'Schedule 4'!$I$89:$I$649,'Well Cal.'!V$3,'Schedule 4'!$J$89:$J$649,'Well Cal.'!$E50)</f>
        <v>0</v>
      </c>
      <c r="W50" s="726">
        <f>SUMIFS('Schedule 4'!$F$89:$F$649,'Schedule 4'!$I$89:$I$649,'Well Cal.'!W$3,'Schedule 4'!$J$89:$J$649,'Well Cal.'!$E50)</f>
        <v>0</v>
      </c>
      <c r="X50" s="726">
        <f>SUMIFS('Schedule 4'!$F$89:$F$649,'Schedule 4'!$I$89:$I$649,'Well Cal.'!X$3,'Schedule 4'!$J$89:$J$649,'Well Cal.'!$E50)</f>
        <v>0</v>
      </c>
      <c r="Y50" s="726">
        <f>SUMIFS('Schedule 4'!$F$89:$F$649,'Schedule 4'!$I$89:$I$649,'Well Cal.'!Y$3,'Schedule 4'!$J$89:$J$649,'Well Cal.'!$E50)</f>
        <v>0</v>
      </c>
      <c r="Z50" s="726">
        <f>SUMIFS('Schedule 4'!$F$89:$F$649,'Schedule 4'!$I$89:$I$649,'Well Cal.'!Z$3,'Schedule 4'!$J$89:$J$649,'Well Cal.'!$E50)</f>
        <v>0</v>
      </c>
      <c r="AA50" s="726"/>
      <c r="AB50" s="1730"/>
      <c r="AC50" s="1730"/>
      <c r="AE50" s="521" t="s">
        <v>1897</v>
      </c>
      <c r="AF50" s="1110">
        <f>C48</f>
        <v>50.55</v>
      </c>
      <c r="AG50" s="1110">
        <f>AB48</f>
        <v>0</v>
      </c>
      <c r="AH50" s="1110">
        <f t="shared" si="2"/>
        <v>50.55</v>
      </c>
    </row>
    <row r="51" spans="2:36" x14ac:dyDescent="0.3">
      <c r="B51" s="1734"/>
      <c r="C51" s="1737"/>
      <c r="D51" s="1730"/>
      <c r="E51" s="761" t="s">
        <v>3361</v>
      </c>
      <c r="F51" s="726">
        <f>SUMIFS('Schedule 4'!$F$89:$F$649,'Schedule 4'!$I$89:$I$649,'Well Cal.'!F$3,'Schedule 4'!$J$89:$J$649,'Well Cal.'!$E51)</f>
        <v>0</v>
      </c>
      <c r="G51" s="726">
        <f>SUMIFS('Schedule 4'!$F$89:$F$649,'Schedule 4'!$I$89:$I$649,'Well Cal.'!G$3,'Schedule 4'!$J$89:$J$649,'Well Cal.'!$E51)</f>
        <v>0</v>
      </c>
      <c r="H51" s="726">
        <f>SUMIFS('Schedule 4'!$F$89:$F$649,'Schedule 4'!$I$89:$I$649,'Well Cal.'!H$3,'Schedule 4'!$J$89:$J$649,'Well Cal.'!$E51)</f>
        <v>0</v>
      </c>
      <c r="I51" s="726">
        <f>SUMIFS('Schedule 4'!$F$89:$F$649,'Schedule 4'!$I$89:$I$649,'Well Cal.'!I$3,'Schedule 4'!$J$89:$J$649,'Well Cal.'!$E51)</f>
        <v>0</v>
      </c>
      <c r="J51" s="726">
        <f>SUMIFS('Schedule 4'!$F$89:$F$649,'Schedule 4'!$I$89:$I$649,'Well Cal.'!J$3,'Schedule 4'!$J$89:$J$649,'Well Cal.'!$E51)</f>
        <v>0</v>
      </c>
      <c r="K51" s="726">
        <f>SUMIFS('Schedule 4'!$F$89:$F$649,'Schedule 4'!$I$89:$I$649,'Well Cal.'!K$3,'Schedule 4'!$J$89:$J$649,'Well Cal.'!$E51)</f>
        <v>0</v>
      </c>
      <c r="L51" s="726">
        <f>SUMIFS('Schedule 4'!$F$89:$F$649,'Schedule 4'!$I$89:$I$649,'Well Cal.'!L$3,'Schedule 4'!$J$89:$J$649,'Well Cal.'!$E51)</f>
        <v>0</v>
      </c>
      <c r="M51" s="726">
        <f>SUMIFS('Schedule 4'!$F$89:$F$649,'Schedule 4'!$I$89:$I$649,'Well Cal.'!M$3,'Schedule 4'!$J$89:$J$649,'Well Cal.'!$E51)</f>
        <v>0</v>
      </c>
      <c r="N51" s="726">
        <f>SUMIFS('Schedule 4'!$F$89:$F$649,'Schedule 4'!$I$89:$I$649,'Well Cal.'!N$3,'Schedule 4'!$J$89:$J$649,'Well Cal.'!$E51)</f>
        <v>0</v>
      </c>
      <c r="O51" s="726">
        <f>SUMIFS('Schedule 4'!$F$89:$F$649,'Schedule 4'!$I$89:$I$649,'Well Cal.'!O$3,'Schedule 4'!$J$89:$J$649,'Well Cal.'!$E51)</f>
        <v>0</v>
      </c>
      <c r="P51" s="726">
        <f>SUMIFS('Schedule 4'!$F$89:$F$649,'Schedule 4'!$I$89:$I$649,'Well Cal.'!P$3,'Schedule 4'!$J$89:$J$649,'Well Cal.'!$E51)</f>
        <v>0</v>
      </c>
      <c r="Q51" s="726">
        <f>SUMIFS('Schedule 4'!$F$89:$F$649,'Schedule 4'!$I$89:$I$649,'Well Cal.'!Q$3,'Schedule 4'!$J$89:$J$649,'Well Cal.'!$E51)</f>
        <v>0</v>
      </c>
      <c r="R51" s="726">
        <f>SUMIFS('Schedule 4'!$F$89:$F$649,'Schedule 4'!$I$89:$I$649,'Well Cal.'!R$3,'Schedule 4'!$J$89:$J$649,'Well Cal.'!$E51)</f>
        <v>0</v>
      </c>
      <c r="S51" s="726">
        <f>SUMIFS('Schedule 4'!$F$89:$F$649,'Schedule 4'!$I$89:$I$649,'Well Cal.'!S$3,'Schedule 4'!$J$89:$J$649,'Well Cal.'!$E51)</f>
        <v>0</v>
      </c>
      <c r="T51" s="726">
        <f>SUMIFS('Schedule 4'!$F$89:$F$649,'Schedule 4'!$I$89:$I$649,'Well Cal.'!T$3,'Schedule 4'!$J$89:$J$649,'Well Cal.'!$E51)</f>
        <v>0</v>
      </c>
      <c r="U51" s="726">
        <f>SUMIFS('Schedule 4'!$F$89:$F$649,'Schedule 4'!$I$89:$I$649,'Well Cal.'!U$3,'Schedule 4'!$J$89:$J$649,'Well Cal.'!$E51)</f>
        <v>0</v>
      </c>
      <c r="V51" s="726">
        <f>SUMIFS('Schedule 4'!$F$89:$F$649,'Schedule 4'!$I$89:$I$649,'Well Cal.'!V$3,'Schedule 4'!$J$89:$J$649,'Well Cal.'!$E51)</f>
        <v>0</v>
      </c>
      <c r="W51" s="726">
        <f>SUMIFS('Schedule 4'!$F$89:$F$649,'Schedule 4'!$I$89:$I$649,'Well Cal.'!W$3,'Schedule 4'!$J$89:$J$649,'Well Cal.'!$E51)</f>
        <v>0</v>
      </c>
      <c r="X51" s="726">
        <f>SUMIFS('Schedule 4'!$F$89:$F$649,'Schedule 4'!$I$89:$I$649,'Well Cal.'!X$3,'Schedule 4'!$J$89:$J$649,'Well Cal.'!$E51)</f>
        <v>0</v>
      </c>
      <c r="Y51" s="726">
        <f>SUMIFS('Schedule 4'!$F$89:$F$649,'Schedule 4'!$I$89:$I$649,'Well Cal.'!Y$3,'Schedule 4'!$J$89:$J$649,'Well Cal.'!$E51)</f>
        <v>0</v>
      </c>
      <c r="Z51" s="726">
        <f>SUMIFS('Schedule 4'!$F$89:$F$649,'Schedule 4'!$I$89:$I$649,'Well Cal.'!Z$3,'Schedule 4'!$J$89:$J$649,'Well Cal.'!$E51)</f>
        <v>0</v>
      </c>
      <c r="AA51" s="726"/>
      <c r="AB51" s="1730"/>
      <c r="AC51" s="1730"/>
      <c r="AE51" s="521" t="s">
        <v>1898</v>
      </c>
      <c r="AF51" s="1110">
        <f>C69</f>
        <v>54.05</v>
      </c>
      <c r="AG51" s="1110">
        <f>AB69</f>
        <v>0</v>
      </c>
      <c r="AH51" s="1110">
        <f t="shared" si="2"/>
        <v>54.05</v>
      </c>
    </row>
    <row r="52" spans="2:36" x14ac:dyDescent="0.3">
      <c r="B52" s="1734"/>
      <c r="C52" s="1737"/>
      <c r="D52" s="1730"/>
      <c r="E52" s="761" t="s">
        <v>3445</v>
      </c>
      <c r="F52" s="726">
        <f>SUMIFS('Schedule 4'!$F$89:$F$649,'Schedule 4'!$I$89:$I$649,'Well Cal.'!F$3,'Schedule 4'!$J$89:$J$649,'Well Cal.'!$E52)</f>
        <v>0</v>
      </c>
      <c r="G52" s="726">
        <f>SUMIFS('Schedule 4'!$F$89:$F$649,'Schedule 4'!$I$89:$I$649,'Well Cal.'!G$3,'Schedule 4'!$J$89:$J$649,'Well Cal.'!$E52)</f>
        <v>0</v>
      </c>
      <c r="H52" s="726">
        <f>SUMIFS('Schedule 4'!$F$89:$F$649,'Schedule 4'!$I$89:$I$649,'Well Cal.'!H$3,'Schedule 4'!$J$89:$J$649,'Well Cal.'!$E52)</f>
        <v>0</v>
      </c>
      <c r="I52" s="726">
        <f>SUMIFS('Schedule 4'!$F$89:$F$649,'Schedule 4'!$I$89:$I$649,'Well Cal.'!I$3,'Schedule 4'!$J$89:$J$649,'Well Cal.'!$E52)</f>
        <v>0</v>
      </c>
      <c r="J52" s="726">
        <f>SUMIFS('Schedule 4'!$F$89:$F$649,'Schedule 4'!$I$89:$I$649,'Well Cal.'!J$3,'Schedule 4'!$J$89:$J$649,'Well Cal.'!$E52)</f>
        <v>0</v>
      </c>
      <c r="K52" s="726">
        <f>SUMIFS('Schedule 4'!$F$89:$F$649,'Schedule 4'!$I$89:$I$649,'Well Cal.'!K$3,'Schedule 4'!$J$89:$J$649,'Well Cal.'!$E52)</f>
        <v>0</v>
      </c>
      <c r="L52" s="726">
        <f>SUMIFS('Schedule 4'!$F$89:$F$649,'Schedule 4'!$I$89:$I$649,'Well Cal.'!L$3,'Schedule 4'!$J$89:$J$649,'Well Cal.'!$E52)</f>
        <v>0</v>
      </c>
      <c r="M52" s="726">
        <f>SUMIFS('Schedule 4'!$F$89:$F$649,'Schedule 4'!$I$89:$I$649,'Well Cal.'!M$3,'Schedule 4'!$J$89:$J$649,'Well Cal.'!$E52)</f>
        <v>0</v>
      </c>
      <c r="N52" s="726">
        <f>SUMIFS('Schedule 4'!$F$89:$F$649,'Schedule 4'!$I$89:$I$649,'Well Cal.'!N$3,'Schedule 4'!$J$89:$J$649,'Well Cal.'!$E52)</f>
        <v>0</v>
      </c>
      <c r="O52" s="726">
        <f>SUMIFS('Schedule 4'!$F$89:$F$649,'Schedule 4'!$I$89:$I$649,'Well Cal.'!O$3,'Schedule 4'!$J$89:$J$649,'Well Cal.'!$E52)</f>
        <v>0</v>
      </c>
      <c r="P52" s="726">
        <f>SUMIFS('Schedule 4'!$F$89:$F$649,'Schedule 4'!$I$89:$I$649,'Well Cal.'!P$3,'Schedule 4'!$J$89:$J$649,'Well Cal.'!$E52)</f>
        <v>0</v>
      </c>
      <c r="Q52" s="726">
        <f>SUMIFS('Schedule 4'!$F$89:$F$649,'Schedule 4'!$I$89:$I$649,'Well Cal.'!Q$3,'Schedule 4'!$J$89:$J$649,'Well Cal.'!$E52)</f>
        <v>0</v>
      </c>
      <c r="R52" s="726">
        <f>SUMIFS('Schedule 4'!$F$89:$F$649,'Schedule 4'!$I$89:$I$649,'Well Cal.'!R$3,'Schedule 4'!$J$89:$J$649,'Well Cal.'!$E52)</f>
        <v>0</v>
      </c>
      <c r="S52" s="726">
        <f>SUMIFS('Schedule 4'!$F$89:$F$649,'Schedule 4'!$I$89:$I$649,'Well Cal.'!S$3,'Schedule 4'!$J$89:$J$649,'Well Cal.'!$E52)</f>
        <v>0</v>
      </c>
      <c r="T52" s="726">
        <f>SUMIFS('Schedule 4'!$F$89:$F$649,'Schedule 4'!$I$89:$I$649,'Well Cal.'!T$3,'Schedule 4'!$J$89:$J$649,'Well Cal.'!$E52)</f>
        <v>0</v>
      </c>
      <c r="U52" s="726">
        <f>SUMIFS('Schedule 4'!$F$89:$F$649,'Schedule 4'!$I$89:$I$649,'Well Cal.'!U$3,'Schedule 4'!$J$89:$J$649,'Well Cal.'!$E52)</f>
        <v>0</v>
      </c>
      <c r="V52" s="726">
        <f>SUMIFS('Schedule 4'!$F$89:$F$649,'Schedule 4'!$I$89:$I$649,'Well Cal.'!V$3,'Schedule 4'!$J$89:$J$649,'Well Cal.'!$E52)</f>
        <v>0</v>
      </c>
      <c r="W52" s="726">
        <f>SUMIFS('Schedule 4'!$F$89:$F$649,'Schedule 4'!$I$89:$I$649,'Well Cal.'!W$3,'Schedule 4'!$J$89:$J$649,'Well Cal.'!$E52)</f>
        <v>0</v>
      </c>
      <c r="X52" s="726">
        <f>SUMIFS('Schedule 4'!$F$89:$F$649,'Schedule 4'!$I$89:$I$649,'Well Cal.'!X$3,'Schedule 4'!$J$89:$J$649,'Well Cal.'!$E52)</f>
        <v>0</v>
      </c>
      <c r="Y52" s="726">
        <f>SUMIFS('Schedule 4'!$F$89:$F$649,'Schedule 4'!$I$89:$I$649,'Well Cal.'!Y$3,'Schedule 4'!$J$89:$J$649,'Well Cal.'!$E52)</f>
        <v>0</v>
      </c>
      <c r="Z52" s="726">
        <f>SUMIFS('Schedule 4'!$F$89:$F$649,'Schedule 4'!$I$89:$I$649,'Well Cal.'!Z$3,'Schedule 4'!$J$89:$J$649,'Well Cal.'!$E52)</f>
        <v>0</v>
      </c>
      <c r="AA52" s="726"/>
      <c r="AB52" s="1730"/>
      <c r="AC52" s="1730"/>
      <c r="AE52" s="521" t="s">
        <v>1899</v>
      </c>
      <c r="AF52" s="1110">
        <f>C90</f>
        <v>54.05</v>
      </c>
      <c r="AG52" s="1110">
        <f>AB90</f>
        <v>0</v>
      </c>
      <c r="AH52" s="1110">
        <f t="shared" si="2"/>
        <v>54.05</v>
      </c>
    </row>
    <row r="53" spans="2:36" x14ac:dyDescent="0.3">
      <c r="B53" s="1734"/>
      <c r="C53" s="1737"/>
      <c r="D53" s="1730"/>
      <c r="E53" s="761" t="s">
        <v>3519</v>
      </c>
      <c r="F53" s="726">
        <f>SUMIFS('Schedule 4'!$F$89:$F$649,'Schedule 4'!$I$89:$I$649,'Well Cal.'!F$3,'Schedule 4'!$J$89:$J$649,'Well Cal.'!$E53)</f>
        <v>0</v>
      </c>
      <c r="G53" s="726">
        <f>SUMIFS('Schedule 4'!$F$89:$F$649,'Schedule 4'!$I$89:$I$649,'Well Cal.'!G$3,'Schedule 4'!$J$89:$J$649,'Well Cal.'!$E53)</f>
        <v>0</v>
      </c>
      <c r="H53" s="726">
        <f>SUMIFS('Schedule 4'!$F$89:$F$649,'Schedule 4'!$I$89:$I$649,'Well Cal.'!H$3,'Schedule 4'!$J$89:$J$649,'Well Cal.'!$E53)</f>
        <v>0</v>
      </c>
      <c r="I53" s="726">
        <f>SUMIFS('Schedule 4'!$F$89:$F$649,'Schedule 4'!$I$89:$I$649,'Well Cal.'!I$3,'Schedule 4'!$J$89:$J$649,'Well Cal.'!$E53)</f>
        <v>0</v>
      </c>
      <c r="J53" s="726">
        <f>SUMIFS('Schedule 4'!$F$89:$F$649,'Schedule 4'!$I$89:$I$649,'Well Cal.'!J$3,'Schedule 4'!$J$89:$J$649,'Well Cal.'!$E53)</f>
        <v>0</v>
      </c>
      <c r="K53" s="726">
        <f>SUMIFS('Schedule 4'!$F$89:$F$649,'Schedule 4'!$I$89:$I$649,'Well Cal.'!K$3,'Schedule 4'!$J$89:$J$649,'Well Cal.'!$E53)</f>
        <v>0</v>
      </c>
      <c r="L53" s="726">
        <f>SUMIFS('Schedule 4'!$F$89:$F$649,'Schedule 4'!$I$89:$I$649,'Well Cal.'!L$3,'Schedule 4'!$J$89:$J$649,'Well Cal.'!$E53)</f>
        <v>0</v>
      </c>
      <c r="M53" s="726">
        <f>SUMIFS('Schedule 4'!$F$89:$F$649,'Schedule 4'!$I$89:$I$649,'Well Cal.'!M$3,'Schedule 4'!$J$89:$J$649,'Well Cal.'!$E53)</f>
        <v>0</v>
      </c>
      <c r="N53" s="726">
        <f>SUMIFS('Schedule 4'!$F$89:$F$649,'Schedule 4'!$I$89:$I$649,'Well Cal.'!N$3,'Schedule 4'!$J$89:$J$649,'Well Cal.'!$E53)</f>
        <v>0</v>
      </c>
      <c r="O53" s="726">
        <f>SUMIFS('Schedule 4'!$F$89:$F$649,'Schedule 4'!$I$89:$I$649,'Well Cal.'!O$3,'Schedule 4'!$J$89:$J$649,'Well Cal.'!$E53)</f>
        <v>0</v>
      </c>
      <c r="P53" s="726">
        <f>SUMIFS('Schedule 4'!$F$89:$F$649,'Schedule 4'!$I$89:$I$649,'Well Cal.'!P$3,'Schedule 4'!$J$89:$J$649,'Well Cal.'!$E53)</f>
        <v>0</v>
      </c>
      <c r="Q53" s="726">
        <f>SUMIFS('Schedule 4'!$F$89:$F$649,'Schedule 4'!$I$89:$I$649,'Well Cal.'!Q$3,'Schedule 4'!$J$89:$J$649,'Well Cal.'!$E53)</f>
        <v>0</v>
      </c>
      <c r="R53" s="726">
        <f>SUMIFS('Schedule 4'!$F$89:$F$649,'Schedule 4'!$I$89:$I$649,'Well Cal.'!R$3,'Schedule 4'!$J$89:$J$649,'Well Cal.'!$E53)</f>
        <v>0</v>
      </c>
      <c r="S53" s="726">
        <f>SUMIFS('Schedule 4'!$F$89:$F$649,'Schedule 4'!$I$89:$I$649,'Well Cal.'!S$3,'Schedule 4'!$J$89:$J$649,'Well Cal.'!$E53)</f>
        <v>0</v>
      </c>
      <c r="T53" s="726">
        <f>SUMIFS('Schedule 4'!$F$89:$F$649,'Schedule 4'!$I$89:$I$649,'Well Cal.'!T$3,'Schedule 4'!$J$89:$J$649,'Well Cal.'!$E53)</f>
        <v>0</v>
      </c>
      <c r="U53" s="726">
        <f>SUMIFS('Schedule 4'!$F$89:$F$649,'Schedule 4'!$I$89:$I$649,'Well Cal.'!U$3,'Schedule 4'!$J$89:$J$649,'Well Cal.'!$E53)</f>
        <v>0</v>
      </c>
      <c r="V53" s="726">
        <f>SUMIFS('Schedule 4'!$F$89:$F$649,'Schedule 4'!$I$89:$I$649,'Well Cal.'!V$3,'Schedule 4'!$J$89:$J$649,'Well Cal.'!$E53)</f>
        <v>0</v>
      </c>
      <c r="W53" s="726">
        <f>SUMIFS('Schedule 4'!$F$89:$F$649,'Schedule 4'!$I$89:$I$649,'Well Cal.'!W$3,'Schedule 4'!$J$89:$J$649,'Well Cal.'!$E53)</f>
        <v>0</v>
      </c>
      <c r="X53" s="726">
        <f>SUMIFS('Schedule 4'!$F$89:$F$649,'Schedule 4'!$I$89:$I$649,'Well Cal.'!X$3,'Schedule 4'!$J$89:$J$649,'Well Cal.'!$E53)</f>
        <v>0</v>
      </c>
      <c r="Y53" s="726">
        <f>SUMIFS('Schedule 4'!$F$89:$F$649,'Schedule 4'!$I$89:$I$649,'Well Cal.'!Y$3,'Schedule 4'!$J$89:$J$649,'Well Cal.'!$E53)</f>
        <v>0</v>
      </c>
      <c r="Z53" s="726">
        <f>SUMIFS('Schedule 4'!$F$89:$F$649,'Schedule 4'!$I$89:$I$649,'Well Cal.'!Z$3,'Schedule 4'!$J$89:$J$649,'Well Cal.'!$E53)</f>
        <v>0</v>
      </c>
      <c r="AA53" s="726"/>
      <c r="AB53" s="1730"/>
      <c r="AC53" s="1730"/>
      <c r="AE53" s="521" t="s">
        <v>1900</v>
      </c>
      <c r="AF53" s="1110">
        <f>C112</f>
        <v>54.05</v>
      </c>
      <c r="AG53" s="1110">
        <f>AB112</f>
        <v>0</v>
      </c>
      <c r="AH53" s="1110">
        <f t="shared" si="2"/>
        <v>54.05</v>
      </c>
    </row>
    <row r="54" spans="2:36" x14ac:dyDescent="0.3">
      <c r="B54" s="1734"/>
      <c r="C54" s="1737"/>
      <c r="D54" s="1730"/>
      <c r="E54" s="761" t="s">
        <v>3591</v>
      </c>
      <c r="F54" s="726">
        <f>SUMIFS('Schedule 4'!$F$89:$F$649,'Schedule 4'!$I$89:$I$649,'Well Cal.'!F$3,'Schedule 4'!$J$89:$J$649,'Well Cal.'!$E54)</f>
        <v>0</v>
      </c>
      <c r="G54" s="726">
        <f>SUMIFS('Schedule 4'!$F$89:$F$649,'Schedule 4'!$I$89:$I$649,'Well Cal.'!G$3,'Schedule 4'!$J$89:$J$649,'Well Cal.'!$E54)</f>
        <v>0</v>
      </c>
      <c r="H54" s="726">
        <f>SUMIFS('Schedule 4'!$F$89:$F$649,'Schedule 4'!$I$89:$I$649,'Well Cal.'!H$3,'Schedule 4'!$J$89:$J$649,'Well Cal.'!$E54)</f>
        <v>0</v>
      </c>
      <c r="I54" s="726">
        <f>SUMIFS('Schedule 4'!$F$89:$F$649,'Schedule 4'!$I$89:$I$649,'Well Cal.'!I$3,'Schedule 4'!$J$89:$J$649,'Well Cal.'!$E54)</f>
        <v>0</v>
      </c>
      <c r="J54" s="726">
        <f>SUMIFS('Schedule 4'!$F$89:$F$649,'Schedule 4'!$I$89:$I$649,'Well Cal.'!J$3,'Schedule 4'!$J$89:$J$649,'Well Cal.'!$E54)</f>
        <v>0</v>
      </c>
      <c r="K54" s="726">
        <f>SUMIFS('Schedule 4'!$F$89:$F$649,'Schedule 4'!$I$89:$I$649,'Well Cal.'!K$3,'Schedule 4'!$J$89:$J$649,'Well Cal.'!$E54)</f>
        <v>0</v>
      </c>
      <c r="L54" s="726">
        <f>SUMIFS('Schedule 4'!$F$89:$F$649,'Schedule 4'!$I$89:$I$649,'Well Cal.'!L$3,'Schedule 4'!$J$89:$J$649,'Well Cal.'!$E54)</f>
        <v>0</v>
      </c>
      <c r="M54" s="726">
        <f>SUMIFS('Schedule 4'!$F$89:$F$649,'Schedule 4'!$I$89:$I$649,'Well Cal.'!M$3,'Schedule 4'!$J$89:$J$649,'Well Cal.'!$E54)</f>
        <v>0</v>
      </c>
      <c r="N54" s="726">
        <f>SUMIFS('Schedule 4'!$F$89:$F$649,'Schedule 4'!$I$89:$I$649,'Well Cal.'!N$3,'Schedule 4'!$J$89:$J$649,'Well Cal.'!$E54)</f>
        <v>0</v>
      </c>
      <c r="O54" s="726">
        <f>SUMIFS('Schedule 4'!$F$89:$F$649,'Schedule 4'!$I$89:$I$649,'Well Cal.'!O$3,'Schedule 4'!$J$89:$J$649,'Well Cal.'!$E54)</f>
        <v>0</v>
      </c>
      <c r="P54" s="726">
        <f>SUMIFS('Schedule 4'!$F$89:$F$649,'Schedule 4'!$I$89:$I$649,'Well Cal.'!P$3,'Schedule 4'!$J$89:$J$649,'Well Cal.'!$E54)</f>
        <v>0</v>
      </c>
      <c r="Q54" s="726">
        <f>SUMIFS('Schedule 4'!$F$89:$F$649,'Schedule 4'!$I$89:$I$649,'Well Cal.'!Q$3,'Schedule 4'!$J$89:$J$649,'Well Cal.'!$E54)</f>
        <v>0</v>
      </c>
      <c r="R54" s="726">
        <f>SUMIFS('Schedule 4'!$F$89:$F$649,'Schedule 4'!$I$89:$I$649,'Well Cal.'!R$3,'Schedule 4'!$J$89:$J$649,'Well Cal.'!$E54)</f>
        <v>0</v>
      </c>
      <c r="S54" s="726">
        <f>SUMIFS('Schedule 4'!$F$89:$F$649,'Schedule 4'!$I$89:$I$649,'Well Cal.'!S$3,'Schedule 4'!$J$89:$J$649,'Well Cal.'!$E54)</f>
        <v>0</v>
      </c>
      <c r="T54" s="726">
        <f>SUMIFS('Schedule 4'!$F$89:$F$649,'Schedule 4'!$I$89:$I$649,'Well Cal.'!T$3,'Schedule 4'!$J$89:$J$649,'Well Cal.'!$E54)</f>
        <v>0</v>
      </c>
      <c r="U54" s="726">
        <f>SUMIFS('Schedule 4'!$F$89:$F$649,'Schedule 4'!$I$89:$I$649,'Well Cal.'!U$3,'Schedule 4'!$J$89:$J$649,'Well Cal.'!$E54)</f>
        <v>0</v>
      </c>
      <c r="V54" s="726">
        <f>SUMIFS('Schedule 4'!$F$89:$F$649,'Schedule 4'!$I$89:$I$649,'Well Cal.'!V$3,'Schedule 4'!$J$89:$J$649,'Well Cal.'!$E54)</f>
        <v>0</v>
      </c>
      <c r="W54" s="726">
        <f>SUMIFS('Schedule 4'!$F$89:$F$649,'Schedule 4'!$I$89:$I$649,'Well Cal.'!W$3,'Schedule 4'!$J$89:$J$649,'Well Cal.'!$E54)</f>
        <v>0</v>
      </c>
      <c r="X54" s="726">
        <f>SUMIFS('Schedule 4'!$F$89:$F$649,'Schedule 4'!$I$89:$I$649,'Well Cal.'!X$3,'Schedule 4'!$J$89:$J$649,'Well Cal.'!$E54)</f>
        <v>0</v>
      </c>
      <c r="Y54" s="726">
        <f>SUMIFS('Schedule 4'!$F$89:$F$649,'Schedule 4'!$I$89:$I$649,'Well Cal.'!Y$3,'Schedule 4'!$J$89:$J$649,'Well Cal.'!$E54)</f>
        <v>0</v>
      </c>
      <c r="Z54" s="726">
        <f>SUMIFS('Schedule 4'!$F$89:$F$649,'Schedule 4'!$I$89:$I$649,'Well Cal.'!Z$3,'Schedule 4'!$J$89:$J$649,'Well Cal.'!$E54)</f>
        <v>0</v>
      </c>
      <c r="AA54" s="726"/>
      <c r="AB54" s="1730"/>
      <c r="AC54" s="1730"/>
      <c r="AE54" s="521" t="s">
        <v>1901</v>
      </c>
      <c r="AF54" s="1110">
        <f>C134</f>
        <v>50.55</v>
      </c>
      <c r="AG54" s="1110">
        <f>AB134</f>
        <v>50.55</v>
      </c>
      <c r="AH54" s="1110">
        <f t="shared" si="2"/>
        <v>0</v>
      </c>
    </row>
    <row r="55" spans="2:36" x14ac:dyDescent="0.3">
      <c r="B55" s="1735"/>
      <c r="C55" s="1738"/>
      <c r="D55" s="1731"/>
      <c r="E55" s="761" t="s">
        <v>3729</v>
      </c>
      <c r="F55" s="726">
        <f>SUMIFS('Schedule 4'!$F$89:$F$649,'Schedule 4'!$I$89:$I$649,'Well Cal.'!F$3,'Schedule 4'!$J$89:$J$649,'Well Cal.'!$E55)</f>
        <v>0</v>
      </c>
      <c r="G55" s="726">
        <f>SUMIFS('Schedule 4'!$F$89:$F$649,'Schedule 4'!$I$89:$I$649,'Well Cal.'!G$3,'Schedule 4'!$J$89:$J$649,'Well Cal.'!$E55)</f>
        <v>0</v>
      </c>
      <c r="H55" s="726">
        <f>SUMIFS('Schedule 4'!$F$89:$F$649,'Schedule 4'!$I$89:$I$649,'Well Cal.'!H$3,'Schedule 4'!$J$89:$J$649,'Well Cal.'!$E55)</f>
        <v>0</v>
      </c>
      <c r="I55" s="726">
        <f>SUMIFS('Schedule 4'!$F$89:$F$649,'Schedule 4'!$I$89:$I$649,'Well Cal.'!I$3,'Schedule 4'!$J$89:$J$649,'Well Cal.'!$E55)</f>
        <v>0</v>
      </c>
      <c r="J55" s="726">
        <f>SUMIFS('Schedule 4'!$F$89:$F$649,'Schedule 4'!$I$89:$I$649,'Well Cal.'!J$3,'Schedule 4'!$J$89:$J$649,'Well Cal.'!$E55)</f>
        <v>0</v>
      </c>
      <c r="K55" s="726">
        <f>SUMIFS('Schedule 4'!$F$89:$F$649,'Schedule 4'!$I$89:$I$649,'Well Cal.'!K$3,'Schedule 4'!$J$89:$J$649,'Well Cal.'!$E55)</f>
        <v>0</v>
      </c>
      <c r="L55" s="726">
        <f>SUMIFS('Schedule 4'!$F$89:$F$649,'Schedule 4'!$I$89:$I$649,'Well Cal.'!L$3,'Schedule 4'!$J$89:$J$649,'Well Cal.'!$E55)</f>
        <v>0</v>
      </c>
      <c r="M55" s="726">
        <f>SUMIFS('Schedule 4'!$F$89:$F$649,'Schedule 4'!$I$89:$I$649,'Well Cal.'!M$3,'Schedule 4'!$J$89:$J$649,'Well Cal.'!$E55)</f>
        <v>0</v>
      </c>
      <c r="N55" s="726">
        <f>SUMIFS('Schedule 4'!$F$89:$F$649,'Schedule 4'!$I$89:$I$649,'Well Cal.'!N$3,'Schedule 4'!$J$89:$J$649,'Well Cal.'!$E55)</f>
        <v>0</v>
      </c>
      <c r="O55" s="726">
        <f>SUMIFS('Schedule 4'!$F$89:$F$649,'Schedule 4'!$I$89:$I$649,'Well Cal.'!O$3,'Schedule 4'!$J$89:$J$649,'Well Cal.'!$E55)</f>
        <v>0</v>
      </c>
      <c r="P55" s="726">
        <f>SUMIFS('Schedule 4'!$F$89:$F$649,'Schedule 4'!$I$89:$I$649,'Well Cal.'!P$3,'Schedule 4'!$J$89:$J$649,'Well Cal.'!$E55)</f>
        <v>0</v>
      </c>
      <c r="Q55" s="726">
        <f>SUMIFS('Schedule 4'!$F$89:$F$649,'Schedule 4'!$I$89:$I$649,'Well Cal.'!Q$3,'Schedule 4'!$J$89:$J$649,'Well Cal.'!$E55)</f>
        <v>0</v>
      </c>
      <c r="R55" s="726">
        <f>SUMIFS('Schedule 4'!$F$89:$F$649,'Schedule 4'!$I$89:$I$649,'Well Cal.'!R$3,'Schedule 4'!$J$89:$J$649,'Well Cal.'!$E55)</f>
        <v>0</v>
      </c>
      <c r="S55" s="726">
        <f>SUMIFS('Schedule 4'!$F$89:$F$649,'Schedule 4'!$I$89:$I$649,'Well Cal.'!S$3,'Schedule 4'!$J$89:$J$649,'Well Cal.'!$E55)</f>
        <v>0</v>
      </c>
      <c r="T55" s="726">
        <f>SUMIFS('Schedule 4'!$F$89:$F$649,'Schedule 4'!$I$89:$I$649,'Well Cal.'!T$3,'Schedule 4'!$J$89:$J$649,'Well Cal.'!$E55)</f>
        <v>0</v>
      </c>
      <c r="U55" s="726">
        <f>SUMIFS('Schedule 4'!$F$89:$F$649,'Schedule 4'!$I$89:$I$649,'Well Cal.'!U$3,'Schedule 4'!$J$89:$J$649,'Well Cal.'!$E55)</f>
        <v>0</v>
      </c>
      <c r="V55" s="726">
        <f>SUMIFS('Schedule 4'!$F$89:$F$649,'Schedule 4'!$I$89:$I$649,'Well Cal.'!V$3,'Schedule 4'!$J$89:$J$649,'Well Cal.'!$E55)</f>
        <v>0</v>
      </c>
      <c r="W55" s="726">
        <f>SUMIFS('Schedule 4'!$F$89:$F$649,'Schedule 4'!$I$89:$I$649,'Well Cal.'!W$3,'Schedule 4'!$J$89:$J$649,'Well Cal.'!$E55)</f>
        <v>0</v>
      </c>
      <c r="X55" s="726">
        <f>SUMIFS('Schedule 4'!$F$89:$F$649,'Schedule 4'!$I$89:$I$649,'Well Cal.'!X$3,'Schedule 4'!$J$89:$J$649,'Well Cal.'!$E55)</f>
        <v>0</v>
      </c>
      <c r="Y55" s="726">
        <f>SUMIFS('Schedule 4'!$F$89:$F$649,'Schedule 4'!$I$89:$I$649,'Well Cal.'!Y$3,'Schedule 4'!$J$89:$J$649,'Well Cal.'!$E55)</f>
        <v>0</v>
      </c>
      <c r="Z55" s="726">
        <f>SUMIFS('Schedule 4'!$F$89:$F$649,'Schedule 4'!$I$89:$I$649,'Well Cal.'!Z$3,'Schedule 4'!$J$89:$J$649,'Well Cal.'!$E55)</f>
        <v>0</v>
      </c>
      <c r="AA55" s="726"/>
      <c r="AB55" s="1731"/>
      <c r="AC55" s="1731"/>
      <c r="AE55" s="521" t="s">
        <v>1902</v>
      </c>
      <c r="AF55" s="1110">
        <f>C155</f>
        <v>54.05</v>
      </c>
      <c r="AG55" s="1110">
        <f>AB155</f>
        <v>44.2</v>
      </c>
      <c r="AH55" s="1110">
        <f t="shared" si="2"/>
        <v>9.8499999999999943</v>
      </c>
      <c r="AJ55" s="1176"/>
    </row>
    <row r="56" spans="2:36" x14ac:dyDescent="0.3">
      <c r="B56" s="1735"/>
      <c r="C56" s="1738"/>
      <c r="D56" s="1731"/>
      <c r="E56" s="761" t="s">
        <v>3740</v>
      </c>
      <c r="F56" s="726">
        <f>SUMIFS('Schedule 4'!$F$89:$F$649,'Schedule 4'!$I$89:$I$649,'Well Cal.'!F$3,'Schedule 4'!$J$89:$J$649,'Well Cal.'!$E56)</f>
        <v>0</v>
      </c>
      <c r="G56" s="726">
        <f>SUMIFS('Schedule 4'!$F$89:$F$649,'Schedule 4'!$I$89:$I$649,'Well Cal.'!G$3,'Schedule 4'!$J$89:$J$649,'Well Cal.'!$E56)</f>
        <v>0</v>
      </c>
      <c r="H56" s="726">
        <f>SUMIFS('Schedule 4'!$F$89:$F$649,'Schedule 4'!$I$89:$I$649,'Well Cal.'!H$3,'Schedule 4'!$J$89:$J$649,'Well Cal.'!$E56)</f>
        <v>0</v>
      </c>
      <c r="I56" s="726">
        <f>SUMIFS('Schedule 4'!$F$89:$F$649,'Schedule 4'!$I$89:$I$649,'Well Cal.'!I$3,'Schedule 4'!$J$89:$J$649,'Well Cal.'!$E56)</f>
        <v>0</v>
      </c>
      <c r="J56" s="726">
        <f>SUMIFS('Schedule 4'!$F$89:$F$649,'Schedule 4'!$I$89:$I$649,'Well Cal.'!J$3,'Schedule 4'!$J$89:$J$649,'Well Cal.'!$E56)</f>
        <v>0</v>
      </c>
      <c r="K56" s="726">
        <f>SUMIFS('Schedule 4'!$F$89:$F$649,'Schedule 4'!$I$89:$I$649,'Well Cal.'!K$3,'Schedule 4'!$J$89:$J$649,'Well Cal.'!$E56)</f>
        <v>0</v>
      </c>
      <c r="L56" s="726">
        <f>SUMIFS('Schedule 4'!$F$89:$F$649,'Schedule 4'!$I$89:$I$649,'Well Cal.'!L$3,'Schedule 4'!$J$89:$J$649,'Well Cal.'!$E56)</f>
        <v>0</v>
      </c>
      <c r="M56" s="726">
        <f>SUMIFS('Schedule 4'!$F$89:$F$649,'Schedule 4'!$I$89:$I$649,'Well Cal.'!M$3,'Schedule 4'!$J$89:$J$649,'Well Cal.'!$E56)</f>
        <v>0</v>
      </c>
      <c r="N56" s="726">
        <f>SUMIFS('Schedule 4'!$F$89:$F$649,'Schedule 4'!$I$89:$I$649,'Well Cal.'!N$3,'Schedule 4'!$J$89:$J$649,'Well Cal.'!$E56)</f>
        <v>0</v>
      </c>
      <c r="O56" s="726">
        <f>SUMIFS('Schedule 4'!$F$89:$F$649,'Schedule 4'!$I$89:$I$649,'Well Cal.'!O$3,'Schedule 4'!$J$89:$J$649,'Well Cal.'!$E56)</f>
        <v>0</v>
      </c>
      <c r="P56" s="726">
        <f>SUMIFS('Schedule 4'!$F$89:$F$649,'Schedule 4'!$I$89:$I$649,'Well Cal.'!P$3,'Schedule 4'!$J$89:$J$649,'Well Cal.'!$E56)</f>
        <v>0</v>
      </c>
      <c r="Q56" s="726">
        <f>SUMIFS('Schedule 4'!$F$89:$F$649,'Schedule 4'!$I$89:$I$649,'Well Cal.'!Q$3,'Schedule 4'!$J$89:$J$649,'Well Cal.'!$E56)</f>
        <v>0</v>
      </c>
      <c r="R56" s="726">
        <f>SUMIFS('Schedule 4'!$F$89:$F$649,'Schedule 4'!$I$89:$I$649,'Well Cal.'!R$3,'Schedule 4'!$J$89:$J$649,'Well Cal.'!$E56)</f>
        <v>0</v>
      </c>
      <c r="S56" s="726">
        <f>SUMIFS('Schedule 4'!$F$89:$F$649,'Schedule 4'!$I$89:$I$649,'Well Cal.'!S$3,'Schedule 4'!$J$89:$J$649,'Well Cal.'!$E56)</f>
        <v>0</v>
      </c>
      <c r="T56" s="726">
        <f>SUMIFS('Schedule 4'!$F$89:$F$649,'Schedule 4'!$I$89:$I$649,'Well Cal.'!T$3,'Schedule 4'!$J$89:$J$649,'Well Cal.'!$E56)</f>
        <v>0</v>
      </c>
      <c r="U56" s="726">
        <f>SUMIFS('Schedule 4'!$F$89:$F$649,'Schedule 4'!$I$89:$I$649,'Well Cal.'!U$3,'Schedule 4'!$J$89:$J$649,'Well Cal.'!$E56)</f>
        <v>0</v>
      </c>
      <c r="V56" s="726">
        <f>SUMIFS('Schedule 4'!$F$89:$F$649,'Schedule 4'!$I$89:$I$649,'Well Cal.'!V$3,'Schedule 4'!$J$89:$J$649,'Well Cal.'!$E56)</f>
        <v>0</v>
      </c>
      <c r="W56" s="726">
        <f>SUMIFS('Schedule 4'!$F$89:$F$649,'Schedule 4'!$I$89:$I$649,'Well Cal.'!W$3,'Schedule 4'!$J$89:$J$649,'Well Cal.'!$E56)</f>
        <v>0</v>
      </c>
      <c r="X56" s="726">
        <f>SUMIFS('Schedule 4'!$F$89:$F$649,'Schedule 4'!$I$89:$I$649,'Well Cal.'!X$3,'Schedule 4'!$J$89:$J$649,'Well Cal.'!$E56)</f>
        <v>0</v>
      </c>
      <c r="Y56" s="726">
        <f>SUMIFS('Schedule 4'!$F$89:$F$649,'Schedule 4'!$I$89:$I$649,'Well Cal.'!Y$3,'Schedule 4'!$J$89:$J$649,'Well Cal.'!$E56)</f>
        <v>0</v>
      </c>
      <c r="Z56" s="726">
        <f>SUMIFS('Schedule 4'!$F$89:$F$649,'Schedule 4'!$I$89:$I$649,'Well Cal.'!Z$3,'Schedule 4'!$J$89:$J$649,'Well Cal.'!$E56)</f>
        <v>0</v>
      </c>
      <c r="AA56" s="726"/>
      <c r="AB56" s="1731"/>
      <c r="AC56" s="1731"/>
      <c r="AE56" s="521" t="s">
        <v>6109</v>
      </c>
      <c r="AF56" s="1110">
        <f>C181</f>
        <v>54.05</v>
      </c>
      <c r="AG56" s="1110">
        <f>AB181</f>
        <v>0</v>
      </c>
      <c r="AH56" s="1110">
        <f t="shared" si="2"/>
        <v>54.05</v>
      </c>
    </row>
    <row r="57" spans="2:36" x14ac:dyDescent="0.3">
      <c r="B57" s="1735"/>
      <c r="C57" s="1738"/>
      <c r="D57" s="1731"/>
      <c r="E57" s="761" t="s">
        <v>3805</v>
      </c>
      <c r="F57" s="726">
        <f>SUMIFS('Schedule 4'!$F$89:$F$649,'Schedule 4'!$I$89:$I$649,'Well Cal.'!F$3,'Schedule 4'!$J$89:$J$649,'Well Cal.'!$E57)</f>
        <v>0</v>
      </c>
      <c r="G57" s="726">
        <f>SUMIFS('Schedule 4'!$F$89:$F$649,'Schedule 4'!$I$89:$I$649,'Well Cal.'!G$3,'Schedule 4'!$J$89:$J$649,'Well Cal.'!$E57)</f>
        <v>0</v>
      </c>
      <c r="H57" s="726">
        <f>SUMIFS('Schedule 4'!$F$89:$F$649,'Schedule 4'!$I$89:$I$649,'Well Cal.'!H$3,'Schedule 4'!$J$89:$J$649,'Well Cal.'!$E57)</f>
        <v>0</v>
      </c>
      <c r="I57" s="726">
        <f>SUMIFS('Schedule 4'!$F$89:$F$649,'Schedule 4'!$I$89:$I$649,'Well Cal.'!I$3,'Schedule 4'!$J$89:$J$649,'Well Cal.'!$E57)</f>
        <v>0</v>
      </c>
      <c r="J57" s="726">
        <f>SUMIFS('Schedule 4'!$F$89:$F$649,'Schedule 4'!$I$89:$I$649,'Well Cal.'!J$3,'Schedule 4'!$J$89:$J$649,'Well Cal.'!$E57)</f>
        <v>0</v>
      </c>
      <c r="K57" s="726">
        <f>SUMIFS('Schedule 4'!$F$89:$F$649,'Schedule 4'!$I$89:$I$649,'Well Cal.'!K$3,'Schedule 4'!$J$89:$J$649,'Well Cal.'!$E57)</f>
        <v>0</v>
      </c>
      <c r="L57" s="726">
        <f>SUMIFS('Schedule 4'!$F$89:$F$649,'Schedule 4'!$I$89:$I$649,'Well Cal.'!L$3,'Schedule 4'!$J$89:$J$649,'Well Cal.'!$E57)</f>
        <v>0</v>
      </c>
      <c r="M57" s="726">
        <f>SUMIFS('Schedule 4'!$F$89:$F$649,'Schedule 4'!$I$89:$I$649,'Well Cal.'!M$3,'Schedule 4'!$J$89:$J$649,'Well Cal.'!$E57)</f>
        <v>0</v>
      </c>
      <c r="N57" s="726">
        <f>SUMIFS('Schedule 4'!$F$89:$F$649,'Schedule 4'!$I$89:$I$649,'Well Cal.'!N$3,'Schedule 4'!$J$89:$J$649,'Well Cal.'!$E57)</f>
        <v>0</v>
      </c>
      <c r="O57" s="726">
        <f>SUMIFS('Schedule 4'!$F$89:$F$649,'Schedule 4'!$I$89:$I$649,'Well Cal.'!O$3,'Schedule 4'!$J$89:$J$649,'Well Cal.'!$E57)</f>
        <v>0</v>
      </c>
      <c r="P57" s="726">
        <f>SUMIFS('Schedule 4'!$F$89:$F$649,'Schedule 4'!$I$89:$I$649,'Well Cal.'!P$3,'Schedule 4'!$J$89:$J$649,'Well Cal.'!$E57)</f>
        <v>0</v>
      </c>
      <c r="Q57" s="726">
        <f>SUMIFS('Schedule 4'!$F$89:$F$649,'Schedule 4'!$I$89:$I$649,'Well Cal.'!Q$3,'Schedule 4'!$J$89:$J$649,'Well Cal.'!$E57)</f>
        <v>0</v>
      </c>
      <c r="R57" s="726">
        <f>SUMIFS('Schedule 4'!$F$89:$F$649,'Schedule 4'!$I$89:$I$649,'Well Cal.'!R$3,'Schedule 4'!$J$89:$J$649,'Well Cal.'!$E57)</f>
        <v>0</v>
      </c>
      <c r="S57" s="726">
        <f>SUMIFS('Schedule 4'!$F$89:$F$649,'Schedule 4'!$I$89:$I$649,'Well Cal.'!S$3,'Schedule 4'!$J$89:$J$649,'Well Cal.'!$E57)</f>
        <v>0</v>
      </c>
      <c r="T57" s="726">
        <f>SUMIFS('Schedule 4'!$F$89:$F$649,'Schedule 4'!$I$89:$I$649,'Well Cal.'!T$3,'Schedule 4'!$J$89:$J$649,'Well Cal.'!$E57)</f>
        <v>0</v>
      </c>
      <c r="U57" s="726">
        <f>SUMIFS('Schedule 4'!$F$89:$F$649,'Schedule 4'!$I$89:$I$649,'Well Cal.'!U$3,'Schedule 4'!$J$89:$J$649,'Well Cal.'!$E57)</f>
        <v>0</v>
      </c>
      <c r="V57" s="726">
        <f>SUMIFS('Schedule 4'!$F$89:$F$649,'Schedule 4'!$I$89:$I$649,'Well Cal.'!V$3,'Schedule 4'!$J$89:$J$649,'Well Cal.'!$E57)</f>
        <v>0</v>
      </c>
      <c r="W57" s="726">
        <f>SUMIFS('Schedule 4'!$F$89:$F$649,'Schedule 4'!$I$89:$I$649,'Well Cal.'!W$3,'Schedule 4'!$J$89:$J$649,'Well Cal.'!$E57)</f>
        <v>0</v>
      </c>
      <c r="X57" s="726">
        <f>SUMIFS('Schedule 4'!$F$89:$F$649,'Schedule 4'!$I$89:$I$649,'Well Cal.'!X$3,'Schedule 4'!$J$89:$J$649,'Well Cal.'!$E57)</f>
        <v>0</v>
      </c>
      <c r="Y57" s="726">
        <f>SUMIFS('Schedule 4'!$F$89:$F$649,'Schedule 4'!$I$89:$I$649,'Well Cal.'!Y$3,'Schedule 4'!$J$89:$J$649,'Well Cal.'!$E57)</f>
        <v>0</v>
      </c>
      <c r="Z57" s="726">
        <f>SUMIFS('Schedule 4'!$F$89:$F$649,'Schedule 4'!$I$89:$I$649,'Well Cal.'!Z$3,'Schedule 4'!$J$89:$J$649,'Well Cal.'!$E57)</f>
        <v>0</v>
      </c>
      <c r="AA57" s="726"/>
      <c r="AB57" s="1731"/>
      <c r="AC57" s="1731"/>
      <c r="AE57" s="521" t="s">
        <v>3056</v>
      </c>
      <c r="AF57" s="1110">
        <v>54.05</v>
      </c>
      <c r="AG57" s="1110">
        <f>AB190</f>
        <v>47.129999999999988</v>
      </c>
      <c r="AH57" s="1110">
        <f t="shared" si="2"/>
        <v>6.9200000000000088</v>
      </c>
      <c r="AJ57" s="1176"/>
    </row>
    <row r="58" spans="2:36" x14ac:dyDescent="0.3">
      <c r="B58" s="1735"/>
      <c r="C58" s="1738"/>
      <c r="D58" s="1731"/>
      <c r="E58" s="761" t="s">
        <v>3875</v>
      </c>
      <c r="F58" s="726">
        <f>SUMIFS('Schedule 4'!$F$89:$F$649,'Schedule 4'!$I$89:$I$649,'Well Cal.'!F$3,'Schedule 4'!$J$89:$J$649,'Well Cal.'!$E58)</f>
        <v>0</v>
      </c>
      <c r="G58" s="726">
        <f>SUMIFS('Schedule 4'!$F$89:$F$649,'Schedule 4'!$I$89:$I$649,'Well Cal.'!G$3,'Schedule 4'!$J$89:$J$649,'Well Cal.'!$E58)</f>
        <v>0</v>
      </c>
      <c r="H58" s="726">
        <f>SUMIFS('Schedule 4'!$F$89:$F$649,'Schedule 4'!$I$89:$I$649,'Well Cal.'!H$3,'Schedule 4'!$J$89:$J$649,'Well Cal.'!$E58)</f>
        <v>0</v>
      </c>
      <c r="I58" s="726">
        <f>SUMIFS('Schedule 4'!$F$89:$F$649,'Schedule 4'!$I$89:$I$649,'Well Cal.'!I$3,'Schedule 4'!$J$89:$J$649,'Well Cal.'!$E58)</f>
        <v>0</v>
      </c>
      <c r="J58" s="726">
        <f>SUMIFS('Schedule 4'!$F$89:$F$649,'Schedule 4'!$I$89:$I$649,'Well Cal.'!J$3,'Schedule 4'!$J$89:$J$649,'Well Cal.'!$E58)</f>
        <v>0</v>
      </c>
      <c r="K58" s="726">
        <f>SUMIFS('Schedule 4'!$F$89:$F$649,'Schedule 4'!$I$89:$I$649,'Well Cal.'!K$3,'Schedule 4'!$J$89:$J$649,'Well Cal.'!$E58)</f>
        <v>0</v>
      </c>
      <c r="L58" s="726">
        <f>SUMIFS('Schedule 4'!$F$89:$F$649,'Schedule 4'!$I$89:$I$649,'Well Cal.'!L$3,'Schedule 4'!$J$89:$J$649,'Well Cal.'!$E58)</f>
        <v>0</v>
      </c>
      <c r="M58" s="726">
        <f>SUMIFS('Schedule 4'!$F$89:$F$649,'Schedule 4'!$I$89:$I$649,'Well Cal.'!M$3,'Schedule 4'!$J$89:$J$649,'Well Cal.'!$E58)</f>
        <v>0</v>
      </c>
      <c r="N58" s="726">
        <f>SUMIFS('Schedule 4'!$F$89:$F$649,'Schedule 4'!$I$89:$I$649,'Well Cal.'!N$3,'Schedule 4'!$J$89:$J$649,'Well Cal.'!$E58)</f>
        <v>0</v>
      </c>
      <c r="O58" s="726">
        <f>SUMIFS('Schedule 4'!$F$89:$F$649,'Schedule 4'!$I$89:$I$649,'Well Cal.'!O$3,'Schedule 4'!$J$89:$J$649,'Well Cal.'!$E58)</f>
        <v>0</v>
      </c>
      <c r="P58" s="726">
        <f>SUMIFS('Schedule 4'!$F$89:$F$649,'Schedule 4'!$I$89:$I$649,'Well Cal.'!P$3,'Schedule 4'!$J$89:$J$649,'Well Cal.'!$E58)</f>
        <v>0</v>
      </c>
      <c r="Q58" s="726">
        <f>SUMIFS('Schedule 4'!$F$89:$F$649,'Schedule 4'!$I$89:$I$649,'Well Cal.'!Q$3,'Schedule 4'!$J$89:$J$649,'Well Cal.'!$E58)</f>
        <v>0</v>
      </c>
      <c r="R58" s="726">
        <f>SUMIFS('Schedule 4'!$F$89:$F$649,'Schedule 4'!$I$89:$I$649,'Well Cal.'!R$3,'Schedule 4'!$J$89:$J$649,'Well Cal.'!$E58)</f>
        <v>0</v>
      </c>
      <c r="S58" s="726">
        <f>SUMIFS('Schedule 4'!$F$89:$F$649,'Schedule 4'!$I$89:$I$649,'Well Cal.'!S$3,'Schedule 4'!$J$89:$J$649,'Well Cal.'!$E58)</f>
        <v>0</v>
      </c>
      <c r="T58" s="726">
        <f>SUMIFS('Schedule 4'!$F$89:$F$649,'Schedule 4'!$I$89:$I$649,'Well Cal.'!T$3,'Schedule 4'!$J$89:$J$649,'Well Cal.'!$E58)</f>
        <v>0</v>
      </c>
      <c r="U58" s="726">
        <f>SUMIFS('Schedule 4'!$F$89:$F$649,'Schedule 4'!$I$89:$I$649,'Well Cal.'!U$3,'Schedule 4'!$J$89:$J$649,'Well Cal.'!$E58)</f>
        <v>0</v>
      </c>
      <c r="V58" s="726">
        <f>SUMIFS('Schedule 4'!$F$89:$F$649,'Schedule 4'!$I$89:$I$649,'Well Cal.'!V$3,'Schedule 4'!$J$89:$J$649,'Well Cal.'!$E58)</f>
        <v>0</v>
      </c>
      <c r="W58" s="726">
        <f>SUMIFS('Schedule 4'!$F$89:$F$649,'Schedule 4'!$I$89:$I$649,'Well Cal.'!W$3,'Schedule 4'!$J$89:$J$649,'Well Cal.'!$E58)</f>
        <v>0</v>
      </c>
      <c r="X58" s="726">
        <f>SUMIFS('Schedule 4'!$F$89:$F$649,'Schedule 4'!$I$89:$I$649,'Well Cal.'!X$3,'Schedule 4'!$J$89:$J$649,'Well Cal.'!$E58)</f>
        <v>0</v>
      </c>
      <c r="Y58" s="726">
        <f>SUMIFS('Schedule 4'!$F$89:$F$649,'Schedule 4'!$I$89:$I$649,'Well Cal.'!Y$3,'Schedule 4'!$J$89:$J$649,'Well Cal.'!$E58)</f>
        <v>0</v>
      </c>
      <c r="Z58" s="726">
        <f>SUMIFS('Schedule 4'!$F$89:$F$649,'Schedule 4'!$I$89:$I$649,'Well Cal.'!Z$3,'Schedule 4'!$J$89:$J$649,'Well Cal.'!$E58)</f>
        <v>0</v>
      </c>
      <c r="AA58" s="726"/>
      <c r="AB58" s="1731"/>
      <c r="AC58" s="1731"/>
      <c r="AE58" s="521" t="s">
        <v>1904</v>
      </c>
      <c r="AF58" s="1110">
        <f>C207</f>
        <v>54.05</v>
      </c>
      <c r="AG58" s="1110">
        <f>AB207</f>
        <v>41.4</v>
      </c>
      <c r="AH58" s="1110">
        <f t="shared" si="2"/>
        <v>12.649999999999999</v>
      </c>
      <c r="AJ58" s="1176"/>
    </row>
    <row r="59" spans="2:36" x14ac:dyDescent="0.3">
      <c r="B59" s="1735"/>
      <c r="C59" s="1738"/>
      <c r="D59" s="1731"/>
      <c r="E59" s="761" t="s">
        <v>3945</v>
      </c>
      <c r="F59" s="726">
        <f>SUMIFS('Schedule 4'!$F$89:$F$649,'Schedule 4'!$I$89:$I$649,'Well Cal.'!F$3,'Schedule 4'!$J$89:$J$649,'Well Cal.'!$E59)</f>
        <v>0</v>
      </c>
      <c r="G59" s="726">
        <f>SUMIFS('Schedule 4'!$F$89:$F$649,'Schedule 4'!$I$89:$I$649,'Well Cal.'!G$3,'Schedule 4'!$J$89:$J$649,'Well Cal.'!$E59)</f>
        <v>0</v>
      </c>
      <c r="H59" s="726">
        <f>SUMIFS('Schedule 4'!$F$89:$F$649,'Schedule 4'!$I$89:$I$649,'Well Cal.'!H$3,'Schedule 4'!$J$89:$J$649,'Well Cal.'!$E59)</f>
        <v>0</v>
      </c>
      <c r="I59" s="726">
        <f>SUMIFS('Schedule 4'!$F$89:$F$649,'Schedule 4'!$I$89:$I$649,'Well Cal.'!I$3,'Schedule 4'!$J$89:$J$649,'Well Cal.'!$E59)</f>
        <v>0</v>
      </c>
      <c r="J59" s="726">
        <f>SUMIFS('Schedule 4'!$F$89:$F$649,'Schedule 4'!$I$89:$I$649,'Well Cal.'!J$3,'Schedule 4'!$J$89:$J$649,'Well Cal.'!$E59)</f>
        <v>0</v>
      </c>
      <c r="K59" s="726">
        <f>SUMIFS('Schedule 4'!$F$89:$F$649,'Schedule 4'!$I$89:$I$649,'Well Cal.'!K$3,'Schedule 4'!$J$89:$J$649,'Well Cal.'!$E59)</f>
        <v>0</v>
      </c>
      <c r="L59" s="726">
        <f>SUMIFS('Schedule 4'!$F$89:$F$649,'Schedule 4'!$I$89:$I$649,'Well Cal.'!L$3,'Schedule 4'!$J$89:$J$649,'Well Cal.'!$E59)</f>
        <v>0</v>
      </c>
      <c r="M59" s="726">
        <f>SUMIFS('Schedule 4'!$F$89:$F$649,'Schedule 4'!$I$89:$I$649,'Well Cal.'!M$3,'Schedule 4'!$J$89:$J$649,'Well Cal.'!$E59)</f>
        <v>0</v>
      </c>
      <c r="N59" s="726">
        <f>SUMIFS('Schedule 4'!$F$89:$F$649,'Schedule 4'!$I$89:$I$649,'Well Cal.'!N$3,'Schedule 4'!$J$89:$J$649,'Well Cal.'!$E59)</f>
        <v>0</v>
      </c>
      <c r="O59" s="726">
        <f>SUMIFS('Schedule 4'!$F$89:$F$649,'Schedule 4'!$I$89:$I$649,'Well Cal.'!O$3,'Schedule 4'!$J$89:$J$649,'Well Cal.'!$E59)</f>
        <v>0</v>
      </c>
      <c r="P59" s="726">
        <f>SUMIFS('Schedule 4'!$F$89:$F$649,'Schedule 4'!$I$89:$I$649,'Well Cal.'!P$3,'Schedule 4'!$J$89:$J$649,'Well Cal.'!$E59)</f>
        <v>0</v>
      </c>
      <c r="Q59" s="726">
        <f>SUMIFS('Schedule 4'!$F$89:$F$649,'Schedule 4'!$I$89:$I$649,'Well Cal.'!Q$3,'Schedule 4'!$J$89:$J$649,'Well Cal.'!$E59)</f>
        <v>0</v>
      </c>
      <c r="R59" s="726">
        <f>SUMIFS('Schedule 4'!$F$89:$F$649,'Schedule 4'!$I$89:$I$649,'Well Cal.'!R$3,'Schedule 4'!$J$89:$J$649,'Well Cal.'!$E59)</f>
        <v>0</v>
      </c>
      <c r="S59" s="726">
        <f>SUMIFS('Schedule 4'!$F$89:$F$649,'Schedule 4'!$I$89:$I$649,'Well Cal.'!S$3,'Schedule 4'!$J$89:$J$649,'Well Cal.'!$E59)</f>
        <v>0</v>
      </c>
      <c r="T59" s="726">
        <f>SUMIFS('Schedule 4'!$F$89:$F$649,'Schedule 4'!$I$89:$I$649,'Well Cal.'!T$3,'Schedule 4'!$J$89:$J$649,'Well Cal.'!$E59)</f>
        <v>0</v>
      </c>
      <c r="U59" s="726">
        <f>SUMIFS('Schedule 4'!$F$89:$F$649,'Schedule 4'!$I$89:$I$649,'Well Cal.'!U$3,'Schedule 4'!$J$89:$J$649,'Well Cal.'!$E59)</f>
        <v>0</v>
      </c>
      <c r="V59" s="726">
        <f>SUMIFS('Schedule 4'!$F$89:$F$649,'Schedule 4'!$I$89:$I$649,'Well Cal.'!V$3,'Schedule 4'!$J$89:$J$649,'Well Cal.'!$E59)</f>
        <v>0</v>
      </c>
      <c r="W59" s="726">
        <f>SUMIFS('Schedule 4'!$F$89:$F$649,'Schedule 4'!$I$89:$I$649,'Well Cal.'!W$3,'Schedule 4'!$J$89:$J$649,'Well Cal.'!$E59)</f>
        <v>0</v>
      </c>
      <c r="X59" s="726">
        <f>SUMIFS('Schedule 4'!$F$89:$F$649,'Schedule 4'!$I$89:$I$649,'Well Cal.'!X$3,'Schedule 4'!$J$89:$J$649,'Well Cal.'!$E59)</f>
        <v>0</v>
      </c>
      <c r="Y59" s="726">
        <f>SUMIFS('Schedule 4'!$F$89:$F$649,'Schedule 4'!$I$89:$I$649,'Well Cal.'!Y$3,'Schedule 4'!$J$89:$J$649,'Well Cal.'!$E59)</f>
        <v>0</v>
      </c>
      <c r="Z59" s="726">
        <f>SUMIFS('Schedule 4'!$F$89:$F$649,'Schedule 4'!$I$89:$I$649,'Well Cal.'!Z$3,'Schedule 4'!$J$89:$J$649,'Well Cal.'!$E59)</f>
        <v>0</v>
      </c>
      <c r="AA59" s="726"/>
      <c r="AB59" s="1731"/>
      <c r="AC59" s="1731"/>
      <c r="AE59" s="521" t="s">
        <v>3054</v>
      </c>
      <c r="AF59" s="1110">
        <f>C232</f>
        <v>50.55</v>
      </c>
      <c r="AG59" s="1110">
        <f>AB232</f>
        <v>48.099999999999994</v>
      </c>
      <c r="AH59" s="1110">
        <f t="shared" si="2"/>
        <v>2.4500000000000028</v>
      </c>
      <c r="AJ59" s="1176"/>
    </row>
    <row r="60" spans="2:36" x14ac:dyDescent="0.3">
      <c r="B60" s="1735"/>
      <c r="C60" s="1738"/>
      <c r="D60" s="1731"/>
      <c r="E60" s="761" t="s">
        <v>4014</v>
      </c>
      <c r="F60" s="726">
        <f>SUMIFS('Schedule 4'!$F$89:$F$649,'Schedule 4'!$I$89:$I$649,'Well Cal.'!F$3,'Schedule 4'!$J$89:$J$649,'Well Cal.'!$E60)</f>
        <v>0</v>
      </c>
      <c r="G60" s="726">
        <f>SUMIFS('Schedule 4'!$F$89:$F$649,'Schedule 4'!$I$89:$I$649,'Well Cal.'!G$3,'Schedule 4'!$J$89:$J$649,'Well Cal.'!$E60)</f>
        <v>0</v>
      </c>
      <c r="H60" s="726">
        <f>SUMIFS('Schedule 4'!$F$89:$F$649,'Schedule 4'!$I$89:$I$649,'Well Cal.'!H$3,'Schedule 4'!$J$89:$J$649,'Well Cal.'!$E60)</f>
        <v>0</v>
      </c>
      <c r="I60" s="726">
        <f>SUMIFS('Schedule 4'!$F$89:$F$649,'Schedule 4'!$I$89:$I$649,'Well Cal.'!I$3,'Schedule 4'!$J$89:$J$649,'Well Cal.'!$E60)</f>
        <v>0</v>
      </c>
      <c r="J60" s="726">
        <f>SUMIFS('Schedule 4'!$F$89:$F$649,'Schedule 4'!$I$89:$I$649,'Well Cal.'!J$3,'Schedule 4'!$J$89:$J$649,'Well Cal.'!$E60)</f>
        <v>0</v>
      </c>
      <c r="K60" s="726">
        <f>SUMIFS('Schedule 4'!$F$89:$F$649,'Schedule 4'!$I$89:$I$649,'Well Cal.'!K$3,'Schedule 4'!$J$89:$J$649,'Well Cal.'!$E60)</f>
        <v>0</v>
      </c>
      <c r="L60" s="726">
        <f>SUMIFS('Schedule 4'!$F$89:$F$649,'Schedule 4'!$I$89:$I$649,'Well Cal.'!L$3,'Schedule 4'!$J$89:$J$649,'Well Cal.'!$E60)</f>
        <v>0</v>
      </c>
      <c r="M60" s="726">
        <f>SUMIFS('Schedule 4'!$F$89:$F$649,'Schedule 4'!$I$89:$I$649,'Well Cal.'!M$3,'Schedule 4'!$J$89:$J$649,'Well Cal.'!$E60)</f>
        <v>0</v>
      </c>
      <c r="N60" s="726">
        <f>SUMIFS('Schedule 4'!$F$89:$F$649,'Schedule 4'!$I$89:$I$649,'Well Cal.'!N$3,'Schedule 4'!$J$89:$J$649,'Well Cal.'!$E60)</f>
        <v>0</v>
      </c>
      <c r="O60" s="726">
        <f>SUMIFS('Schedule 4'!$F$89:$F$649,'Schedule 4'!$I$89:$I$649,'Well Cal.'!O$3,'Schedule 4'!$J$89:$J$649,'Well Cal.'!$E60)</f>
        <v>0</v>
      </c>
      <c r="P60" s="726">
        <f>SUMIFS('Schedule 4'!$F$89:$F$649,'Schedule 4'!$I$89:$I$649,'Well Cal.'!P$3,'Schedule 4'!$J$89:$J$649,'Well Cal.'!$E60)</f>
        <v>0</v>
      </c>
      <c r="Q60" s="726">
        <f>SUMIFS('Schedule 4'!$F$89:$F$649,'Schedule 4'!$I$89:$I$649,'Well Cal.'!Q$3,'Schedule 4'!$J$89:$J$649,'Well Cal.'!$E60)</f>
        <v>0</v>
      </c>
      <c r="R60" s="726">
        <f>SUMIFS('Schedule 4'!$F$89:$F$649,'Schedule 4'!$I$89:$I$649,'Well Cal.'!R$3,'Schedule 4'!$J$89:$J$649,'Well Cal.'!$E60)</f>
        <v>0</v>
      </c>
      <c r="S60" s="726">
        <f>SUMIFS('Schedule 4'!$F$89:$F$649,'Schedule 4'!$I$89:$I$649,'Well Cal.'!S$3,'Schedule 4'!$J$89:$J$649,'Well Cal.'!$E60)</f>
        <v>0</v>
      </c>
      <c r="T60" s="726">
        <f>SUMIFS('Schedule 4'!$F$89:$F$649,'Schedule 4'!$I$89:$I$649,'Well Cal.'!T$3,'Schedule 4'!$J$89:$J$649,'Well Cal.'!$E60)</f>
        <v>0</v>
      </c>
      <c r="U60" s="726">
        <f>SUMIFS('Schedule 4'!$F$89:$F$649,'Schedule 4'!$I$89:$I$649,'Well Cal.'!U$3,'Schedule 4'!$J$89:$J$649,'Well Cal.'!$E60)</f>
        <v>0</v>
      </c>
      <c r="V60" s="726">
        <f>SUMIFS('Schedule 4'!$F$89:$F$649,'Schedule 4'!$I$89:$I$649,'Well Cal.'!V$3,'Schedule 4'!$J$89:$J$649,'Well Cal.'!$E60)</f>
        <v>0</v>
      </c>
      <c r="W60" s="726">
        <f>SUMIFS('Schedule 4'!$F$89:$F$649,'Schedule 4'!$I$89:$I$649,'Well Cal.'!W$3,'Schedule 4'!$J$89:$J$649,'Well Cal.'!$E60)</f>
        <v>0</v>
      </c>
      <c r="X60" s="726">
        <f>SUMIFS('Schedule 4'!$F$89:$F$649,'Schedule 4'!$I$89:$I$649,'Well Cal.'!X$3,'Schedule 4'!$J$89:$J$649,'Well Cal.'!$E60)</f>
        <v>0</v>
      </c>
      <c r="Y60" s="726">
        <f>SUMIFS('Schedule 4'!$F$89:$F$649,'Schedule 4'!$I$89:$I$649,'Well Cal.'!Y$3,'Schedule 4'!$J$89:$J$649,'Well Cal.'!$E60)</f>
        <v>0</v>
      </c>
      <c r="Z60" s="726">
        <f>SUMIFS('Schedule 4'!$F$89:$F$649,'Schedule 4'!$I$89:$I$649,'Well Cal.'!Z$3,'Schedule 4'!$J$89:$J$649,'Well Cal.'!$E60)</f>
        <v>0</v>
      </c>
      <c r="AA60" s="726"/>
      <c r="AB60" s="1731"/>
      <c r="AC60" s="1731"/>
      <c r="AE60" s="521" t="s">
        <v>1906</v>
      </c>
      <c r="AF60" s="1110">
        <f>C252</f>
        <v>54.05</v>
      </c>
      <c r="AG60" s="1110">
        <f>AB252</f>
        <v>52.96</v>
      </c>
      <c r="AH60" s="1110">
        <f t="shared" si="2"/>
        <v>1.0899999999999963</v>
      </c>
    </row>
    <row r="61" spans="2:36" x14ac:dyDescent="0.3">
      <c r="B61" s="1735"/>
      <c r="C61" s="1738"/>
      <c r="D61" s="1731"/>
      <c r="E61" s="761" t="s">
        <v>4089</v>
      </c>
      <c r="F61" s="726">
        <f>SUMIFS('Schedule 4'!$F$89:$F$649,'Schedule 4'!$I$89:$I$649,'Well Cal.'!F$3,'Schedule 4'!$J$89:$J$649,'Well Cal.'!$E61)</f>
        <v>0</v>
      </c>
      <c r="G61" s="726">
        <f>SUMIFS('Schedule 4'!$F$89:$F$649,'Schedule 4'!$I$89:$I$649,'Well Cal.'!G$3,'Schedule 4'!$J$89:$J$649,'Well Cal.'!$E61)</f>
        <v>0</v>
      </c>
      <c r="H61" s="726">
        <f>SUMIFS('Schedule 4'!$F$89:$F$649,'Schedule 4'!$I$89:$I$649,'Well Cal.'!H$3,'Schedule 4'!$J$89:$J$649,'Well Cal.'!$E61)</f>
        <v>0</v>
      </c>
      <c r="I61" s="726">
        <f>SUMIFS('Schedule 4'!$F$89:$F$649,'Schedule 4'!$I$89:$I$649,'Well Cal.'!I$3,'Schedule 4'!$J$89:$J$649,'Well Cal.'!$E61)</f>
        <v>0</v>
      </c>
      <c r="J61" s="726">
        <f>SUMIFS('Schedule 4'!$F$89:$F$649,'Schedule 4'!$I$89:$I$649,'Well Cal.'!J$3,'Schedule 4'!$J$89:$J$649,'Well Cal.'!$E61)</f>
        <v>0</v>
      </c>
      <c r="K61" s="726">
        <f>SUMIFS('Schedule 4'!$F$89:$F$649,'Schedule 4'!$I$89:$I$649,'Well Cal.'!K$3,'Schedule 4'!$J$89:$J$649,'Well Cal.'!$E61)</f>
        <v>0</v>
      </c>
      <c r="L61" s="726">
        <f>SUMIFS('Schedule 4'!$F$89:$F$649,'Schedule 4'!$I$89:$I$649,'Well Cal.'!L$3,'Schedule 4'!$J$89:$J$649,'Well Cal.'!$E61)</f>
        <v>0</v>
      </c>
      <c r="M61" s="726">
        <f>SUMIFS('Schedule 4'!$F$89:$F$649,'Schedule 4'!$I$89:$I$649,'Well Cal.'!M$3,'Schedule 4'!$J$89:$J$649,'Well Cal.'!$E61)</f>
        <v>0</v>
      </c>
      <c r="N61" s="726">
        <f>SUMIFS('Schedule 4'!$F$89:$F$649,'Schedule 4'!$I$89:$I$649,'Well Cal.'!N$3,'Schedule 4'!$J$89:$J$649,'Well Cal.'!$E61)</f>
        <v>0</v>
      </c>
      <c r="O61" s="726">
        <f>SUMIFS('Schedule 4'!$F$89:$F$649,'Schedule 4'!$I$89:$I$649,'Well Cal.'!O$3,'Schedule 4'!$J$89:$J$649,'Well Cal.'!$E61)</f>
        <v>0</v>
      </c>
      <c r="P61" s="726">
        <f>SUMIFS('Schedule 4'!$F$89:$F$649,'Schedule 4'!$I$89:$I$649,'Well Cal.'!P$3,'Schedule 4'!$J$89:$J$649,'Well Cal.'!$E61)</f>
        <v>0</v>
      </c>
      <c r="Q61" s="726">
        <f>SUMIFS('Schedule 4'!$F$89:$F$649,'Schedule 4'!$I$89:$I$649,'Well Cal.'!Q$3,'Schedule 4'!$J$89:$J$649,'Well Cal.'!$E61)</f>
        <v>0</v>
      </c>
      <c r="R61" s="726">
        <f>SUMIFS('Schedule 4'!$F$89:$F$649,'Schedule 4'!$I$89:$I$649,'Well Cal.'!R$3,'Schedule 4'!$J$89:$J$649,'Well Cal.'!$E61)</f>
        <v>0</v>
      </c>
      <c r="S61" s="726">
        <f>SUMIFS('Schedule 4'!$F$89:$F$649,'Schedule 4'!$I$89:$I$649,'Well Cal.'!S$3,'Schedule 4'!$J$89:$J$649,'Well Cal.'!$E61)</f>
        <v>0</v>
      </c>
      <c r="T61" s="726">
        <f>SUMIFS('Schedule 4'!$F$89:$F$649,'Schedule 4'!$I$89:$I$649,'Well Cal.'!T$3,'Schedule 4'!$J$89:$J$649,'Well Cal.'!$E61)</f>
        <v>0</v>
      </c>
      <c r="U61" s="726">
        <f>SUMIFS('Schedule 4'!$F$89:$F$649,'Schedule 4'!$I$89:$I$649,'Well Cal.'!U$3,'Schedule 4'!$J$89:$J$649,'Well Cal.'!$E61)</f>
        <v>0</v>
      </c>
      <c r="V61" s="726">
        <f>SUMIFS('Schedule 4'!$F$89:$F$649,'Schedule 4'!$I$89:$I$649,'Well Cal.'!V$3,'Schedule 4'!$J$89:$J$649,'Well Cal.'!$E61)</f>
        <v>0</v>
      </c>
      <c r="W61" s="726">
        <f>SUMIFS('Schedule 4'!$F$89:$F$649,'Schedule 4'!$I$89:$I$649,'Well Cal.'!W$3,'Schedule 4'!$J$89:$J$649,'Well Cal.'!$E61)</f>
        <v>0</v>
      </c>
      <c r="X61" s="726">
        <f>SUMIFS('Schedule 4'!$F$89:$F$649,'Schedule 4'!$I$89:$I$649,'Well Cal.'!X$3,'Schedule 4'!$J$89:$J$649,'Well Cal.'!$E61)</f>
        <v>0</v>
      </c>
      <c r="Y61" s="726">
        <f>SUMIFS('Schedule 4'!$F$89:$F$649,'Schedule 4'!$I$89:$I$649,'Well Cal.'!Y$3,'Schedule 4'!$J$89:$J$649,'Well Cal.'!$E61)</f>
        <v>0</v>
      </c>
      <c r="Z61" s="726">
        <f>SUMIFS('Schedule 4'!$F$89:$F$649,'Schedule 4'!$I$89:$I$649,'Well Cal.'!Z$3,'Schedule 4'!$J$89:$J$649,'Well Cal.'!$E61)</f>
        <v>0</v>
      </c>
      <c r="AA61" s="726"/>
      <c r="AB61" s="1731"/>
      <c r="AC61" s="1731"/>
      <c r="AE61" s="521" t="s">
        <v>1907</v>
      </c>
      <c r="AF61" s="1110">
        <f>C274</f>
        <v>54.05</v>
      </c>
      <c r="AG61" s="1110">
        <f>AB274</f>
        <v>0</v>
      </c>
      <c r="AH61" s="1110">
        <f t="shared" si="2"/>
        <v>54.05</v>
      </c>
    </row>
    <row r="62" spans="2:36" x14ac:dyDescent="0.3">
      <c r="B62" s="1735"/>
      <c r="C62" s="1738"/>
      <c r="D62" s="1731"/>
      <c r="E62" s="761" t="s">
        <v>4160</v>
      </c>
      <c r="F62" s="726">
        <f>SUMIFS('Schedule 4'!$F$89:$F$649,'Schedule 4'!$I$89:$I$649,'Well Cal.'!F$3,'Schedule 4'!$J$89:$J$649,'Well Cal.'!$E62)</f>
        <v>0</v>
      </c>
      <c r="G62" s="726">
        <f>SUMIFS('Schedule 4'!$F$89:$F$649,'Schedule 4'!$I$89:$I$649,'Well Cal.'!G$3,'Schedule 4'!$J$89:$J$649,'Well Cal.'!$E62)</f>
        <v>0</v>
      </c>
      <c r="H62" s="726">
        <f>SUMIFS('Schedule 4'!$F$89:$F$649,'Schedule 4'!$I$89:$I$649,'Well Cal.'!H$3,'Schedule 4'!$J$89:$J$649,'Well Cal.'!$E62)</f>
        <v>0</v>
      </c>
      <c r="I62" s="726">
        <f>SUMIFS('Schedule 4'!$F$89:$F$649,'Schedule 4'!$I$89:$I$649,'Well Cal.'!I$3,'Schedule 4'!$J$89:$J$649,'Well Cal.'!$E62)</f>
        <v>0</v>
      </c>
      <c r="J62" s="726">
        <f>SUMIFS('Schedule 4'!$F$89:$F$649,'Schedule 4'!$I$89:$I$649,'Well Cal.'!J$3,'Schedule 4'!$J$89:$J$649,'Well Cal.'!$E62)</f>
        <v>0</v>
      </c>
      <c r="K62" s="726">
        <f>SUMIFS('Schedule 4'!$F$89:$F$649,'Schedule 4'!$I$89:$I$649,'Well Cal.'!K$3,'Schedule 4'!$J$89:$J$649,'Well Cal.'!$E62)</f>
        <v>0</v>
      </c>
      <c r="L62" s="726">
        <f>SUMIFS('Schedule 4'!$F$89:$F$649,'Schedule 4'!$I$89:$I$649,'Well Cal.'!L$3,'Schedule 4'!$J$89:$J$649,'Well Cal.'!$E62)</f>
        <v>0</v>
      </c>
      <c r="M62" s="726">
        <f>SUMIFS('Schedule 4'!$F$89:$F$649,'Schedule 4'!$I$89:$I$649,'Well Cal.'!M$3,'Schedule 4'!$J$89:$J$649,'Well Cal.'!$E62)</f>
        <v>0</v>
      </c>
      <c r="N62" s="726">
        <f>SUMIFS('Schedule 4'!$F$89:$F$649,'Schedule 4'!$I$89:$I$649,'Well Cal.'!N$3,'Schedule 4'!$J$89:$J$649,'Well Cal.'!$E62)</f>
        <v>0</v>
      </c>
      <c r="O62" s="726">
        <f>SUMIFS('Schedule 4'!$F$89:$F$649,'Schedule 4'!$I$89:$I$649,'Well Cal.'!O$3,'Schedule 4'!$J$89:$J$649,'Well Cal.'!$E62)</f>
        <v>0</v>
      </c>
      <c r="P62" s="726">
        <f>SUMIFS('Schedule 4'!$F$89:$F$649,'Schedule 4'!$I$89:$I$649,'Well Cal.'!P$3,'Schedule 4'!$J$89:$J$649,'Well Cal.'!$E62)</f>
        <v>0</v>
      </c>
      <c r="Q62" s="726">
        <f>SUMIFS('Schedule 4'!$F$89:$F$649,'Schedule 4'!$I$89:$I$649,'Well Cal.'!Q$3,'Schedule 4'!$J$89:$J$649,'Well Cal.'!$E62)</f>
        <v>0</v>
      </c>
      <c r="R62" s="726">
        <f>SUMIFS('Schedule 4'!$F$89:$F$649,'Schedule 4'!$I$89:$I$649,'Well Cal.'!R$3,'Schedule 4'!$J$89:$J$649,'Well Cal.'!$E62)</f>
        <v>0</v>
      </c>
      <c r="S62" s="726">
        <f>SUMIFS('Schedule 4'!$F$89:$F$649,'Schedule 4'!$I$89:$I$649,'Well Cal.'!S$3,'Schedule 4'!$J$89:$J$649,'Well Cal.'!$E62)</f>
        <v>0</v>
      </c>
      <c r="T62" s="726">
        <f>SUMIFS('Schedule 4'!$F$89:$F$649,'Schedule 4'!$I$89:$I$649,'Well Cal.'!T$3,'Schedule 4'!$J$89:$J$649,'Well Cal.'!$E62)</f>
        <v>0</v>
      </c>
      <c r="U62" s="726">
        <f>SUMIFS('Schedule 4'!$F$89:$F$649,'Schedule 4'!$I$89:$I$649,'Well Cal.'!U$3,'Schedule 4'!$J$89:$J$649,'Well Cal.'!$E62)</f>
        <v>0</v>
      </c>
      <c r="V62" s="726">
        <f>SUMIFS('Schedule 4'!$F$89:$F$649,'Schedule 4'!$I$89:$I$649,'Well Cal.'!V$3,'Schedule 4'!$J$89:$J$649,'Well Cal.'!$E62)</f>
        <v>0</v>
      </c>
      <c r="W62" s="726">
        <f>SUMIFS('Schedule 4'!$F$89:$F$649,'Schedule 4'!$I$89:$I$649,'Well Cal.'!W$3,'Schedule 4'!$J$89:$J$649,'Well Cal.'!$E62)</f>
        <v>0</v>
      </c>
      <c r="X62" s="726">
        <f>SUMIFS('Schedule 4'!$F$89:$F$649,'Schedule 4'!$I$89:$I$649,'Well Cal.'!X$3,'Schedule 4'!$J$89:$J$649,'Well Cal.'!$E62)</f>
        <v>0</v>
      </c>
      <c r="Y62" s="726">
        <f>SUMIFS('Schedule 4'!$F$89:$F$649,'Schedule 4'!$I$89:$I$649,'Well Cal.'!Y$3,'Schedule 4'!$J$89:$J$649,'Well Cal.'!$E62)</f>
        <v>0</v>
      </c>
      <c r="Z62" s="726">
        <f>SUMIFS('Schedule 4'!$F$89:$F$649,'Schedule 4'!$I$89:$I$649,'Well Cal.'!Z$3,'Schedule 4'!$J$89:$J$649,'Well Cal.'!$E62)</f>
        <v>0</v>
      </c>
      <c r="AA62" s="726"/>
      <c r="AB62" s="1731"/>
      <c r="AC62" s="1731"/>
      <c r="AE62" s="521" t="s">
        <v>1908</v>
      </c>
      <c r="AF62" s="1110">
        <f>C296</f>
        <v>54.05</v>
      </c>
      <c r="AG62" s="1110">
        <f>AB296</f>
        <v>0</v>
      </c>
      <c r="AH62" s="1110">
        <f t="shared" si="2"/>
        <v>54.05</v>
      </c>
    </row>
    <row r="63" spans="2:36" x14ac:dyDescent="0.3">
      <c r="B63" s="1735"/>
      <c r="C63" s="1738"/>
      <c r="D63" s="1731"/>
      <c r="E63" s="761" t="s">
        <v>4234</v>
      </c>
      <c r="F63" s="726">
        <f>SUMIFS('Schedule 4'!$F$89:$F$649,'Schedule 4'!$I$89:$I$649,'Well Cal.'!F$3,'Schedule 4'!$J$89:$J$649,'Well Cal.'!$E63)</f>
        <v>0</v>
      </c>
      <c r="G63" s="726">
        <f>SUMIFS('Schedule 4'!$F$89:$F$649,'Schedule 4'!$I$89:$I$649,'Well Cal.'!G$3,'Schedule 4'!$J$89:$J$649,'Well Cal.'!$E63)</f>
        <v>0</v>
      </c>
      <c r="H63" s="726">
        <f>SUMIFS('Schedule 4'!$F$89:$F$649,'Schedule 4'!$I$89:$I$649,'Well Cal.'!H$3,'Schedule 4'!$J$89:$J$649,'Well Cal.'!$E63)</f>
        <v>0</v>
      </c>
      <c r="I63" s="726">
        <f>SUMIFS('Schedule 4'!$F$89:$F$649,'Schedule 4'!$I$89:$I$649,'Well Cal.'!I$3,'Schedule 4'!$J$89:$J$649,'Well Cal.'!$E63)</f>
        <v>0</v>
      </c>
      <c r="J63" s="726">
        <f>SUMIFS('Schedule 4'!$F$89:$F$649,'Schedule 4'!$I$89:$I$649,'Well Cal.'!J$3,'Schedule 4'!$J$89:$J$649,'Well Cal.'!$E63)</f>
        <v>0</v>
      </c>
      <c r="K63" s="726">
        <f>SUMIFS('Schedule 4'!$F$89:$F$649,'Schedule 4'!$I$89:$I$649,'Well Cal.'!K$3,'Schedule 4'!$J$89:$J$649,'Well Cal.'!$E63)</f>
        <v>0</v>
      </c>
      <c r="L63" s="726">
        <f>SUMIFS('Schedule 4'!$F$89:$F$649,'Schedule 4'!$I$89:$I$649,'Well Cal.'!L$3,'Schedule 4'!$J$89:$J$649,'Well Cal.'!$E63)</f>
        <v>0</v>
      </c>
      <c r="M63" s="726">
        <f>SUMIFS('Schedule 4'!$F$89:$F$649,'Schedule 4'!$I$89:$I$649,'Well Cal.'!M$3,'Schedule 4'!$J$89:$J$649,'Well Cal.'!$E63)</f>
        <v>0</v>
      </c>
      <c r="N63" s="726">
        <f>SUMIFS('Schedule 4'!$F$89:$F$649,'Schedule 4'!$I$89:$I$649,'Well Cal.'!N$3,'Schedule 4'!$J$89:$J$649,'Well Cal.'!$E63)</f>
        <v>0</v>
      </c>
      <c r="O63" s="726">
        <f>SUMIFS('Schedule 4'!$F$89:$F$649,'Schedule 4'!$I$89:$I$649,'Well Cal.'!O$3,'Schedule 4'!$J$89:$J$649,'Well Cal.'!$E63)</f>
        <v>0</v>
      </c>
      <c r="P63" s="726">
        <f>SUMIFS('Schedule 4'!$F$89:$F$649,'Schedule 4'!$I$89:$I$649,'Well Cal.'!P$3,'Schedule 4'!$J$89:$J$649,'Well Cal.'!$E63)</f>
        <v>0</v>
      </c>
      <c r="Q63" s="726">
        <f>SUMIFS('Schedule 4'!$F$89:$F$649,'Schedule 4'!$I$89:$I$649,'Well Cal.'!Q$3,'Schedule 4'!$J$89:$J$649,'Well Cal.'!$E63)</f>
        <v>0</v>
      </c>
      <c r="R63" s="726">
        <f>SUMIFS('Schedule 4'!$F$89:$F$649,'Schedule 4'!$I$89:$I$649,'Well Cal.'!R$3,'Schedule 4'!$J$89:$J$649,'Well Cal.'!$E63)</f>
        <v>0</v>
      </c>
      <c r="S63" s="726">
        <f>SUMIFS('Schedule 4'!$F$89:$F$649,'Schedule 4'!$I$89:$I$649,'Well Cal.'!S$3,'Schedule 4'!$J$89:$J$649,'Well Cal.'!$E63)</f>
        <v>0</v>
      </c>
      <c r="T63" s="726">
        <f>SUMIFS('Schedule 4'!$F$89:$F$649,'Schedule 4'!$I$89:$I$649,'Well Cal.'!T$3,'Schedule 4'!$J$89:$J$649,'Well Cal.'!$E63)</f>
        <v>0</v>
      </c>
      <c r="U63" s="726">
        <f>SUMIFS('Schedule 4'!$F$89:$F$649,'Schedule 4'!$I$89:$I$649,'Well Cal.'!U$3,'Schedule 4'!$J$89:$J$649,'Well Cal.'!$E63)</f>
        <v>0</v>
      </c>
      <c r="V63" s="726">
        <f>SUMIFS('Schedule 4'!$F$89:$F$649,'Schedule 4'!$I$89:$I$649,'Well Cal.'!V$3,'Schedule 4'!$J$89:$J$649,'Well Cal.'!$E63)</f>
        <v>0</v>
      </c>
      <c r="W63" s="726">
        <f>SUMIFS('Schedule 4'!$F$89:$F$649,'Schedule 4'!$I$89:$I$649,'Well Cal.'!W$3,'Schedule 4'!$J$89:$J$649,'Well Cal.'!$E63)</f>
        <v>0</v>
      </c>
      <c r="X63" s="726">
        <f>SUMIFS('Schedule 4'!$F$89:$F$649,'Schedule 4'!$I$89:$I$649,'Well Cal.'!X$3,'Schedule 4'!$J$89:$J$649,'Well Cal.'!$E63)</f>
        <v>0</v>
      </c>
      <c r="Y63" s="726">
        <f>SUMIFS('Schedule 4'!$F$89:$F$649,'Schedule 4'!$I$89:$I$649,'Well Cal.'!Y$3,'Schedule 4'!$J$89:$J$649,'Well Cal.'!$E63)</f>
        <v>0</v>
      </c>
      <c r="Z63" s="726">
        <f>SUMIFS('Schedule 4'!$F$89:$F$649,'Schedule 4'!$I$89:$I$649,'Well Cal.'!Z$3,'Schedule 4'!$J$89:$J$649,'Well Cal.'!$E63)</f>
        <v>0</v>
      </c>
      <c r="AA63" s="726"/>
      <c r="AB63" s="1731"/>
      <c r="AC63" s="1731"/>
      <c r="AE63" s="521" t="s">
        <v>1909</v>
      </c>
      <c r="AF63" s="1110">
        <f>C319</f>
        <v>50.55</v>
      </c>
      <c r="AG63" s="1110">
        <f>AB319</f>
        <v>0</v>
      </c>
      <c r="AH63" s="1110">
        <f t="shared" si="2"/>
        <v>50.55</v>
      </c>
    </row>
    <row r="64" spans="2:36" x14ac:dyDescent="0.3">
      <c r="B64" s="1735"/>
      <c r="C64" s="1738"/>
      <c r="D64" s="1731"/>
      <c r="E64" s="761" t="s">
        <v>4299</v>
      </c>
      <c r="F64" s="726">
        <f>SUMIFS('Schedule 4'!$F$89:$F$649,'Schedule 4'!$I$89:$I$649,'Well Cal.'!F$3,'Schedule 4'!$J$89:$J$649,'Well Cal.'!$E64)</f>
        <v>0</v>
      </c>
      <c r="G64" s="726">
        <f>SUMIFS('Schedule 4'!$F$89:$F$649,'Schedule 4'!$I$89:$I$649,'Well Cal.'!G$3,'Schedule 4'!$J$89:$J$649,'Well Cal.'!$E64)</f>
        <v>0</v>
      </c>
      <c r="H64" s="726">
        <f>SUMIFS('Schedule 4'!$F$89:$F$649,'Schedule 4'!$I$89:$I$649,'Well Cal.'!H$3,'Schedule 4'!$J$89:$J$649,'Well Cal.'!$E64)</f>
        <v>0</v>
      </c>
      <c r="I64" s="726">
        <f>SUMIFS('Schedule 4'!$F$89:$F$649,'Schedule 4'!$I$89:$I$649,'Well Cal.'!I$3,'Schedule 4'!$J$89:$J$649,'Well Cal.'!$E64)</f>
        <v>0</v>
      </c>
      <c r="J64" s="726">
        <f>SUMIFS('Schedule 4'!$F$89:$F$649,'Schedule 4'!$I$89:$I$649,'Well Cal.'!J$3,'Schedule 4'!$J$89:$J$649,'Well Cal.'!$E64)</f>
        <v>0</v>
      </c>
      <c r="K64" s="726">
        <f>SUMIFS('Schedule 4'!$F$89:$F$649,'Schedule 4'!$I$89:$I$649,'Well Cal.'!K$3,'Schedule 4'!$J$89:$J$649,'Well Cal.'!$E64)</f>
        <v>0</v>
      </c>
      <c r="L64" s="726">
        <f>SUMIFS('Schedule 4'!$F$89:$F$649,'Schedule 4'!$I$89:$I$649,'Well Cal.'!L$3,'Schedule 4'!$J$89:$J$649,'Well Cal.'!$E64)</f>
        <v>0</v>
      </c>
      <c r="M64" s="726">
        <f>SUMIFS('Schedule 4'!$F$89:$F$649,'Schedule 4'!$I$89:$I$649,'Well Cal.'!M$3,'Schedule 4'!$J$89:$J$649,'Well Cal.'!$E64)</f>
        <v>0</v>
      </c>
      <c r="N64" s="726">
        <f>SUMIFS('Schedule 4'!$F$89:$F$649,'Schedule 4'!$I$89:$I$649,'Well Cal.'!N$3,'Schedule 4'!$J$89:$J$649,'Well Cal.'!$E64)</f>
        <v>0</v>
      </c>
      <c r="O64" s="726">
        <f>SUMIFS('Schedule 4'!$F$89:$F$649,'Schedule 4'!$I$89:$I$649,'Well Cal.'!O$3,'Schedule 4'!$J$89:$J$649,'Well Cal.'!$E64)</f>
        <v>0</v>
      </c>
      <c r="P64" s="726">
        <f>SUMIFS('Schedule 4'!$F$89:$F$649,'Schedule 4'!$I$89:$I$649,'Well Cal.'!P$3,'Schedule 4'!$J$89:$J$649,'Well Cal.'!$E64)</f>
        <v>0</v>
      </c>
      <c r="Q64" s="726">
        <f>SUMIFS('Schedule 4'!$F$89:$F$649,'Schedule 4'!$I$89:$I$649,'Well Cal.'!Q$3,'Schedule 4'!$J$89:$J$649,'Well Cal.'!$E64)</f>
        <v>0</v>
      </c>
      <c r="R64" s="726">
        <f>SUMIFS('Schedule 4'!$F$89:$F$649,'Schedule 4'!$I$89:$I$649,'Well Cal.'!R$3,'Schedule 4'!$J$89:$J$649,'Well Cal.'!$E64)</f>
        <v>0</v>
      </c>
      <c r="S64" s="726">
        <f>SUMIFS('Schedule 4'!$F$89:$F$649,'Schedule 4'!$I$89:$I$649,'Well Cal.'!S$3,'Schedule 4'!$J$89:$J$649,'Well Cal.'!$E64)</f>
        <v>0</v>
      </c>
      <c r="T64" s="726">
        <f>SUMIFS('Schedule 4'!$F$89:$F$649,'Schedule 4'!$I$89:$I$649,'Well Cal.'!T$3,'Schedule 4'!$J$89:$J$649,'Well Cal.'!$E64)</f>
        <v>0</v>
      </c>
      <c r="U64" s="726">
        <f>SUMIFS('Schedule 4'!$F$89:$F$649,'Schedule 4'!$I$89:$I$649,'Well Cal.'!U$3,'Schedule 4'!$J$89:$J$649,'Well Cal.'!$E64)</f>
        <v>0</v>
      </c>
      <c r="V64" s="726">
        <f>SUMIFS('Schedule 4'!$F$89:$F$649,'Schedule 4'!$I$89:$I$649,'Well Cal.'!V$3,'Schedule 4'!$J$89:$J$649,'Well Cal.'!$E64)</f>
        <v>0</v>
      </c>
      <c r="W64" s="726">
        <f>SUMIFS('Schedule 4'!$F$89:$F$649,'Schedule 4'!$I$89:$I$649,'Well Cal.'!W$3,'Schedule 4'!$J$89:$J$649,'Well Cal.'!$E64)</f>
        <v>0</v>
      </c>
      <c r="X64" s="726">
        <f>SUMIFS('Schedule 4'!$F$89:$F$649,'Schedule 4'!$I$89:$I$649,'Well Cal.'!X$3,'Schedule 4'!$J$89:$J$649,'Well Cal.'!$E64)</f>
        <v>0</v>
      </c>
      <c r="Y64" s="726">
        <f>SUMIFS('Schedule 4'!$F$89:$F$649,'Schedule 4'!$I$89:$I$649,'Well Cal.'!Y$3,'Schedule 4'!$J$89:$J$649,'Well Cal.'!$E64)</f>
        <v>0</v>
      </c>
      <c r="Z64" s="726">
        <f>SUMIFS('Schedule 4'!$F$89:$F$649,'Schedule 4'!$I$89:$I$649,'Well Cal.'!Z$3,'Schedule 4'!$J$89:$J$649,'Well Cal.'!$E64)</f>
        <v>0</v>
      </c>
      <c r="AA64" s="726"/>
      <c r="AB64" s="1731"/>
      <c r="AC64" s="1731"/>
      <c r="AE64" s="521" t="s">
        <v>2511</v>
      </c>
      <c r="AF64" s="1110">
        <f>C340</f>
        <v>54.05</v>
      </c>
      <c r="AG64" s="1110">
        <f>AB340</f>
        <v>0</v>
      </c>
      <c r="AH64" s="1110">
        <f t="shared" si="2"/>
        <v>54.05</v>
      </c>
    </row>
    <row r="65" spans="2:36" x14ac:dyDescent="0.3">
      <c r="B65" s="1735"/>
      <c r="C65" s="1738"/>
      <c r="D65" s="1731"/>
      <c r="E65" s="761" t="s">
        <v>4364</v>
      </c>
      <c r="F65" s="726">
        <f>SUMIFS('Schedule 4'!$F$89:$F$649,'Schedule 4'!$I$89:$I$649,'Well Cal.'!F$3,'Schedule 4'!$J$89:$J$649,'Well Cal.'!$E65)</f>
        <v>0</v>
      </c>
      <c r="G65" s="726">
        <f>SUMIFS('Schedule 4'!$F$89:$F$649,'Schedule 4'!$I$89:$I$649,'Well Cal.'!G$3,'Schedule 4'!$J$89:$J$649,'Well Cal.'!$E65)</f>
        <v>0</v>
      </c>
      <c r="H65" s="726">
        <f>SUMIFS('Schedule 4'!$F$89:$F$649,'Schedule 4'!$I$89:$I$649,'Well Cal.'!H$3,'Schedule 4'!$J$89:$J$649,'Well Cal.'!$E65)</f>
        <v>0</v>
      </c>
      <c r="I65" s="726">
        <f>SUMIFS('Schedule 4'!$F$89:$F$649,'Schedule 4'!$I$89:$I$649,'Well Cal.'!I$3,'Schedule 4'!$J$89:$J$649,'Well Cal.'!$E65)</f>
        <v>0</v>
      </c>
      <c r="J65" s="726">
        <f>SUMIFS('Schedule 4'!$F$89:$F$649,'Schedule 4'!$I$89:$I$649,'Well Cal.'!J$3,'Schedule 4'!$J$89:$J$649,'Well Cal.'!$E65)</f>
        <v>0</v>
      </c>
      <c r="K65" s="726">
        <f>SUMIFS('Schedule 4'!$F$89:$F$649,'Schedule 4'!$I$89:$I$649,'Well Cal.'!K$3,'Schedule 4'!$J$89:$J$649,'Well Cal.'!$E65)</f>
        <v>0</v>
      </c>
      <c r="L65" s="726">
        <f>SUMIFS('Schedule 4'!$F$89:$F$649,'Schedule 4'!$I$89:$I$649,'Well Cal.'!L$3,'Schedule 4'!$J$89:$J$649,'Well Cal.'!$E65)</f>
        <v>0</v>
      </c>
      <c r="M65" s="726">
        <f>SUMIFS('Schedule 4'!$F$89:$F$649,'Schedule 4'!$I$89:$I$649,'Well Cal.'!M$3,'Schedule 4'!$J$89:$J$649,'Well Cal.'!$E65)</f>
        <v>0</v>
      </c>
      <c r="N65" s="726">
        <f>SUMIFS('Schedule 4'!$F$89:$F$649,'Schedule 4'!$I$89:$I$649,'Well Cal.'!N$3,'Schedule 4'!$J$89:$J$649,'Well Cal.'!$E65)</f>
        <v>0</v>
      </c>
      <c r="O65" s="726">
        <f>SUMIFS('Schedule 4'!$F$89:$F$649,'Schedule 4'!$I$89:$I$649,'Well Cal.'!O$3,'Schedule 4'!$J$89:$J$649,'Well Cal.'!$E65)</f>
        <v>0</v>
      </c>
      <c r="P65" s="726">
        <f>SUMIFS('Schedule 4'!$F$89:$F$649,'Schedule 4'!$I$89:$I$649,'Well Cal.'!P$3,'Schedule 4'!$J$89:$J$649,'Well Cal.'!$E65)</f>
        <v>0</v>
      </c>
      <c r="Q65" s="726">
        <f>SUMIFS('Schedule 4'!$F$89:$F$649,'Schedule 4'!$I$89:$I$649,'Well Cal.'!Q$3,'Schedule 4'!$J$89:$J$649,'Well Cal.'!$E65)</f>
        <v>0</v>
      </c>
      <c r="R65" s="726">
        <f>SUMIFS('Schedule 4'!$F$89:$F$649,'Schedule 4'!$I$89:$I$649,'Well Cal.'!R$3,'Schedule 4'!$J$89:$J$649,'Well Cal.'!$E65)</f>
        <v>0</v>
      </c>
      <c r="S65" s="726">
        <f>SUMIFS('Schedule 4'!$F$89:$F$649,'Schedule 4'!$I$89:$I$649,'Well Cal.'!S$3,'Schedule 4'!$J$89:$J$649,'Well Cal.'!$E65)</f>
        <v>0</v>
      </c>
      <c r="T65" s="726">
        <f>SUMIFS('Schedule 4'!$F$89:$F$649,'Schedule 4'!$I$89:$I$649,'Well Cal.'!T$3,'Schedule 4'!$J$89:$J$649,'Well Cal.'!$E65)</f>
        <v>0</v>
      </c>
      <c r="U65" s="726">
        <f>SUMIFS('Schedule 4'!$F$89:$F$649,'Schedule 4'!$I$89:$I$649,'Well Cal.'!U$3,'Schedule 4'!$J$89:$J$649,'Well Cal.'!$E65)</f>
        <v>0</v>
      </c>
      <c r="V65" s="726">
        <f>SUMIFS('Schedule 4'!$F$89:$F$649,'Schedule 4'!$I$89:$I$649,'Well Cal.'!V$3,'Schedule 4'!$J$89:$J$649,'Well Cal.'!$E65)</f>
        <v>0</v>
      </c>
      <c r="W65" s="726">
        <f>SUMIFS('Schedule 4'!$F$89:$F$649,'Schedule 4'!$I$89:$I$649,'Well Cal.'!W$3,'Schedule 4'!$J$89:$J$649,'Well Cal.'!$E65)</f>
        <v>0</v>
      </c>
      <c r="X65" s="726">
        <f>SUMIFS('Schedule 4'!$F$89:$F$649,'Schedule 4'!$I$89:$I$649,'Well Cal.'!X$3,'Schedule 4'!$J$89:$J$649,'Well Cal.'!$E65)</f>
        <v>0</v>
      </c>
      <c r="Y65" s="726">
        <f>SUMIFS('Schedule 4'!$F$89:$F$649,'Schedule 4'!$I$89:$I$649,'Well Cal.'!Y$3,'Schedule 4'!$J$89:$J$649,'Well Cal.'!$E65)</f>
        <v>0</v>
      </c>
      <c r="Z65" s="726">
        <f>SUMIFS('Schedule 4'!$F$89:$F$649,'Schedule 4'!$I$89:$I$649,'Well Cal.'!Z$3,'Schedule 4'!$J$89:$J$649,'Well Cal.'!$E65)</f>
        <v>0</v>
      </c>
      <c r="AA65" s="726"/>
      <c r="AB65" s="1731"/>
      <c r="AC65" s="1731"/>
      <c r="AE65" s="521" t="s">
        <v>2512</v>
      </c>
      <c r="AF65" s="1110">
        <f>C362</f>
        <v>54.05</v>
      </c>
      <c r="AG65" s="1110">
        <f>AB362</f>
        <v>0</v>
      </c>
      <c r="AH65" s="1110">
        <f t="shared" si="2"/>
        <v>54.05</v>
      </c>
      <c r="AJ65" s="1177">
        <f>AH66</f>
        <v>54.05</v>
      </c>
    </row>
    <row r="66" spans="2:36" x14ac:dyDescent="0.3">
      <c r="B66" s="1735"/>
      <c r="C66" s="1738"/>
      <c r="D66" s="1731"/>
      <c r="E66" s="761" t="s">
        <v>4422</v>
      </c>
      <c r="F66" s="726">
        <f>SUMIFS('Schedule 4'!$F$89:$F$649,'Schedule 4'!$I$89:$I$649,'Well Cal.'!F$3,'Schedule 4'!$J$89:$J$649,'Well Cal.'!$E66)</f>
        <v>0</v>
      </c>
      <c r="G66" s="726">
        <f>SUMIFS('Schedule 4'!$F$89:$F$649,'Schedule 4'!$I$89:$I$649,'Well Cal.'!G$3,'Schedule 4'!$J$89:$J$649,'Well Cal.'!$E66)</f>
        <v>0</v>
      </c>
      <c r="H66" s="726">
        <f>SUMIFS('Schedule 4'!$F$89:$F$649,'Schedule 4'!$I$89:$I$649,'Well Cal.'!H$3,'Schedule 4'!$J$89:$J$649,'Well Cal.'!$E66)</f>
        <v>0</v>
      </c>
      <c r="I66" s="726">
        <f>SUMIFS('Schedule 4'!$F$89:$F$649,'Schedule 4'!$I$89:$I$649,'Well Cal.'!I$3,'Schedule 4'!$J$89:$J$649,'Well Cal.'!$E66)</f>
        <v>0</v>
      </c>
      <c r="J66" s="726">
        <f>SUMIFS('Schedule 4'!$F$89:$F$649,'Schedule 4'!$I$89:$I$649,'Well Cal.'!J$3,'Schedule 4'!$J$89:$J$649,'Well Cal.'!$E66)</f>
        <v>0</v>
      </c>
      <c r="K66" s="726">
        <f>SUMIFS('Schedule 4'!$F$89:$F$649,'Schedule 4'!$I$89:$I$649,'Well Cal.'!K$3,'Schedule 4'!$J$89:$J$649,'Well Cal.'!$E66)</f>
        <v>0</v>
      </c>
      <c r="L66" s="726">
        <f>SUMIFS('Schedule 4'!$F$89:$F$649,'Schedule 4'!$I$89:$I$649,'Well Cal.'!L$3,'Schedule 4'!$J$89:$J$649,'Well Cal.'!$E66)</f>
        <v>0</v>
      </c>
      <c r="M66" s="726">
        <f>SUMIFS('Schedule 4'!$F$89:$F$649,'Schedule 4'!$I$89:$I$649,'Well Cal.'!M$3,'Schedule 4'!$J$89:$J$649,'Well Cal.'!$E66)</f>
        <v>0</v>
      </c>
      <c r="N66" s="726">
        <f>SUMIFS('Schedule 4'!$F$89:$F$649,'Schedule 4'!$I$89:$I$649,'Well Cal.'!N$3,'Schedule 4'!$J$89:$J$649,'Well Cal.'!$E66)</f>
        <v>0</v>
      </c>
      <c r="O66" s="726">
        <f>SUMIFS('Schedule 4'!$F$89:$F$649,'Schedule 4'!$I$89:$I$649,'Well Cal.'!O$3,'Schedule 4'!$J$89:$J$649,'Well Cal.'!$E66)</f>
        <v>0</v>
      </c>
      <c r="P66" s="726">
        <f>SUMIFS('Schedule 4'!$F$89:$F$649,'Schedule 4'!$I$89:$I$649,'Well Cal.'!P$3,'Schedule 4'!$J$89:$J$649,'Well Cal.'!$E66)</f>
        <v>0</v>
      </c>
      <c r="Q66" s="726">
        <f>SUMIFS('Schedule 4'!$F$89:$F$649,'Schedule 4'!$I$89:$I$649,'Well Cal.'!Q$3,'Schedule 4'!$J$89:$J$649,'Well Cal.'!$E66)</f>
        <v>0</v>
      </c>
      <c r="R66" s="726">
        <f>SUMIFS('Schedule 4'!$F$89:$F$649,'Schedule 4'!$I$89:$I$649,'Well Cal.'!R$3,'Schedule 4'!$J$89:$J$649,'Well Cal.'!$E66)</f>
        <v>0</v>
      </c>
      <c r="S66" s="726">
        <f>SUMIFS('Schedule 4'!$F$89:$F$649,'Schedule 4'!$I$89:$I$649,'Well Cal.'!S$3,'Schedule 4'!$J$89:$J$649,'Well Cal.'!$E66)</f>
        <v>0</v>
      </c>
      <c r="T66" s="726">
        <f>SUMIFS('Schedule 4'!$F$89:$F$649,'Schedule 4'!$I$89:$I$649,'Well Cal.'!T$3,'Schedule 4'!$J$89:$J$649,'Well Cal.'!$E66)</f>
        <v>0</v>
      </c>
      <c r="U66" s="726">
        <f>SUMIFS('Schedule 4'!$F$89:$F$649,'Schedule 4'!$I$89:$I$649,'Well Cal.'!U$3,'Schedule 4'!$J$89:$J$649,'Well Cal.'!$E66)</f>
        <v>0</v>
      </c>
      <c r="V66" s="726">
        <f>SUMIFS('Schedule 4'!$F$89:$F$649,'Schedule 4'!$I$89:$I$649,'Well Cal.'!V$3,'Schedule 4'!$J$89:$J$649,'Well Cal.'!$E66)</f>
        <v>0</v>
      </c>
      <c r="W66" s="726">
        <f>SUMIFS('Schedule 4'!$F$89:$F$649,'Schedule 4'!$I$89:$I$649,'Well Cal.'!W$3,'Schedule 4'!$J$89:$J$649,'Well Cal.'!$E66)</f>
        <v>0</v>
      </c>
      <c r="X66" s="726">
        <f>SUMIFS('Schedule 4'!$F$89:$F$649,'Schedule 4'!$I$89:$I$649,'Well Cal.'!X$3,'Schedule 4'!$J$89:$J$649,'Well Cal.'!$E66)</f>
        <v>0</v>
      </c>
      <c r="Y66" s="726">
        <f>SUMIFS('Schedule 4'!$F$89:$F$649,'Schedule 4'!$I$89:$I$649,'Well Cal.'!Y$3,'Schedule 4'!$J$89:$J$649,'Well Cal.'!$E66)</f>
        <v>0</v>
      </c>
      <c r="Z66" s="726">
        <f>SUMIFS('Schedule 4'!$F$89:$F$649,'Schedule 4'!$I$89:$I$649,'Well Cal.'!Z$3,'Schedule 4'!$J$89:$J$649,'Well Cal.'!$E66)</f>
        <v>0</v>
      </c>
      <c r="AA66" s="726"/>
      <c r="AB66" s="1731"/>
      <c r="AC66" s="1731"/>
      <c r="AE66" s="521" t="s">
        <v>2513</v>
      </c>
      <c r="AF66" s="1110">
        <f>C384</f>
        <v>54.05</v>
      </c>
      <c r="AG66" s="1110">
        <f>AB384</f>
        <v>0</v>
      </c>
      <c r="AH66" s="1110">
        <f t="shared" si="2"/>
        <v>54.05</v>
      </c>
    </row>
    <row r="67" spans="2:36" x14ac:dyDescent="0.3">
      <c r="B67" s="1735"/>
      <c r="C67" s="1738"/>
      <c r="D67" s="1731"/>
      <c r="E67" s="761" t="s">
        <v>4475</v>
      </c>
      <c r="F67" s="726">
        <f>SUMIFS('Schedule 4'!$F$89:$F$649,'Schedule 4'!$I$89:$I$649,'Well Cal.'!F$3,'Schedule 4'!$J$89:$J$649,'Well Cal.'!$E67)</f>
        <v>0</v>
      </c>
      <c r="G67" s="726">
        <f>SUMIFS('Schedule 4'!$F$89:$F$649,'Schedule 4'!$I$89:$I$649,'Well Cal.'!G$3,'Schedule 4'!$J$89:$J$649,'Well Cal.'!$E67)</f>
        <v>0</v>
      </c>
      <c r="H67" s="726">
        <f>SUMIFS('Schedule 4'!$F$89:$F$649,'Schedule 4'!$I$89:$I$649,'Well Cal.'!H$3,'Schedule 4'!$J$89:$J$649,'Well Cal.'!$E67)</f>
        <v>0</v>
      </c>
      <c r="I67" s="726">
        <f>SUMIFS('Schedule 4'!$F$89:$F$649,'Schedule 4'!$I$89:$I$649,'Well Cal.'!I$3,'Schedule 4'!$J$89:$J$649,'Well Cal.'!$E67)</f>
        <v>0</v>
      </c>
      <c r="J67" s="726">
        <f>SUMIFS('Schedule 4'!$F$89:$F$649,'Schedule 4'!$I$89:$I$649,'Well Cal.'!J$3,'Schedule 4'!$J$89:$J$649,'Well Cal.'!$E67)</f>
        <v>0</v>
      </c>
      <c r="K67" s="726">
        <f>SUMIFS('Schedule 4'!$F$89:$F$649,'Schedule 4'!$I$89:$I$649,'Well Cal.'!K$3,'Schedule 4'!$J$89:$J$649,'Well Cal.'!$E67)</f>
        <v>0</v>
      </c>
      <c r="L67" s="726">
        <f>SUMIFS('Schedule 4'!$F$89:$F$649,'Schedule 4'!$I$89:$I$649,'Well Cal.'!L$3,'Schedule 4'!$J$89:$J$649,'Well Cal.'!$E67)</f>
        <v>0</v>
      </c>
      <c r="M67" s="726">
        <f>SUMIFS('Schedule 4'!$F$89:$F$649,'Schedule 4'!$I$89:$I$649,'Well Cal.'!M$3,'Schedule 4'!$J$89:$J$649,'Well Cal.'!$E67)</f>
        <v>0</v>
      </c>
      <c r="N67" s="726">
        <f>SUMIFS('Schedule 4'!$F$89:$F$649,'Schedule 4'!$I$89:$I$649,'Well Cal.'!N$3,'Schedule 4'!$J$89:$J$649,'Well Cal.'!$E67)</f>
        <v>0</v>
      </c>
      <c r="O67" s="726">
        <f>SUMIFS('Schedule 4'!$F$89:$F$649,'Schedule 4'!$I$89:$I$649,'Well Cal.'!O$3,'Schedule 4'!$J$89:$J$649,'Well Cal.'!$E67)</f>
        <v>0</v>
      </c>
      <c r="P67" s="726">
        <f>SUMIFS('Schedule 4'!$F$89:$F$649,'Schedule 4'!$I$89:$I$649,'Well Cal.'!P$3,'Schedule 4'!$J$89:$J$649,'Well Cal.'!$E67)</f>
        <v>0</v>
      </c>
      <c r="Q67" s="726">
        <f>SUMIFS('Schedule 4'!$F$89:$F$649,'Schedule 4'!$I$89:$I$649,'Well Cal.'!Q$3,'Schedule 4'!$J$89:$J$649,'Well Cal.'!$E67)</f>
        <v>0</v>
      </c>
      <c r="R67" s="726">
        <f>SUMIFS('Schedule 4'!$F$89:$F$649,'Schedule 4'!$I$89:$I$649,'Well Cal.'!R$3,'Schedule 4'!$J$89:$J$649,'Well Cal.'!$E67)</f>
        <v>0</v>
      </c>
      <c r="S67" s="726">
        <f>SUMIFS('Schedule 4'!$F$89:$F$649,'Schedule 4'!$I$89:$I$649,'Well Cal.'!S$3,'Schedule 4'!$J$89:$J$649,'Well Cal.'!$E67)</f>
        <v>0</v>
      </c>
      <c r="T67" s="726">
        <f>SUMIFS('Schedule 4'!$F$89:$F$649,'Schedule 4'!$I$89:$I$649,'Well Cal.'!T$3,'Schedule 4'!$J$89:$J$649,'Well Cal.'!$E67)</f>
        <v>0</v>
      </c>
      <c r="U67" s="726">
        <f>SUMIFS('Schedule 4'!$F$89:$F$649,'Schedule 4'!$I$89:$I$649,'Well Cal.'!U$3,'Schedule 4'!$J$89:$J$649,'Well Cal.'!$E67)</f>
        <v>0</v>
      </c>
      <c r="V67" s="726">
        <f>SUMIFS('Schedule 4'!$F$89:$F$649,'Schedule 4'!$I$89:$I$649,'Well Cal.'!V$3,'Schedule 4'!$J$89:$J$649,'Well Cal.'!$E67)</f>
        <v>0</v>
      </c>
      <c r="W67" s="726">
        <f>SUMIFS('Schedule 4'!$F$89:$F$649,'Schedule 4'!$I$89:$I$649,'Well Cal.'!W$3,'Schedule 4'!$J$89:$J$649,'Well Cal.'!$E67)</f>
        <v>0</v>
      </c>
      <c r="X67" s="726">
        <f>SUMIFS('Schedule 4'!$F$89:$F$649,'Schedule 4'!$I$89:$I$649,'Well Cal.'!X$3,'Schedule 4'!$J$89:$J$649,'Well Cal.'!$E67)</f>
        <v>0</v>
      </c>
      <c r="Y67" s="726">
        <f>SUMIFS('Schedule 4'!$F$89:$F$649,'Schedule 4'!$I$89:$I$649,'Well Cal.'!Y$3,'Schedule 4'!$J$89:$J$649,'Well Cal.'!$E67)</f>
        <v>0</v>
      </c>
      <c r="Z67" s="726">
        <f>SUMIFS('Schedule 4'!$F$89:$F$649,'Schedule 4'!$I$89:$I$649,'Well Cal.'!Z$3,'Schedule 4'!$J$89:$J$649,'Well Cal.'!$E67)</f>
        <v>0</v>
      </c>
      <c r="AA67" s="726"/>
      <c r="AB67" s="1731"/>
      <c r="AC67" s="1731"/>
      <c r="AE67" s="521" t="s">
        <v>2514</v>
      </c>
      <c r="AF67" s="1110">
        <f>C407</f>
        <v>51.55</v>
      </c>
      <c r="AG67" s="1110">
        <f>AB407</f>
        <v>0</v>
      </c>
      <c r="AH67" s="1110">
        <f t="shared" si="2"/>
        <v>51.55</v>
      </c>
    </row>
    <row r="68" spans="2:36" x14ac:dyDescent="0.3">
      <c r="B68" s="1740"/>
      <c r="C68" s="1739"/>
      <c r="D68" s="1732"/>
      <c r="E68" s="776"/>
      <c r="F68" s="777"/>
      <c r="G68" s="777"/>
      <c r="H68" s="777"/>
      <c r="I68" s="777"/>
      <c r="J68" s="777"/>
      <c r="K68" s="777"/>
      <c r="L68" s="777"/>
      <c r="M68" s="777"/>
      <c r="N68" s="777"/>
      <c r="O68" s="777"/>
      <c r="P68" s="777"/>
      <c r="Q68" s="777"/>
      <c r="R68" s="777"/>
      <c r="S68" s="777"/>
      <c r="T68" s="777"/>
      <c r="U68" s="777"/>
      <c r="V68" s="777"/>
      <c r="W68" s="777"/>
      <c r="X68" s="777"/>
      <c r="Y68" s="777"/>
      <c r="Z68" s="777"/>
      <c r="AA68" s="777"/>
      <c r="AB68" s="1732"/>
      <c r="AC68" s="1732"/>
      <c r="AE68" s="521" t="s">
        <v>2515</v>
      </c>
      <c r="AF68" s="1110">
        <f>C430</f>
        <v>54.05</v>
      </c>
      <c r="AG68" s="1110">
        <f>AB430</f>
        <v>0</v>
      </c>
      <c r="AH68" s="1110">
        <f t="shared" si="2"/>
        <v>54.05</v>
      </c>
    </row>
    <row r="69" spans="2:36" x14ac:dyDescent="0.3">
      <c r="B69" s="1723" t="s">
        <v>1898</v>
      </c>
      <c r="C69" s="1726">
        <v>54.05</v>
      </c>
      <c r="D69" s="1720">
        <f>SUMIFS('Schedule 4'!$F$89:$F$649,'Schedule 4'!$K$89:$K$649,'Well Cal.'!$B69)</f>
        <v>0</v>
      </c>
      <c r="E69" s="754" t="s">
        <v>3150</v>
      </c>
      <c r="F69" s="728">
        <f>SUMIFS('Schedule 4'!$F$89:$F$649,'Schedule 4'!$I$89:$I$649,'Well Cal.'!F$3,'Schedule 4'!$J$89:$J$649,'Well Cal.'!$E69)</f>
        <v>0</v>
      </c>
      <c r="G69" s="728">
        <f>SUMIFS('Schedule 4'!$F$89:$F$649,'Schedule 4'!$I$89:$I$649,'Well Cal.'!G$3,'Schedule 4'!$J$89:$J$649,'Well Cal.'!$E69)</f>
        <v>0</v>
      </c>
      <c r="H69" s="728">
        <f>SUMIFS('Schedule 4'!$F$89:$F$649,'Schedule 4'!$I$89:$I$649,'Well Cal.'!H$3,'Schedule 4'!$J$89:$J$649,'Well Cal.'!$E69)</f>
        <v>0</v>
      </c>
      <c r="I69" s="728">
        <f>SUMIFS('Schedule 4'!$F$89:$F$649,'Schedule 4'!$I$89:$I$649,'Well Cal.'!I$3,'Schedule 4'!$J$89:$J$649,'Well Cal.'!$E69)</f>
        <v>0</v>
      </c>
      <c r="J69" s="728">
        <f>SUMIFS('Schedule 4'!$F$89:$F$649,'Schedule 4'!$I$89:$I$649,'Well Cal.'!J$3,'Schedule 4'!$J$89:$J$649,'Well Cal.'!$E69)</f>
        <v>0</v>
      </c>
      <c r="K69" s="728">
        <f>SUMIFS('Schedule 4'!$F$89:$F$649,'Schedule 4'!$I$89:$I$649,'Well Cal.'!K$3,'Schedule 4'!$J$89:$J$649,'Well Cal.'!$E69)</f>
        <v>0</v>
      </c>
      <c r="L69" s="728">
        <f>SUMIFS('Schedule 4'!$F$89:$F$649,'Schedule 4'!$I$89:$I$649,'Well Cal.'!L$3,'Schedule 4'!$J$89:$J$649,'Well Cal.'!$E69)</f>
        <v>0</v>
      </c>
      <c r="M69" s="728">
        <f>SUMIFS('Schedule 4'!$F$89:$F$649,'Schedule 4'!$I$89:$I$649,'Well Cal.'!M$3,'Schedule 4'!$J$89:$J$649,'Well Cal.'!$E69)</f>
        <v>0</v>
      </c>
      <c r="N69" s="728">
        <f>SUMIFS('Schedule 4'!$F$89:$F$649,'Schedule 4'!$I$89:$I$649,'Well Cal.'!N$3,'Schedule 4'!$J$89:$J$649,'Well Cal.'!$E69)</f>
        <v>0</v>
      </c>
      <c r="O69" s="728">
        <f>SUMIFS('Schedule 4'!$F$89:$F$649,'Schedule 4'!$I$89:$I$649,'Well Cal.'!O$3,'Schedule 4'!$J$89:$J$649,'Well Cal.'!$E69)</f>
        <v>0</v>
      </c>
      <c r="P69" s="728">
        <f>SUMIFS('Schedule 4'!$F$89:$F$649,'Schedule 4'!$I$89:$I$649,'Well Cal.'!P$3,'Schedule 4'!$J$89:$J$649,'Well Cal.'!$E69)</f>
        <v>0</v>
      </c>
      <c r="Q69" s="728">
        <f>SUMIFS('Schedule 4'!$F$89:$F$649,'Schedule 4'!$I$89:$I$649,'Well Cal.'!Q$3,'Schedule 4'!$J$89:$J$649,'Well Cal.'!$E69)</f>
        <v>0</v>
      </c>
      <c r="R69" s="728">
        <f>SUMIFS('Schedule 4'!$F$89:$F$649,'Schedule 4'!$I$89:$I$649,'Well Cal.'!R$3,'Schedule 4'!$J$89:$J$649,'Well Cal.'!$E69)</f>
        <v>0</v>
      </c>
      <c r="S69" s="728">
        <f>SUMIFS('Schedule 4'!$F$89:$F$649,'Schedule 4'!$I$89:$I$649,'Well Cal.'!S$3,'Schedule 4'!$J$89:$J$649,'Well Cal.'!$E69)</f>
        <v>0</v>
      </c>
      <c r="T69" s="728">
        <f>SUMIFS('Schedule 4'!$F$89:$F$649,'Schedule 4'!$I$89:$I$649,'Well Cal.'!T$3,'Schedule 4'!$J$89:$J$649,'Well Cal.'!$E69)</f>
        <v>0</v>
      </c>
      <c r="U69" s="728">
        <f>SUMIFS('Schedule 4'!$F$89:$F$649,'Schedule 4'!$I$89:$I$649,'Well Cal.'!U$3,'Schedule 4'!$J$89:$J$649,'Well Cal.'!$E69)</f>
        <v>0</v>
      </c>
      <c r="V69" s="728">
        <f>SUMIFS('Schedule 4'!$F$89:$F$649,'Schedule 4'!$I$89:$I$649,'Well Cal.'!V$3,'Schedule 4'!$J$89:$J$649,'Well Cal.'!$E69)</f>
        <v>0</v>
      </c>
      <c r="W69" s="728">
        <f>SUMIFS('Schedule 4'!$F$89:$F$649,'Schedule 4'!$I$89:$I$649,'Well Cal.'!W$3,'Schedule 4'!$J$89:$J$649,'Well Cal.'!$E69)</f>
        <v>0</v>
      </c>
      <c r="X69" s="728">
        <f>SUMIFS('Schedule 4'!$F$89:$F$649,'Schedule 4'!$I$89:$I$649,'Well Cal.'!X$3,'Schedule 4'!$J$89:$J$649,'Well Cal.'!$E69)</f>
        <v>0</v>
      </c>
      <c r="Y69" s="728">
        <f>SUMIFS('Schedule 4'!$F$89:$F$649,'Schedule 4'!$I$89:$I$649,'Well Cal.'!Y$3,'Schedule 4'!$J$89:$J$649,'Well Cal.'!$E69)</f>
        <v>0</v>
      </c>
      <c r="Z69" s="728">
        <f>SUMIFS('Schedule 4'!$F$89:$F$649,'Schedule 4'!$I$89:$I$649,'Well Cal.'!Z$3,'Schedule 4'!$J$89:$J$649,'Well Cal.'!$E69)</f>
        <v>0</v>
      </c>
      <c r="AA69" s="728"/>
      <c r="AB69" s="1720">
        <f>SUM(F69:AA89)</f>
        <v>0</v>
      </c>
      <c r="AC69" s="1729">
        <f>D69-AB69</f>
        <v>0</v>
      </c>
      <c r="AE69" s="521" t="s">
        <v>2516</v>
      </c>
      <c r="AF69" s="1110">
        <f>C454</f>
        <v>54.05</v>
      </c>
      <c r="AG69" s="1110">
        <f>AB454</f>
        <v>0</v>
      </c>
      <c r="AH69" s="1110">
        <f t="shared" si="2"/>
        <v>54.05</v>
      </c>
    </row>
    <row r="70" spans="2:36" x14ac:dyDescent="0.3">
      <c r="B70" s="1724"/>
      <c r="C70" s="1727"/>
      <c r="D70" s="1721"/>
      <c r="E70" s="761" t="s">
        <v>3217</v>
      </c>
      <c r="F70" s="726">
        <f>SUMIFS('Schedule 4'!$F$89:$F$649,'Schedule 4'!$I$89:$I$649,'Well Cal.'!F$3,'Schedule 4'!$J$89:$J$649,'Well Cal.'!$E70)</f>
        <v>0</v>
      </c>
      <c r="G70" s="726">
        <f>SUMIFS('Schedule 4'!$F$89:$F$649,'Schedule 4'!$I$89:$I$649,'Well Cal.'!G$3,'Schedule 4'!$J$89:$J$649,'Well Cal.'!$E70)</f>
        <v>0</v>
      </c>
      <c r="H70" s="726">
        <f>SUMIFS('Schedule 4'!$F$89:$F$649,'Schedule 4'!$I$89:$I$649,'Well Cal.'!H$3,'Schedule 4'!$J$89:$J$649,'Well Cal.'!$E70)</f>
        <v>0</v>
      </c>
      <c r="I70" s="726">
        <f>SUMIFS('Schedule 4'!$F$89:$F$649,'Schedule 4'!$I$89:$I$649,'Well Cal.'!I$3,'Schedule 4'!$J$89:$J$649,'Well Cal.'!$E70)</f>
        <v>0</v>
      </c>
      <c r="J70" s="726">
        <f>SUMIFS('Schedule 4'!$F$89:$F$649,'Schedule 4'!$I$89:$I$649,'Well Cal.'!J$3,'Schedule 4'!$J$89:$J$649,'Well Cal.'!$E70)</f>
        <v>0</v>
      </c>
      <c r="K70" s="726">
        <f>SUMIFS('Schedule 4'!$F$89:$F$649,'Schedule 4'!$I$89:$I$649,'Well Cal.'!K$3,'Schedule 4'!$J$89:$J$649,'Well Cal.'!$E70)</f>
        <v>0</v>
      </c>
      <c r="L70" s="726">
        <f>SUMIFS('Schedule 4'!$F$89:$F$649,'Schedule 4'!$I$89:$I$649,'Well Cal.'!L$3,'Schedule 4'!$J$89:$J$649,'Well Cal.'!$E70)</f>
        <v>0</v>
      </c>
      <c r="M70" s="726">
        <f>SUMIFS('Schedule 4'!$F$89:$F$649,'Schedule 4'!$I$89:$I$649,'Well Cal.'!M$3,'Schedule 4'!$J$89:$J$649,'Well Cal.'!$E70)</f>
        <v>0</v>
      </c>
      <c r="N70" s="726">
        <f>SUMIFS('Schedule 4'!$F$89:$F$649,'Schedule 4'!$I$89:$I$649,'Well Cal.'!N$3,'Schedule 4'!$J$89:$J$649,'Well Cal.'!$E70)</f>
        <v>0</v>
      </c>
      <c r="O70" s="726">
        <f>SUMIFS('Schedule 4'!$F$89:$F$649,'Schedule 4'!$I$89:$I$649,'Well Cal.'!O$3,'Schedule 4'!$J$89:$J$649,'Well Cal.'!$E70)</f>
        <v>0</v>
      </c>
      <c r="P70" s="726">
        <f>SUMIFS('Schedule 4'!$F$89:$F$649,'Schedule 4'!$I$89:$I$649,'Well Cal.'!P$3,'Schedule 4'!$J$89:$J$649,'Well Cal.'!$E70)</f>
        <v>0</v>
      </c>
      <c r="Q70" s="726">
        <f>SUMIFS('Schedule 4'!$F$89:$F$649,'Schedule 4'!$I$89:$I$649,'Well Cal.'!Q$3,'Schedule 4'!$J$89:$J$649,'Well Cal.'!$E70)</f>
        <v>0</v>
      </c>
      <c r="R70" s="726">
        <f>SUMIFS('Schedule 4'!$F$89:$F$649,'Schedule 4'!$I$89:$I$649,'Well Cal.'!R$3,'Schedule 4'!$J$89:$J$649,'Well Cal.'!$E70)</f>
        <v>0</v>
      </c>
      <c r="S70" s="726">
        <f>SUMIFS('Schedule 4'!$F$89:$F$649,'Schedule 4'!$I$89:$I$649,'Well Cal.'!S$3,'Schedule 4'!$J$89:$J$649,'Well Cal.'!$E70)</f>
        <v>0</v>
      </c>
      <c r="T70" s="726">
        <f>SUMIFS('Schedule 4'!$F$89:$F$649,'Schedule 4'!$I$89:$I$649,'Well Cal.'!T$3,'Schedule 4'!$J$89:$J$649,'Well Cal.'!$E70)</f>
        <v>0</v>
      </c>
      <c r="U70" s="726">
        <f>SUMIFS('Schedule 4'!$F$89:$F$649,'Schedule 4'!$I$89:$I$649,'Well Cal.'!U$3,'Schedule 4'!$J$89:$J$649,'Well Cal.'!$E70)</f>
        <v>0</v>
      </c>
      <c r="V70" s="726">
        <f>SUMIFS('Schedule 4'!$F$89:$F$649,'Schedule 4'!$I$89:$I$649,'Well Cal.'!V$3,'Schedule 4'!$J$89:$J$649,'Well Cal.'!$E70)</f>
        <v>0</v>
      </c>
      <c r="W70" s="726">
        <f>SUMIFS('Schedule 4'!$F$89:$F$649,'Schedule 4'!$I$89:$I$649,'Well Cal.'!W$3,'Schedule 4'!$J$89:$J$649,'Well Cal.'!$E70)</f>
        <v>0</v>
      </c>
      <c r="X70" s="726">
        <f>SUMIFS('Schedule 4'!$F$89:$F$649,'Schedule 4'!$I$89:$I$649,'Well Cal.'!X$3,'Schedule 4'!$J$89:$J$649,'Well Cal.'!$E70)</f>
        <v>0</v>
      </c>
      <c r="Y70" s="726">
        <f>SUMIFS('Schedule 4'!$F$89:$F$649,'Schedule 4'!$I$89:$I$649,'Well Cal.'!Y$3,'Schedule 4'!$J$89:$J$649,'Well Cal.'!$E70)</f>
        <v>0</v>
      </c>
      <c r="Z70" s="726">
        <f>SUMIFS('Schedule 4'!$F$89:$F$649,'Schedule 4'!$I$89:$I$649,'Well Cal.'!Z$3,'Schedule 4'!$J$89:$J$649,'Well Cal.'!$E70)</f>
        <v>0</v>
      </c>
      <c r="AA70" s="726"/>
      <c r="AB70" s="1721"/>
      <c r="AC70" s="1730"/>
      <c r="AE70" s="521" t="s">
        <v>2517</v>
      </c>
      <c r="AF70" s="1110">
        <f>C477</f>
        <v>54.05</v>
      </c>
      <c r="AG70" s="1110">
        <f>AB477</f>
        <v>0</v>
      </c>
      <c r="AH70" s="1110">
        <f t="shared" si="2"/>
        <v>54.05</v>
      </c>
    </row>
    <row r="71" spans="2:36" x14ac:dyDescent="0.3">
      <c r="B71" s="1724"/>
      <c r="C71" s="1727"/>
      <c r="D71" s="1721"/>
      <c r="E71" s="775" t="s">
        <v>3311</v>
      </c>
      <c r="F71" s="726">
        <f>SUMIFS('Schedule 4'!$F$89:$F$649,'Schedule 4'!$I$89:$I$649,'Well Cal.'!F$3,'Schedule 4'!$J$89:$J$649,'Well Cal.'!$E71)</f>
        <v>0</v>
      </c>
      <c r="G71" s="726">
        <f>SUMIFS('Schedule 4'!$F$89:$F$649,'Schedule 4'!$I$89:$I$649,'Well Cal.'!G$3,'Schedule 4'!$J$89:$J$649,'Well Cal.'!$E71)</f>
        <v>0</v>
      </c>
      <c r="H71" s="726">
        <f>SUMIFS('Schedule 4'!$F$89:$F$649,'Schedule 4'!$I$89:$I$649,'Well Cal.'!H$3,'Schedule 4'!$J$89:$J$649,'Well Cal.'!$E71)</f>
        <v>0</v>
      </c>
      <c r="I71" s="726">
        <f>SUMIFS('Schedule 4'!$F$89:$F$649,'Schedule 4'!$I$89:$I$649,'Well Cal.'!I$3,'Schedule 4'!$J$89:$J$649,'Well Cal.'!$E71)</f>
        <v>0</v>
      </c>
      <c r="J71" s="726">
        <f>SUMIFS('Schedule 4'!$F$89:$F$649,'Schedule 4'!$I$89:$I$649,'Well Cal.'!J$3,'Schedule 4'!$J$89:$J$649,'Well Cal.'!$E71)</f>
        <v>0</v>
      </c>
      <c r="K71" s="726">
        <f>SUMIFS('Schedule 4'!$F$89:$F$649,'Schedule 4'!$I$89:$I$649,'Well Cal.'!K$3,'Schedule 4'!$J$89:$J$649,'Well Cal.'!$E71)</f>
        <v>0</v>
      </c>
      <c r="L71" s="726">
        <f>SUMIFS('Schedule 4'!$F$89:$F$649,'Schedule 4'!$I$89:$I$649,'Well Cal.'!L$3,'Schedule 4'!$J$89:$J$649,'Well Cal.'!$E71)</f>
        <v>0</v>
      </c>
      <c r="M71" s="726">
        <f>SUMIFS('Schedule 4'!$F$89:$F$649,'Schedule 4'!$I$89:$I$649,'Well Cal.'!M$3,'Schedule 4'!$J$89:$J$649,'Well Cal.'!$E71)</f>
        <v>0</v>
      </c>
      <c r="N71" s="726">
        <f>SUMIFS('Schedule 4'!$F$89:$F$649,'Schedule 4'!$I$89:$I$649,'Well Cal.'!N$3,'Schedule 4'!$J$89:$J$649,'Well Cal.'!$E71)</f>
        <v>0</v>
      </c>
      <c r="O71" s="726">
        <f>SUMIFS('Schedule 4'!$F$89:$F$649,'Schedule 4'!$I$89:$I$649,'Well Cal.'!O$3,'Schedule 4'!$J$89:$J$649,'Well Cal.'!$E71)</f>
        <v>0</v>
      </c>
      <c r="P71" s="726">
        <f>SUMIFS('Schedule 4'!$F$89:$F$649,'Schedule 4'!$I$89:$I$649,'Well Cal.'!P$3,'Schedule 4'!$J$89:$J$649,'Well Cal.'!$E71)</f>
        <v>0</v>
      </c>
      <c r="Q71" s="726">
        <f>SUMIFS('Schedule 4'!$F$89:$F$649,'Schedule 4'!$I$89:$I$649,'Well Cal.'!Q$3,'Schedule 4'!$J$89:$J$649,'Well Cal.'!$E71)</f>
        <v>0</v>
      </c>
      <c r="R71" s="726">
        <f>SUMIFS('Schedule 4'!$F$89:$F$649,'Schedule 4'!$I$89:$I$649,'Well Cal.'!R$3,'Schedule 4'!$J$89:$J$649,'Well Cal.'!$E71)</f>
        <v>0</v>
      </c>
      <c r="S71" s="726">
        <f>SUMIFS('Schedule 4'!$F$89:$F$649,'Schedule 4'!$I$89:$I$649,'Well Cal.'!S$3,'Schedule 4'!$J$89:$J$649,'Well Cal.'!$E71)</f>
        <v>0</v>
      </c>
      <c r="T71" s="726">
        <f>SUMIFS('Schedule 4'!$F$89:$F$649,'Schedule 4'!$I$89:$I$649,'Well Cal.'!T$3,'Schedule 4'!$J$89:$J$649,'Well Cal.'!$E71)</f>
        <v>0</v>
      </c>
      <c r="U71" s="726">
        <f>SUMIFS('Schedule 4'!$F$89:$F$649,'Schedule 4'!$I$89:$I$649,'Well Cal.'!U$3,'Schedule 4'!$J$89:$J$649,'Well Cal.'!$E71)</f>
        <v>0</v>
      </c>
      <c r="V71" s="726">
        <f>SUMIFS('Schedule 4'!$F$89:$F$649,'Schedule 4'!$I$89:$I$649,'Well Cal.'!V$3,'Schedule 4'!$J$89:$J$649,'Well Cal.'!$E71)</f>
        <v>0</v>
      </c>
      <c r="W71" s="726">
        <f>SUMIFS('Schedule 4'!$F$89:$F$649,'Schedule 4'!$I$89:$I$649,'Well Cal.'!W$3,'Schedule 4'!$J$89:$J$649,'Well Cal.'!$E71)</f>
        <v>0</v>
      </c>
      <c r="X71" s="726">
        <f>SUMIFS('Schedule 4'!$F$89:$F$649,'Schedule 4'!$I$89:$I$649,'Well Cal.'!X$3,'Schedule 4'!$J$89:$J$649,'Well Cal.'!$E71)</f>
        <v>0</v>
      </c>
      <c r="Y71" s="726">
        <f>SUMIFS('Schedule 4'!$F$89:$F$649,'Schedule 4'!$I$89:$I$649,'Well Cal.'!Y$3,'Schedule 4'!$J$89:$J$649,'Well Cal.'!$E71)</f>
        <v>0</v>
      </c>
      <c r="Z71" s="726">
        <f>SUMIFS('Schedule 4'!$F$89:$F$649,'Schedule 4'!$I$89:$I$649,'Well Cal.'!Z$3,'Schedule 4'!$J$89:$J$649,'Well Cal.'!$E71)</f>
        <v>0</v>
      </c>
      <c r="AA71" s="726"/>
      <c r="AB71" s="1721"/>
      <c r="AC71" s="1730"/>
      <c r="AE71" s="521" t="s">
        <v>2518</v>
      </c>
      <c r="AF71" s="1110">
        <f>C499</f>
        <v>50.55</v>
      </c>
      <c r="AG71" s="1110">
        <f>AB499</f>
        <v>0</v>
      </c>
      <c r="AH71" s="1110">
        <f t="shared" si="2"/>
        <v>50.55</v>
      </c>
    </row>
    <row r="72" spans="2:36" x14ac:dyDescent="0.3">
      <c r="B72" s="1724"/>
      <c r="C72" s="1727"/>
      <c r="D72" s="1721"/>
      <c r="E72" s="775" t="s">
        <v>3394</v>
      </c>
      <c r="F72" s="726">
        <f>SUMIFS('Schedule 4'!$F$89:$F$649,'Schedule 4'!$I$89:$I$649,'Well Cal.'!F$3,'Schedule 4'!$J$89:$J$649,'Well Cal.'!$E72)</f>
        <v>0</v>
      </c>
      <c r="G72" s="726">
        <f>SUMIFS('Schedule 4'!$F$89:$F$649,'Schedule 4'!$I$89:$I$649,'Well Cal.'!G$3,'Schedule 4'!$J$89:$J$649,'Well Cal.'!$E72)</f>
        <v>0</v>
      </c>
      <c r="H72" s="726">
        <f>SUMIFS('Schedule 4'!$F$89:$F$649,'Schedule 4'!$I$89:$I$649,'Well Cal.'!H$3,'Schedule 4'!$J$89:$J$649,'Well Cal.'!$E72)</f>
        <v>0</v>
      </c>
      <c r="I72" s="726">
        <f>SUMIFS('Schedule 4'!$F$89:$F$649,'Schedule 4'!$I$89:$I$649,'Well Cal.'!I$3,'Schedule 4'!$J$89:$J$649,'Well Cal.'!$E72)</f>
        <v>0</v>
      </c>
      <c r="J72" s="726">
        <f>SUMIFS('Schedule 4'!$F$89:$F$649,'Schedule 4'!$I$89:$I$649,'Well Cal.'!J$3,'Schedule 4'!$J$89:$J$649,'Well Cal.'!$E72)</f>
        <v>0</v>
      </c>
      <c r="K72" s="726">
        <f>SUMIFS('Schedule 4'!$F$89:$F$649,'Schedule 4'!$I$89:$I$649,'Well Cal.'!K$3,'Schedule 4'!$J$89:$J$649,'Well Cal.'!$E72)</f>
        <v>0</v>
      </c>
      <c r="L72" s="726">
        <f>SUMIFS('Schedule 4'!$F$89:$F$649,'Schedule 4'!$I$89:$I$649,'Well Cal.'!L$3,'Schedule 4'!$J$89:$J$649,'Well Cal.'!$E72)</f>
        <v>0</v>
      </c>
      <c r="M72" s="726">
        <f>SUMIFS('Schedule 4'!$F$89:$F$649,'Schedule 4'!$I$89:$I$649,'Well Cal.'!M$3,'Schedule 4'!$J$89:$J$649,'Well Cal.'!$E72)</f>
        <v>0</v>
      </c>
      <c r="N72" s="726">
        <f>SUMIFS('Schedule 4'!$F$89:$F$649,'Schedule 4'!$I$89:$I$649,'Well Cal.'!N$3,'Schedule 4'!$J$89:$J$649,'Well Cal.'!$E72)</f>
        <v>0</v>
      </c>
      <c r="O72" s="726">
        <f>SUMIFS('Schedule 4'!$F$89:$F$649,'Schedule 4'!$I$89:$I$649,'Well Cal.'!O$3,'Schedule 4'!$J$89:$J$649,'Well Cal.'!$E72)</f>
        <v>0</v>
      </c>
      <c r="P72" s="726">
        <f>SUMIFS('Schedule 4'!$F$89:$F$649,'Schedule 4'!$I$89:$I$649,'Well Cal.'!P$3,'Schedule 4'!$J$89:$J$649,'Well Cal.'!$E72)</f>
        <v>0</v>
      </c>
      <c r="Q72" s="726">
        <f>SUMIFS('Schedule 4'!$F$89:$F$649,'Schedule 4'!$I$89:$I$649,'Well Cal.'!Q$3,'Schedule 4'!$J$89:$J$649,'Well Cal.'!$E72)</f>
        <v>0</v>
      </c>
      <c r="R72" s="726">
        <f>SUMIFS('Schedule 4'!$F$89:$F$649,'Schedule 4'!$I$89:$I$649,'Well Cal.'!R$3,'Schedule 4'!$J$89:$J$649,'Well Cal.'!$E72)</f>
        <v>0</v>
      </c>
      <c r="S72" s="726">
        <f>SUMIFS('Schedule 4'!$F$89:$F$649,'Schedule 4'!$I$89:$I$649,'Well Cal.'!S$3,'Schedule 4'!$J$89:$J$649,'Well Cal.'!$E72)</f>
        <v>0</v>
      </c>
      <c r="T72" s="726">
        <f>SUMIFS('Schedule 4'!$F$89:$F$649,'Schedule 4'!$I$89:$I$649,'Well Cal.'!T$3,'Schedule 4'!$J$89:$J$649,'Well Cal.'!$E72)</f>
        <v>0</v>
      </c>
      <c r="U72" s="726">
        <f>SUMIFS('Schedule 4'!$F$89:$F$649,'Schedule 4'!$I$89:$I$649,'Well Cal.'!U$3,'Schedule 4'!$J$89:$J$649,'Well Cal.'!$E72)</f>
        <v>0</v>
      </c>
      <c r="V72" s="726">
        <f>SUMIFS('Schedule 4'!$F$89:$F$649,'Schedule 4'!$I$89:$I$649,'Well Cal.'!V$3,'Schedule 4'!$J$89:$J$649,'Well Cal.'!$E72)</f>
        <v>0</v>
      </c>
      <c r="W72" s="726">
        <f>SUMIFS('Schedule 4'!$F$89:$F$649,'Schedule 4'!$I$89:$I$649,'Well Cal.'!W$3,'Schedule 4'!$J$89:$J$649,'Well Cal.'!$E72)</f>
        <v>0</v>
      </c>
      <c r="X72" s="726">
        <f>SUMIFS('Schedule 4'!$F$89:$F$649,'Schedule 4'!$I$89:$I$649,'Well Cal.'!X$3,'Schedule 4'!$J$89:$J$649,'Well Cal.'!$E72)</f>
        <v>0</v>
      </c>
      <c r="Y72" s="726">
        <f>SUMIFS('Schedule 4'!$F$89:$F$649,'Schedule 4'!$I$89:$I$649,'Well Cal.'!Y$3,'Schedule 4'!$J$89:$J$649,'Well Cal.'!$E72)</f>
        <v>0</v>
      </c>
      <c r="Z72" s="726">
        <f>SUMIFS('Schedule 4'!$F$89:$F$649,'Schedule 4'!$I$89:$I$649,'Well Cal.'!Z$3,'Schedule 4'!$J$89:$J$649,'Well Cal.'!$E72)</f>
        <v>0</v>
      </c>
      <c r="AA72" s="726"/>
      <c r="AB72" s="1721"/>
      <c r="AC72" s="1730"/>
      <c r="AE72" s="521" t="s">
        <v>2519</v>
      </c>
      <c r="AF72" s="1110">
        <f>C521</f>
        <v>54.05</v>
      </c>
      <c r="AG72" s="1110">
        <f>AB521</f>
        <v>0</v>
      </c>
      <c r="AH72" s="1110">
        <f t="shared" si="2"/>
        <v>54.05</v>
      </c>
    </row>
    <row r="73" spans="2:36" x14ac:dyDescent="0.3">
      <c r="B73" s="1724"/>
      <c r="C73" s="1727"/>
      <c r="D73" s="1721"/>
      <c r="E73" s="775" t="s">
        <v>3465</v>
      </c>
      <c r="F73" s="726">
        <f>SUMIFS('Schedule 4'!$F$89:$F$649,'Schedule 4'!$I$89:$I$649,'Well Cal.'!F$3,'Schedule 4'!$J$89:$J$649,'Well Cal.'!$E73)</f>
        <v>0</v>
      </c>
      <c r="G73" s="726">
        <f>SUMIFS('Schedule 4'!$F$89:$F$649,'Schedule 4'!$I$89:$I$649,'Well Cal.'!G$3,'Schedule 4'!$J$89:$J$649,'Well Cal.'!$E73)</f>
        <v>0</v>
      </c>
      <c r="H73" s="726">
        <f>SUMIFS('Schedule 4'!$F$89:$F$649,'Schedule 4'!$I$89:$I$649,'Well Cal.'!H$3,'Schedule 4'!$J$89:$J$649,'Well Cal.'!$E73)</f>
        <v>0</v>
      </c>
      <c r="I73" s="726">
        <f>SUMIFS('Schedule 4'!$F$89:$F$649,'Schedule 4'!$I$89:$I$649,'Well Cal.'!I$3,'Schedule 4'!$J$89:$J$649,'Well Cal.'!$E73)</f>
        <v>0</v>
      </c>
      <c r="J73" s="726">
        <f>SUMIFS('Schedule 4'!$F$89:$F$649,'Schedule 4'!$I$89:$I$649,'Well Cal.'!J$3,'Schedule 4'!$J$89:$J$649,'Well Cal.'!$E73)</f>
        <v>0</v>
      </c>
      <c r="K73" s="726">
        <f>SUMIFS('Schedule 4'!$F$89:$F$649,'Schedule 4'!$I$89:$I$649,'Well Cal.'!K$3,'Schedule 4'!$J$89:$J$649,'Well Cal.'!$E73)</f>
        <v>0</v>
      </c>
      <c r="L73" s="726">
        <f>SUMIFS('Schedule 4'!$F$89:$F$649,'Schedule 4'!$I$89:$I$649,'Well Cal.'!L$3,'Schedule 4'!$J$89:$J$649,'Well Cal.'!$E73)</f>
        <v>0</v>
      </c>
      <c r="M73" s="726">
        <f>SUMIFS('Schedule 4'!$F$89:$F$649,'Schedule 4'!$I$89:$I$649,'Well Cal.'!M$3,'Schedule 4'!$J$89:$J$649,'Well Cal.'!$E73)</f>
        <v>0</v>
      </c>
      <c r="N73" s="726">
        <f>SUMIFS('Schedule 4'!$F$89:$F$649,'Schedule 4'!$I$89:$I$649,'Well Cal.'!N$3,'Schedule 4'!$J$89:$J$649,'Well Cal.'!$E73)</f>
        <v>0</v>
      </c>
      <c r="O73" s="726">
        <f>SUMIFS('Schedule 4'!$F$89:$F$649,'Schedule 4'!$I$89:$I$649,'Well Cal.'!O$3,'Schedule 4'!$J$89:$J$649,'Well Cal.'!$E73)</f>
        <v>0</v>
      </c>
      <c r="P73" s="726">
        <f>SUMIFS('Schedule 4'!$F$89:$F$649,'Schedule 4'!$I$89:$I$649,'Well Cal.'!P$3,'Schedule 4'!$J$89:$J$649,'Well Cal.'!$E73)</f>
        <v>0</v>
      </c>
      <c r="Q73" s="726">
        <f>SUMIFS('Schedule 4'!$F$89:$F$649,'Schedule 4'!$I$89:$I$649,'Well Cal.'!Q$3,'Schedule 4'!$J$89:$J$649,'Well Cal.'!$E73)</f>
        <v>0</v>
      </c>
      <c r="R73" s="726">
        <f>SUMIFS('Schedule 4'!$F$89:$F$649,'Schedule 4'!$I$89:$I$649,'Well Cal.'!R$3,'Schedule 4'!$J$89:$J$649,'Well Cal.'!$E73)</f>
        <v>0</v>
      </c>
      <c r="S73" s="726">
        <f>SUMIFS('Schedule 4'!$F$89:$F$649,'Schedule 4'!$I$89:$I$649,'Well Cal.'!S$3,'Schedule 4'!$J$89:$J$649,'Well Cal.'!$E73)</f>
        <v>0</v>
      </c>
      <c r="T73" s="726">
        <f>SUMIFS('Schedule 4'!$F$89:$F$649,'Schedule 4'!$I$89:$I$649,'Well Cal.'!T$3,'Schedule 4'!$J$89:$J$649,'Well Cal.'!$E73)</f>
        <v>0</v>
      </c>
      <c r="U73" s="726">
        <f>SUMIFS('Schedule 4'!$F$89:$F$649,'Schedule 4'!$I$89:$I$649,'Well Cal.'!U$3,'Schedule 4'!$J$89:$J$649,'Well Cal.'!$E73)</f>
        <v>0</v>
      </c>
      <c r="V73" s="726">
        <f>SUMIFS('Schedule 4'!$F$89:$F$649,'Schedule 4'!$I$89:$I$649,'Well Cal.'!V$3,'Schedule 4'!$J$89:$J$649,'Well Cal.'!$E73)</f>
        <v>0</v>
      </c>
      <c r="W73" s="726">
        <f>SUMIFS('Schedule 4'!$F$89:$F$649,'Schedule 4'!$I$89:$I$649,'Well Cal.'!W$3,'Schedule 4'!$J$89:$J$649,'Well Cal.'!$E73)</f>
        <v>0</v>
      </c>
      <c r="X73" s="726">
        <f>SUMIFS('Schedule 4'!$F$89:$F$649,'Schedule 4'!$I$89:$I$649,'Well Cal.'!X$3,'Schedule 4'!$J$89:$J$649,'Well Cal.'!$E73)</f>
        <v>0</v>
      </c>
      <c r="Y73" s="726">
        <f>SUMIFS('Schedule 4'!$F$89:$F$649,'Schedule 4'!$I$89:$I$649,'Well Cal.'!Y$3,'Schedule 4'!$J$89:$J$649,'Well Cal.'!$E73)</f>
        <v>0</v>
      </c>
      <c r="Z73" s="726">
        <f>SUMIFS('Schedule 4'!$F$89:$F$649,'Schedule 4'!$I$89:$I$649,'Well Cal.'!Z$3,'Schedule 4'!$J$89:$J$649,'Well Cal.'!$E73)</f>
        <v>0</v>
      </c>
      <c r="AA73" s="726"/>
      <c r="AB73" s="1721"/>
      <c r="AC73" s="1730"/>
      <c r="AE73" s="521" t="s">
        <v>2520</v>
      </c>
      <c r="AF73" s="1110">
        <f>C543</f>
        <v>54.05</v>
      </c>
      <c r="AG73" s="1110">
        <f>AB543</f>
        <v>0</v>
      </c>
      <c r="AH73" s="1110">
        <f t="shared" si="2"/>
        <v>54.05</v>
      </c>
    </row>
    <row r="74" spans="2:36" x14ac:dyDescent="0.3">
      <c r="B74" s="1724"/>
      <c r="C74" s="1727"/>
      <c r="D74" s="1721"/>
      <c r="E74" s="775" t="s">
        <v>3554</v>
      </c>
      <c r="F74" s="726">
        <f>SUMIFS('Schedule 4'!$F$89:$F$649,'Schedule 4'!$I$89:$I$649,'Well Cal.'!F$3,'Schedule 4'!$J$89:$J$649,'Well Cal.'!$E74)</f>
        <v>0</v>
      </c>
      <c r="G74" s="726">
        <f>SUMIFS('Schedule 4'!$F$89:$F$649,'Schedule 4'!$I$89:$I$649,'Well Cal.'!G$3,'Schedule 4'!$J$89:$J$649,'Well Cal.'!$E74)</f>
        <v>0</v>
      </c>
      <c r="H74" s="726">
        <f>SUMIFS('Schedule 4'!$F$89:$F$649,'Schedule 4'!$I$89:$I$649,'Well Cal.'!H$3,'Schedule 4'!$J$89:$J$649,'Well Cal.'!$E74)</f>
        <v>0</v>
      </c>
      <c r="I74" s="726">
        <f>SUMIFS('Schedule 4'!$F$89:$F$649,'Schedule 4'!$I$89:$I$649,'Well Cal.'!I$3,'Schedule 4'!$J$89:$J$649,'Well Cal.'!$E74)</f>
        <v>0</v>
      </c>
      <c r="J74" s="726">
        <f>SUMIFS('Schedule 4'!$F$89:$F$649,'Schedule 4'!$I$89:$I$649,'Well Cal.'!J$3,'Schedule 4'!$J$89:$J$649,'Well Cal.'!$E74)</f>
        <v>0</v>
      </c>
      <c r="K74" s="726">
        <f>SUMIFS('Schedule 4'!$F$89:$F$649,'Schedule 4'!$I$89:$I$649,'Well Cal.'!K$3,'Schedule 4'!$J$89:$J$649,'Well Cal.'!$E74)</f>
        <v>0</v>
      </c>
      <c r="L74" s="726">
        <f>SUMIFS('Schedule 4'!$F$89:$F$649,'Schedule 4'!$I$89:$I$649,'Well Cal.'!L$3,'Schedule 4'!$J$89:$J$649,'Well Cal.'!$E74)</f>
        <v>0</v>
      </c>
      <c r="M74" s="726">
        <f>SUMIFS('Schedule 4'!$F$89:$F$649,'Schedule 4'!$I$89:$I$649,'Well Cal.'!M$3,'Schedule 4'!$J$89:$J$649,'Well Cal.'!$E74)</f>
        <v>0</v>
      </c>
      <c r="N74" s="726">
        <f>SUMIFS('Schedule 4'!$F$89:$F$649,'Schedule 4'!$I$89:$I$649,'Well Cal.'!N$3,'Schedule 4'!$J$89:$J$649,'Well Cal.'!$E74)</f>
        <v>0</v>
      </c>
      <c r="O74" s="726">
        <f>SUMIFS('Schedule 4'!$F$89:$F$649,'Schedule 4'!$I$89:$I$649,'Well Cal.'!O$3,'Schedule 4'!$J$89:$J$649,'Well Cal.'!$E74)</f>
        <v>0</v>
      </c>
      <c r="P74" s="726">
        <f>SUMIFS('Schedule 4'!$F$89:$F$649,'Schedule 4'!$I$89:$I$649,'Well Cal.'!P$3,'Schedule 4'!$J$89:$J$649,'Well Cal.'!$E74)</f>
        <v>0</v>
      </c>
      <c r="Q74" s="726">
        <f>SUMIFS('Schedule 4'!$F$89:$F$649,'Schedule 4'!$I$89:$I$649,'Well Cal.'!Q$3,'Schedule 4'!$J$89:$J$649,'Well Cal.'!$E74)</f>
        <v>0</v>
      </c>
      <c r="R74" s="726">
        <f>SUMIFS('Schedule 4'!$F$89:$F$649,'Schedule 4'!$I$89:$I$649,'Well Cal.'!R$3,'Schedule 4'!$J$89:$J$649,'Well Cal.'!$E74)</f>
        <v>0</v>
      </c>
      <c r="S74" s="726">
        <f>SUMIFS('Schedule 4'!$F$89:$F$649,'Schedule 4'!$I$89:$I$649,'Well Cal.'!S$3,'Schedule 4'!$J$89:$J$649,'Well Cal.'!$E74)</f>
        <v>0</v>
      </c>
      <c r="T74" s="726">
        <f>SUMIFS('Schedule 4'!$F$89:$F$649,'Schedule 4'!$I$89:$I$649,'Well Cal.'!T$3,'Schedule 4'!$J$89:$J$649,'Well Cal.'!$E74)</f>
        <v>0</v>
      </c>
      <c r="U74" s="726">
        <f>SUMIFS('Schedule 4'!$F$89:$F$649,'Schedule 4'!$I$89:$I$649,'Well Cal.'!U$3,'Schedule 4'!$J$89:$J$649,'Well Cal.'!$E74)</f>
        <v>0</v>
      </c>
      <c r="V74" s="726">
        <f>SUMIFS('Schedule 4'!$F$89:$F$649,'Schedule 4'!$I$89:$I$649,'Well Cal.'!V$3,'Schedule 4'!$J$89:$J$649,'Well Cal.'!$E74)</f>
        <v>0</v>
      </c>
      <c r="W74" s="726">
        <f>SUMIFS('Schedule 4'!$F$89:$F$649,'Schedule 4'!$I$89:$I$649,'Well Cal.'!W$3,'Schedule 4'!$J$89:$J$649,'Well Cal.'!$E74)</f>
        <v>0</v>
      </c>
      <c r="X74" s="726">
        <f>SUMIFS('Schedule 4'!$F$89:$F$649,'Schedule 4'!$I$89:$I$649,'Well Cal.'!X$3,'Schedule 4'!$J$89:$J$649,'Well Cal.'!$E74)</f>
        <v>0</v>
      </c>
      <c r="Y74" s="726">
        <f>SUMIFS('Schedule 4'!$F$89:$F$649,'Schedule 4'!$I$89:$I$649,'Well Cal.'!Y$3,'Schedule 4'!$J$89:$J$649,'Well Cal.'!$E74)</f>
        <v>0</v>
      </c>
      <c r="Z74" s="726">
        <f>SUMIFS('Schedule 4'!$F$89:$F$649,'Schedule 4'!$I$89:$I$649,'Well Cal.'!Z$3,'Schedule 4'!$J$89:$J$649,'Well Cal.'!$E74)</f>
        <v>0</v>
      </c>
      <c r="AA74" s="726"/>
      <c r="AB74" s="1721"/>
      <c r="AC74" s="1730"/>
      <c r="AE74" s="521" t="s">
        <v>2521</v>
      </c>
      <c r="AF74" s="1110">
        <f>C566</f>
        <v>54.05</v>
      </c>
      <c r="AG74" s="1110">
        <f>AB566</f>
        <v>0</v>
      </c>
      <c r="AH74" s="1110">
        <f t="shared" si="2"/>
        <v>54.05</v>
      </c>
    </row>
    <row r="75" spans="2:36" x14ac:dyDescent="0.3">
      <c r="B75" s="1724"/>
      <c r="C75" s="1727"/>
      <c r="D75" s="1721"/>
      <c r="E75" s="775" t="s">
        <v>3619</v>
      </c>
      <c r="F75" s="726">
        <f>SUMIFS('Schedule 4'!$F$89:$F$649,'Schedule 4'!$I$89:$I$649,'Well Cal.'!F$3,'Schedule 4'!$J$89:$J$649,'Well Cal.'!$E75)</f>
        <v>0</v>
      </c>
      <c r="G75" s="726">
        <f>SUMIFS('Schedule 4'!$F$89:$F$649,'Schedule 4'!$I$89:$I$649,'Well Cal.'!G$3,'Schedule 4'!$J$89:$J$649,'Well Cal.'!$E75)</f>
        <v>0</v>
      </c>
      <c r="H75" s="726">
        <f>SUMIFS('Schedule 4'!$F$89:$F$649,'Schedule 4'!$I$89:$I$649,'Well Cal.'!H$3,'Schedule 4'!$J$89:$J$649,'Well Cal.'!$E75)</f>
        <v>0</v>
      </c>
      <c r="I75" s="726">
        <f>SUMIFS('Schedule 4'!$F$89:$F$649,'Schedule 4'!$I$89:$I$649,'Well Cal.'!I$3,'Schedule 4'!$J$89:$J$649,'Well Cal.'!$E75)</f>
        <v>0</v>
      </c>
      <c r="J75" s="726">
        <f>SUMIFS('Schedule 4'!$F$89:$F$649,'Schedule 4'!$I$89:$I$649,'Well Cal.'!J$3,'Schedule 4'!$J$89:$J$649,'Well Cal.'!$E75)</f>
        <v>0</v>
      </c>
      <c r="K75" s="726">
        <f>SUMIFS('Schedule 4'!$F$89:$F$649,'Schedule 4'!$I$89:$I$649,'Well Cal.'!K$3,'Schedule 4'!$J$89:$J$649,'Well Cal.'!$E75)</f>
        <v>0</v>
      </c>
      <c r="L75" s="726">
        <f>SUMIFS('Schedule 4'!$F$89:$F$649,'Schedule 4'!$I$89:$I$649,'Well Cal.'!L$3,'Schedule 4'!$J$89:$J$649,'Well Cal.'!$E75)</f>
        <v>0</v>
      </c>
      <c r="M75" s="726">
        <f>SUMIFS('Schedule 4'!$F$89:$F$649,'Schedule 4'!$I$89:$I$649,'Well Cal.'!M$3,'Schedule 4'!$J$89:$J$649,'Well Cal.'!$E75)</f>
        <v>0</v>
      </c>
      <c r="N75" s="726">
        <f>SUMIFS('Schedule 4'!$F$89:$F$649,'Schedule 4'!$I$89:$I$649,'Well Cal.'!N$3,'Schedule 4'!$J$89:$J$649,'Well Cal.'!$E75)</f>
        <v>0</v>
      </c>
      <c r="O75" s="726">
        <f>SUMIFS('Schedule 4'!$F$89:$F$649,'Schedule 4'!$I$89:$I$649,'Well Cal.'!O$3,'Schedule 4'!$J$89:$J$649,'Well Cal.'!$E75)</f>
        <v>0</v>
      </c>
      <c r="P75" s="726">
        <f>SUMIFS('Schedule 4'!$F$89:$F$649,'Schedule 4'!$I$89:$I$649,'Well Cal.'!P$3,'Schedule 4'!$J$89:$J$649,'Well Cal.'!$E75)</f>
        <v>0</v>
      </c>
      <c r="Q75" s="726">
        <f>SUMIFS('Schedule 4'!$F$89:$F$649,'Schedule 4'!$I$89:$I$649,'Well Cal.'!Q$3,'Schedule 4'!$J$89:$J$649,'Well Cal.'!$E75)</f>
        <v>0</v>
      </c>
      <c r="R75" s="726">
        <f>SUMIFS('Schedule 4'!$F$89:$F$649,'Schedule 4'!$I$89:$I$649,'Well Cal.'!R$3,'Schedule 4'!$J$89:$J$649,'Well Cal.'!$E75)</f>
        <v>0</v>
      </c>
      <c r="S75" s="726">
        <f>SUMIFS('Schedule 4'!$F$89:$F$649,'Schedule 4'!$I$89:$I$649,'Well Cal.'!S$3,'Schedule 4'!$J$89:$J$649,'Well Cal.'!$E75)</f>
        <v>0</v>
      </c>
      <c r="T75" s="726">
        <f>SUMIFS('Schedule 4'!$F$89:$F$649,'Schedule 4'!$I$89:$I$649,'Well Cal.'!T$3,'Schedule 4'!$J$89:$J$649,'Well Cal.'!$E75)</f>
        <v>0</v>
      </c>
      <c r="U75" s="726">
        <f>SUMIFS('Schedule 4'!$F$89:$F$649,'Schedule 4'!$I$89:$I$649,'Well Cal.'!U$3,'Schedule 4'!$J$89:$J$649,'Well Cal.'!$E75)</f>
        <v>0</v>
      </c>
      <c r="V75" s="726">
        <f>SUMIFS('Schedule 4'!$F$89:$F$649,'Schedule 4'!$I$89:$I$649,'Well Cal.'!V$3,'Schedule 4'!$J$89:$J$649,'Well Cal.'!$E75)</f>
        <v>0</v>
      </c>
      <c r="W75" s="726">
        <f>SUMIFS('Schedule 4'!$F$89:$F$649,'Schedule 4'!$I$89:$I$649,'Well Cal.'!W$3,'Schedule 4'!$J$89:$J$649,'Well Cal.'!$E75)</f>
        <v>0</v>
      </c>
      <c r="X75" s="726">
        <f>SUMIFS('Schedule 4'!$F$89:$F$649,'Schedule 4'!$I$89:$I$649,'Well Cal.'!X$3,'Schedule 4'!$J$89:$J$649,'Well Cal.'!$E75)</f>
        <v>0</v>
      </c>
      <c r="Y75" s="726">
        <f>SUMIFS('Schedule 4'!$F$89:$F$649,'Schedule 4'!$I$89:$I$649,'Well Cal.'!Y$3,'Schedule 4'!$J$89:$J$649,'Well Cal.'!$E75)</f>
        <v>0</v>
      </c>
      <c r="Z75" s="726">
        <f>SUMIFS('Schedule 4'!$F$89:$F$649,'Schedule 4'!$I$89:$I$649,'Well Cal.'!Z$3,'Schedule 4'!$J$89:$J$649,'Well Cal.'!$E75)</f>
        <v>0</v>
      </c>
      <c r="AA75" s="726"/>
      <c r="AB75" s="1721"/>
      <c r="AC75" s="1730"/>
      <c r="AE75" s="521" t="s">
        <v>3082</v>
      </c>
      <c r="AF75" s="1110">
        <f>C588</f>
        <v>50.55</v>
      </c>
      <c r="AG75" s="1110">
        <f>AB588</f>
        <v>0</v>
      </c>
      <c r="AH75" s="1110">
        <f t="shared" si="2"/>
        <v>50.55</v>
      </c>
    </row>
    <row r="76" spans="2:36" x14ac:dyDescent="0.3">
      <c r="B76" s="1724"/>
      <c r="C76" s="1727"/>
      <c r="D76" s="1721"/>
      <c r="E76" s="775" t="s">
        <v>3732</v>
      </c>
      <c r="F76" s="726">
        <f>SUMIFS('Schedule 4'!$F$89:$F$649,'Schedule 4'!$I$89:$I$649,'Well Cal.'!F$3,'Schedule 4'!$J$89:$J$649,'Well Cal.'!$E76)</f>
        <v>0</v>
      </c>
      <c r="G76" s="726">
        <f>SUMIFS('Schedule 4'!$F$89:$F$649,'Schedule 4'!$I$89:$I$649,'Well Cal.'!G$3,'Schedule 4'!$J$89:$J$649,'Well Cal.'!$E76)</f>
        <v>0</v>
      </c>
      <c r="H76" s="726">
        <f>SUMIFS('Schedule 4'!$F$89:$F$649,'Schedule 4'!$I$89:$I$649,'Well Cal.'!H$3,'Schedule 4'!$J$89:$J$649,'Well Cal.'!$E76)</f>
        <v>0</v>
      </c>
      <c r="I76" s="726">
        <f>SUMIFS('Schedule 4'!$F$89:$F$649,'Schedule 4'!$I$89:$I$649,'Well Cal.'!I$3,'Schedule 4'!$J$89:$J$649,'Well Cal.'!$E76)</f>
        <v>0</v>
      </c>
      <c r="J76" s="726">
        <f>SUMIFS('Schedule 4'!$F$89:$F$649,'Schedule 4'!$I$89:$I$649,'Well Cal.'!J$3,'Schedule 4'!$J$89:$J$649,'Well Cal.'!$E76)</f>
        <v>0</v>
      </c>
      <c r="K76" s="726">
        <f>SUMIFS('Schedule 4'!$F$89:$F$649,'Schedule 4'!$I$89:$I$649,'Well Cal.'!K$3,'Schedule 4'!$J$89:$J$649,'Well Cal.'!$E76)</f>
        <v>0</v>
      </c>
      <c r="L76" s="726">
        <f>SUMIFS('Schedule 4'!$F$89:$F$649,'Schedule 4'!$I$89:$I$649,'Well Cal.'!L$3,'Schedule 4'!$J$89:$J$649,'Well Cal.'!$E76)</f>
        <v>0</v>
      </c>
      <c r="M76" s="726">
        <f>SUMIFS('Schedule 4'!$F$89:$F$649,'Schedule 4'!$I$89:$I$649,'Well Cal.'!M$3,'Schedule 4'!$J$89:$J$649,'Well Cal.'!$E76)</f>
        <v>0</v>
      </c>
      <c r="N76" s="726">
        <f>SUMIFS('Schedule 4'!$F$89:$F$649,'Schedule 4'!$I$89:$I$649,'Well Cal.'!N$3,'Schedule 4'!$J$89:$J$649,'Well Cal.'!$E76)</f>
        <v>0</v>
      </c>
      <c r="O76" s="726">
        <f>SUMIFS('Schedule 4'!$F$89:$F$649,'Schedule 4'!$I$89:$I$649,'Well Cal.'!O$3,'Schedule 4'!$J$89:$J$649,'Well Cal.'!$E76)</f>
        <v>0</v>
      </c>
      <c r="P76" s="726">
        <f>SUMIFS('Schedule 4'!$F$89:$F$649,'Schedule 4'!$I$89:$I$649,'Well Cal.'!P$3,'Schedule 4'!$J$89:$J$649,'Well Cal.'!$E76)</f>
        <v>0</v>
      </c>
      <c r="Q76" s="726">
        <f>SUMIFS('Schedule 4'!$F$89:$F$649,'Schedule 4'!$I$89:$I$649,'Well Cal.'!Q$3,'Schedule 4'!$J$89:$J$649,'Well Cal.'!$E76)</f>
        <v>0</v>
      </c>
      <c r="R76" s="726">
        <f>SUMIFS('Schedule 4'!$F$89:$F$649,'Schedule 4'!$I$89:$I$649,'Well Cal.'!R$3,'Schedule 4'!$J$89:$J$649,'Well Cal.'!$E76)</f>
        <v>0</v>
      </c>
      <c r="S76" s="726">
        <f>SUMIFS('Schedule 4'!$F$89:$F$649,'Schedule 4'!$I$89:$I$649,'Well Cal.'!S$3,'Schedule 4'!$J$89:$J$649,'Well Cal.'!$E76)</f>
        <v>0</v>
      </c>
      <c r="T76" s="726">
        <f>SUMIFS('Schedule 4'!$F$89:$F$649,'Schedule 4'!$I$89:$I$649,'Well Cal.'!T$3,'Schedule 4'!$J$89:$J$649,'Well Cal.'!$E76)</f>
        <v>0</v>
      </c>
      <c r="U76" s="726">
        <f>SUMIFS('Schedule 4'!$F$89:$F$649,'Schedule 4'!$I$89:$I$649,'Well Cal.'!U$3,'Schedule 4'!$J$89:$J$649,'Well Cal.'!$E76)</f>
        <v>0</v>
      </c>
      <c r="V76" s="726">
        <f>SUMIFS('Schedule 4'!$F$89:$F$649,'Schedule 4'!$I$89:$I$649,'Well Cal.'!V$3,'Schedule 4'!$J$89:$J$649,'Well Cal.'!$E76)</f>
        <v>0</v>
      </c>
      <c r="W76" s="726">
        <f>SUMIFS('Schedule 4'!$F$89:$F$649,'Schedule 4'!$I$89:$I$649,'Well Cal.'!W$3,'Schedule 4'!$J$89:$J$649,'Well Cal.'!$E76)</f>
        <v>0</v>
      </c>
      <c r="X76" s="726">
        <f>SUMIFS('Schedule 4'!$F$89:$F$649,'Schedule 4'!$I$89:$I$649,'Well Cal.'!X$3,'Schedule 4'!$J$89:$J$649,'Well Cal.'!$E76)</f>
        <v>0</v>
      </c>
      <c r="Y76" s="726">
        <f>SUMIFS('Schedule 4'!$F$89:$F$649,'Schedule 4'!$I$89:$I$649,'Well Cal.'!Y$3,'Schedule 4'!$J$89:$J$649,'Well Cal.'!$E76)</f>
        <v>0</v>
      </c>
      <c r="Z76" s="726">
        <f>SUMIFS('Schedule 4'!$F$89:$F$649,'Schedule 4'!$I$89:$I$649,'Well Cal.'!Z$3,'Schedule 4'!$J$89:$J$649,'Well Cal.'!$E76)</f>
        <v>0</v>
      </c>
      <c r="AA76" s="726"/>
      <c r="AB76" s="1721"/>
      <c r="AC76" s="1731"/>
    </row>
    <row r="77" spans="2:36" x14ac:dyDescent="0.3">
      <c r="B77" s="1724"/>
      <c r="C77" s="1727"/>
      <c r="D77" s="1721"/>
      <c r="E77" s="775" t="s">
        <v>3780</v>
      </c>
      <c r="F77" s="726">
        <f>SUMIFS('Schedule 4'!$F$89:$F$649,'Schedule 4'!$I$89:$I$649,'Well Cal.'!F$3,'Schedule 4'!$J$89:$J$649,'Well Cal.'!$E77)</f>
        <v>0</v>
      </c>
      <c r="G77" s="726">
        <f>SUMIFS('Schedule 4'!$F$89:$F$649,'Schedule 4'!$I$89:$I$649,'Well Cal.'!G$3,'Schedule 4'!$J$89:$J$649,'Well Cal.'!$E77)</f>
        <v>0</v>
      </c>
      <c r="H77" s="726">
        <f>SUMIFS('Schedule 4'!$F$89:$F$649,'Schedule 4'!$I$89:$I$649,'Well Cal.'!H$3,'Schedule 4'!$J$89:$J$649,'Well Cal.'!$E77)</f>
        <v>0</v>
      </c>
      <c r="I77" s="726">
        <f>SUMIFS('Schedule 4'!$F$89:$F$649,'Schedule 4'!$I$89:$I$649,'Well Cal.'!I$3,'Schedule 4'!$J$89:$J$649,'Well Cal.'!$E77)</f>
        <v>0</v>
      </c>
      <c r="J77" s="726">
        <f>SUMIFS('Schedule 4'!$F$89:$F$649,'Schedule 4'!$I$89:$I$649,'Well Cal.'!J$3,'Schedule 4'!$J$89:$J$649,'Well Cal.'!$E77)</f>
        <v>0</v>
      </c>
      <c r="K77" s="726">
        <f>SUMIFS('Schedule 4'!$F$89:$F$649,'Schedule 4'!$I$89:$I$649,'Well Cal.'!K$3,'Schedule 4'!$J$89:$J$649,'Well Cal.'!$E77)</f>
        <v>0</v>
      </c>
      <c r="L77" s="726">
        <f>SUMIFS('Schedule 4'!$F$89:$F$649,'Schedule 4'!$I$89:$I$649,'Well Cal.'!L$3,'Schedule 4'!$J$89:$J$649,'Well Cal.'!$E77)</f>
        <v>0</v>
      </c>
      <c r="M77" s="726">
        <f>SUMIFS('Schedule 4'!$F$89:$F$649,'Schedule 4'!$I$89:$I$649,'Well Cal.'!M$3,'Schedule 4'!$J$89:$J$649,'Well Cal.'!$E77)</f>
        <v>0</v>
      </c>
      <c r="N77" s="726">
        <f>SUMIFS('Schedule 4'!$F$89:$F$649,'Schedule 4'!$I$89:$I$649,'Well Cal.'!N$3,'Schedule 4'!$J$89:$J$649,'Well Cal.'!$E77)</f>
        <v>0</v>
      </c>
      <c r="O77" s="726">
        <f>SUMIFS('Schedule 4'!$F$89:$F$649,'Schedule 4'!$I$89:$I$649,'Well Cal.'!O$3,'Schedule 4'!$J$89:$J$649,'Well Cal.'!$E77)</f>
        <v>0</v>
      </c>
      <c r="P77" s="726">
        <f>SUMIFS('Schedule 4'!$F$89:$F$649,'Schedule 4'!$I$89:$I$649,'Well Cal.'!P$3,'Schedule 4'!$J$89:$J$649,'Well Cal.'!$E77)</f>
        <v>0</v>
      </c>
      <c r="Q77" s="726">
        <f>SUMIFS('Schedule 4'!$F$89:$F$649,'Schedule 4'!$I$89:$I$649,'Well Cal.'!Q$3,'Schedule 4'!$J$89:$J$649,'Well Cal.'!$E77)</f>
        <v>0</v>
      </c>
      <c r="R77" s="726">
        <f>SUMIFS('Schedule 4'!$F$89:$F$649,'Schedule 4'!$I$89:$I$649,'Well Cal.'!R$3,'Schedule 4'!$J$89:$J$649,'Well Cal.'!$E77)</f>
        <v>0</v>
      </c>
      <c r="S77" s="726">
        <f>SUMIFS('Schedule 4'!$F$89:$F$649,'Schedule 4'!$I$89:$I$649,'Well Cal.'!S$3,'Schedule 4'!$J$89:$J$649,'Well Cal.'!$E77)</f>
        <v>0</v>
      </c>
      <c r="T77" s="726">
        <f>SUMIFS('Schedule 4'!$F$89:$F$649,'Schedule 4'!$I$89:$I$649,'Well Cal.'!T$3,'Schedule 4'!$J$89:$J$649,'Well Cal.'!$E77)</f>
        <v>0</v>
      </c>
      <c r="U77" s="726">
        <f>SUMIFS('Schedule 4'!$F$89:$F$649,'Schedule 4'!$I$89:$I$649,'Well Cal.'!U$3,'Schedule 4'!$J$89:$J$649,'Well Cal.'!$E77)</f>
        <v>0</v>
      </c>
      <c r="V77" s="726">
        <f>SUMIFS('Schedule 4'!$F$89:$F$649,'Schedule 4'!$I$89:$I$649,'Well Cal.'!V$3,'Schedule 4'!$J$89:$J$649,'Well Cal.'!$E77)</f>
        <v>0</v>
      </c>
      <c r="W77" s="726">
        <f>SUMIFS('Schedule 4'!$F$89:$F$649,'Schedule 4'!$I$89:$I$649,'Well Cal.'!W$3,'Schedule 4'!$J$89:$J$649,'Well Cal.'!$E77)</f>
        <v>0</v>
      </c>
      <c r="X77" s="726">
        <f>SUMIFS('Schedule 4'!$F$89:$F$649,'Schedule 4'!$I$89:$I$649,'Well Cal.'!X$3,'Schedule 4'!$J$89:$J$649,'Well Cal.'!$E77)</f>
        <v>0</v>
      </c>
      <c r="Y77" s="726">
        <f>SUMIFS('Schedule 4'!$F$89:$F$649,'Schedule 4'!$I$89:$I$649,'Well Cal.'!Y$3,'Schedule 4'!$J$89:$J$649,'Well Cal.'!$E77)</f>
        <v>0</v>
      </c>
      <c r="Z77" s="726">
        <f>SUMIFS('Schedule 4'!$F$89:$F$649,'Schedule 4'!$I$89:$I$649,'Well Cal.'!Z$3,'Schedule 4'!$J$89:$J$649,'Well Cal.'!$E77)</f>
        <v>0</v>
      </c>
      <c r="AA77" s="726"/>
      <c r="AB77" s="1721"/>
      <c r="AC77" s="1731"/>
      <c r="AI77" s="1178"/>
    </row>
    <row r="78" spans="2:36" x14ac:dyDescent="0.3">
      <c r="B78" s="1724"/>
      <c r="C78" s="1727"/>
      <c r="D78" s="1721"/>
      <c r="E78" s="775" t="s">
        <v>3849</v>
      </c>
      <c r="F78" s="726">
        <f>SUMIFS('Schedule 4'!$F$89:$F$649,'Schedule 4'!$I$89:$I$649,'Well Cal.'!F$3,'Schedule 4'!$J$89:$J$649,'Well Cal.'!$E78)</f>
        <v>0</v>
      </c>
      <c r="G78" s="726">
        <f>SUMIFS('Schedule 4'!$F$89:$F$649,'Schedule 4'!$I$89:$I$649,'Well Cal.'!G$3,'Schedule 4'!$J$89:$J$649,'Well Cal.'!$E78)</f>
        <v>0</v>
      </c>
      <c r="H78" s="726">
        <f>SUMIFS('Schedule 4'!$F$89:$F$649,'Schedule 4'!$I$89:$I$649,'Well Cal.'!H$3,'Schedule 4'!$J$89:$J$649,'Well Cal.'!$E78)</f>
        <v>0</v>
      </c>
      <c r="I78" s="726">
        <f>SUMIFS('Schedule 4'!$F$89:$F$649,'Schedule 4'!$I$89:$I$649,'Well Cal.'!I$3,'Schedule 4'!$J$89:$J$649,'Well Cal.'!$E78)</f>
        <v>0</v>
      </c>
      <c r="J78" s="726">
        <f>SUMIFS('Schedule 4'!$F$89:$F$649,'Schedule 4'!$I$89:$I$649,'Well Cal.'!J$3,'Schedule 4'!$J$89:$J$649,'Well Cal.'!$E78)</f>
        <v>0</v>
      </c>
      <c r="K78" s="726">
        <f>SUMIFS('Schedule 4'!$F$89:$F$649,'Schedule 4'!$I$89:$I$649,'Well Cal.'!K$3,'Schedule 4'!$J$89:$J$649,'Well Cal.'!$E78)</f>
        <v>0</v>
      </c>
      <c r="L78" s="726">
        <f>SUMIFS('Schedule 4'!$F$89:$F$649,'Schedule 4'!$I$89:$I$649,'Well Cal.'!L$3,'Schedule 4'!$J$89:$J$649,'Well Cal.'!$E78)</f>
        <v>0</v>
      </c>
      <c r="M78" s="726">
        <f>SUMIFS('Schedule 4'!$F$89:$F$649,'Schedule 4'!$I$89:$I$649,'Well Cal.'!M$3,'Schedule 4'!$J$89:$J$649,'Well Cal.'!$E78)</f>
        <v>0</v>
      </c>
      <c r="N78" s="726">
        <f>SUMIFS('Schedule 4'!$F$89:$F$649,'Schedule 4'!$I$89:$I$649,'Well Cal.'!N$3,'Schedule 4'!$J$89:$J$649,'Well Cal.'!$E78)</f>
        <v>0</v>
      </c>
      <c r="O78" s="726">
        <f>SUMIFS('Schedule 4'!$F$89:$F$649,'Schedule 4'!$I$89:$I$649,'Well Cal.'!O$3,'Schedule 4'!$J$89:$J$649,'Well Cal.'!$E78)</f>
        <v>0</v>
      </c>
      <c r="P78" s="726">
        <f>SUMIFS('Schedule 4'!$F$89:$F$649,'Schedule 4'!$I$89:$I$649,'Well Cal.'!P$3,'Schedule 4'!$J$89:$J$649,'Well Cal.'!$E78)</f>
        <v>0</v>
      </c>
      <c r="Q78" s="726">
        <f>SUMIFS('Schedule 4'!$F$89:$F$649,'Schedule 4'!$I$89:$I$649,'Well Cal.'!Q$3,'Schedule 4'!$J$89:$J$649,'Well Cal.'!$E78)</f>
        <v>0</v>
      </c>
      <c r="R78" s="726">
        <f>SUMIFS('Schedule 4'!$F$89:$F$649,'Schedule 4'!$I$89:$I$649,'Well Cal.'!R$3,'Schedule 4'!$J$89:$J$649,'Well Cal.'!$E78)</f>
        <v>0</v>
      </c>
      <c r="S78" s="726">
        <f>SUMIFS('Schedule 4'!$F$89:$F$649,'Schedule 4'!$I$89:$I$649,'Well Cal.'!S$3,'Schedule 4'!$J$89:$J$649,'Well Cal.'!$E78)</f>
        <v>0</v>
      </c>
      <c r="T78" s="726">
        <f>SUMIFS('Schedule 4'!$F$89:$F$649,'Schedule 4'!$I$89:$I$649,'Well Cal.'!T$3,'Schedule 4'!$J$89:$J$649,'Well Cal.'!$E78)</f>
        <v>0</v>
      </c>
      <c r="U78" s="726">
        <f>SUMIFS('Schedule 4'!$F$89:$F$649,'Schedule 4'!$I$89:$I$649,'Well Cal.'!U$3,'Schedule 4'!$J$89:$J$649,'Well Cal.'!$E78)</f>
        <v>0</v>
      </c>
      <c r="V78" s="726">
        <f>SUMIFS('Schedule 4'!$F$89:$F$649,'Schedule 4'!$I$89:$I$649,'Well Cal.'!V$3,'Schedule 4'!$J$89:$J$649,'Well Cal.'!$E78)</f>
        <v>0</v>
      </c>
      <c r="W78" s="726">
        <f>SUMIFS('Schedule 4'!$F$89:$F$649,'Schedule 4'!$I$89:$I$649,'Well Cal.'!W$3,'Schedule 4'!$J$89:$J$649,'Well Cal.'!$E78)</f>
        <v>0</v>
      </c>
      <c r="X78" s="726">
        <f>SUMIFS('Schedule 4'!$F$89:$F$649,'Schedule 4'!$I$89:$I$649,'Well Cal.'!X$3,'Schedule 4'!$J$89:$J$649,'Well Cal.'!$E78)</f>
        <v>0</v>
      </c>
      <c r="Y78" s="726">
        <f>SUMIFS('Schedule 4'!$F$89:$F$649,'Schedule 4'!$I$89:$I$649,'Well Cal.'!Y$3,'Schedule 4'!$J$89:$J$649,'Well Cal.'!$E78)</f>
        <v>0</v>
      </c>
      <c r="Z78" s="726">
        <f>SUMIFS('Schedule 4'!$F$89:$F$649,'Schedule 4'!$I$89:$I$649,'Well Cal.'!Z$3,'Schedule 4'!$J$89:$J$649,'Well Cal.'!$E78)</f>
        <v>0</v>
      </c>
      <c r="AA78" s="726"/>
      <c r="AB78" s="1721"/>
      <c r="AC78" s="1731"/>
      <c r="AF78" s="1177"/>
      <c r="AG78" s="1177"/>
      <c r="AH78" s="1178"/>
    </row>
    <row r="79" spans="2:36" x14ac:dyDescent="0.3">
      <c r="B79" s="1724"/>
      <c r="C79" s="1727"/>
      <c r="D79" s="1721"/>
      <c r="E79" s="775" t="s">
        <v>3914</v>
      </c>
      <c r="F79" s="726">
        <f>SUMIFS('Schedule 4'!$F$89:$F$649,'Schedule 4'!$I$89:$I$649,'Well Cal.'!F$3,'Schedule 4'!$J$89:$J$649,'Well Cal.'!$E79)</f>
        <v>0</v>
      </c>
      <c r="G79" s="726">
        <f>SUMIFS('Schedule 4'!$F$89:$F$649,'Schedule 4'!$I$89:$I$649,'Well Cal.'!G$3,'Schedule 4'!$J$89:$J$649,'Well Cal.'!$E79)</f>
        <v>0</v>
      </c>
      <c r="H79" s="726">
        <f>SUMIFS('Schedule 4'!$F$89:$F$649,'Schedule 4'!$I$89:$I$649,'Well Cal.'!H$3,'Schedule 4'!$J$89:$J$649,'Well Cal.'!$E79)</f>
        <v>0</v>
      </c>
      <c r="I79" s="726">
        <f>SUMIFS('Schedule 4'!$F$89:$F$649,'Schedule 4'!$I$89:$I$649,'Well Cal.'!I$3,'Schedule 4'!$J$89:$J$649,'Well Cal.'!$E79)</f>
        <v>0</v>
      </c>
      <c r="J79" s="726">
        <f>SUMIFS('Schedule 4'!$F$89:$F$649,'Schedule 4'!$I$89:$I$649,'Well Cal.'!J$3,'Schedule 4'!$J$89:$J$649,'Well Cal.'!$E79)</f>
        <v>0</v>
      </c>
      <c r="K79" s="726">
        <f>SUMIFS('Schedule 4'!$F$89:$F$649,'Schedule 4'!$I$89:$I$649,'Well Cal.'!K$3,'Schedule 4'!$J$89:$J$649,'Well Cal.'!$E79)</f>
        <v>0</v>
      </c>
      <c r="L79" s="726">
        <f>SUMIFS('Schedule 4'!$F$89:$F$649,'Schedule 4'!$I$89:$I$649,'Well Cal.'!L$3,'Schedule 4'!$J$89:$J$649,'Well Cal.'!$E79)</f>
        <v>0</v>
      </c>
      <c r="M79" s="726">
        <f>SUMIFS('Schedule 4'!$F$89:$F$649,'Schedule 4'!$I$89:$I$649,'Well Cal.'!M$3,'Schedule 4'!$J$89:$J$649,'Well Cal.'!$E79)</f>
        <v>0</v>
      </c>
      <c r="N79" s="726">
        <f>SUMIFS('Schedule 4'!$F$89:$F$649,'Schedule 4'!$I$89:$I$649,'Well Cal.'!N$3,'Schedule 4'!$J$89:$J$649,'Well Cal.'!$E79)</f>
        <v>0</v>
      </c>
      <c r="O79" s="726">
        <f>SUMIFS('Schedule 4'!$F$89:$F$649,'Schedule 4'!$I$89:$I$649,'Well Cal.'!O$3,'Schedule 4'!$J$89:$J$649,'Well Cal.'!$E79)</f>
        <v>0</v>
      </c>
      <c r="P79" s="726">
        <f>SUMIFS('Schedule 4'!$F$89:$F$649,'Schedule 4'!$I$89:$I$649,'Well Cal.'!P$3,'Schedule 4'!$J$89:$J$649,'Well Cal.'!$E79)</f>
        <v>0</v>
      </c>
      <c r="Q79" s="726">
        <f>SUMIFS('Schedule 4'!$F$89:$F$649,'Schedule 4'!$I$89:$I$649,'Well Cal.'!Q$3,'Schedule 4'!$J$89:$J$649,'Well Cal.'!$E79)</f>
        <v>0</v>
      </c>
      <c r="R79" s="726">
        <f>SUMIFS('Schedule 4'!$F$89:$F$649,'Schedule 4'!$I$89:$I$649,'Well Cal.'!R$3,'Schedule 4'!$J$89:$J$649,'Well Cal.'!$E79)</f>
        <v>0</v>
      </c>
      <c r="S79" s="726">
        <f>SUMIFS('Schedule 4'!$F$89:$F$649,'Schedule 4'!$I$89:$I$649,'Well Cal.'!S$3,'Schedule 4'!$J$89:$J$649,'Well Cal.'!$E79)</f>
        <v>0</v>
      </c>
      <c r="T79" s="726">
        <f>SUMIFS('Schedule 4'!$F$89:$F$649,'Schedule 4'!$I$89:$I$649,'Well Cal.'!T$3,'Schedule 4'!$J$89:$J$649,'Well Cal.'!$E79)</f>
        <v>0</v>
      </c>
      <c r="U79" s="726">
        <f>SUMIFS('Schedule 4'!$F$89:$F$649,'Schedule 4'!$I$89:$I$649,'Well Cal.'!U$3,'Schedule 4'!$J$89:$J$649,'Well Cal.'!$E79)</f>
        <v>0</v>
      </c>
      <c r="V79" s="726">
        <f>SUMIFS('Schedule 4'!$F$89:$F$649,'Schedule 4'!$I$89:$I$649,'Well Cal.'!V$3,'Schedule 4'!$J$89:$J$649,'Well Cal.'!$E79)</f>
        <v>0</v>
      </c>
      <c r="W79" s="726">
        <f>SUMIFS('Schedule 4'!$F$89:$F$649,'Schedule 4'!$I$89:$I$649,'Well Cal.'!W$3,'Schedule 4'!$J$89:$J$649,'Well Cal.'!$E79)</f>
        <v>0</v>
      </c>
      <c r="X79" s="726">
        <f>SUMIFS('Schedule 4'!$F$89:$F$649,'Schedule 4'!$I$89:$I$649,'Well Cal.'!X$3,'Schedule 4'!$J$89:$J$649,'Well Cal.'!$E79)</f>
        <v>0</v>
      </c>
      <c r="Y79" s="726">
        <f>SUMIFS('Schedule 4'!$F$89:$F$649,'Schedule 4'!$I$89:$I$649,'Well Cal.'!Y$3,'Schedule 4'!$J$89:$J$649,'Well Cal.'!$E79)</f>
        <v>0</v>
      </c>
      <c r="Z79" s="726">
        <f>SUMIFS('Schedule 4'!$F$89:$F$649,'Schedule 4'!$I$89:$I$649,'Well Cal.'!Z$3,'Schedule 4'!$J$89:$J$649,'Well Cal.'!$E79)</f>
        <v>0</v>
      </c>
      <c r="AA79" s="726"/>
      <c r="AB79" s="1721"/>
      <c r="AC79" s="1731"/>
      <c r="AH79" s="1178"/>
    </row>
    <row r="80" spans="2:36" x14ac:dyDescent="0.3">
      <c r="B80" s="1724"/>
      <c r="C80" s="1727"/>
      <c r="D80" s="1721"/>
      <c r="E80" s="775" t="s">
        <v>3980</v>
      </c>
      <c r="F80" s="726">
        <f>SUMIFS('Schedule 4'!$F$89:$F$649,'Schedule 4'!$I$89:$I$649,'Well Cal.'!F$3,'Schedule 4'!$J$89:$J$649,'Well Cal.'!$E80)</f>
        <v>0</v>
      </c>
      <c r="G80" s="726">
        <f>SUMIFS('Schedule 4'!$F$89:$F$649,'Schedule 4'!$I$89:$I$649,'Well Cal.'!G$3,'Schedule 4'!$J$89:$J$649,'Well Cal.'!$E80)</f>
        <v>0</v>
      </c>
      <c r="H80" s="726">
        <f>SUMIFS('Schedule 4'!$F$89:$F$649,'Schedule 4'!$I$89:$I$649,'Well Cal.'!H$3,'Schedule 4'!$J$89:$J$649,'Well Cal.'!$E80)</f>
        <v>0</v>
      </c>
      <c r="I80" s="726">
        <f>SUMIFS('Schedule 4'!$F$89:$F$649,'Schedule 4'!$I$89:$I$649,'Well Cal.'!I$3,'Schedule 4'!$J$89:$J$649,'Well Cal.'!$E80)</f>
        <v>0</v>
      </c>
      <c r="J80" s="726">
        <f>SUMIFS('Schedule 4'!$F$89:$F$649,'Schedule 4'!$I$89:$I$649,'Well Cal.'!J$3,'Schedule 4'!$J$89:$J$649,'Well Cal.'!$E80)</f>
        <v>0</v>
      </c>
      <c r="K80" s="726">
        <f>SUMIFS('Schedule 4'!$F$89:$F$649,'Schedule 4'!$I$89:$I$649,'Well Cal.'!K$3,'Schedule 4'!$J$89:$J$649,'Well Cal.'!$E80)</f>
        <v>0</v>
      </c>
      <c r="L80" s="726">
        <f>SUMIFS('Schedule 4'!$F$89:$F$649,'Schedule 4'!$I$89:$I$649,'Well Cal.'!L$3,'Schedule 4'!$J$89:$J$649,'Well Cal.'!$E80)</f>
        <v>0</v>
      </c>
      <c r="M80" s="726">
        <f>SUMIFS('Schedule 4'!$F$89:$F$649,'Schedule 4'!$I$89:$I$649,'Well Cal.'!M$3,'Schedule 4'!$J$89:$J$649,'Well Cal.'!$E80)</f>
        <v>0</v>
      </c>
      <c r="N80" s="726">
        <f>SUMIFS('Schedule 4'!$F$89:$F$649,'Schedule 4'!$I$89:$I$649,'Well Cal.'!N$3,'Schedule 4'!$J$89:$J$649,'Well Cal.'!$E80)</f>
        <v>0</v>
      </c>
      <c r="O80" s="726">
        <f>SUMIFS('Schedule 4'!$F$89:$F$649,'Schedule 4'!$I$89:$I$649,'Well Cal.'!O$3,'Schedule 4'!$J$89:$J$649,'Well Cal.'!$E80)</f>
        <v>0</v>
      </c>
      <c r="P80" s="726">
        <f>SUMIFS('Schedule 4'!$F$89:$F$649,'Schedule 4'!$I$89:$I$649,'Well Cal.'!P$3,'Schedule 4'!$J$89:$J$649,'Well Cal.'!$E80)</f>
        <v>0</v>
      </c>
      <c r="Q80" s="726">
        <f>SUMIFS('Schedule 4'!$F$89:$F$649,'Schedule 4'!$I$89:$I$649,'Well Cal.'!Q$3,'Schedule 4'!$J$89:$J$649,'Well Cal.'!$E80)</f>
        <v>0</v>
      </c>
      <c r="R80" s="726">
        <f>SUMIFS('Schedule 4'!$F$89:$F$649,'Schedule 4'!$I$89:$I$649,'Well Cal.'!R$3,'Schedule 4'!$J$89:$J$649,'Well Cal.'!$E80)</f>
        <v>0</v>
      </c>
      <c r="S80" s="726">
        <f>SUMIFS('Schedule 4'!$F$89:$F$649,'Schedule 4'!$I$89:$I$649,'Well Cal.'!S$3,'Schedule 4'!$J$89:$J$649,'Well Cal.'!$E80)</f>
        <v>0</v>
      </c>
      <c r="T80" s="726">
        <f>SUMIFS('Schedule 4'!$F$89:$F$649,'Schedule 4'!$I$89:$I$649,'Well Cal.'!T$3,'Schedule 4'!$J$89:$J$649,'Well Cal.'!$E80)</f>
        <v>0</v>
      </c>
      <c r="U80" s="726">
        <f>SUMIFS('Schedule 4'!$F$89:$F$649,'Schedule 4'!$I$89:$I$649,'Well Cal.'!U$3,'Schedule 4'!$J$89:$J$649,'Well Cal.'!$E80)</f>
        <v>0</v>
      </c>
      <c r="V80" s="726">
        <f>SUMIFS('Schedule 4'!$F$89:$F$649,'Schedule 4'!$I$89:$I$649,'Well Cal.'!V$3,'Schedule 4'!$J$89:$J$649,'Well Cal.'!$E80)</f>
        <v>0</v>
      </c>
      <c r="W80" s="726">
        <f>SUMIFS('Schedule 4'!$F$89:$F$649,'Schedule 4'!$I$89:$I$649,'Well Cal.'!W$3,'Schedule 4'!$J$89:$J$649,'Well Cal.'!$E80)</f>
        <v>0</v>
      </c>
      <c r="X80" s="726">
        <f>SUMIFS('Schedule 4'!$F$89:$F$649,'Schedule 4'!$I$89:$I$649,'Well Cal.'!X$3,'Schedule 4'!$J$89:$J$649,'Well Cal.'!$E80)</f>
        <v>0</v>
      </c>
      <c r="Y80" s="726">
        <f>SUMIFS('Schedule 4'!$F$89:$F$649,'Schedule 4'!$I$89:$I$649,'Well Cal.'!Y$3,'Schedule 4'!$J$89:$J$649,'Well Cal.'!$E80)</f>
        <v>0</v>
      </c>
      <c r="Z80" s="726">
        <f>SUMIFS('Schedule 4'!$F$89:$F$649,'Schedule 4'!$I$89:$I$649,'Well Cal.'!Z$3,'Schedule 4'!$J$89:$J$649,'Well Cal.'!$E80)</f>
        <v>0</v>
      </c>
      <c r="AA80" s="726"/>
      <c r="AB80" s="1721"/>
      <c r="AC80" s="1731"/>
    </row>
    <row r="81" spans="2:32" x14ac:dyDescent="0.3">
      <c r="B81" s="1724"/>
      <c r="C81" s="1727"/>
      <c r="D81" s="1721"/>
      <c r="E81" s="775" t="s">
        <v>4051</v>
      </c>
      <c r="F81" s="726">
        <f>SUMIFS('Schedule 4'!$F$89:$F$649,'Schedule 4'!$I$89:$I$649,'Well Cal.'!F$3,'Schedule 4'!$J$89:$J$649,'Well Cal.'!$E81)</f>
        <v>0</v>
      </c>
      <c r="G81" s="726">
        <f>SUMIFS('Schedule 4'!$F$89:$F$649,'Schedule 4'!$I$89:$I$649,'Well Cal.'!G$3,'Schedule 4'!$J$89:$J$649,'Well Cal.'!$E81)</f>
        <v>0</v>
      </c>
      <c r="H81" s="726">
        <f>SUMIFS('Schedule 4'!$F$89:$F$649,'Schedule 4'!$I$89:$I$649,'Well Cal.'!H$3,'Schedule 4'!$J$89:$J$649,'Well Cal.'!$E81)</f>
        <v>0</v>
      </c>
      <c r="I81" s="726">
        <f>SUMIFS('Schedule 4'!$F$89:$F$649,'Schedule 4'!$I$89:$I$649,'Well Cal.'!I$3,'Schedule 4'!$J$89:$J$649,'Well Cal.'!$E81)</f>
        <v>0</v>
      </c>
      <c r="J81" s="726">
        <f>SUMIFS('Schedule 4'!$F$89:$F$649,'Schedule 4'!$I$89:$I$649,'Well Cal.'!J$3,'Schedule 4'!$J$89:$J$649,'Well Cal.'!$E81)</f>
        <v>0</v>
      </c>
      <c r="K81" s="726">
        <f>SUMIFS('Schedule 4'!$F$89:$F$649,'Schedule 4'!$I$89:$I$649,'Well Cal.'!K$3,'Schedule 4'!$J$89:$J$649,'Well Cal.'!$E81)</f>
        <v>0</v>
      </c>
      <c r="L81" s="726">
        <f>SUMIFS('Schedule 4'!$F$89:$F$649,'Schedule 4'!$I$89:$I$649,'Well Cal.'!L$3,'Schedule 4'!$J$89:$J$649,'Well Cal.'!$E81)</f>
        <v>0</v>
      </c>
      <c r="M81" s="726">
        <f>SUMIFS('Schedule 4'!$F$89:$F$649,'Schedule 4'!$I$89:$I$649,'Well Cal.'!M$3,'Schedule 4'!$J$89:$J$649,'Well Cal.'!$E81)</f>
        <v>0</v>
      </c>
      <c r="N81" s="726">
        <f>SUMIFS('Schedule 4'!$F$89:$F$649,'Schedule 4'!$I$89:$I$649,'Well Cal.'!N$3,'Schedule 4'!$J$89:$J$649,'Well Cal.'!$E81)</f>
        <v>0</v>
      </c>
      <c r="O81" s="726">
        <f>SUMIFS('Schedule 4'!$F$89:$F$649,'Schedule 4'!$I$89:$I$649,'Well Cal.'!O$3,'Schedule 4'!$J$89:$J$649,'Well Cal.'!$E81)</f>
        <v>0</v>
      </c>
      <c r="P81" s="726">
        <f>SUMIFS('Schedule 4'!$F$89:$F$649,'Schedule 4'!$I$89:$I$649,'Well Cal.'!P$3,'Schedule 4'!$J$89:$J$649,'Well Cal.'!$E81)</f>
        <v>0</v>
      </c>
      <c r="Q81" s="726">
        <f>SUMIFS('Schedule 4'!$F$89:$F$649,'Schedule 4'!$I$89:$I$649,'Well Cal.'!Q$3,'Schedule 4'!$J$89:$J$649,'Well Cal.'!$E81)</f>
        <v>0</v>
      </c>
      <c r="R81" s="726">
        <f>SUMIFS('Schedule 4'!$F$89:$F$649,'Schedule 4'!$I$89:$I$649,'Well Cal.'!R$3,'Schedule 4'!$J$89:$J$649,'Well Cal.'!$E81)</f>
        <v>0</v>
      </c>
      <c r="S81" s="726">
        <f>SUMIFS('Schedule 4'!$F$89:$F$649,'Schedule 4'!$I$89:$I$649,'Well Cal.'!S$3,'Schedule 4'!$J$89:$J$649,'Well Cal.'!$E81)</f>
        <v>0</v>
      </c>
      <c r="T81" s="726">
        <f>SUMIFS('Schedule 4'!$F$89:$F$649,'Schedule 4'!$I$89:$I$649,'Well Cal.'!T$3,'Schedule 4'!$J$89:$J$649,'Well Cal.'!$E81)</f>
        <v>0</v>
      </c>
      <c r="U81" s="726">
        <f>SUMIFS('Schedule 4'!$F$89:$F$649,'Schedule 4'!$I$89:$I$649,'Well Cal.'!U$3,'Schedule 4'!$J$89:$J$649,'Well Cal.'!$E81)</f>
        <v>0</v>
      </c>
      <c r="V81" s="726">
        <f>SUMIFS('Schedule 4'!$F$89:$F$649,'Schedule 4'!$I$89:$I$649,'Well Cal.'!V$3,'Schedule 4'!$J$89:$J$649,'Well Cal.'!$E81)</f>
        <v>0</v>
      </c>
      <c r="W81" s="726">
        <f>SUMIFS('Schedule 4'!$F$89:$F$649,'Schedule 4'!$I$89:$I$649,'Well Cal.'!W$3,'Schedule 4'!$J$89:$J$649,'Well Cal.'!$E81)</f>
        <v>0</v>
      </c>
      <c r="X81" s="726">
        <f>SUMIFS('Schedule 4'!$F$89:$F$649,'Schedule 4'!$I$89:$I$649,'Well Cal.'!X$3,'Schedule 4'!$J$89:$J$649,'Well Cal.'!$E81)</f>
        <v>0</v>
      </c>
      <c r="Y81" s="726">
        <f>SUMIFS('Schedule 4'!$F$89:$F$649,'Schedule 4'!$I$89:$I$649,'Well Cal.'!Y$3,'Schedule 4'!$J$89:$J$649,'Well Cal.'!$E81)</f>
        <v>0</v>
      </c>
      <c r="Z81" s="726">
        <f>SUMIFS('Schedule 4'!$F$89:$F$649,'Schedule 4'!$I$89:$I$649,'Well Cal.'!Z$3,'Schedule 4'!$J$89:$J$649,'Well Cal.'!$E81)</f>
        <v>0</v>
      </c>
      <c r="AA81" s="726"/>
      <c r="AB81" s="1721"/>
      <c r="AC81" s="1731"/>
    </row>
    <row r="82" spans="2:32" x14ac:dyDescent="0.3">
      <c r="B82" s="1724"/>
      <c r="C82" s="1727"/>
      <c r="D82" s="1721"/>
      <c r="E82" s="775" t="s">
        <v>4116</v>
      </c>
      <c r="F82" s="726">
        <f>SUMIFS('Schedule 4'!$F$89:$F$649,'Schedule 4'!$I$89:$I$649,'Well Cal.'!F$3,'Schedule 4'!$J$89:$J$649,'Well Cal.'!$E82)</f>
        <v>0</v>
      </c>
      <c r="G82" s="726">
        <f>SUMIFS('Schedule 4'!$F$89:$F$649,'Schedule 4'!$I$89:$I$649,'Well Cal.'!G$3,'Schedule 4'!$J$89:$J$649,'Well Cal.'!$E82)</f>
        <v>0</v>
      </c>
      <c r="H82" s="726">
        <f>SUMIFS('Schedule 4'!$F$89:$F$649,'Schedule 4'!$I$89:$I$649,'Well Cal.'!H$3,'Schedule 4'!$J$89:$J$649,'Well Cal.'!$E82)</f>
        <v>0</v>
      </c>
      <c r="I82" s="726">
        <f>SUMIFS('Schedule 4'!$F$89:$F$649,'Schedule 4'!$I$89:$I$649,'Well Cal.'!I$3,'Schedule 4'!$J$89:$J$649,'Well Cal.'!$E82)</f>
        <v>0</v>
      </c>
      <c r="J82" s="726">
        <f>SUMIFS('Schedule 4'!$F$89:$F$649,'Schedule 4'!$I$89:$I$649,'Well Cal.'!J$3,'Schedule 4'!$J$89:$J$649,'Well Cal.'!$E82)</f>
        <v>0</v>
      </c>
      <c r="K82" s="726">
        <f>SUMIFS('Schedule 4'!$F$89:$F$649,'Schedule 4'!$I$89:$I$649,'Well Cal.'!K$3,'Schedule 4'!$J$89:$J$649,'Well Cal.'!$E82)</f>
        <v>0</v>
      </c>
      <c r="L82" s="726">
        <f>SUMIFS('Schedule 4'!$F$89:$F$649,'Schedule 4'!$I$89:$I$649,'Well Cal.'!L$3,'Schedule 4'!$J$89:$J$649,'Well Cal.'!$E82)</f>
        <v>0</v>
      </c>
      <c r="M82" s="726">
        <f>SUMIFS('Schedule 4'!$F$89:$F$649,'Schedule 4'!$I$89:$I$649,'Well Cal.'!M$3,'Schedule 4'!$J$89:$J$649,'Well Cal.'!$E82)</f>
        <v>0</v>
      </c>
      <c r="N82" s="726">
        <f>SUMIFS('Schedule 4'!$F$89:$F$649,'Schedule 4'!$I$89:$I$649,'Well Cal.'!N$3,'Schedule 4'!$J$89:$J$649,'Well Cal.'!$E82)</f>
        <v>0</v>
      </c>
      <c r="O82" s="726">
        <f>SUMIFS('Schedule 4'!$F$89:$F$649,'Schedule 4'!$I$89:$I$649,'Well Cal.'!O$3,'Schedule 4'!$J$89:$J$649,'Well Cal.'!$E82)</f>
        <v>0</v>
      </c>
      <c r="P82" s="726">
        <f>SUMIFS('Schedule 4'!$F$89:$F$649,'Schedule 4'!$I$89:$I$649,'Well Cal.'!P$3,'Schedule 4'!$J$89:$J$649,'Well Cal.'!$E82)</f>
        <v>0</v>
      </c>
      <c r="Q82" s="726">
        <f>SUMIFS('Schedule 4'!$F$89:$F$649,'Schedule 4'!$I$89:$I$649,'Well Cal.'!Q$3,'Schedule 4'!$J$89:$J$649,'Well Cal.'!$E82)</f>
        <v>0</v>
      </c>
      <c r="R82" s="726">
        <f>SUMIFS('Schedule 4'!$F$89:$F$649,'Schedule 4'!$I$89:$I$649,'Well Cal.'!R$3,'Schedule 4'!$J$89:$J$649,'Well Cal.'!$E82)</f>
        <v>0</v>
      </c>
      <c r="S82" s="726">
        <f>SUMIFS('Schedule 4'!$F$89:$F$649,'Schedule 4'!$I$89:$I$649,'Well Cal.'!S$3,'Schedule 4'!$J$89:$J$649,'Well Cal.'!$E82)</f>
        <v>0</v>
      </c>
      <c r="T82" s="726">
        <f>SUMIFS('Schedule 4'!$F$89:$F$649,'Schedule 4'!$I$89:$I$649,'Well Cal.'!T$3,'Schedule 4'!$J$89:$J$649,'Well Cal.'!$E82)</f>
        <v>0</v>
      </c>
      <c r="U82" s="726">
        <f>SUMIFS('Schedule 4'!$F$89:$F$649,'Schedule 4'!$I$89:$I$649,'Well Cal.'!U$3,'Schedule 4'!$J$89:$J$649,'Well Cal.'!$E82)</f>
        <v>0</v>
      </c>
      <c r="V82" s="726">
        <f>SUMIFS('Schedule 4'!$F$89:$F$649,'Schedule 4'!$I$89:$I$649,'Well Cal.'!V$3,'Schedule 4'!$J$89:$J$649,'Well Cal.'!$E82)</f>
        <v>0</v>
      </c>
      <c r="W82" s="726">
        <f>SUMIFS('Schedule 4'!$F$89:$F$649,'Schedule 4'!$I$89:$I$649,'Well Cal.'!W$3,'Schedule 4'!$J$89:$J$649,'Well Cal.'!$E82)</f>
        <v>0</v>
      </c>
      <c r="X82" s="726">
        <f>SUMIFS('Schedule 4'!$F$89:$F$649,'Schedule 4'!$I$89:$I$649,'Well Cal.'!X$3,'Schedule 4'!$J$89:$J$649,'Well Cal.'!$E82)</f>
        <v>0</v>
      </c>
      <c r="Y82" s="726">
        <f>SUMIFS('Schedule 4'!$F$89:$F$649,'Schedule 4'!$I$89:$I$649,'Well Cal.'!Y$3,'Schedule 4'!$J$89:$J$649,'Well Cal.'!$E82)</f>
        <v>0</v>
      </c>
      <c r="Z82" s="726">
        <f>SUMIFS('Schedule 4'!$F$89:$F$649,'Schedule 4'!$I$89:$I$649,'Well Cal.'!Z$3,'Schedule 4'!$J$89:$J$649,'Well Cal.'!$E82)</f>
        <v>0</v>
      </c>
      <c r="AA82" s="726"/>
      <c r="AB82" s="1721"/>
      <c r="AC82" s="1731"/>
    </row>
    <row r="83" spans="2:32" x14ac:dyDescent="0.3">
      <c r="B83" s="1724"/>
      <c r="C83" s="1727"/>
      <c r="D83" s="1721"/>
      <c r="E83" s="775" t="s">
        <v>4194</v>
      </c>
      <c r="F83" s="726">
        <f>SUMIFS('Schedule 4'!$F$89:$F$649,'Schedule 4'!$I$89:$I$649,'Well Cal.'!F$3,'Schedule 4'!$J$89:$J$649,'Well Cal.'!$E83)</f>
        <v>0</v>
      </c>
      <c r="G83" s="726">
        <f>SUMIFS('Schedule 4'!$F$89:$F$649,'Schedule 4'!$I$89:$I$649,'Well Cal.'!G$3,'Schedule 4'!$J$89:$J$649,'Well Cal.'!$E83)</f>
        <v>0</v>
      </c>
      <c r="H83" s="726">
        <f>SUMIFS('Schedule 4'!$F$89:$F$649,'Schedule 4'!$I$89:$I$649,'Well Cal.'!H$3,'Schedule 4'!$J$89:$J$649,'Well Cal.'!$E83)</f>
        <v>0</v>
      </c>
      <c r="I83" s="726">
        <f>SUMIFS('Schedule 4'!$F$89:$F$649,'Schedule 4'!$I$89:$I$649,'Well Cal.'!I$3,'Schedule 4'!$J$89:$J$649,'Well Cal.'!$E83)</f>
        <v>0</v>
      </c>
      <c r="J83" s="726">
        <f>SUMIFS('Schedule 4'!$F$89:$F$649,'Schedule 4'!$I$89:$I$649,'Well Cal.'!J$3,'Schedule 4'!$J$89:$J$649,'Well Cal.'!$E83)</f>
        <v>0</v>
      </c>
      <c r="K83" s="726">
        <f>SUMIFS('Schedule 4'!$F$89:$F$649,'Schedule 4'!$I$89:$I$649,'Well Cal.'!K$3,'Schedule 4'!$J$89:$J$649,'Well Cal.'!$E83)</f>
        <v>0</v>
      </c>
      <c r="L83" s="726">
        <f>SUMIFS('Schedule 4'!$F$89:$F$649,'Schedule 4'!$I$89:$I$649,'Well Cal.'!L$3,'Schedule 4'!$J$89:$J$649,'Well Cal.'!$E83)</f>
        <v>0</v>
      </c>
      <c r="M83" s="726">
        <f>SUMIFS('Schedule 4'!$F$89:$F$649,'Schedule 4'!$I$89:$I$649,'Well Cal.'!M$3,'Schedule 4'!$J$89:$J$649,'Well Cal.'!$E83)</f>
        <v>0</v>
      </c>
      <c r="N83" s="726">
        <f>SUMIFS('Schedule 4'!$F$89:$F$649,'Schedule 4'!$I$89:$I$649,'Well Cal.'!N$3,'Schedule 4'!$J$89:$J$649,'Well Cal.'!$E83)</f>
        <v>0</v>
      </c>
      <c r="O83" s="726">
        <f>SUMIFS('Schedule 4'!$F$89:$F$649,'Schedule 4'!$I$89:$I$649,'Well Cal.'!O$3,'Schedule 4'!$J$89:$J$649,'Well Cal.'!$E83)</f>
        <v>0</v>
      </c>
      <c r="P83" s="726">
        <f>SUMIFS('Schedule 4'!$F$89:$F$649,'Schedule 4'!$I$89:$I$649,'Well Cal.'!P$3,'Schedule 4'!$J$89:$J$649,'Well Cal.'!$E83)</f>
        <v>0</v>
      </c>
      <c r="Q83" s="726">
        <f>SUMIFS('Schedule 4'!$F$89:$F$649,'Schedule 4'!$I$89:$I$649,'Well Cal.'!Q$3,'Schedule 4'!$J$89:$J$649,'Well Cal.'!$E83)</f>
        <v>0</v>
      </c>
      <c r="R83" s="726">
        <f>SUMIFS('Schedule 4'!$F$89:$F$649,'Schedule 4'!$I$89:$I$649,'Well Cal.'!R$3,'Schedule 4'!$J$89:$J$649,'Well Cal.'!$E83)</f>
        <v>0</v>
      </c>
      <c r="S83" s="726">
        <f>SUMIFS('Schedule 4'!$F$89:$F$649,'Schedule 4'!$I$89:$I$649,'Well Cal.'!S$3,'Schedule 4'!$J$89:$J$649,'Well Cal.'!$E83)</f>
        <v>0</v>
      </c>
      <c r="T83" s="726">
        <f>SUMIFS('Schedule 4'!$F$89:$F$649,'Schedule 4'!$I$89:$I$649,'Well Cal.'!T$3,'Schedule 4'!$J$89:$J$649,'Well Cal.'!$E83)</f>
        <v>0</v>
      </c>
      <c r="U83" s="726">
        <f>SUMIFS('Schedule 4'!$F$89:$F$649,'Schedule 4'!$I$89:$I$649,'Well Cal.'!U$3,'Schedule 4'!$J$89:$J$649,'Well Cal.'!$E83)</f>
        <v>0</v>
      </c>
      <c r="V83" s="726">
        <f>SUMIFS('Schedule 4'!$F$89:$F$649,'Schedule 4'!$I$89:$I$649,'Well Cal.'!V$3,'Schedule 4'!$J$89:$J$649,'Well Cal.'!$E83)</f>
        <v>0</v>
      </c>
      <c r="W83" s="726">
        <f>SUMIFS('Schedule 4'!$F$89:$F$649,'Schedule 4'!$I$89:$I$649,'Well Cal.'!W$3,'Schedule 4'!$J$89:$J$649,'Well Cal.'!$E83)</f>
        <v>0</v>
      </c>
      <c r="X83" s="726">
        <f>SUMIFS('Schedule 4'!$F$89:$F$649,'Schedule 4'!$I$89:$I$649,'Well Cal.'!X$3,'Schedule 4'!$J$89:$J$649,'Well Cal.'!$E83)</f>
        <v>0</v>
      </c>
      <c r="Y83" s="726">
        <f>SUMIFS('Schedule 4'!$F$89:$F$649,'Schedule 4'!$I$89:$I$649,'Well Cal.'!Y$3,'Schedule 4'!$J$89:$J$649,'Well Cal.'!$E83)</f>
        <v>0</v>
      </c>
      <c r="Z83" s="726">
        <f>SUMIFS('Schedule 4'!$F$89:$F$649,'Schedule 4'!$I$89:$I$649,'Well Cal.'!Z$3,'Schedule 4'!$J$89:$J$649,'Well Cal.'!$E83)</f>
        <v>0</v>
      </c>
      <c r="AA83" s="726"/>
      <c r="AB83" s="1721"/>
      <c r="AC83" s="1731"/>
      <c r="AF83" s="132" t="s">
        <v>3654</v>
      </c>
    </row>
    <row r="84" spans="2:32" x14ac:dyDescent="0.3">
      <c r="B84" s="1724"/>
      <c r="C84" s="1727"/>
      <c r="D84" s="1721"/>
      <c r="E84" s="775" t="s">
        <v>4254</v>
      </c>
      <c r="F84" s="726">
        <f>SUMIFS('Schedule 4'!$F$89:$F$649,'Schedule 4'!$I$89:$I$649,'Well Cal.'!F$3,'Schedule 4'!$J$89:$J$649,'Well Cal.'!$E84)</f>
        <v>0</v>
      </c>
      <c r="G84" s="726">
        <f>SUMIFS('Schedule 4'!$F$89:$F$649,'Schedule 4'!$I$89:$I$649,'Well Cal.'!G$3,'Schedule 4'!$J$89:$J$649,'Well Cal.'!$E84)</f>
        <v>0</v>
      </c>
      <c r="H84" s="726">
        <f>SUMIFS('Schedule 4'!$F$89:$F$649,'Schedule 4'!$I$89:$I$649,'Well Cal.'!H$3,'Schedule 4'!$J$89:$J$649,'Well Cal.'!$E84)</f>
        <v>0</v>
      </c>
      <c r="I84" s="726">
        <f>SUMIFS('Schedule 4'!$F$89:$F$649,'Schedule 4'!$I$89:$I$649,'Well Cal.'!I$3,'Schedule 4'!$J$89:$J$649,'Well Cal.'!$E84)</f>
        <v>0</v>
      </c>
      <c r="J84" s="726">
        <f>SUMIFS('Schedule 4'!$F$89:$F$649,'Schedule 4'!$I$89:$I$649,'Well Cal.'!J$3,'Schedule 4'!$J$89:$J$649,'Well Cal.'!$E84)</f>
        <v>0</v>
      </c>
      <c r="K84" s="726">
        <f>SUMIFS('Schedule 4'!$F$89:$F$649,'Schedule 4'!$I$89:$I$649,'Well Cal.'!K$3,'Schedule 4'!$J$89:$J$649,'Well Cal.'!$E84)</f>
        <v>0</v>
      </c>
      <c r="L84" s="726">
        <f>SUMIFS('Schedule 4'!$F$89:$F$649,'Schedule 4'!$I$89:$I$649,'Well Cal.'!L$3,'Schedule 4'!$J$89:$J$649,'Well Cal.'!$E84)</f>
        <v>0</v>
      </c>
      <c r="M84" s="726">
        <f>SUMIFS('Schedule 4'!$F$89:$F$649,'Schedule 4'!$I$89:$I$649,'Well Cal.'!M$3,'Schedule 4'!$J$89:$J$649,'Well Cal.'!$E84)</f>
        <v>0</v>
      </c>
      <c r="N84" s="726">
        <f>SUMIFS('Schedule 4'!$F$89:$F$649,'Schedule 4'!$I$89:$I$649,'Well Cal.'!N$3,'Schedule 4'!$J$89:$J$649,'Well Cal.'!$E84)</f>
        <v>0</v>
      </c>
      <c r="O84" s="726">
        <f>SUMIFS('Schedule 4'!$F$89:$F$649,'Schedule 4'!$I$89:$I$649,'Well Cal.'!O$3,'Schedule 4'!$J$89:$J$649,'Well Cal.'!$E84)</f>
        <v>0</v>
      </c>
      <c r="P84" s="726">
        <f>SUMIFS('Schedule 4'!$F$89:$F$649,'Schedule 4'!$I$89:$I$649,'Well Cal.'!P$3,'Schedule 4'!$J$89:$J$649,'Well Cal.'!$E84)</f>
        <v>0</v>
      </c>
      <c r="Q84" s="726">
        <f>SUMIFS('Schedule 4'!$F$89:$F$649,'Schedule 4'!$I$89:$I$649,'Well Cal.'!Q$3,'Schedule 4'!$J$89:$J$649,'Well Cal.'!$E84)</f>
        <v>0</v>
      </c>
      <c r="R84" s="726">
        <f>SUMIFS('Schedule 4'!$F$89:$F$649,'Schedule 4'!$I$89:$I$649,'Well Cal.'!R$3,'Schedule 4'!$J$89:$J$649,'Well Cal.'!$E84)</f>
        <v>0</v>
      </c>
      <c r="S84" s="726">
        <f>SUMIFS('Schedule 4'!$F$89:$F$649,'Schedule 4'!$I$89:$I$649,'Well Cal.'!S$3,'Schedule 4'!$J$89:$J$649,'Well Cal.'!$E84)</f>
        <v>0</v>
      </c>
      <c r="T84" s="726">
        <f>SUMIFS('Schedule 4'!$F$89:$F$649,'Schedule 4'!$I$89:$I$649,'Well Cal.'!T$3,'Schedule 4'!$J$89:$J$649,'Well Cal.'!$E84)</f>
        <v>0</v>
      </c>
      <c r="U84" s="726">
        <f>SUMIFS('Schedule 4'!$F$89:$F$649,'Schedule 4'!$I$89:$I$649,'Well Cal.'!U$3,'Schedule 4'!$J$89:$J$649,'Well Cal.'!$E84)</f>
        <v>0</v>
      </c>
      <c r="V84" s="726">
        <f>SUMIFS('Schedule 4'!$F$89:$F$649,'Schedule 4'!$I$89:$I$649,'Well Cal.'!V$3,'Schedule 4'!$J$89:$J$649,'Well Cal.'!$E84)</f>
        <v>0</v>
      </c>
      <c r="W84" s="726">
        <f>SUMIFS('Schedule 4'!$F$89:$F$649,'Schedule 4'!$I$89:$I$649,'Well Cal.'!W$3,'Schedule 4'!$J$89:$J$649,'Well Cal.'!$E84)</f>
        <v>0</v>
      </c>
      <c r="X84" s="726">
        <f>SUMIFS('Schedule 4'!$F$89:$F$649,'Schedule 4'!$I$89:$I$649,'Well Cal.'!X$3,'Schedule 4'!$J$89:$J$649,'Well Cal.'!$E84)</f>
        <v>0</v>
      </c>
      <c r="Y84" s="726">
        <f>SUMIFS('Schedule 4'!$F$89:$F$649,'Schedule 4'!$I$89:$I$649,'Well Cal.'!Y$3,'Schedule 4'!$J$89:$J$649,'Well Cal.'!$E84)</f>
        <v>0</v>
      </c>
      <c r="Z84" s="726">
        <f>SUMIFS('Schedule 4'!$F$89:$F$649,'Schedule 4'!$I$89:$I$649,'Well Cal.'!Z$3,'Schedule 4'!$J$89:$J$649,'Well Cal.'!$E84)</f>
        <v>0</v>
      </c>
      <c r="AA84" s="726"/>
      <c r="AB84" s="1721"/>
      <c r="AC84" s="1731"/>
      <c r="AF84" s="132" t="s">
        <v>3666</v>
      </c>
    </row>
    <row r="85" spans="2:32" x14ac:dyDescent="0.3">
      <c r="B85" s="1724"/>
      <c r="C85" s="1727"/>
      <c r="D85" s="1721"/>
      <c r="E85" s="775" t="s">
        <v>4333</v>
      </c>
      <c r="F85" s="726">
        <f>SUMIFS('Schedule 4'!$F$89:$F$649,'Schedule 4'!$I$89:$I$649,'Well Cal.'!F$3,'Schedule 4'!$J$89:$J$649,'Well Cal.'!$E85)</f>
        <v>0</v>
      </c>
      <c r="G85" s="726">
        <f>SUMIFS('Schedule 4'!$F$89:$F$649,'Schedule 4'!$I$89:$I$649,'Well Cal.'!G$3,'Schedule 4'!$J$89:$J$649,'Well Cal.'!$E85)</f>
        <v>0</v>
      </c>
      <c r="H85" s="726">
        <f>SUMIFS('Schedule 4'!$F$89:$F$649,'Schedule 4'!$I$89:$I$649,'Well Cal.'!H$3,'Schedule 4'!$J$89:$J$649,'Well Cal.'!$E85)</f>
        <v>0</v>
      </c>
      <c r="I85" s="726">
        <f>SUMIFS('Schedule 4'!$F$89:$F$649,'Schedule 4'!$I$89:$I$649,'Well Cal.'!I$3,'Schedule 4'!$J$89:$J$649,'Well Cal.'!$E85)</f>
        <v>0</v>
      </c>
      <c r="J85" s="726">
        <f>SUMIFS('Schedule 4'!$F$89:$F$649,'Schedule 4'!$I$89:$I$649,'Well Cal.'!J$3,'Schedule 4'!$J$89:$J$649,'Well Cal.'!$E85)</f>
        <v>0</v>
      </c>
      <c r="K85" s="726">
        <f>SUMIFS('Schedule 4'!$F$89:$F$649,'Schedule 4'!$I$89:$I$649,'Well Cal.'!K$3,'Schedule 4'!$J$89:$J$649,'Well Cal.'!$E85)</f>
        <v>0</v>
      </c>
      <c r="L85" s="726">
        <f>SUMIFS('Schedule 4'!$F$89:$F$649,'Schedule 4'!$I$89:$I$649,'Well Cal.'!L$3,'Schedule 4'!$J$89:$J$649,'Well Cal.'!$E85)</f>
        <v>0</v>
      </c>
      <c r="M85" s="726">
        <f>SUMIFS('Schedule 4'!$F$89:$F$649,'Schedule 4'!$I$89:$I$649,'Well Cal.'!M$3,'Schedule 4'!$J$89:$J$649,'Well Cal.'!$E85)</f>
        <v>0</v>
      </c>
      <c r="N85" s="726">
        <f>SUMIFS('Schedule 4'!$F$89:$F$649,'Schedule 4'!$I$89:$I$649,'Well Cal.'!N$3,'Schedule 4'!$J$89:$J$649,'Well Cal.'!$E85)</f>
        <v>0</v>
      </c>
      <c r="O85" s="726">
        <f>SUMIFS('Schedule 4'!$F$89:$F$649,'Schedule 4'!$I$89:$I$649,'Well Cal.'!O$3,'Schedule 4'!$J$89:$J$649,'Well Cal.'!$E85)</f>
        <v>0</v>
      </c>
      <c r="P85" s="726">
        <f>SUMIFS('Schedule 4'!$F$89:$F$649,'Schedule 4'!$I$89:$I$649,'Well Cal.'!P$3,'Schedule 4'!$J$89:$J$649,'Well Cal.'!$E85)</f>
        <v>0</v>
      </c>
      <c r="Q85" s="726">
        <f>SUMIFS('Schedule 4'!$F$89:$F$649,'Schedule 4'!$I$89:$I$649,'Well Cal.'!Q$3,'Schedule 4'!$J$89:$J$649,'Well Cal.'!$E85)</f>
        <v>0</v>
      </c>
      <c r="R85" s="726">
        <f>SUMIFS('Schedule 4'!$F$89:$F$649,'Schedule 4'!$I$89:$I$649,'Well Cal.'!R$3,'Schedule 4'!$J$89:$J$649,'Well Cal.'!$E85)</f>
        <v>0</v>
      </c>
      <c r="S85" s="726">
        <f>SUMIFS('Schedule 4'!$F$89:$F$649,'Schedule 4'!$I$89:$I$649,'Well Cal.'!S$3,'Schedule 4'!$J$89:$J$649,'Well Cal.'!$E85)</f>
        <v>0</v>
      </c>
      <c r="T85" s="726">
        <f>SUMIFS('Schedule 4'!$F$89:$F$649,'Schedule 4'!$I$89:$I$649,'Well Cal.'!T$3,'Schedule 4'!$J$89:$J$649,'Well Cal.'!$E85)</f>
        <v>0</v>
      </c>
      <c r="U85" s="726">
        <f>SUMIFS('Schedule 4'!$F$89:$F$649,'Schedule 4'!$I$89:$I$649,'Well Cal.'!U$3,'Schedule 4'!$J$89:$J$649,'Well Cal.'!$E85)</f>
        <v>0</v>
      </c>
      <c r="V85" s="726">
        <f>SUMIFS('Schedule 4'!$F$89:$F$649,'Schedule 4'!$I$89:$I$649,'Well Cal.'!V$3,'Schedule 4'!$J$89:$J$649,'Well Cal.'!$E85)</f>
        <v>0</v>
      </c>
      <c r="W85" s="726">
        <f>SUMIFS('Schedule 4'!$F$89:$F$649,'Schedule 4'!$I$89:$I$649,'Well Cal.'!W$3,'Schedule 4'!$J$89:$J$649,'Well Cal.'!$E85)</f>
        <v>0</v>
      </c>
      <c r="X85" s="726">
        <f>SUMIFS('Schedule 4'!$F$89:$F$649,'Schedule 4'!$I$89:$I$649,'Well Cal.'!X$3,'Schedule 4'!$J$89:$J$649,'Well Cal.'!$E85)</f>
        <v>0</v>
      </c>
      <c r="Y85" s="726">
        <f>SUMIFS('Schedule 4'!$F$89:$F$649,'Schedule 4'!$I$89:$I$649,'Well Cal.'!Y$3,'Schedule 4'!$J$89:$J$649,'Well Cal.'!$E85)</f>
        <v>0</v>
      </c>
      <c r="Z85" s="726">
        <f>SUMIFS('Schedule 4'!$F$89:$F$649,'Schedule 4'!$I$89:$I$649,'Well Cal.'!Z$3,'Schedule 4'!$J$89:$J$649,'Well Cal.'!$E85)</f>
        <v>0</v>
      </c>
      <c r="AA85" s="726"/>
      <c r="AB85" s="1721"/>
      <c r="AC85" s="1731"/>
      <c r="AF85" s="132" t="s">
        <v>3797</v>
      </c>
    </row>
    <row r="86" spans="2:32" x14ac:dyDescent="0.3">
      <c r="B86" s="1724"/>
      <c r="C86" s="1727"/>
      <c r="D86" s="1721"/>
      <c r="E86" s="775" t="s">
        <v>4385</v>
      </c>
      <c r="F86" s="726">
        <f>SUMIFS('Schedule 4'!$F$89:$F$649,'Schedule 4'!$I$89:$I$649,'Well Cal.'!F$3,'Schedule 4'!$J$89:$J$649,'Well Cal.'!$E86)</f>
        <v>0</v>
      </c>
      <c r="G86" s="726">
        <f>SUMIFS('Schedule 4'!$F$89:$F$649,'Schedule 4'!$I$89:$I$649,'Well Cal.'!G$3,'Schedule 4'!$J$89:$J$649,'Well Cal.'!$E86)</f>
        <v>0</v>
      </c>
      <c r="H86" s="726">
        <f>SUMIFS('Schedule 4'!$F$89:$F$649,'Schedule 4'!$I$89:$I$649,'Well Cal.'!H$3,'Schedule 4'!$J$89:$J$649,'Well Cal.'!$E86)</f>
        <v>0</v>
      </c>
      <c r="I86" s="726">
        <f>SUMIFS('Schedule 4'!$F$89:$F$649,'Schedule 4'!$I$89:$I$649,'Well Cal.'!I$3,'Schedule 4'!$J$89:$J$649,'Well Cal.'!$E86)</f>
        <v>0</v>
      </c>
      <c r="J86" s="726">
        <f>SUMIFS('Schedule 4'!$F$89:$F$649,'Schedule 4'!$I$89:$I$649,'Well Cal.'!J$3,'Schedule 4'!$J$89:$J$649,'Well Cal.'!$E86)</f>
        <v>0</v>
      </c>
      <c r="K86" s="726">
        <f>SUMIFS('Schedule 4'!$F$89:$F$649,'Schedule 4'!$I$89:$I$649,'Well Cal.'!K$3,'Schedule 4'!$J$89:$J$649,'Well Cal.'!$E86)</f>
        <v>0</v>
      </c>
      <c r="L86" s="726">
        <f>SUMIFS('Schedule 4'!$F$89:$F$649,'Schedule 4'!$I$89:$I$649,'Well Cal.'!L$3,'Schedule 4'!$J$89:$J$649,'Well Cal.'!$E86)</f>
        <v>0</v>
      </c>
      <c r="M86" s="726">
        <f>SUMIFS('Schedule 4'!$F$89:$F$649,'Schedule 4'!$I$89:$I$649,'Well Cal.'!M$3,'Schedule 4'!$J$89:$J$649,'Well Cal.'!$E86)</f>
        <v>0</v>
      </c>
      <c r="N86" s="726">
        <f>SUMIFS('Schedule 4'!$F$89:$F$649,'Schedule 4'!$I$89:$I$649,'Well Cal.'!N$3,'Schedule 4'!$J$89:$J$649,'Well Cal.'!$E86)</f>
        <v>0</v>
      </c>
      <c r="O86" s="726">
        <f>SUMIFS('Schedule 4'!$F$89:$F$649,'Schedule 4'!$I$89:$I$649,'Well Cal.'!O$3,'Schedule 4'!$J$89:$J$649,'Well Cal.'!$E86)</f>
        <v>0</v>
      </c>
      <c r="P86" s="726">
        <f>SUMIFS('Schedule 4'!$F$89:$F$649,'Schedule 4'!$I$89:$I$649,'Well Cal.'!P$3,'Schedule 4'!$J$89:$J$649,'Well Cal.'!$E86)</f>
        <v>0</v>
      </c>
      <c r="Q86" s="726">
        <f>SUMIFS('Schedule 4'!$F$89:$F$649,'Schedule 4'!$I$89:$I$649,'Well Cal.'!Q$3,'Schedule 4'!$J$89:$J$649,'Well Cal.'!$E86)</f>
        <v>0</v>
      </c>
      <c r="R86" s="726">
        <f>SUMIFS('Schedule 4'!$F$89:$F$649,'Schedule 4'!$I$89:$I$649,'Well Cal.'!R$3,'Schedule 4'!$J$89:$J$649,'Well Cal.'!$E86)</f>
        <v>0</v>
      </c>
      <c r="S86" s="726">
        <f>SUMIFS('Schedule 4'!$F$89:$F$649,'Schedule 4'!$I$89:$I$649,'Well Cal.'!S$3,'Schedule 4'!$J$89:$J$649,'Well Cal.'!$E86)</f>
        <v>0</v>
      </c>
      <c r="T86" s="726">
        <f>SUMIFS('Schedule 4'!$F$89:$F$649,'Schedule 4'!$I$89:$I$649,'Well Cal.'!T$3,'Schedule 4'!$J$89:$J$649,'Well Cal.'!$E86)</f>
        <v>0</v>
      </c>
      <c r="U86" s="726">
        <f>SUMIFS('Schedule 4'!$F$89:$F$649,'Schedule 4'!$I$89:$I$649,'Well Cal.'!U$3,'Schedule 4'!$J$89:$J$649,'Well Cal.'!$E86)</f>
        <v>0</v>
      </c>
      <c r="V86" s="726">
        <f>SUMIFS('Schedule 4'!$F$89:$F$649,'Schedule 4'!$I$89:$I$649,'Well Cal.'!V$3,'Schedule 4'!$J$89:$J$649,'Well Cal.'!$E86)</f>
        <v>0</v>
      </c>
      <c r="W86" s="726">
        <f>SUMIFS('Schedule 4'!$F$89:$F$649,'Schedule 4'!$I$89:$I$649,'Well Cal.'!W$3,'Schedule 4'!$J$89:$J$649,'Well Cal.'!$E86)</f>
        <v>0</v>
      </c>
      <c r="X86" s="726">
        <f>SUMIFS('Schedule 4'!$F$89:$F$649,'Schedule 4'!$I$89:$I$649,'Well Cal.'!X$3,'Schedule 4'!$J$89:$J$649,'Well Cal.'!$E86)</f>
        <v>0</v>
      </c>
      <c r="Y86" s="726">
        <f>SUMIFS('Schedule 4'!$F$89:$F$649,'Schedule 4'!$I$89:$I$649,'Well Cal.'!Y$3,'Schedule 4'!$J$89:$J$649,'Well Cal.'!$E86)</f>
        <v>0</v>
      </c>
      <c r="Z86" s="726">
        <f>SUMIFS('Schedule 4'!$F$89:$F$649,'Schedule 4'!$I$89:$I$649,'Well Cal.'!Z$3,'Schedule 4'!$J$89:$J$649,'Well Cal.'!$E86)</f>
        <v>0</v>
      </c>
      <c r="AA86" s="726"/>
      <c r="AB86" s="1721"/>
      <c r="AC86" s="1731"/>
      <c r="AF86" s="132" t="s">
        <v>6110</v>
      </c>
    </row>
    <row r="87" spans="2:32" x14ac:dyDescent="0.3">
      <c r="B87" s="1724"/>
      <c r="C87" s="1727"/>
      <c r="D87" s="1721"/>
      <c r="E87" s="775" t="s">
        <v>4449</v>
      </c>
      <c r="F87" s="726">
        <f>SUMIFS('Schedule 4'!$F$89:$F$649,'Schedule 4'!$I$89:$I$649,'Well Cal.'!F$3,'Schedule 4'!$J$89:$J$649,'Well Cal.'!$E87)</f>
        <v>0</v>
      </c>
      <c r="G87" s="726">
        <f>SUMIFS('Schedule 4'!$F$89:$F$649,'Schedule 4'!$I$89:$I$649,'Well Cal.'!G$3,'Schedule 4'!$J$89:$J$649,'Well Cal.'!$E87)</f>
        <v>0</v>
      </c>
      <c r="H87" s="726">
        <f>SUMIFS('Schedule 4'!$F$89:$F$649,'Schedule 4'!$I$89:$I$649,'Well Cal.'!H$3,'Schedule 4'!$J$89:$J$649,'Well Cal.'!$E87)</f>
        <v>0</v>
      </c>
      <c r="I87" s="726">
        <f>SUMIFS('Schedule 4'!$F$89:$F$649,'Schedule 4'!$I$89:$I$649,'Well Cal.'!I$3,'Schedule 4'!$J$89:$J$649,'Well Cal.'!$E87)</f>
        <v>0</v>
      </c>
      <c r="J87" s="726">
        <f>SUMIFS('Schedule 4'!$F$89:$F$649,'Schedule 4'!$I$89:$I$649,'Well Cal.'!J$3,'Schedule 4'!$J$89:$J$649,'Well Cal.'!$E87)</f>
        <v>0</v>
      </c>
      <c r="K87" s="726">
        <f>SUMIFS('Schedule 4'!$F$89:$F$649,'Schedule 4'!$I$89:$I$649,'Well Cal.'!K$3,'Schedule 4'!$J$89:$J$649,'Well Cal.'!$E87)</f>
        <v>0</v>
      </c>
      <c r="L87" s="726">
        <f>SUMIFS('Schedule 4'!$F$89:$F$649,'Schedule 4'!$I$89:$I$649,'Well Cal.'!L$3,'Schedule 4'!$J$89:$J$649,'Well Cal.'!$E87)</f>
        <v>0</v>
      </c>
      <c r="M87" s="726">
        <f>SUMIFS('Schedule 4'!$F$89:$F$649,'Schedule 4'!$I$89:$I$649,'Well Cal.'!M$3,'Schedule 4'!$J$89:$J$649,'Well Cal.'!$E87)</f>
        <v>0</v>
      </c>
      <c r="N87" s="726">
        <f>SUMIFS('Schedule 4'!$F$89:$F$649,'Schedule 4'!$I$89:$I$649,'Well Cal.'!N$3,'Schedule 4'!$J$89:$J$649,'Well Cal.'!$E87)</f>
        <v>0</v>
      </c>
      <c r="O87" s="726">
        <f>SUMIFS('Schedule 4'!$F$89:$F$649,'Schedule 4'!$I$89:$I$649,'Well Cal.'!O$3,'Schedule 4'!$J$89:$J$649,'Well Cal.'!$E87)</f>
        <v>0</v>
      </c>
      <c r="P87" s="726">
        <f>SUMIFS('Schedule 4'!$F$89:$F$649,'Schedule 4'!$I$89:$I$649,'Well Cal.'!P$3,'Schedule 4'!$J$89:$J$649,'Well Cal.'!$E87)</f>
        <v>0</v>
      </c>
      <c r="Q87" s="726">
        <f>SUMIFS('Schedule 4'!$F$89:$F$649,'Schedule 4'!$I$89:$I$649,'Well Cal.'!Q$3,'Schedule 4'!$J$89:$J$649,'Well Cal.'!$E87)</f>
        <v>0</v>
      </c>
      <c r="R87" s="726">
        <f>SUMIFS('Schedule 4'!$F$89:$F$649,'Schedule 4'!$I$89:$I$649,'Well Cal.'!R$3,'Schedule 4'!$J$89:$J$649,'Well Cal.'!$E87)</f>
        <v>0</v>
      </c>
      <c r="S87" s="726">
        <f>SUMIFS('Schedule 4'!$F$89:$F$649,'Schedule 4'!$I$89:$I$649,'Well Cal.'!S$3,'Schedule 4'!$J$89:$J$649,'Well Cal.'!$E87)</f>
        <v>0</v>
      </c>
      <c r="T87" s="726">
        <f>SUMIFS('Schedule 4'!$F$89:$F$649,'Schedule 4'!$I$89:$I$649,'Well Cal.'!T$3,'Schedule 4'!$J$89:$J$649,'Well Cal.'!$E87)</f>
        <v>0</v>
      </c>
      <c r="U87" s="726">
        <f>SUMIFS('Schedule 4'!$F$89:$F$649,'Schedule 4'!$I$89:$I$649,'Well Cal.'!U$3,'Schedule 4'!$J$89:$J$649,'Well Cal.'!$E87)</f>
        <v>0</v>
      </c>
      <c r="V87" s="726">
        <f>SUMIFS('Schedule 4'!$F$89:$F$649,'Schedule 4'!$I$89:$I$649,'Well Cal.'!V$3,'Schedule 4'!$J$89:$J$649,'Well Cal.'!$E87)</f>
        <v>0</v>
      </c>
      <c r="W87" s="726">
        <f>SUMIFS('Schedule 4'!$F$89:$F$649,'Schedule 4'!$I$89:$I$649,'Well Cal.'!W$3,'Schedule 4'!$J$89:$J$649,'Well Cal.'!$E87)</f>
        <v>0</v>
      </c>
      <c r="X87" s="726">
        <f>SUMIFS('Schedule 4'!$F$89:$F$649,'Schedule 4'!$I$89:$I$649,'Well Cal.'!X$3,'Schedule 4'!$J$89:$J$649,'Well Cal.'!$E87)</f>
        <v>0</v>
      </c>
      <c r="Y87" s="726">
        <f>SUMIFS('Schedule 4'!$F$89:$F$649,'Schedule 4'!$I$89:$I$649,'Well Cal.'!Y$3,'Schedule 4'!$J$89:$J$649,'Well Cal.'!$E87)</f>
        <v>0</v>
      </c>
      <c r="Z87" s="726">
        <f>SUMIFS('Schedule 4'!$F$89:$F$649,'Schedule 4'!$I$89:$I$649,'Well Cal.'!Z$3,'Schedule 4'!$J$89:$J$649,'Well Cal.'!$E87)</f>
        <v>0</v>
      </c>
      <c r="AA87" s="726"/>
      <c r="AB87" s="1721"/>
      <c r="AC87" s="1731"/>
      <c r="AF87" s="132" t="s">
        <v>6111</v>
      </c>
    </row>
    <row r="88" spans="2:32" x14ac:dyDescent="0.3">
      <c r="B88" s="1724"/>
      <c r="C88" s="1727"/>
      <c r="D88" s="1721"/>
      <c r="E88" s="775" t="s">
        <v>4510</v>
      </c>
      <c r="F88" s="726">
        <f>SUMIFS('Schedule 4'!$F$89:$F$649,'Schedule 4'!$I$89:$I$649,'Well Cal.'!F$3,'Schedule 4'!$J$89:$J$649,'Well Cal.'!$E88)</f>
        <v>0</v>
      </c>
      <c r="G88" s="726">
        <f>SUMIFS('Schedule 4'!$F$89:$F$649,'Schedule 4'!$I$89:$I$649,'Well Cal.'!G$3,'Schedule 4'!$J$89:$J$649,'Well Cal.'!$E88)</f>
        <v>0</v>
      </c>
      <c r="H88" s="726">
        <f>SUMIFS('Schedule 4'!$F$89:$F$649,'Schedule 4'!$I$89:$I$649,'Well Cal.'!H$3,'Schedule 4'!$J$89:$J$649,'Well Cal.'!$E88)</f>
        <v>0</v>
      </c>
      <c r="I88" s="726">
        <f>SUMIFS('Schedule 4'!$F$89:$F$649,'Schedule 4'!$I$89:$I$649,'Well Cal.'!I$3,'Schedule 4'!$J$89:$J$649,'Well Cal.'!$E88)</f>
        <v>0</v>
      </c>
      <c r="J88" s="726">
        <f>SUMIFS('Schedule 4'!$F$89:$F$649,'Schedule 4'!$I$89:$I$649,'Well Cal.'!J$3,'Schedule 4'!$J$89:$J$649,'Well Cal.'!$E88)</f>
        <v>0</v>
      </c>
      <c r="K88" s="726">
        <f>SUMIFS('Schedule 4'!$F$89:$F$649,'Schedule 4'!$I$89:$I$649,'Well Cal.'!K$3,'Schedule 4'!$J$89:$J$649,'Well Cal.'!$E88)</f>
        <v>0</v>
      </c>
      <c r="L88" s="726">
        <f>SUMIFS('Schedule 4'!$F$89:$F$649,'Schedule 4'!$I$89:$I$649,'Well Cal.'!L$3,'Schedule 4'!$J$89:$J$649,'Well Cal.'!$E88)</f>
        <v>0</v>
      </c>
      <c r="M88" s="726">
        <f>SUMIFS('Schedule 4'!$F$89:$F$649,'Schedule 4'!$I$89:$I$649,'Well Cal.'!M$3,'Schedule 4'!$J$89:$J$649,'Well Cal.'!$E88)</f>
        <v>0</v>
      </c>
      <c r="N88" s="726">
        <f>SUMIFS('Schedule 4'!$F$89:$F$649,'Schedule 4'!$I$89:$I$649,'Well Cal.'!N$3,'Schedule 4'!$J$89:$J$649,'Well Cal.'!$E88)</f>
        <v>0</v>
      </c>
      <c r="O88" s="726">
        <f>SUMIFS('Schedule 4'!$F$89:$F$649,'Schedule 4'!$I$89:$I$649,'Well Cal.'!O$3,'Schedule 4'!$J$89:$J$649,'Well Cal.'!$E88)</f>
        <v>0</v>
      </c>
      <c r="P88" s="726">
        <f>SUMIFS('Schedule 4'!$F$89:$F$649,'Schedule 4'!$I$89:$I$649,'Well Cal.'!P$3,'Schedule 4'!$J$89:$J$649,'Well Cal.'!$E88)</f>
        <v>0</v>
      </c>
      <c r="Q88" s="726">
        <f>SUMIFS('Schedule 4'!$F$89:$F$649,'Schedule 4'!$I$89:$I$649,'Well Cal.'!Q$3,'Schedule 4'!$J$89:$J$649,'Well Cal.'!$E88)</f>
        <v>0</v>
      </c>
      <c r="R88" s="726">
        <f>SUMIFS('Schedule 4'!$F$89:$F$649,'Schedule 4'!$I$89:$I$649,'Well Cal.'!R$3,'Schedule 4'!$J$89:$J$649,'Well Cal.'!$E88)</f>
        <v>0</v>
      </c>
      <c r="S88" s="726">
        <f>SUMIFS('Schedule 4'!$F$89:$F$649,'Schedule 4'!$I$89:$I$649,'Well Cal.'!S$3,'Schedule 4'!$J$89:$J$649,'Well Cal.'!$E88)</f>
        <v>0</v>
      </c>
      <c r="T88" s="726">
        <f>SUMIFS('Schedule 4'!$F$89:$F$649,'Schedule 4'!$I$89:$I$649,'Well Cal.'!T$3,'Schedule 4'!$J$89:$J$649,'Well Cal.'!$E88)</f>
        <v>0</v>
      </c>
      <c r="U88" s="726">
        <f>SUMIFS('Schedule 4'!$F$89:$F$649,'Schedule 4'!$I$89:$I$649,'Well Cal.'!U$3,'Schedule 4'!$J$89:$J$649,'Well Cal.'!$E88)</f>
        <v>0</v>
      </c>
      <c r="V88" s="726">
        <f>SUMIFS('Schedule 4'!$F$89:$F$649,'Schedule 4'!$I$89:$I$649,'Well Cal.'!V$3,'Schedule 4'!$J$89:$J$649,'Well Cal.'!$E88)</f>
        <v>0</v>
      </c>
      <c r="W88" s="726">
        <f>SUMIFS('Schedule 4'!$F$89:$F$649,'Schedule 4'!$I$89:$I$649,'Well Cal.'!W$3,'Schedule 4'!$J$89:$J$649,'Well Cal.'!$E88)</f>
        <v>0</v>
      </c>
      <c r="X88" s="726">
        <f>SUMIFS('Schedule 4'!$F$89:$F$649,'Schedule 4'!$I$89:$I$649,'Well Cal.'!X$3,'Schedule 4'!$J$89:$J$649,'Well Cal.'!$E88)</f>
        <v>0</v>
      </c>
      <c r="Y88" s="726">
        <f>SUMIFS('Schedule 4'!$F$89:$F$649,'Schedule 4'!$I$89:$I$649,'Well Cal.'!Y$3,'Schedule 4'!$J$89:$J$649,'Well Cal.'!$E88)</f>
        <v>0</v>
      </c>
      <c r="Z88" s="726">
        <f>SUMIFS('Schedule 4'!$F$89:$F$649,'Schedule 4'!$I$89:$I$649,'Well Cal.'!Z$3,'Schedule 4'!$J$89:$J$649,'Well Cal.'!$E88)</f>
        <v>0</v>
      </c>
      <c r="AA88" s="726"/>
      <c r="AB88" s="1721"/>
      <c r="AC88" s="1731"/>
      <c r="AF88" s="132" t="s">
        <v>6112</v>
      </c>
    </row>
    <row r="89" spans="2:32" x14ac:dyDescent="0.3">
      <c r="B89" s="1725"/>
      <c r="C89" s="1728"/>
      <c r="D89" s="1722"/>
      <c r="E89" s="776"/>
      <c r="F89" s="777"/>
      <c r="G89" s="777"/>
      <c r="H89" s="777"/>
      <c r="I89" s="777"/>
      <c r="J89" s="777"/>
      <c r="K89" s="777"/>
      <c r="L89" s="777"/>
      <c r="M89" s="777"/>
      <c r="N89" s="777"/>
      <c r="O89" s="777"/>
      <c r="P89" s="777"/>
      <c r="Q89" s="777"/>
      <c r="R89" s="777"/>
      <c r="S89" s="777"/>
      <c r="T89" s="777"/>
      <c r="U89" s="777"/>
      <c r="V89" s="777"/>
      <c r="W89" s="777"/>
      <c r="X89" s="777"/>
      <c r="Y89" s="777"/>
      <c r="Z89" s="777"/>
      <c r="AA89" s="777"/>
      <c r="AB89" s="1722"/>
      <c r="AC89" s="1732"/>
      <c r="AF89" s="132" t="s">
        <v>6113</v>
      </c>
    </row>
    <row r="90" spans="2:32" x14ac:dyDescent="0.3">
      <c r="B90" s="1723" t="s">
        <v>1899</v>
      </c>
      <c r="C90" s="1726">
        <v>54.05</v>
      </c>
      <c r="D90" s="1720">
        <f>SUMIFS('Schedule 4'!$F$89:$F$649,'Schedule 4'!$K$89:$K$649,'Well Cal.'!$B90)</f>
        <v>0</v>
      </c>
      <c r="E90" s="754" t="s">
        <v>3144</v>
      </c>
      <c r="F90" s="728">
        <f>SUMIFS('Schedule 4'!$F$89:$F$649,'Schedule 4'!$I$89:$I$649,'Well Cal.'!F$3,'Schedule 4'!$J$89:$J$649,'Well Cal.'!$E90)</f>
        <v>0</v>
      </c>
      <c r="G90" s="728">
        <f>SUMIFS('Schedule 4'!$F$89:$F$649,'Schedule 4'!$I$89:$I$649,'Well Cal.'!G$3,'Schedule 4'!$J$89:$J$649,'Well Cal.'!$E90)</f>
        <v>0</v>
      </c>
      <c r="H90" s="728">
        <f>SUMIFS('Schedule 4'!$F$89:$F$649,'Schedule 4'!$I$89:$I$649,'Well Cal.'!H$3,'Schedule 4'!$J$89:$J$649,'Well Cal.'!$E90)</f>
        <v>0</v>
      </c>
      <c r="I90" s="728">
        <f>SUMIFS('Schedule 4'!$F$89:$F$649,'Schedule 4'!$I$89:$I$649,'Well Cal.'!I$3,'Schedule 4'!$J$89:$J$649,'Well Cal.'!$E90)</f>
        <v>0</v>
      </c>
      <c r="J90" s="728">
        <f>SUMIFS('Schedule 4'!$F$89:$F$649,'Schedule 4'!$I$89:$I$649,'Well Cal.'!J$3,'Schedule 4'!$J$89:$J$649,'Well Cal.'!$E90)</f>
        <v>0</v>
      </c>
      <c r="K90" s="728">
        <f>SUMIFS('Schedule 4'!$F$89:$F$649,'Schedule 4'!$I$89:$I$649,'Well Cal.'!K$3,'Schedule 4'!$J$89:$J$649,'Well Cal.'!$E90)</f>
        <v>0</v>
      </c>
      <c r="L90" s="728">
        <f>SUMIFS('Schedule 4'!$F$89:$F$649,'Schedule 4'!$I$89:$I$649,'Well Cal.'!L$3,'Schedule 4'!$J$89:$J$649,'Well Cal.'!$E90)</f>
        <v>0</v>
      </c>
      <c r="M90" s="728">
        <f>SUMIFS('Schedule 4'!$F$89:$F$649,'Schedule 4'!$I$89:$I$649,'Well Cal.'!M$3,'Schedule 4'!$J$89:$J$649,'Well Cal.'!$E90)</f>
        <v>0</v>
      </c>
      <c r="N90" s="728">
        <f>SUMIFS('Schedule 4'!$F$89:$F$649,'Schedule 4'!$I$89:$I$649,'Well Cal.'!N$3,'Schedule 4'!$J$89:$J$649,'Well Cal.'!$E90)</f>
        <v>0</v>
      </c>
      <c r="O90" s="728">
        <f>SUMIFS('Schedule 4'!$F$89:$F$649,'Schedule 4'!$I$89:$I$649,'Well Cal.'!O$3,'Schedule 4'!$J$89:$J$649,'Well Cal.'!$E90)</f>
        <v>0</v>
      </c>
      <c r="P90" s="728">
        <f>SUMIFS('Schedule 4'!$F$89:$F$649,'Schedule 4'!$I$89:$I$649,'Well Cal.'!P$3,'Schedule 4'!$J$89:$J$649,'Well Cal.'!$E90)</f>
        <v>0</v>
      </c>
      <c r="Q90" s="728">
        <f>SUMIFS('Schedule 4'!$F$89:$F$649,'Schedule 4'!$I$89:$I$649,'Well Cal.'!Q$3,'Schedule 4'!$J$89:$J$649,'Well Cal.'!$E90)</f>
        <v>0</v>
      </c>
      <c r="R90" s="728">
        <f>SUMIFS('Schedule 4'!$F$89:$F$649,'Schedule 4'!$I$89:$I$649,'Well Cal.'!R$3,'Schedule 4'!$J$89:$J$649,'Well Cal.'!$E90)</f>
        <v>0</v>
      </c>
      <c r="S90" s="728">
        <f>SUMIFS('Schedule 4'!$F$89:$F$649,'Schedule 4'!$I$89:$I$649,'Well Cal.'!S$3,'Schedule 4'!$J$89:$J$649,'Well Cal.'!$E90)</f>
        <v>0</v>
      </c>
      <c r="T90" s="728">
        <f>SUMIFS('Schedule 4'!$F$89:$F$649,'Schedule 4'!$I$89:$I$649,'Well Cal.'!T$3,'Schedule 4'!$J$89:$J$649,'Well Cal.'!$E90)</f>
        <v>0</v>
      </c>
      <c r="U90" s="728">
        <f>SUMIFS('Schedule 4'!$F$89:$F$649,'Schedule 4'!$I$89:$I$649,'Well Cal.'!U$3,'Schedule 4'!$J$89:$J$649,'Well Cal.'!$E90)</f>
        <v>0</v>
      </c>
      <c r="V90" s="728">
        <f>SUMIFS('Schedule 4'!$F$89:$F$649,'Schedule 4'!$I$89:$I$649,'Well Cal.'!V$3,'Schedule 4'!$J$89:$J$649,'Well Cal.'!$E90)</f>
        <v>0</v>
      </c>
      <c r="W90" s="728">
        <f>SUMIFS('Schedule 4'!$F$89:$F$649,'Schedule 4'!$I$89:$I$649,'Well Cal.'!W$3,'Schedule 4'!$J$89:$J$649,'Well Cal.'!$E90)</f>
        <v>0</v>
      </c>
      <c r="X90" s="728">
        <f>SUMIFS('Schedule 4'!$F$89:$F$649,'Schedule 4'!$I$89:$I$649,'Well Cal.'!X$3,'Schedule 4'!$J$89:$J$649,'Well Cal.'!$E90)</f>
        <v>0</v>
      </c>
      <c r="Y90" s="728">
        <f>SUMIFS('Schedule 4'!$F$89:$F$649,'Schedule 4'!$I$89:$I$649,'Well Cal.'!Y$3,'Schedule 4'!$J$89:$J$649,'Well Cal.'!$E90)</f>
        <v>0</v>
      </c>
      <c r="Z90" s="728">
        <f>SUMIFS('Schedule 4'!$F$89:$F$649,'Schedule 4'!$I$89:$I$649,'Well Cal.'!Z$3,'Schedule 4'!$J$89:$J$649,'Well Cal.'!$E90)</f>
        <v>0</v>
      </c>
      <c r="AA90" s="728"/>
      <c r="AB90" s="1720">
        <f>SUM(F90:AA111)</f>
        <v>0</v>
      </c>
      <c r="AC90" s="1729">
        <f>D90-AB90</f>
        <v>0</v>
      </c>
      <c r="AF90" s="132" t="s">
        <v>3932</v>
      </c>
    </row>
    <row r="91" spans="2:32" x14ac:dyDescent="0.3">
      <c r="B91" s="1724"/>
      <c r="C91" s="1727"/>
      <c r="D91" s="1721"/>
      <c r="E91" s="761" t="s">
        <v>3220</v>
      </c>
      <c r="F91" s="726">
        <f>SUMIFS('Schedule 4'!$F$89:$F$649,'Schedule 4'!$I$89:$I$649,'Well Cal.'!F$3,'Schedule 4'!$J$89:$J$649,'Well Cal.'!$E91)</f>
        <v>0</v>
      </c>
      <c r="G91" s="726">
        <f>SUMIFS('Schedule 4'!$F$89:$F$649,'Schedule 4'!$I$89:$I$649,'Well Cal.'!G$3,'Schedule 4'!$J$89:$J$649,'Well Cal.'!$E91)</f>
        <v>0</v>
      </c>
      <c r="H91" s="726">
        <f>SUMIFS('Schedule 4'!$F$89:$F$649,'Schedule 4'!$I$89:$I$649,'Well Cal.'!H$3,'Schedule 4'!$J$89:$J$649,'Well Cal.'!$E91)</f>
        <v>0</v>
      </c>
      <c r="I91" s="726">
        <f>SUMIFS('Schedule 4'!$F$89:$F$649,'Schedule 4'!$I$89:$I$649,'Well Cal.'!I$3,'Schedule 4'!$J$89:$J$649,'Well Cal.'!$E91)</f>
        <v>0</v>
      </c>
      <c r="J91" s="726">
        <f>SUMIFS('Schedule 4'!$F$89:$F$649,'Schedule 4'!$I$89:$I$649,'Well Cal.'!J$3,'Schedule 4'!$J$89:$J$649,'Well Cal.'!$E91)</f>
        <v>0</v>
      </c>
      <c r="K91" s="726">
        <f>SUMIFS('Schedule 4'!$F$89:$F$649,'Schedule 4'!$I$89:$I$649,'Well Cal.'!K$3,'Schedule 4'!$J$89:$J$649,'Well Cal.'!$E91)</f>
        <v>0</v>
      </c>
      <c r="L91" s="726">
        <f>SUMIFS('Schedule 4'!$F$89:$F$649,'Schedule 4'!$I$89:$I$649,'Well Cal.'!L$3,'Schedule 4'!$J$89:$J$649,'Well Cal.'!$E91)</f>
        <v>0</v>
      </c>
      <c r="M91" s="726">
        <f>SUMIFS('Schedule 4'!$F$89:$F$649,'Schedule 4'!$I$89:$I$649,'Well Cal.'!M$3,'Schedule 4'!$J$89:$J$649,'Well Cal.'!$E91)</f>
        <v>0</v>
      </c>
      <c r="N91" s="726">
        <f>SUMIFS('Schedule 4'!$F$89:$F$649,'Schedule 4'!$I$89:$I$649,'Well Cal.'!N$3,'Schedule 4'!$J$89:$J$649,'Well Cal.'!$E91)</f>
        <v>0</v>
      </c>
      <c r="O91" s="726">
        <f>SUMIFS('Schedule 4'!$F$89:$F$649,'Schedule 4'!$I$89:$I$649,'Well Cal.'!O$3,'Schedule 4'!$J$89:$J$649,'Well Cal.'!$E91)</f>
        <v>0</v>
      </c>
      <c r="P91" s="726">
        <f>SUMIFS('Schedule 4'!$F$89:$F$649,'Schedule 4'!$I$89:$I$649,'Well Cal.'!P$3,'Schedule 4'!$J$89:$J$649,'Well Cal.'!$E91)</f>
        <v>0</v>
      </c>
      <c r="Q91" s="726">
        <f>SUMIFS('Schedule 4'!$F$89:$F$649,'Schedule 4'!$I$89:$I$649,'Well Cal.'!Q$3,'Schedule 4'!$J$89:$J$649,'Well Cal.'!$E91)</f>
        <v>0</v>
      </c>
      <c r="R91" s="726">
        <f>SUMIFS('Schedule 4'!$F$89:$F$649,'Schedule 4'!$I$89:$I$649,'Well Cal.'!R$3,'Schedule 4'!$J$89:$J$649,'Well Cal.'!$E91)</f>
        <v>0</v>
      </c>
      <c r="S91" s="726">
        <f>SUMIFS('Schedule 4'!$F$89:$F$649,'Schedule 4'!$I$89:$I$649,'Well Cal.'!S$3,'Schedule 4'!$J$89:$J$649,'Well Cal.'!$E91)</f>
        <v>0</v>
      </c>
      <c r="T91" s="726">
        <f>SUMIFS('Schedule 4'!$F$89:$F$649,'Schedule 4'!$I$89:$I$649,'Well Cal.'!T$3,'Schedule 4'!$J$89:$J$649,'Well Cal.'!$E91)</f>
        <v>0</v>
      </c>
      <c r="U91" s="726">
        <f>SUMIFS('Schedule 4'!$F$89:$F$649,'Schedule 4'!$I$89:$I$649,'Well Cal.'!U$3,'Schedule 4'!$J$89:$J$649,'Well Cal.'!$E91)</f>
        <v>0</v>
      </c>
      <c r="V91" s="726">
        <f>SUMIFS('Schedule 4'!$F$89:$F$649,'Schedule 4'!$I$89:$I$649,'Well Cal.'!V$3,'Schedule 4'!$J$89:$J$649,'Well Cal.'!$E91)</f>
        <v>0</v>
      </c>
      <c r="W91" s="726">
        <f>SUMIFS('Schedule 4'!$F$89:$F$649,'Schedule 4'!$I$89:$I$649,'Well Cal.'!W$3,'Schedule 4'!$J$89:$J$649,'Well Cal.'!$E91)</f>
        <v>0</v>
      </c>
      <c r="X91" s="726">
        <f>SUMIFS('Schedule 4'!$F$89:$F$649,'Schedule 4'!$I$89:$I$649,'Well Cal.'!X$3,'Schedule 4'!$J$89:$J$649,'Well Cal.'!$E91)</f>
        <v>0</v>
      </c>
      <c r="Y91" s="726">
        <f>SUMIFS('Schedule 4'!$F$89:$F$649,'Schedule 4'!$I$89:$I$649,'Well Cal.'!Y$3,'Schedule 4'!$J$89:$J$649,'Well Cal.'!$E91)</f>
        <v>0</v>
      </c>
      <c r="Z91" s="726">
        <f>SUMIFS('Schedule 4'!$F$89:$F$649,'Schedule 4'!$I$89:$I$649,'Well Cal.'!Z$3,'Schedule 4'!$J$89:$J$649,'Well Cal.'!$E91)</f>
        <v>0</v>
      </c>
      <c r="AA91" s="726"/>
      <c r="AB91" s="1721"/>
      <c r="AC91" s="1730"/>
      <c r="AF91" s="132" t="s">
        <v>4002</v>
      </c>
    </row>
    <row r="92" spans="2:32" x14ac:dyDescent="0.3">
      <c r="B92" s="1724"/>
      <c r="C92" s="1727"/>
      <c r="D92" s="1721"/>
      <c r="E92" s="761" t="s">
        <v>3305</v>
      </c>
      <c r="F92" s="726">
        <f>SUMIFS('Schedule 4'!$F$89:$F$649,'Schedule 4'!$I$89:$I$649,'Well Cal.'!F$3,'Schedule 4'!$J$89:$J$649,'Well Cal.'!$E92)</f>
        <v>0</v>
      </c>
      <c r="G92" s="726">
        <f>SUMIFS('Schedule 4'!$F$89:$F$649,'Schedule 4'!$I$89:$I$649,'Well Cal.'!G$3,'Schedule 4'!$J$89:$J$649,'Well Cal.'!$E92)</f>
        <v>0</v>
      </c>
      <c r="H92" s="726">
        <f>SUMIFS('Schedule 4'!$F$89:$F$649,'Schedule 4'!$I$89:$I$649,'Well Cal.'!H$3,'Schedule 4'!$J$89:$J$649,'Well Cal.'!$E92)</f>
        <v>0</v>
      </c>
      <c r="I92" s="726">
        <f>SUMIFS('Schedule 4'!$F$89:$F$649,'Schedule 4'!$I$89:$I$649,'Well Cal.'!I$3,'Schedule 4'!$J$89:$J$649,'Well Cal.'!$E92)</f>
        <v>0</v>
      </c>
      <c r="J92" s="726">
        <f>SUMIFS('Schedule 4'!$F$89:$F$649,'Schedule 4'!$I$89:$I$649,'Well Cal.'!J$3,'Schedule 4'!$J$89:$J$649,'Well Cal.'!$E92)</f>
        <v>0</v>
      </c>
      <c r="K92" s="726">
        <f>SUMIFS('Schedule 4'!$F$89:$F$649,'Schedule 4'!$I$89:$I$649,'Well Cal.'!K$3,'Schedule 4'!$J$89:$J$649,'Well Cal.'!$E92)</f>
        <v>0</v>
      </c>
      <c r="L92" s="726">
        <f>SUMIFS('Schedule 4'!$F$89:$F$649,'Schedule 4'!$I$89:$I$649,'Well Cal.'!L$3,'Schedule 4'!$J$89:$J$649,'Well Cal.'!$E92)</f>
        <v>0</v>
      </c>
      <c r="M92" s="726">
        <f>SUMIFS('Schedule 4'!$F$89:$F$649,'Schedule 4'!$I$89:$I$649,'Well Cal.'!M$3,'Schedule 4'!$J$89:$J$649,'Well Cal.'!$E92)</f>
        <v>0</v>
      </c>
      <c r="N92" s="726">
        <f>SUMIFS('Schedule 4'!$F$89:$F$649,'Schedule 4'!$I$89:$I$649,'Well Cal.'!N$3,'Schedule 4'!$J$89:$J$649,'Well Cal.'!$E92)</f>
        <v>0</v>
      </c>
      <c r="O92" s="726">
        <f>SUMIFS('Schedule 4'!$F$89:$F$649,'Schedule 4'!$I$89:$I$649,'Well Cal.'!O$3,'Schedule 4'!$J$89:$J$649,'Well Cal.'!$E92)</f>
        <v>0</v>
      </c>
      <c r="P92" s="726">
        <f>SUMIFS('Schedule 4'!$F$89:$F$649,'Schedule 4'!$I$89:$I$649,'Well Cal.'!P$3,'Schedule 4'!$J$89:$J$649,'Well Cal.'!$E92)</f>
        <v>0</v>
      </c>
      <c r="Q92" s="726">
        <f>SUMIFS('Schedule 4'!$F$89:$F$649,'Schedule 4'!$I$89:$I$649,'Well Cal.'!Q$3,'Schedule 4'!$J$89:$J$649,'Well Cal.'!$E92)</f>
        <v>0</v>
      </c>
      <c r="R92" s="726">
        <f>SUMIFS('Schedule 4'!$F$89:$F$649,'Schedule 4'!$I$89:$I$649,'Well Cal.'!R$3,'Schedule 4'!$J$89:$J$649,'Well Cal.'!$E92)</f>
        <v>0</v>
      </c>
      <c r="S92" s="726">
        <f>SUMIFS('Schedule 4'!$F$89:$F$649,'Schedule 4'!$I$89:$I$649,'Well Cal.'!S$3,'Schedule 4'!$J$89:$J$649,'Well Cal.'!$E92)</f>
        <v>0</v>
      </c>
      <c r="T92" s="726">
        <f>SUMIFS('Schedule 4'!$F$89:$F$649,'Schedule 4'!$I$89:$I$649,'Well Cal.'!T$3,'Schedule 4'!$J$89:$J$649,'Well Cal.'!$E92)</f>
        <v>0</v>
      </c>
      <c r="U92" s="726">
        <f>SUMIFS('Schedule 4'!$F$89:$F$649,'Schedule 4'!$I$89:$I$649,'Well Cal.'!U$3,'Schedule 4'!$J$89:$J$649,'Well Cal.'!$E92)</f>
        <v>0</v>
      </c>
      <c r="V92" s="726">
        <f>SUMIFS('Schedule 4'!$F$89:$F$649,'Schedule 4'!$I$89:$I$649,'Well Cal.'!V$3,'Schedule 4'!$J$89:$J$649,'Well Cal.'!$E92)</f>
        <v>0</v>
      </c>
      <c r="W92" s="726">
        <f>SUMIFS('Schedule 4'!$F$89:$F$649,'Schedule 4'!$I$89:$I$649,'Well Cal.'!W$3,'Schedule 4'!$J$89:$J$649,'Well Cal.'!$E92)</f>
        <v>0</v>
      </c>
      <c r="X92" s="726">
        <f>SUMIFS('Schedule 4'!$F$89:$F$649,'Schedule 4'!$I$89:$I$649,'Well Cal.'!X$3,'Schedule 4'!$J$89:$J$649,'Well Cal.'!$E92)</f>
        <v>0</v>
      </c>
      <c r="Y92" s="726">
        <f>SUMIFS('Schedule 4'!$F$89:$F$649,'Schedule 4'!$I$89:$I$649,'Well Cal.'!Y$3,'Schedule 4'!$J$89:$J$649,'Well Cal.'!$E92)</f>
        <v>0</v>
      </c>
      <c r="Z92" s="726">
        <f>SUMIFS('Schedule 4'!$F$89:$F$649,'Schedule 4'!$I$89:$I$649,'Well Cal.'!Z$3,'Schedule 4'!$J$89:$J$649,'Well Cal.'!$E92)</f>
        <v>0</v>
      </c>
      <c r="AA92" s="726"/>
      <c r="AB92" s="1721"/>
      <c r="AC92" s="1730"/>
      <c r="AF92" s="132" t="s">
        <v>3864</v>
      </c>
    </row>
    <row r="93" spans="2:32" x14ac:dyDescent="0.3">
      <c r="B93" s="1724"/>
      <c r="C93" s="1727"/>
      <c r="D93" s="1721"/>
      <c r="E93" s="775" t="s">
        <v>3382</v>
      </c>
      <c r="F93" s="726">
        <f>SUMIFS('Schedule 4'!$F$89:$F$649,'Schedule 4'!$I$89:$I$649,'Well Cal.'!F$3,'Schedule 4'!$J$89:$J$649,'Well Cal.'!$E93)</f>
        <v>0</v>
      </c>
      <c r="G93" s="726">
        <f>SUMIFS('Schedule 4'!$F$89:$F$649,'Schedule 4'!$I$89:$I$649,'Well Cal.'!G$3,'Schedule 4'!$J$89:$J$649,'Well Cal.'!$E93)</f>
        <v>0</v>
      </c>
      <c r="H93" s="726">
        <f>SUMIFS('Schedule 4'!$F$89:$F$649,'Schedule 4'!$I$89:$I$649,'Well Cal.'!H$3,'Schedule 4'!$J$89:$J$649,'Well Cal.'!$E93)</f>
        <v>0</v>
      </c>
      <c r="I93" s="726">
        <f>SUMIFS('Schedule 4'!$F$89:$F$649,'Schedule 4'!$I$89:$I$649,'Well Cal.'!I$3,'Schedule 4'!$J$89:$J$649,'Well Cal.'!$E93)</f>
        <v>0</v>
      </c>
      <c r="J93" s="726">
        <f>SUMIFS('Schedule 4'!$F$89:$F$649,'Schedule 4'!$I$89:$I$649,'Well Cal.'!J$3,'Schedule 4'!$J$89:$J$649,'Well Cal.'!$E93)</f>
        <v>0</v>
      </c>
      <c r="K93" s="726">
        <f>SUMIFS('Schedule 4'!$F$89:$F$649,'Schedule 4'!$I$89:$I$649,'Well Cal.'!K$3,'Schedule 4'!$J$89:$J$649,'Well Cal.'!$E93)</f>
        <v>0</v>
      </c>
      <c r="L93" s="726">
        <f>SUMIFS('Schedule 4'!$F$89:$F$649,'Schedule 4'!$I$89:$I$649,'Well Cal.'!L$3,'Schedule 4'!$J$89:$J$649,'Well Cal.'!$E93)</f>
        <v>0</v>
      </c>
      <c r="M93" s="726">
        <f>SUMIFS('Schedule 4'!$F$89:$F$649,'Schedule 4'!$I$89:$I$649,'Well Cal.'!M$3,'Schedule 4'!$J$89:$J$649,'Well Cal.'!$E93)</f>
        <v>0</v>
      </c>
      <c r="N93" s="726">
        <f>SUMIFS('Schedule 4'!$F$89:$F$649,'Schedule 4'!$I$89:$I$649,'Well Cal.'!N$3,'Schedule 4'!$J$89:$J$649,'Well Cal.'!$E93)</f>
        <v>0</v>
      </c>
      <c r="O93" s="726">
        <f>SUMIFS('Schedule 4'!$F$89:$F$649,'Schedule 4'!$I$89:$I$649,'Well Cal.'!O$3,'Schedule 4'!$J$89:$J$649,'Well Cal.'!$E93)</f>
        <v>0</v>
      </c>
      <c r="P93" s="726">
        <f>SUMIFS('Schedule 4'!$F$89:$F$649,'Schedule 4'!$I$89:$I$649,'Well Cal.'!P$3,'Schedule 4'!$J$89:$J$649,'Well Cal.'!$E93)</f>
        <v>0</v>
      </c>
      <c r="Q93" s="726">
        <f>SUMIFS('Schedule 4'!$F$89:$F$649,'Schedule 4'!$I$89:$I$649,'Well Cal.'!Q$3,'Schedule 4'!$J$89:$J$649,'Well Cal.'!$E93)</f>
        <v>0</v>
      </c>
      <c r="R93" s="726">
        <f>SUMIFS('Schedule 4'!$F$89:$F$649,'Schedule 4'!$I$89:$I$649,'Well Cal.'!R$3,'Schedule 4'!$J$89:$J$649,'Well Cal.'!$E93)</f>
        <v>0</v>
      </c>
      <c r="S93" s="726">
        <f>SUMIFS('Schedule 4'!$F$89:$F$649,'Schedule 4'!$I$89:$I$649,'Well Cal.'!S$3,'Schedule 4'!$J$89:$J$649,'Well Cal.'!$E93)</f>
        <v>0</v>
      </c>
      <c r="T93" s="726">
        <f>SUMIFS('Schedule 4'!$F$89:$F$649,'Schedule 4'!$I$89:$I$649,'Well Cal.'!T$3,'Schedule 4'!$J$89:$J$649,'Well Cal.'!$E93)</f>
        <v>0</v>
      </c>
      <c r="U93" s="726">
        <f>SUMIFS('Schedule 4'!$F$89:$F$649,'Schedule 4'!$I$89:$I$649,'Well Cal.'!U$3,'Schedule 4'!$J$89:$J$649,'Well Cal.'!$E93)</f>
        <v>0</v>
      </c>
      <c r="V93" s="726">
        <f>SUMIFS('Schedule 4'!$F$89:$F$649,'Schedule 4'!$I$89:$I$649,'Well Cal.'!V$3,'Schedule 4'!$J$89:$J$649,'Well Cal.'!$E93)</f>
        <v>0</v>
      </c>
      <c r="W93" s="726">
        <f>SUMIFS('Schedule 4'!$F$89:$F$649,'Schedule 4'!$I$89:$I$649,'Well Cal.'!W$3,'Schedule 4'!$J$89:$J$649,'Well Cal.'!$E93)</f>
        <v>0</v>
      </c>
      <c r="X93" s="726">
        <f>SUMIFS('Schedule 4'!$F$89:$F$649,'Schedule 4'!$I$89:$I$649,'Well Cal.'!X$3,'Schedule 4'!$J$89:$J$649,'Well Cal.'!$E93)</f>
        <v>0</v>
      </c>
      <c r="Y93" s="726">
        <f>SUMIFS('Schedule 4'!$F$89:$F$649,'Schedule 4'!$I$89:$I$649,'Well Cal.'!Y$3,'Schedule 4'!$J$89:$J$649,'Well Cal.'!$E93)</f>
        <v>0</v>
      </c>
      <c r="Z93" s="726">
        <f>SUMIFS('Schedule 4'!$F$89:$F$649,'Schedule 4'!$I$89:$I$649,'Well Cal.'!Z$3,'Schedule 4'!$J$89:$J$649,'Well Cal.'!$E93)</f>
        <v>0</v>
      </c>
      <c r="AA93" s="726"/>
      <c r="AB93" s="1721"/>
      <c r="AC93" s="1730"/>
      <c r="AF93" s="132" t="s">
        <v>6114</v>
      </c>
    </row>
    <row r="94" spans="2:32" x14ac:dyDescent="0.3">
      <c r="B94" s="1724"/>
      <c r="C94" s="1727"/>
      <c r="D94" s="1721"/>
      <c r="E94" s="775" t="s">
        <v>3456</v>
      </c>
      <c r="F94" s="726">
        <f>SUMIFS('Schedule 4'!$F$89:$F$649,'Schedule 4'!$I$89:$I$649,'Well Cal.'!F$3,'Schedule 4'!$J$89:$J$649,'Well Cal.'!$E94)</f>
        <v>0</v>
      </c>
      <c r="G94" s="726">
        <f>SUMIFS('Schedule 4'!$F$89:$F$649,'Schedule 4'!$I$89:$I$649,'Well Cal.'!G$3,'Schedule 4'!$J$89:$J$649,'Well Cal.'!$E94)</f>
        <v>0</v>
      </c>
      <c r="H94" s="726">
        <f>SUMIFS('Schedule 4'!$F$89:$F$649,'Schedule 4'!$I$89:$I$649,'Well Cal.'!H$3,'Schedule 4'!$J$89:$J$649,'Well Cal.'!$E94)</f>
        <v>0</v>
      </c>
      <c r="I94" s="726">
        <f>SUMIFS('Schedule 4'!$F$89:$F$649,'Schedule 4'!$I$89:$I$649,'Well Cal.'!I$3,'Schedule 4'!$J$89:$J$649,'Well Cal.'!$E94)</f>
        <v>0</v>
      </c>
      <c r="J94" s="726">
        <f>SUMIFS('Schedule 4'!$F$89:$F$649,'Schedule 4'!$I$89:$I$649,'Well Cal.'!J$3,'Schedule 4'!$J$89:$J$649,'Well Cal.'!$E94)</f>
        <v>0</v>
      </c>
      <c r="K94" s="726">
        <f>SUMIFS('Schedule 4'!$F$89:$F$649,'Schedule 4'!$I$89:$I$649,'Well Cal.'!K$3,'Schedule 4'!$J$89:$J$649,'Well Cal.'!$E94)</f>
        <v>0</v>
      </c>
      <c r="L94" s="726">
        <f>SUMIFS('Schedule 4'!$F$89:$F$649,'Schedule 4'!$I$89:$I$649,'Well Cal.'!L$3,'Schedule 4'!$J$89:$J$649,'Well Cal.'!$E94)</f>
        <v>0</v>
      </c>
      <c r="M94" s="726">
        <f>SUMIFS('Schedule 4'!$F$89:$F$649,'Schedule 4'!$I$89:$I$649,'Well Cal.'!M$3,'Schedule 4'!$J$89:$J$649,'Well Cal.'!$E94)</f>
        <v>0</v>
      </c>
      <c r="N94" s="726">
        <f>SUMIFS('Schedule 4'!$F$89:$F$649,'Schedule 4'!$I$89:$I$649,'Well Cal.'!N$3,'Schedule 4'!$J$89:$J$649,'Well Cal.'!$E94)</f>
        <v>0</v>
      </c>
      <c r="O94" s="726">
        <f>SUMIFS('Schedule 4'!$F$89:$F$649,'Schedule 4'!$I$89:$I$649,'Well Cal.'!O$3,'Schedule 4'!$J$89:$J$649,'Well Cal.'!$E94)</f>
        <v>0</v>
      </c>
      <c r="P94" s="726">
        <f>SUMIFS('Schedule 4'!$F$89:$F$649,'Schedule 4'!$I$89:$I$649,'Well Cal.'!P$3,'Schedule 4'!$J$89:$J$649,'Well Cal.'!$E94)</f>
        <v>0</v>
      </c>
      <c r="Q94" s="726">
        <f>SUMIFS('Schedule 4'!$F$89:$F$649,'Schedule 4'!$I$89:$I$649,'Well Cal.'!Q$3,'Schedule 4'!$J$89:$J$649,'Well Cal.'!$E94)</f>
        <v>0</v>
      </c>
      <c r="R94" s="726">
        <f>SUMIFS('Schedule 4'!$F$89:$F$649,'Schedule 4'!$I$89:$I$649,'Well Cal.'!R$3,'Schedule 4'!$J$89:$J$649,'Well Cal.'!$E94)</f>
        <v>0</v>
      </c>
      <c r="S94" s="726">
        <f>SUMIFS('Schedule 4'!$F$89:$F$649,'Schedule 4'!$I$89:$I$649,'Well Cal.'!S$3,'Schedule 4'!$J$89:$J$649,'Well Cal.'!$E94)</f>
        <v>0</v>
      </c>
      <c r="T94" s="726">
        <f>SUMIFS('Schedule 4'!$F$89:$F$649,'Schedule 4'!$I$89:$I$649,'Well Cal.'!T$3,'Schedule 4'!$J$89:$J$649,'Well Cal.'!$E94)</f>
        <v>0</v>
      </c>
      <c r="U94" s="726">
        <f>SUMIFS('Schedule 4'!$F$89:$F$649,'Schedule 4'!$I$89:$I$649,'Well Cal.'!U$3,'Schedule 4'!$J$89:$J$649,'Well Cal.'!$E94)</f>
        <v>0</v>
      </c>
      <c r="V94" s="726">
        <f>SUMIFS('Schedule 4'!$F$89:$F$649,'Schedule 4'!$I$89:$I$649,'Well Cal.'!V$3,'Schedule 4'!$J$89:$J$649,'Well Cal.'!$E94)</f>
        <v>0</v>
      </c>
      <c r="W94" s="726">
        <f>SUMIFS('Schedule 4'!$F$89:$F$649,'Schedule 4'!$I$89:$I$649,'Well Cal.'!W$3,'Schedule 4'!$J$89:$J$649,'Well Cal.'!$E94)</f>
        <v>0</v>
      </c>
      <c r="X94" s="726">
        <f>SUMIFS('Schedule 4'!$F$89:$F$649,'Schedule 4'!$I$89:$I$649,'Well Cal.'!X$3,'Schedule 4'!$J$89:$J$649,'Well Cal.'!$E94)</f>
        <v>0</v>
      </c>
      <c r="Y94" s="726">
        <f>SUMIFS('Schedule 4'!$F$89:$F$649,'Schedule 4'!$I$89:$I$649,'Well Cal.'!Y$3,'Schedule 4'!$J$89:$J$649,'Well Cal.'!$E94)</f>
        <v>0</v>
      </c>
      <c r="Z94" s="726">
        <f>SUMIFS('Schedule 4'!$F$89:$F$649,'Schedule 4'!$I$89:$I$649,'Well Cal.'!Z$3,'Schedule 4'!$J$89:$J$649,'Well Cal.'!$E94)</f>
        <v>0</v>
      </c>
      <c r="AA94" s="726"/>
      <c r="AB94" s="1721"/>
      <c r="AC94" s="1730"/>
      <c r="AF94" s="132" t="s">
        <v>4558</v>
      </c>
    </row>
    <row r="95" spans="2:32" x14ac:dyDescent="0.3">
      <c r="B95" s="1724"/>
      <c r="C95" s="1727"/>
      <c r="D95" s="1721"/>
      <c r="E95" s="775" t="s">
        <v>3527</v>
      </c>
      <c r="F95" s="726">
        <f>SUMIFS('Schedule 4'!$F$89:$F$649,'Schedule 4'!$I$89:$I$649,'Well Cal.'!F$3,'Schedule 4'!$J$89:$J$649,'Well Cal.'!$E95)</f>
        <v>0</v>
      </c>
      <c r="G95" s="726">
        <f>SUMIFS('Schedule 4'!$F$89:$F$649,'Schedule 4'!$I$89:$I$649,'Well Cal.'!G$3,'Schedule 4'!$J$89:$J$649,'Well Cal.'!$E95)</f>
        <v>0</v>
      </c>
      <c r="H95" s="726">
        <f>SUMIFS('Schedule 4'!$F$89:$F$649,'Schedule 4'!$I$89:$I$649,'Well Cal.'!H$3,'Schedule 4'!$J$89:$J$649,'Well Cal.'!$E95)</f>
        <v>0</v>
      </c>
      <c r="I95" s="726">
        <f>SUMIFS('Schedule 4'!$F$89:$F$649,'Schedule 4'!$I$89:$I$649,'Well Cal.'!I$3,'Schedule 4'!$J$89:$J$649,'Well Cal.'!$E95)</f>
        <v>0</v>
      </c>
      <c r="J95" s="726">
        <f>SUMIFS('Schedule 4'!$F$89:$F$649,'Schedule 4'!$I$89:$I$649,'Well Cal.'!J$3,'Schedule 4'!$J$89:$J$649,'Well Cal.'!$E95)</f>
        <v>0</v>
      </c>
      <c r="K95" s="726">
        <f>SUMIFS('Schedule 4'!$F$89:$F$649,'Schedule 4'!$I$89:$I$649,'Well Cal.'!K$3,'Schedule 4'!$J$89:$J$649,'Well Cal.'!$E95)</f>
        <v>0</v>
      </c>
      <c r="L95" s="726">
        <f>SUMIFS('Schedule 4'!$F$89:$F$649,'Schedule 4'!$I$89:$I$649,'Well Cal.'!L$3,'Schedule 4'!$J$89:$J$649,'Well Cal.'!$E95)</f>
        <v>0</v>
      </c>
      <c r="M95" s="726">
        <f>SUMIFS('Schedule 4'!$F$89:$F$649,'Schedule 4'!$I$89:$I$649,'Well Cal.'!M$3,'Schedule 4'!$J$89:$J$649,'Well Cal.'!$E95)</f>
        <v>0</v>
      </c>
      <c r="N95" s="726">
        <f>SUMIFS('Schedule 4'!$F$89:$F$649,'Schedule 4'!$I$89:$I$649,'Well Cal.'!N$3,'Schedule 4'!$J$89:$J$649,'Well Cal.'!$E95)</f>
        <v>0</v>
      </c>
      <c r="O95" s="726">
        <f>SUMIFS('Schedule 4'!$F$89:$F$649,'Schedule 4'!$I$89:$I$649,'Well Cal.'!O$3,'Schedule 4'!$J$89:$J$649,'Well Cal.'!$E95)</f>
        <v>0</v>
      </c>
      <c r="P95" s="726">
        <f>SUMIFS('Schedule 4'!$F$89:$F$649,'Schedule 4'!$I$89:$I$649,'Well Cal.'!P$3,'Schedule 4'!$J$89:$J$649,'Well Cal.'!$E95)</f>
        <v>0</v>
      </c>
      <c r="Q95" s="726">
        <f>SUMIFS('Schedule 4'!$F$89:$F$649,'Schedule 4'!$I$89:$I$649,'Well Cal.'!Q$3,'Schedule 4'!$J$89:$J$649,'Well Cal.'!$E95)</f>
        <v>0</v>
      </c>
      <c r="R95" s="726">
        <f>SUMIFS('Schedule 4'!$F$89:$F$649,'Schedule 4'!$I$89:$I$649,'Well Cal.'!R$3,'Schedule 4'!$J$89:$J$649,'Well Cal.'!$E95)</f>
        <v>0</v>
      </c>
      <c r="S95" s="726">
        <f>SUMIFS('Schedule 4'!$F$89:$F$649,'Schedule 4'!$I$89:$I$649,'Well Cal.'!S$3,'Schedule 4'!$J$89:$J$649,'Well Cal.'!$E95)</f>
        <v>0</v>
      </c>
      <c r="T95" s="726">
        <f>SUMIFS('Schedule 4'!$F$89:$F$649,'Schedule 4'!$I$89:$I$649,'Well Cal.'!T$3,'Schedule 4'!$J$89:$J$649,'Well Cal.'!$E95)</f>
        <v>0</v>
      </c>
      <c r="U95" s="726">
        <f>SUMIFS('Schedule 4'!$F$89:$F$649,'Schedule 4'!$I$89:$I$649,'Well Cal.'!U$3,'Schedule 4'!$J$89:$J$649,'Well Cal.'!$E95)</f>
        <v>0</v>
      </c>
      <c r="V95" s="726">
        <f>SUMIFS('Schedule 4'!$F$89:$F$649,'Schedule 4'!$I$89:$I$649,'Well Cal.'!V$3,'Schedule 4'!$J$89:$J$649,'Well Cal.'!$E95)</f>
        <v>0</v>
      </c>
      <c r="W95" s="726">
        <f>SUMIFS('Schedule 4'!$F$89:$F$649,'Schedule 4'!$I$89:$I$649,'Well Cal.'!W$3,'Schedule 4'!$J$89:$J$649,'Well Cal.'!$E95)</f>
        <v>0</v>
      </c>
      <c r="X95" s="726">
        <f>SUMIFS('Schedule 4'!$F$89:$F$649,'Schedule 4'!$I$89:$I$649,'Well Cal.'!X$3,'Schedule 4'!$J$89:$J$649,'Well Cal.'!$E95)</f>
        <v>0</v>
      </c>
      <c r="Y95" s="726">
        <f>SUMIFS('Schedule 4'!$F$89:$F$649,'Schedule 4'!$I$89:$I$649,'Well Cal.'!Y$3,'Schedule 4'!$J$89:$J$649,'Well Cal.'!$E95)</f>
        <v>0</v>
      </c>
      <c r="Z95" s="726">
        <f>SUMIFS('Schedule 4'!$F$89:$F$649,'Schedule 4'!$I$89:$I$649,'Well Cal.'!Z$3,'Schedule 4'!$J$89:$J$649,'Well Cal.'!$E95)</f>
        <v>0</v>
      </c>
      <c r="AA95" s="726"/>
      <c r="AB95" s="1721"/>
      <c r="AC95" s="1730"/>
      <c r="AF95" s="132" t="s">
        <v>4561</v>
      </c>
    </row>
    <row r="96" spans="2:32" x14ac:dyDescent="0.3">
      <c r="B96" s="1724"/>
      <c r="C96" s="1727"/>
      <c r="D96" s="1721"/>
      <c r="E96" s="775" t="s">
        <v>3596</v>
      </c>
      <c r="F96" s="726">
        <f>SUMIFS('Schedule 4'!$F$89:$F$649,'Schedule 4'!$I$89:$I$649,'Well Cal.'!F$3,'Schedule 4'!$J$89:$J$649,'Well Cal.'!$E96)</f>
        <v>0</v>
      </c>
      <c r="G96" s="726">
        <f>SUMIFS('Schedule 4'!$F$89:$F$649,'Schedule 4'!$I$89:$I$649,'Well Cal.'!G$3,'Schedule 4'!$J$89:$J$649,'Well Cal.'!$E96)</f>
        <v>0</v>
      </c>
      <c r="H96" s="726">
        <f>SUMIFS('Schedule 4'!$F$89:$F$649,'Schedule 4'!$I$89:$I$649,'Well Cal.'!H$3,'Schedule 4'!$J$89:$J$649,'Well Cal.'!$E96)</f>
        <v>0</v>
      </c>
      <c r="I96" s="726">
        <f>SUMIFS('Schedule 4'!$F$89:$F$649,'Schedule 4'!$I$89:$I$649,'Well Cal.'!I$3,'Schedule 4'!$J$89:$J$649,'Well Cal.'!$E96)</f>
        <v>0</v>
      </c>
      <c r="J96" s="726">
        <f>SUMIFS('Schedule 4'!$F$89:$F$649,'Schedule 4'!$I$89:$I$649,'Well Cal.'!J$3,'Schedule 4'!$J$89:$J$649,'Well Cal.'!$E96)</f>
        <v>0</v>
      </c>
      <c r="K96" s="726">
        <f>SUMIFS('Schedule 4'!$F$89:$F$649,'Schedule 4'!$I$89:$I$649,'Well Cal.'!K$3,'Schedule 4'!$J$89:$J$649,'Well Cal.'!$E96)</f>
        <v>0</v>
      </c>
      <c r="L96" s="726">
        <f>SUMIFS('Schedule 4'!$F$89:$F$649,'Schedule 4'!$I$89:$I$649,'Well Cal.'!L$3,'Schedule 4'!$J$89:$J$649,'Well Cal.'!$E96)</f>
        <v>0</v>
      </c>
      <c r="M96" s="726">
        <f>SUMIFS('Schedule 4'!$F$89:$F$649,'Schedule 4'!$I$89:$I$649,'Well Cal.'!M$3,'Schedule 4'!$J$89:$J$649,'Well Cal.'!$E96)</f>
        <v>0</v>
      </c>
      <c r="N96" s="726">
        <f>SUMIFS('Schedule 4'!$F$89:$F$649,'Schedule 4'!$I$89:$I$649,'Well Cal.'!N$3,'Schedule 4'!$J$89:$J$649,'Well Cal.'!$E96)</f>
        <v>0</v>
      </c>
      <c r="O96" s="726">
        <f>SUMIFS('Schedule 4'!$F$89:$F$649,'Schedule 4'!$I$89:$I$649,'Well Cal.'!O$3,'Schedule 4'!$J$89:$J$649,'Well Cal.'!$E96)</f>
        <v>0</v>
      </c>
      <c r="P96" s="726">
        <f>SUMIFS('Schedule 4'!$F$89:$F$649,'Schedule 4'!$I$89:$I$649,'Well Cal.'!P$3,'Schedule 4'!$J$89:$J$649,'Well Cal.'!$E96)</f>
        <v>0</v>
      </c>
      <c r="Q96" s="726">
        <f>SUMIFS('Schedule 4'!$F$89:$F$649,'Schedule 4'!$I$89:$I$649,'Well Cal.'!Q$3,'Schedule 4'!$J$89:$J$649,'Well Cal.'!$E96)</f>
        <v>0</v>
      </c>
      <c r="R96" s="726">
        <f>SUMIFS('Schedule 4'!$F$89:$F$649,'Schedule 4'!$I$89:$I$649,'Well Cal.'!R$3,'Schedule 4'!$J$89:$J$649,'Well Cal.'!$E96)</f>
        <v>0</v>
      </c>
      <c r="S96" s="726">
        <f>SUMIFS('Schedule 4'!$F$89:$F$649,'Schedule 4'!$I$89:$I$649,'Well Cal.'!S$3,'Schedule 4'!$J$89:$J$649,'Well Cal.'!$E96)</f>
        <v>0</v>
      </c>
      <c r="T96" s="726">
        <f>SUMIFS('Schedule 4'!$F$89:$F$649,'Schedule 4'!$I$89:$I$649,'Well Cal.'!T$3,'Schedule 4'!$J$89:$J$649,'Well Cal.'!$E96)</f>
        <v>0</v>
      </c>
      <c r="U96" s="726">
        <f>SUMIFS('Schedule 4'!$F$89:$F$649,'Schedule 4'!$I$89:$I$649,'Well Cal.'!U$3,'Schedule 4'!$J$89:$J$649,'Well Cal.'!$E96)</f>
        <v>0</v>
      </c>
      <c r="V96" s="726">
        <f>SUMIFS('Schedule 4'!$F$89:$F$649,'Schedule 4'!$I$89:$I$649,'Well Cal.'!V$3,'Schedule 4'!$J$89:$J$649,'Well Cal.'!$E96)</f>
        <v>0</v>
      </c>
      <c r="W96" s="726">
        <f>SUMIFS('Schedule 4'!$F$89:$F$649,'Schedule 4'!$I$89:$I$649,'Well Cal.'!W$3,'Schedule 4'!$J$89:$J$649,'Well Cal.'!$E96)</f>
        <v>0</v>
      </c>
      <c r="X96" s="726">
        <f>SUMIFS('Schedule 4'!$F$89:$F$649,'Schedule 4'!$I$89:$I$649,'Well Cal.'!X$3,'Schedule 4'!$J$89:$J$649,'Well Cal.'!$E96)</f>
        <v>0</v>
      </c>
      <c r="Y96" s="726">
        <f>SUMIFS('Schedule 4'!$F$89:$F$649,'Schedule 4'!$I$89:$I$649,'Well Cal.'!Y$3,'Schedule 4'!$J$89:$J$649,'Well Cal.'!$E96)</f>
        <v>0</v>
      </c>
      <c r="Z96" s="726">
        <f>SUMIFS('Schedule 4'!$F$89:$F$649,'Schedule 4'!$I$89:$I$649,'Well Cal.'!Z$3,'Schedule 4'!$J$89:$J$649,'Well Cal.'!$E96)</f>
        <v>0</v>
      </c>
      <c r="AA96" s="726"/>
      <c r="AB96" s="1721"/>
      <c r="AC96" s="1730"/>
    </row>
    <row r="97" spans="2:29" x14ac:dyDescent="0.3">
      <c r="B97" s="1724"/>
      <c r="C97" s="1727"/>
      <c r="D97" s="1721"/>
      <c r="E97" s="775" t="s">
        <v>3735</v>
      </c>
      <c r="F97" s="726">
        <f>SUMIFS('Schedule 4'!$F$89:$F$649,'Schedule 4'!$I$89:$I$649,'Well Cal.'!F$3,'Schedule 4'!$J$89:$J$649,'Well Cal.'!$E97)</f>
        <v>0</v>
      </c>
      <c r="G97" s="726">
        <f>SUMIFS('Schedule 4'!$F$89:$F$649,'Schedule 4'!$I$89:$I$649,'Well Cal.'!G$3,'Schedule 4'!$J$89:$J$649,'Well Cal.'!$E97)</f>
        <v>0</v>
      </c>
      <c r="H97" s="726">
        <f>SUMIFS('Schedule 4'!$F$89:$F$649,'Schedule 4'!$I$89:$I$649,'Well Cal.'!H$3,'Schedule 4'!$J$89:$J$649,'Well Cal.'!$E97)</f>
        <v>0</v>
      </c>
      <c r="I97" s="726">
        <f>SUMIFS('Schedule 4'!$F$89:$F$649,'Schedule 4'!$I$89:$I$649,'Well Cal.'!I$3,'Schedule 4'!$J$89:$J$649,'Well Cal.'!$E97)</f>
        <v>0</v>
      </c>
      <c r="J97" s="726">
        <f>SUMIFS('Schedule 4'!$F$89:$F$649,'Schedule 4'!$I$89:$I$649,'Well Cal.'!J$3,'Schedule 4'!$J$89:$J$649,'Well Cal.'!$E97)</f>
        <v>0</v>
      </c>
      <c r="K97" s="726">
        <f>SUMIFS('Schedule 4'!$F$89:$F$649,'Schedule 4'!$I$89:$I$649,'Well Cal.'!K$3,'Schedule 4'!$J$89:$J$649,'Well Cal.'!$E97)</f>
        <v>0</v>
      </c>
      <c r="L97" s="726">
        <f>SUMIFS('Schedule 4'!$F$89:$F$649,'Schedule 4'!$I$89:$I$649,'Well Cal.'!L$3,'Schedule 4'!$J$89:$J$649,'Well Cal.'!$E97)</f>
        <v>0</v>
      </c>
      <c r="M97" s="726">
        <f>SUMIFS('Schedule 4'!$F$89:$F$649,'Schedule 4'!$I$89:$I$649,'Well Cal.'!M$3,'Schedule 4'!$J$89:$J$649,'Well Cal.'!$E97)</f>
        <v>0</v>
      </c>
      <c r="N97" s="726">
        <f>SUMIFS('Schedule 4'!$F$89:$F$649,'Schedule 4'!$I$89:$I$649,'Well Cal.'!N$3,'Schedule 4'!$J$89:$J$649,'Well Cal.'!$E97)</f>
        <v>0</v>
      </c>
      <c r="O97" s="726">
        <f>SUMIFS('Schedule 4'!$F$89:$F$649,'Schedule 4'!$I$89:$I$649,'Well Cal.'!O$3,'Schedule 4'!$J$89:$J$649,'Well Cal.'!$E97)</f>
        <v>0</v>
      </c>
      <c r="P97" s="726">
        <f>SUMIFS('Schedule 4'!$F$89:$F$649,'Schedule 4'!$I$89:$I$649,'Well Cal.'!P$3,'Schedule 4'!$J$89:$J$649,'Well Cal.'!$E97)</f>
        <v>0</v>
      </c>
      <c r="Q97" s="726">
        <f>SUMIFS('Schedule 4'!$F$89:$F$649,'Schedule 4'!$I$89:$I$649,'Well Cal.'!Q$3,'Schedule 4'!$J$89:$J$649,'Well Cal.'!$E97)</f>
        <v>0</v>
      </c>
      <c r="R97" s="726">
        <f>SUMIFS('Schedule 4'!$F$89:$F$649,'Schedule 4'!$I$89:$I$649,'Well Cal.'!R$3,'Schedule 4'!$J$89:$J$649,'Well Cal.'!$E97)</f>
        <v>0</v>
      </c>
      <c r="S97" s="726">
        <f>SUMIFS('Schedule 4'!$F$89:$F$649,'Schedule 4'!$I$89:$I$649,'Well Cal.'!S$3,'Schedule 4'!$J$89:$J$649,'Well Cal.'!$E97)</f>
        <v>0</v>
      </c>
      <c r="T97" s="726">
        <f>SUMIFS('Schedule 4'!$F$89:$F$649,'Schedule 4'!$I$89:$I$649,'Well Cal.'!T$3,'Schedule 4'!$J$89:$J$649,'Well Cal.'!$E97)</f>
        <v>0</v>
      </c>
      <c r="U97" s="726">
        <f>SUMIFS('Schedule 4'!$F$89:$F$649,'Schedule 4'!$I$89:$I$649,'Well Cal.'!U$3,'Schedule 4'!$J$89:$J$649,'Well Cal.'!$E97)</f>
        <v>0</v>
      </c>
      <c r="V97" s="726">
        <f>SUMIFS('Schedule 4'!$F$89:$F$649,'Schedule 4'!$I$89:$I$649,'Well Cal.'!V$3,'Schedule 4'!$J$89:$J$649,'Well Cal.'!$E97)</f>
        <v>0</v>
      </c>
      <c r="W97" s="726">
        <f>SUMIFS('Schedule 4'!$F$89:$F$649,'Schedule 4'!$I$89:$I$649,'Well Cal.'!W$3,'Schedule 4'!$J$89:$J$649,'Well Cal.'!$E97)</f>
        <v>0</v>
      </c>
      <c r="X97" s="726">
        <f>SUMIFS('Schedule 4'!$F$89:$F$649,'Schedule 4'!$I$89:$I$649,'Well Cal.'!X$3,'Schedule 4'!$J$89:$J$649,'Well Cal.'!$E97)</f>
        <v>0</v>
      </c>
      <c r="Y97" s="726">
        <f>SUMIFS('Schedule 4'!$F$89:$F$649,'Schedule 4'!$I$89:$I$649,'Well Cal.'!Y$3,'Schedule 4'!$J$89:$J$649,'Well Cal.'!$E97)</f>
        <v>0</v>
      </c>
      <c r="Z97" s="726">
        <f>SUMIFS('Schedule 4'!$F$89:$F$649,'Schedule 4'!$I$89:$I$649,'Well Cal.'!Z$3,'Schedule 4'!$J$89:$J$649,'Well Cal.'!$E97)</f>
        <v>0</v>
      </c>
      <c r="AA97" s="726"/>
      <c r="AB97" s="1721"/>
      <c r="AC97" s="1731"/>
    </row>
    <row r="98" spans="2:29" x14ac:dyDescent="0.3">
      <c r="B98" s="1724"/>
      <c r="C98" s="1727"/>
      <c r="D98" s="1721"/>
      <c r="E98" s="775" t="s">
        <v>3747</v>
      </c>
      <c r="F98" s="726">
        <f>SUMIFS('Schedule 4'!$F$89:$F$649,'Schedule 4'!$I$89:$I$649,'Well Cal.'!F$3,'Schedule 4'!$J$89:$J$649,'Well Cal.'!$E98)</f>
        <v>0</v>
      </c>
      <c r="G98" s="726">
        <f>SUMIFS('Schedule 4'!$F$89:$F$649,'Schedule 4'!$I$89:$I$649,'Well Cal.'!G$3,'Schedule 4'!$J$89:$J$649,'Well Cal.'!$E98)</f>
        <v>0</v>
      </c>
      <c r="H98" s="726">
        <f>SUMIFS('Schedule 4'!$F$89:$F$649,'Schedule 4'!$I$89:$I$649,'Well Cal.'!H$3,'Schedule 4'!$J$89:$J$649,'Well Cal.'!$E98)</f>
        <v>0</v>
      </c>
      <c r="I98" s="726">
        <f>SUMIFS('Schedule 4'!$F$89:$F$649,'Schedule 4'!$I$89:$I$649,'Well Cal.'!I$3,'Schedule 4'!$J$89:$J$649,'Well Cal.'!$E98)</f>
        <v>0</v>
      </c>
      <c r="J98" s="726">
        <f>SUMIFS('Schedule 4'!$F$89:$F$649,'Schedule 4'!$I$89:$I$649,'Well Cal.'!J$3,'Schedule 4'!$J$89:$J$649,'Well Cal.'!$E98)</f>
        <v>0</v>
      </c>
      <c r="K98" s="726">
        <f>SUMIFS('Schedule 4'!$F$89:$F$649,'Schedule 4'!$I$89:$I$649,'Well Cal.'!K$3,'Schedule 4'!$J$89:$J$649,'Well Cal.'!$E98)</f>
        <v>0</v>
      </c>
      <c r="L98" s="726">
        <f>SUMIFS('Schedule 4'!$F$89:$F$649,'Schedule 4'!$I$89:$I$649,'Well Cal.'!L$3,'Schedule 4'!$J$89:$J$649,'Well Cal.'!$E98)</f>
        <v>0</v>
      </c>
      <c r="M98" s="726">
        <f>SUMIFS('Schedule 4'!$F$89:$F$649,'Schedule 4'!$I$89:$I$649,'Well Cal.'!M$3,'Schedule 4'!$J$89:$J$649,'Well Cal.'!$E98)</f>
        <v>0</v>
      </c>
      <c r="N98" s="726">
        <f>SUMIFS('Schedule 4'!$F$89:$F$649,'Schedule 4'!$I$89:$I$649,'Well Cal.'!N$3,'Schedule 4'!$J$89:$J$649,'Well Cal.'!$E98)</f>
        <v>0</v>
      </c>
      <c r="O98" s="726">
        <f>SUMIFS('Schedule 4'!$F$89:$F$649,'Schedule 4'!$I$89:$I$649,'Well Cal.'!O$3,'Schedule 4'!$J$89:$J$649,'Well Cal.'!$E98)</f>
        <v>0</v>
      </c>
      <c r="P98" s="726">
        <f>SUMIFS('Schedule 4'!$F$89:$F$649,'Schedule 4'!$I$89:$I$649,'Well Cal.'!P$3,'Schedule 4'!$J$89:$J$649,'Well Cal.'!$E98)</f>
        <v>0</v>
      </c>
      <c r="Q98" s="726">
        <f>SUMIFS('Schedule 4'!$F$89:$F$649,'Schedule 4'!$I$89:$I$649,'Well Cal.'!Q$3,'Schedule 4'!$J$89:$J$649,'Well Cal.'!$E98)</f>
        <v>0</v>
      </c>
      <c r="R98" s="726">
        <f>SUMIFS('Schedule 4'!$F$89:$F$649,'Schedule 4'!$I$89:$I$649,'Well Cal.'!R$3,'Schedule 4'!$J$89:$J$649,'Well Cal.'!$E98)</f>
        <v>0</v>
      </c>
      <c r="S98" s="726">
        <f>SUMIFS('Schedule 4'!$F$89:$F$649,'Schedule 4'!$I$89:$I$649,'Well Cal.'!S$3,'Schedule 4'!$J$89:$J$649,'Well Cal.'!$E98)</f>
        <v>0</v>
      </c>
      <c r="T98" s="726">
        <f>SUMIFS('Schedule 4'!$F$89:$F$649,'Schedule 4'!$I$89:$I$649,'Well Cal.'!T$3,'Schedule 4'!$J$89:$J$649,'Well Cal.'!$E98)</f>
        <v>0</v>
      </c>
      <c r="U98" s="726">
        <f>SUMIFS('Schedule 4'!$F$89:$F$649,'Schedule 4'!$I$89:$I$649,'Well Cal.'!U$3,'Schedule 4'!$J$89:$J$649,'Well Cal.'!$E98)</f>
        <v>0</v>
      </c>
      <c r="V98" s="726">
        <f>SUMIFS('Schedule 4'!$F$89:$F$649,'Schedule 4'!$I$89:$I$649,'Well Cal.'!V$3,'Schedule 4'!$J$89:$J$649,'Well Cal.'!$E98)</f>
        <v>0</v>
      </c>
      <c r="W98" s="726">
        <f>SUMIFS('Schedule 4'!$F$89:$F$649,'Schedule 4'!$I$89:$I$649,'Well Cal.'!W$3,'Schedule 4'!$J$89:$J$649,'Well Cal.'!$E98)</f>
        <v>0</v>
      </c>
      <c r="X98" s="726">
        <f>SUMIFS('Schedule 4'!$F$89:$F$649,'Schedule 4'!$I$89:$I$649,'Well Cal.'!X$3,'Schedule 4'!$J$89:$J$649,'Well Cal.'!$E98)</f>
        <v>0</v>
      </c>
      <c r="Y98" s="726">
        <f>SUMIFS('Schedule 4'!$F$89:$F$649,'Schedule 4'!$I$89:$I$649,'Well Cal.'!Y$3,'Schedule 4'!$J$89:$J$649,'Well Cal.'!$E98)</f>
        <v>0</v>
      </c>
      <c r="Z98" s="726">
        <f>SUMIFS('Schedule 4'!$F$89:$F$649,'Schedule 4'!$I$89:$I$649,'Well Cal.'!Z$3,'Schedule 4'!$J$89:$J$649,'Well Cal.'!$E98)</f>
        <v>0</v>
      </c>
      <c r="AA98" s="726"/>
      <c r="AB98" s="1721"/>
      <c r="AC98" s="1731"/>
    </row>
    <row r="99" spans="2:29" x14ac:dyDescent="0.3">
      <c r="B99" s="1724"/>
      <c r="C99" s="1727"/>
      <c r="D99" s="1721"/>
      <c r="E99" s="775" t="s">
        <v>3824</v>
      </c>
      <c r="F99" s="726">
        <f>SUMIFS('Schedule 4'!$F$89:$F$649,'Schedule 4'!$I$89:$I$649,'Well Cal.'!F$3,'Schedule 4'!$J$89:$J$649,'Well Cal.'!$E99)</f>
        <v>0</v>
      </c>
      <c r="G99" s="726">
        <f>SUMIFS('Schedule 4'!$F$89:$F$649,'Schedule 4'!$I$89:$I$649,'Well Cal.'!G$3,'Schedule 4'!$J$89:$J$649,'Well Cal.'!$E99)</f>
        <v>0</v>
      </c>
      <c r="H99" s="726">
        <f>SUMIFS('Schedule 4'!$F$89:$F$649,'Schedule 4'!$I$89:$I$649,'Well Cal.'!H$3,'Schedule 4'!$J$89:$J$649,'Well Cal.'!$E99)</f>
        <v>0</v>
      </c>
      <c r="I99" s="726">
        <f>SUMIFS('Schedule 4'!$F$89:$F$649,'Schedule 4'!$I$89:$I$649,'Well Cal.'!I$3,'Schedule 4'!$J$89:$J$649,'Well Cal.'!$E99)</f>
        <v>0</v>
      </c>
      <c r="J99" s="726">
        <f>SUMIFS('Schedule 4'!$F$89:$F$649,'Schedule 4'!$I$89:$I$649,'Well Cal.'!J$3,'Schedule 4'!$J$89:$J$649,'Well Cal.'!$E99)</f>
        <v>0</v>
      </c>
      <c r="K99" s="726">
        <f>SUMIFS('Schedule 4'!$F$89:$F$649,'Schedule 4'!$I$89:$I$649,'Well Cal.'!K$3,'Schedule 4'!$J$89:$J$649,'Well Cal.'!$E99)</f>
        <v>0</v>
      </c>
      <c r="L99" s="726">
        <f>SUMIFS('Schedule 4'!$F$89:$F$649,'Schedule 4'!$I$89:$I$649,'Well Cal.'!L$3,'Schedule 4'!$J$89:$J$649,'Well Cal.'!$E99)</f>
        <v>0</v>
      </c>
      <c r="M99" s="726">
        <f>SUMIFS('Schedule 4'!$F$89:$F$649,'Schedule 4'!$I$89:$I$649,'Well Cal.'!M$3,'Schedule 4'!$J$89:$J$649,'Well Cal.'!$E99)</f>
        <v>0</v>
      </c>
      <c r="N99" s="726">
        <f>SUMIFS('Schedule 4'!$F$89:$F$649,'Schedule 4'!$I$89:$I$649,'Well Cal.'!N$3,'Schedule 4'!$J$89:$J$649,'Well Cal.'!$E99)</f>
        <v>0</v>
      </c>
      <c r="O99" s="726">
        <f>SUMIFS('Schedule 4'!$F$89:$F$649,'Schedule 4'!$I$89:$I$649,'Well Cal.'!O$3,'Schedule 4'!$J$89:$J$649,'Well Cal.'!$E99)</f>
        <v>0</v>
      </c>
      <c r="P99" s="726">
        <f>SUMIFS('Schedule 4'!$F$89:$F$649,'Schedule 4'!$I$89:$I$649,'Well Cal.'!P$3,'Schedule 4'!$J$89:$J$649,'Well Cal.'!$E99)</f>
        <v>0</v>
      </c>
      <c r="Q99" s="726">
        <f>SUMIFS('Schedule 4'!$F$89:$F$649,'Schedule 4'!$I$89:$I$649,'Well Cal.'!Q$3,'Schedule 4'!$J$89:$J$649,'Well Cal.'!$E99)</f>
        <v>0</v>
      </c>
      <c r="R99" s="726">
        <f>SUMIFS('Schedule 4'!$F$89:$F$649,'Schedule 4'!$I$89:$I$649,'Well Cal.'!R$3,'Schedule 4'!$J$89:$J$649,'Well Cal.'!$E99)</f>
        <v>0</v>
      </c>
      <c r="S99" s="726">
        <f>SUMIFS('Schedule 4'!$F$89:$F$649,'Schedule 4'!$I$89:$I$649,'Well Cal.'!S$3,'Schedule 4'!$J$89:$J$649,'Well Cal.'!$E99)</f>
        <v>0</v>
      </c>
      <c r="T99" s="726">
        <f>SUMIFS('Schedule 4'!$F$89:$F$649,'Schedule 4'!$I$89:$I$649,'Well Cal.'!T$3,'Schedule 4'!$J$89:$J$649,'Well Cal.'!$E99)</f>
        <v>0</v>
      </c>
      <c r="U99" s="726">
        <f>SUMIFS('Schedule 4'!$F$89:$F$649,'Schedule 4'!$I$89:$I$649,'Well Cal.'!U$3,'Schedule 4'!$J$89:$J$649,'Well Cal.'!$E99)</f>
        <v>0</v>
      </c>
      <c r="V99" s="726">
        <f>SUMIFS('Schedule 4'!$F$89:$F$649,'Schedule 4'!$I$89:$I$649,'Well Cal.'!V$3,'Schedule 4'!$J$89:$J$649,'Well Cal.'!$E99)</f>
        <v>0</v>
      </c>
      <c r="W99" s="726">
        <f>SUMIFS('Schedule 4'!$F$89:$F$649,'Schedule 4'!$I$89:$I$649,'Well Cal.'!W$3,'Schedule 4'!$J$89:$J$649,'Well Cal.'!$E99)</f>
        <v>0</v>
      </c>
      <c r="X99" s="726">
        <f>SUMIFS('Schedule 4'!$F$89:$F$649,'Schedule 4'!$I$89:$I$649,'Well Cal.'!X$3,'Schedule 4'!$J$89:$J$649,'Well Cal.'!$E99)</f>
        <v>0</v>
      </c>
      <c r="Y99" s="726">
        <f>SUMIFS('Schedule 4'!$F$89:$F$649,'Schedule 4'!$I$89:$I$649,'Well Cal.'!Y$3,'Schedule 4'!$J$89:$J$649,'Well Cal.'!$E99)</f>
        <v>0</v>
      </c>
      <c r="Z99" s="726">
        <f>SUMIFS('Schedule 4'!$F$89:$F$649,'Schedule 4'!$I$89:$I$649,'Well Cal.'!Z$3,'Schedule 4'!$J$89:$J$649,'Well Cal.'!$E99)</f>
        <v>0</v>
      </c>
      <c r="AA99" s="726"/>
      <c r="AB99" s="1721"/>
      <c r="AC99" s="1731"/>
    </row>
    <row r="100" spans="2:29" x14ac:dyDescent="0.3">
      <c r="B100" s="1724"/>
      <c r="C100" s="1727"/>
      <c r="D100" s="1721"/>
      <c r="E100" s="775" t="s">
        <v>3882</v>
      </c>
      <c r="F100" s="726">
        <f>SUMIFS('Schedule 4'!$F$89:$F$649,'Schedule 4'!$I$89:$I$649,'Well Cal.'!F$3,'Schedule 4'!$J$89:$J$649,'Well Cal.'!$E100)</f>
        <v>0</v>
      </c>
      <c r="G100" s="726">
        <f>SUMIFS('Schedule 4'!$F$89:$F$649,'Schedule 4'!$I$89:$I$649,'Well Cal.'!G$3,'Schedule 4'!$J$89:$J$649,'Well Cal.'!$E100)</f>
        <v>0</v>
      </c>
      <c r="H100" s="726">
        <f>SUMIFS('Schedule 4'!$F$89:$F$649,'Schedule 4'!$I$89:$I$649,'Well Cal.'!H$3,'Schedule 4'!$J$89:$J$649,'Well Cal.'!$E100)</f>
        <v>0</v>
      </c>
      <c r="I100" s="726">
        <f>SUMIFS('Schedule 4'!$F$89:$F$649,'Schedule 4'!$I$89:$I$649,'Well Cal.'!I$3,'Schedule 4'!$J$89:$J$649,'Well Cal.'!$E100)</f>
        <v>0</v>
      </c>
      <c r="J100" s="726">
        <f>SUMIFS('Schedule 4'!$F$89:$F$649,'Schedule 4'!$I$89:$I$649,'Well Cal.'!J$3,'Schedule 4'!$J$89:$J$649,'Well Cal.'!$E100)</f>
        <v>0</v>
      </c>
      <c r="K100" s="726">
        <f>SUMIFS('Schedule 4'!$F$89:$F$649,'Schedule 4'!$I$89:$I$649,'Well Cal.'!K$3,'Schedule 4'!$J$89:$J$649,'Well Cal.'!$E100)</f>
        <v>0</v>
      </c>
      <c r="L100" s="726">
        <f>SUMIFS('Schedule 4'!$F$89:$F$649,'Schedule 4'!$I$89:$I$649,'Well Cal.'!L$3,'Schedule 4'!$J$89:$J$649,'Well Cal.'!$E100)</f>
        <v>0</v>
      </c>
      <c r="M100" s="726">
        <f>SUMIFS('Schedule 4'!$F$89:$F$649,'Schedule 4'!$I$89:$I$649,'Well Cal.'!M$3,'Schedule 4'!$J$89:$J$649,'Well Cal.'!$E100)</f>
        <v>0</v>
      </c>
      <c r="N100" s="726">
        <f>SUMIFS('Schedule 4'!$F$89:$F$649,'Schedule 4'!$I$89:$I$649,'Well Cal.'!N$3,'Schedule 4'!$J$89:$J$649,'Well Cal.'!$E100)</f>
        <v>0</v>
      </c>
      <c r="O100" s="726">
        <f>SUMIFS('Schedule 4'!$F$89:$F$649,'Schedule 4'!$I$89:$I$649,'Well Cal.'!O$3,'Schedule 4'!$J$89:$J$649,'Well Cal.'!$E100)</f>
        <v>0</v>
      </c>
      <c r="P100" s="726">
        <f>SUMIFS('Schedule 4'!$F$89:$F$649,'Schedule 4'!$I$89:$I$649,'Well Cal.'!P$3,'Schedule 4'!$J$89:$J$649,'Well Cal.'!$E100)</f>
        <v>0</v>
      </c>
      <c r="Q100" s="726">
        <f>SUMIFS('Schedule 4'!$F$89:$F$649,'Schedule 4'!$I$89:$I$649,'Well Cal.'!Q$3,'Schedule 4'!$J$89:$J$649,'Well Cal.'!$E100)</f>
        <v>0</v>
      </c>
      <c r="R100" s="726">
        <f>SUMIFS('Schedule 4'!$F$89:$F$649,'Schedule 4'!$I$89:$I$649,'Well Cal.'!R$3,'Schedule 4'!$J$89:$J$649,'Well Cal.'!$E100)</f>
        <v>0</v>
      </c>
      <c r="S100" s="726">
        <f>SUMIFS('Schedule 4'!$F$89:$F$649,'Schedule 4'!$I$89:$I$649,'Well Cal.'!S$3,'Schedule 4'!$J$89:$J$649,'Well Cal.'!$E100)</f>
        <v>0</v>
      </c>
      <c r="T100" s="726">
        <f>SUMIFS('Schedule 4'!$F$89:$F$649,'Schedule 4'!$I$89:$I$649,'Well Cal.'!T$3,'Schedule 4'!$J$89:$J$649,'Well Cal.'!$E100)</f>
        <v>0</v>
      </c>
      <c r="U100" s="726">
        <f>SUMIFS('Schedule 4'!$F$89:$F$649,'Schedule 4'!$I$89:$I$649,'Well Cal.'!U$3,'Schedule 4'!$J$89:$J$649,'Well Cal.'!$E100)</f>
        <v>0</v>
      </c>
      <c r="V100" s="726">
        <f>SUMIFS('Schedule 4'!$F$89:$F$649,'Schedule 4'!$I$89:$I$649,'Well Cal.'!V$3,'Schedule 4'!$J$89:$J$649,'Well Cal.'!$E100)</f>
        <v>0</v>
      </c>
      <c r="W100" s="726">
        <f>SUMIFS('Schedule 4'!$F$89:$F$649,'Schedule 4'!$I$89:$I$649,'Well Cal.'!W$3,'Schedule 4'!$J$89:$J$649,'Well Cal.'!$E100)</f>
        <v>0</v>
      </c>
      <c r="X100" s="726">
        <f>SUMIFS('Schedule 4'!$F$89:$F$649,'Schedule 4'!$I$89:$I$649,'Well Cal.'!X$3,'Schedule 4'!$J$89:$J$649,'Well Cal.'!$E100)</f>
        <v>0</v>
      </c>
      <c r="Y100" s="726">
        <f>SUMIFS('Schedule 4'!$F$89:$F$649,'Schedule 4'!$I$89:$I$649,'Well Cal.'!Y$3,'Schedule 4'!$J$89:$J$649,'Well Cal.'!$E100)</f>
        <v>0</v>
      </c>
      <c r="Z100" s="726">
        <f>SUMIFS('Schedule 4'!$F$89:$F$649,'Schedule 4'!$I$89:$I$649,'Well Cal.'!Z$3,'Schedule 4'!$J$89:$J$649,'Well Cal.'!$E100)</f>
        <v>0</v>
      </c>
      <c r="AA100" s="726"/>
      <c r="AB100" s="1721"/>
      <c r="AC100" s="1731"/>
    </row>
    <row r="101" spans="2:29" x14ac:dyDescent="0.3">
      <c r="B101" s="1724"/>
      <c r="C101" s="1727"/>
      <c r="D101" s="1721"/>
      <c r="E101" s="775" t="s">
        <v>3956</v>
      </c>
      <c r="F101" s="726">
        <f>SUMIFS('Schedule 4'!$F$89:$F$649,'Schedule 4'!$I$89:$I$649,'Well Cal.'!F$3,'Schedule 4'!$J$89:$J$649,'Well Cal.'!$E101)</f>
        <v>0</v>
      </c>
      <c r="G101" s="726">
        <f>SUMIFS('Schedule 4'!$F$89:$F$649,'Schedule 4'!$I$89:$I$649,'Well Cal.'!G$3,'Schedule 4'!$J$89:$J$649,'Well Cal.'!$E101)</f>
        <v>0</v>
      </c>
      <c r="H101" s="726">
        <f>SUMIFS('Schedule 4'!$F$89:$F$649,'Schedule 4'!$I$89:$I$649,'Well Cal.'!H$3,'Schedule 4'!$J$89:$J$649,'Well Cal.'!$E101)</f>
        <v>0</v>
      </c>
      <c r="I101" s="726">
        <f>SUMIFS('Schedule 4'!$F$89:$F$649,'Schedule 4'!$I$89:$I$649,'Well Cal.'!I$3,'Schedule 4'!$J$89:$J$649,'Well Cal.'!$E101)</f>
        <v>0</v>
      </c>
      <c r="J101" s="726">
        <f>SUMIFS('Schedule 4'!$F$89:$F$649,'Schedule 4'!$I$89:$I$649,'Well Cal.'!J$3,'Schedule 4'!$J$89:$J$649,'Well Cal.'!$E101)</f>
        <v>0</v>
      </c>
      <c r="K101" s="726">
        <f>SUMIFS('Schedule 4'!$F$89:$F$649,'Schedule 4'!$I$89:$I$649,'Well Cal.'!K$3,'Schedule 4'!$J$89:$J$649,'Well Cal.'!$E101)</f>
        <v>0</v>
      </c>
      <c r="L101" s="726">
        <f>SUMIFS('Schedule 4'!$F$89:$F$649,'Schedule 4'!$I$89:$I$649,'Well Cal.'!L$3,'Schedule 4'!$J$89:$J$649,'Well Cal.'!$E101)</f>
        <v>0</v>
      </c>
      <c r="M101" s="726">
        <f>SUMIFS('Schedule 4'!$F$89:$F$649,'Schedule 4'!$I$89:$I$649,'Well Cal.'!M$3,'Schedule 4'!$J$89:$J$649,'Well Cal.'!$E101)</f>
        <v>0</v>
      </c>
      <c r="N101" s="726">
        <f>SUMIFS('Schedule 4'!$F$89:$F$649,'Schedule 4'!$I$89:$I$649,'Well Cal.'!N$3,'Schedule 4'!$J$89:$J$649,'Well Cal.'!$E101)</f>
        <v>0</v>
      </c>
      <c r="O101" s="726">
        <f>SUMIFS('Schedule 4'!$F$89:$F$649,'Schedule 4'!$I$89:$I$649,'Well Cal.'!O$3,'Schedule 4'!$J$89:$J$649,'Well Cal.'!$E101)</f>
        <v>0</v>
      </c>
      <c r="P101" s="726">
        <f>SUMIFS('Schedule 4'!$F$89:$F$649,'Schedule 4'!$I$89:$I$649,'Well Cal.'!P$3,'Schedule 4'!$J$89:$J$649,'Well Cal.'!$E101)</f>
        <v>0</v>
      </c>
      <c r="Q101" s="726">
        <f>SUMIFS('Schedule 4'!$F$89:$F$649,'Schedule 4'!$I$89:$I$649,'Well Cal.'!Q$3,'Schedule 4'!$J$89:$J$649,'Well Cal.'!$E101)</f>
        <v>0</v>
      </c>
      <c r="R101" s="726">
        <f>SUMIFS('Schedule 4'!$F$89:$F$649,'Schedule 4'!$I$89:$I$649,'Well Cal.'!R$3,'Schedule 4'!$J$89:$J$649,'Well Cal.'!$E101)</f>
        <v>0</v>
      </c>
      <c r="S101" s="726">
        <f>SUMIFS('Schedule 4'!$F$89:$F$649,'Schedule 4'!$I$89:$I$649,'Well Cal.'!S$3,'Schedule 4'!$J$89:$J$649,'Well Cal.'!$E101)</f>
        <v>0</v>
      </c>
      <c r="T101" s="726">
        <f>SUMIFS('Schedule 4'!$F$89:$F$649,'Schedule 4'!$I$89:$I$649,'Well Cal.'!T$3,'Schedule 4'!$J$89:$J$649,'Well Cal.'!$E101)</f>
        <v>0</v>
      </c>
      <c r="U101" s="726">
        <f>SUMIFS('Schedule 4'!$F$89:$F$649,'Schedule 4'!$I$89:$I$649,'Well Cal.'!U$3,'Schedule 4'!$J$89:$J$649,'Well Cal.'!$E101)</f>
        <v>0</v>
      </c>
      <c r="V101" s="726">
        <f>SUMIFS('Schedule 4'!$F$89:$F$649,'Schedule 4'!$I$89:$I$649,'Well Cal.'!V$3,'Schedule 4'!$J$89:$J$649,'Well Cal.'!$E101)</f>
        <v>0</v>
      </c>
      <c r="W101" s="726">
        <f>SUMIFS('Schedule 4'!$F$89:$F$649,'Schedule 4'!$I$89:$I$649,'Well Cal.'!W$3,'Schedule 4'!$J$89:$J$649,'Well Cal.'!$E101)</f>
        <v>0</v>
      </c>
      <c r="X101" s="726">
        <f>SUMIFS('Schedule 4'!$F$89:$F$649,'Schedule 4'!$I$89:$I$649,'Well Cal.'!X$3,'Schedule 4'!$J$89:$J$649,'Well Cal.'!$E101)</f>
        <v>0</v>
      </c>
      <c r="Y101" s="726">
        <f>SUMIFS('Schedule 4'!$F$89:$F$649,'Schedule 4'!$I$89:$I$649,'Well Cal.'!Y$3,'Schedule 4'!$J$89:$J$649,'Well Cal.'!$E101)</f>
        <v>0</v>
      </c>
      <c r="Z101" s="726">
        <f>SUMIFS('Schedule 4'!$F$89:$F$649,'Schedule 4'!$I$89:$I$649,'Well Cal.'!Z$3,'Schedule 4'!$J$89:$J$649,'Well Cal.'!$E101)</f>
        <v>0</v>
      </c>
      <c r="AA101" s="726"/>
      <c r="AB101" s="1721"/>
      <c r="AC101" s="1731"/>
    </row>
    <row r="102" spans="2:29" x14ac:dyDescent="0.3">
      <c r="B102" s="1724"/>
      <c r="C102" s="1727"/>
      <c r="D102" s="1721"/>
      <c r="E102" s="775" t="s">
        <v>4033</v>
      </c>
      <c r="F102" s="726">
        <f>SUMIFS('Schedule 4'!$F$89:$F$649,'Schedule 4'!$I$89:$I$649,'Well Cal.'!F$3,'Schedule 4'!$J$89:$J$649,'Well Cal.'!$E102)</f>
        <v>0</v>
      </c>
      <c r="G102" s="726">
        <f>SUMIFS('Schedule 4'!$F$89:$F$649,'Schedule 4'!$I$89:$I$649,'Well Cal.'!G$3,'Schedule 4'!$J$89:$J$649,'Well Cal.'!$E102)</f>
        <v>0</v>
      </c>
      <c r="H102" s="726">
        <f>SUMIFS('Schedule 4'!$F$89:$F$649,'Schedule 4'!$I$89:$I$649,'Well Cal.'!H$3,'Schedule 4'!$J$89:$J$649,'Well Cal.'!$E102)</f>
        <v>0</v>
      </c>
      <c r="I102" s="726">
        <f>SUMIFS('Schedule 4'!$F$89:$F$649,'Schedule 4'!$I$89:$I$649,'Well Cal.'!I$3,'Schedule 4'!$J$89:$J$649,'Well Cal.'!$E102)</f>
        <v>0</v>
      </c>
      <c r="J102" s="726">
        <f>SUMIFS('Schedule 4'!$F$89:$F$649,'Schedule 4'!$I$89:$I$649,'Well Cal.'!J$3,'Schedule 4'!$J$89:$J$649,'Well Cal.'!$E102)</f>
        <v>0</v>
      </c>
      <c r="K102" s="726">
        <f>SUMIFS('Schedule 4'!$F$89:$F$649,'Schedule 4'!$I$89:$I$649,'Well Cal.'!K$3,'Schedule 4'!$J$89:$J$649,'Well Cal.'!$E102)</f>
        <v>0</v>
      </c>
      <c r="L102" s="726">
        <f>SUMIFS('Schedule 4'!$F$89:$F$649,'Schedule 4'!$I$89:$I$649,'Well Cal.'!L$3,'Schedule 4'!$J$89:$J$649,'Well Cal.'!$E102)</f>
        <v>0</v>
      </c>
      <c r="M102" s="726">
        <f>SUMIFS('Schedule 4'!$F$89:$F$649,'Schedule 4'!$I$89:$I$649,'Well Cal.'!M$3,'Schedule 4'!$J$89:$J$649,'Well Cal.'!$E102)</f>
        <v>0</v>
      </c>
      <c r="N102" s="726">
        <f>SUMIFS('Schedule 4'!$F$89:$F$649,'Schedule 4'!$I$89:$I$649,'Well Cal.'!N$3,'Schedule 4'!$J$89:$J$649,'Well Cal.'!$E102)</f>
        <v>0</v>
      </c>
      <c r="O102" s="726">
        <f>SUMIFS('Schedule 4'!$F$89:$F$649,'Schedule 4'!$I$89:$I$649,'Well Cal.'!O$3,'Schedule 4'!$J$89:$J$649,'Well Cal.'!$E102)</f>
        <v>0</v>
      </c>
      <c r="P102" s="726">
        <f>SUMIFS('Schedule 4'!$F$89:$F$649,'Schedule 4'!$I$89:$I$649,'Well Cal.'!P$3,'Schedule 4'!$J$89:$J$649,'Well Cal.'!$E102)</f>
        <v>0</v>
      </c>
      <c r="Q102" s="726">
        <f>SUMIFS('Schedule 4'!$F$89:$F$649,'Schedule 4'!$I$89:$I$649,'Well Cal.'!Q$3,'Schedule 4'!$J$89:$J$649,'Well Cal.'!$E102)</f>
        <v>0</v>
      </c>
      <c r="R102" s="726">
        <f>SUMIFS('Schedule 4'!$F$89:$F$649,'Schedule 4'!$I$89:$I$649,'Well Cal.'!R$3,'Schedule 4'!$J$89:$J$649,'Well Cal.'!$E102)</f>
        <v>0</v>
      </c>
      <c r="S102" s="726">
        <f>SUMIFS('Schedule 4'!$F$89:$F$649,'Schedule 4'!$I$89:$I$649,'Well Cal.'!S$3,'Schedule 4'!$J$89:$J$649,'Well Cal.'!$E102)</f>
        <v>0</v>
      </c>
      <c r="T102" s="726">
        <f>SUMIFS('Schedule 4'!$F$89:$F$649,'Schedule 4'!$I$89:$I$649,'Well Cal.'!T$3,'Schedule 4'!$J$89:$J$649,'Well Cal.'!$E102)</f>
        <v>0</v>
      </c>
      <c r="U102" s="726">
        <f>SUMIFS('Schedule 4'!$F$89:$F$649,'Schedule 4'!$I$89:$I$649,'Well Cal.'!U$3,'Schedule 4'!$J$89:$J$649,'Well Cal.'!$E102)</f>
        <v>0</v>
      </c>
      <c r="V102" s="726">
        <f>SUMIFS('Schedule 4'!$F$89:$F$649,'Schedule 4'!$I$89:$I$649,'Well Cal.'!V$3,'Schedule 4'!$J$89:$J$649,'Well Cal.'!$E102)</f>
        <v>0</v>
      </c>
      <c r="W102" s="726">
        <f>SUMIFS('Schedule 4'!$F$89:$F$649,'Schedule 4'!$I$89:$I$649,'Well Cal.'!W$3,'Schedule 4'!$J$89:$J$649,'Well Cal.'!$E102)</f>
        <v>0</v>
      </c>
      <c r="X102" s="726">
        <f>SUMIFS('Schedule 4'!$F$89:$F$649,'Schedule 4'!$I$89:$I$649,'Well Cal.'!X$3,'Schedule 4'!$J$89:$J$649,'Well Cal.'!$E102)</f>
        <v>0</v>
      </c>
      <c r="Y102" s="726">
        <f>SUMIFS('Schedule 4'!$F$89:$F$649,'Schedule 4'!$I$89:$I$649,'Well Cal.'!Y$3,'Schedule 4'!$J$89:$J$649,'Well Cal.'!$E102)</f>
        <v>0</v>
      </c>
      <c r="Z102" s="726">
        <f>SUMIFS('Schedule 4'!$F$89:$F$649,'Schedule 4'!$I$89:$I$649,'Well Cal.'!Z$3,'Schedule 4'!$J$89:$J$649,'Well Cal.'!$E102)</f>
        <v>0</v>
      </c>
      <c r="AA102" s="726"/>
      <c r="AB102" s="1721"/>
      <c r="AC102" s="1731"/>
    </row>
    <row r="103" spans="2:29" x14ac:dyDescent="0.3">
      <c r="B103" s="1724"/>
      <c r="C103" s="1727"/>
      <c r="D103" s="1721"/>
      <c r="E103" s="775" t="s">
        <v>4101</v>
      </c>
      <c r="F103" s="726">
        <f>SUMIFS('Schedule 4'!$F$89:$F$649,'Schedule 4'!$I$89:$I$649,'Well Cal.'!F$3,'Schedule 4'!$J$89:$J$649,'Well Cal.'!$E103)</f>
        <v>0</v>
      </c>
      <c r="G103" s="726">
        <f>SUMIFS('Schedule 4'!$F$89:$F$649,'Schedule 4'!$I$89:$I$649,'Well Cal.'!G$3,'Schedule 4'!$J$89:$J$649,'Well Cal.'!$E103)</f>
        <v>0</v>
      </c>
      <c r="H103" s="726">
        <f>SUMIFS('Schedule 4'!$F$89:$F$649,'Schedule 4'!$I$89:$I$649,'Well Cal.'!H$3,'Schedule 4'!$J$89:$J$649,'Well Cal.'!$E103)</f>
        <v>0</v>
      </c>
      <c r="I103" s="726">
        <f>SUMIFS('Schedule 4'!$F$89:$F$649,'Schedule 4'!$I$89:$I$649,'Well Cal.'!I$3,'Schedule 4'!$J$89:$J$649,'Well Cal.'!$E103)</f>
        <v>0</v>
      </c>
      <c r="J103" s="726">
        <f>SUMIFS('Schedule 4'!$F$89:$F$649,'Schedule 4'!$I$89:$I$649,'Well Cal.'!J$3,'Schedule 4'!$J$89:$J$649,'Well Cal.'!$E103)</f>
        <v>0</v>
      </c>
      <c r="K103" s="726">
        <f>SUMIFS('Schedule 4'!$F$89:$F$649,'Schedule 4'!$I$89:$I$649,'Well Cal.'!K$3,'Schedule 4'!$J$89:$J$649,'Well Cal.'!$E103)</f>
        <v>0</v>
      </c>
      <c r="L103" s="726">
        <f>SUMIFS('Schedule 4'!$F$89:$F$649,'Schedule 4'!$I$89:$I$649,'Well Cal.'!L$3,'Schedule 4'!$J$89:$J$649,'Well Cal.'!$E103)</f>
        <v>0</v>
      </c>
      <c r="M103" s="726">
        <f>SUMIFS('Schedule 4'!$F$89:$F$649,'Schedule 4'!$I$89:$I$649,'Well Cal.'!M$3,'Schedule 4'!$J$89:$J$649,'Well Cal.'!$E103)</f>
        <v>0</v>
      </c>
      <c r="N103" s="726">
        <f>SUMIFS('Schedule 4'!$F$89:$F$649,'Schedule 4'!$I$89:$I$649,'Well Cal.'!N$3,'Schedule 4'!$J$89:$J$649,'Well Cal.'!$E103)</f>
        <v>0</v>
      </c>
      <c r="O103" s="726">
        <f>SUMIFS('Schedule 4'!$F$89:$F$649,'Schedule 4'!$I$89:$I$649,'Well Cal.'!O$3,'Schedule 4'!$J$89:$J$649,'Well Cal.'!$E103)</f>
        <v>0</v>
      </c>
      <c r="P103" s="726">
        <f>SUMIFS('Schedule 4'!$F$89:$F$649,'Schedule 4'!$I$89:$I$649,'Well Cal.'!P$3,'Schedule 4'!$J$89:$J$649,'Well Cal.'!$E103)</f>
        <v>0</v>
      </c>
      <c r="Q103" s="726">
        <f>SUMIFS('Schedule 4'!$F$89:$F$649,'Schedule 4'!$I$89:$I$649,'Well Cal.'!Q$3,'Schedule 4'!$J$89:$J$649,'Well Cal.'!$E103)</f>
        <v>0</v>
      </c>
      <c r="R103" s="726">
        <f>SUMIFS('Schedule 4'!$F$89:$F$649,'Schedule 4'!$I$89:$I$649,'Well Cal.'!R$3,'Schedule 4'!$J$89:$J$649,'Well Cal.'!$E103)</f>
        <v>0</v>
      </c>
      <c r="S103" s="726">
        <f>SUMIFS('Schedule 4'!$F$89:$F$649,'Schedule 4'!$I$89:$I$649,'Well Cal.'!S$3,'Schedule 4'!$J$89:$J$649,'Well Cal.'!$E103)</f>
        <v>0</v>
      </c>
      <c r="T103" s="726">
        <f>SUMIFS('Schedule 4'!$F$89:$F$649,'Schedule 4'!$I$89:$I$649,'Well Cal.'!T$3,'Schedule 4'!$J$89:$J$649,'Well Cal.'!$E103)</f>
        <v>0</v>
      </c>
      <c r="U103" s="726">
        <f>SUMIFS('Schedule 4'!$F$89:$F$649,'Schedule 4'!$I$89:$I$649,'Well Cal.'!U$3,'Schedule 4'!$J$89:$J$649,'Well Cal.'!$E103)</f>
        <v>0</v>
      </c>
      <c r="V103" s="726">
        <f>SUMIFS('Schedule 4'!$F$89:$F$649,'Schedule 4'!$I$89:$I$649,'Well Cal.'!V$3,'Schedule 4'!$J$89:$J$649,'Well Cal.'!$E103)</f>
        <v>0</v>
      </c>
      <c r="W103" s="726">
        <f>SUMIFS('Schedule 4'!$F$89:$F$649,'Schedule 4'!$I$89:$I$649,'Well Cal.'!W$3,'Schedule 4'!$J$89:$J$649,'Well Cal.'!$E103)</f>
        <v>0</v>
      </c>
      <c r="X103" s="726">
        <f>SUMIFS('Schedule 4'!$F$89:$F$649,'Schedule 4'!$I$89:$I$649,'Well Cal.'!X$3,'Schedule 4'!$J$89:$J$649,'Well Cal.'!$E103)</f>
        <v>0</v>
      </c>
      <c r="Y103" s="726">
        <f>SUMIFS('Schedule 4'!$F$89:$F$649,'Schedule 4'!$I$89:$I$649,'Well Cal.'!Y$3,'Schedule 4'!$J$89:$J$649,'Well Cal.'!$E103)</f>
        <v>0</v>
      </c>
      <c r="Z103" s="726">
        <f>SUMIFS('Schedule 4'!$F$89:$F$649,'Schedule 4'!$I$89:$I$649,'Well Cal.'!Z$3,'Schedule 4'!$J$89:$J$649,'Well Cal.'!$E103)</f>
        <v>0</v>
      </c>
      <c r="AA103" s="726"/>
      <c r="AB103" s="1721"/>
      <c r="AC103" s="1731"/>
    </row>
    <row r="104" spans="2:29" x14ac:dyDescent="0.3">
      <c r="B104" s="1724"/>
      <c r="C104" s="1727"/>
      <c r="D104" s="1721"/>
      <c r="E104" s="775" t="s">
        <v>4169</v>
      </c>
      <c r="F104" s="726">
        <f>SUMIFS('Schedule 4'!$F$89:$F$649,'Schedule 4'!$I$89:$I$649,'Well Cal.'!F$3,'Schedule 4'!$J$89:$J$649,'Well Cal.'!$E104)</f>
        <v>0</v>
      </c>
      <c r="G104" s="726">
        <f>SUMIFS('Schedule 4'!$F$89:$F$649,'Schedule 4'!$I$89:$I$649,'Well Cal.'!G$3,'Schedule 4'!$J$89:$J$649,'Well Cal.'!$E104)</f>
        <v>0</v>
      </c>
      <c r="H104" s="726">
        <f>SUMIFS('Schedule 4'!$F$89:$F$649,'Schedule 4'!$I$89:$I$649,'Well Cal.'!H$3,'Schedule 4'!$J$89:$J$649,'Well Cal.'!$E104)</f>
        <v>0</v>
      </c>
      <c r="I104" s="726">
        <f>SUMIFS('Schedule 4'!$F$89:$F$649,'Schedule 4'!$I$89:$I$649,'Well Cal.'!I$3,'Schedule 4'!$J$89:$J$649,'Well Cal.'!$E104)</f>
        <v>0</v>
      </c>
      <c r="J104" s="726">
        <f>SUMIFS('Schedule 4'!$F$89:$F$649,'Schedule 4'!$I$89:$I$649,'Well Cal.'!J$3,'Schedule 4'!$J$89:$J$649,'Well Cal.'!$E104)</f>
        <v>0</v>
      </c>
      <c r="K104" s="726">
        <f>SUMIFS('Schedule 4'!$F$89:$F$649,'Schedule 4'!$I$89:$I$649,'Well Cal.'!K$3,'Schedule 4'!$J$89:$J$649,'Well Cal.'!$E104)</f>
        <v>0</v>
      </c>
      <c r="L104" s="726">
        <f>SUMIFS('Schedule 4'!$F$89:$F$649,'Schedule 4'!$I$89:$I$649,'Well Cal.'!L$3,'Schedule 4'!$J$89:$J$649,'Well Cal.'!$E104)</f>
        <v>0</v>
      </c>
      <c r="M104" s="726">
        <f>SUMIFS('Schedule 4'!$F$89:$F$649,'Schedule 4'!$I$89:$I$649,'Well Cal.'!M$3,'Schedule 4'!$J$89:$J$649,'Well Cal.'!$E104)</f>
        <v>0</v>
      </c>
      <c r="N104" s="726">
        <f>SUMIFS('Schedule 4'!$F$89:$F$649,'Schedule 4'!$I$89:$I$649,'Well Cal.'!N$3,'Schedule 4'!$J$89:$J$649,'Well Cal.'!$E104)</f>
        <v>0</v>
      </c>
      <c r="O104" s="726">
        <f>SUMIFS('Schedule 4'!$F$89:$F$649,'Schedule 4'!$I$89:$I$649,'Well Cal.'!O$3,'Schedule 4'!$J$89:$J$649,'Well Cal.'!$E104)</f>
        <v>0</v>
      </c>
      <c r="P104" s="726">
        <f>SUMIFS('Schedule 4'!$F$89:$F$649,'Schedule 4'!$I$89:$I$649,'Well Cal.'!P$3,'Schedule 4'!$J$89:$J$649,'Well Cal.'!$E104)</f>
        <v>0</v>
      </c>
      <c r="Q104" s="726">
        <f>SUMIFS('Schedule 4'!$F$89:$F$649,'Schedule 4'!$I$89:$I$649,'Well Cal.'!Q$3,'Schedule 4'!$J$89:$J$649,'Well Cal.'!$E104)</f>
        <v>0</v>
      </c>
      <c r="R104" s="726">
        <f>SUMIFS('Schedule 4'!$F$89:$F$649,'Schedule 4'!$I$89:$I$649,'Well Cal.'!R$3,'Schedule 4'!$J$89:$J$649,'Well Cal.'!$E104)</f>
        <v>0</v>
      </c>
      <c r="S104" s="726">
        <f>SUMIFS('Schedule 4'!$F$89:$F$649,'Schedule 4'!$I$89:$I$649,'Well Cal.'!S$3,'Schedule 4'!$J$89:$J$649,'Well Cal.'!$E104)</f>
        <v>0</v>
      </c>
      <c r="T104" s="726">
        <f>SUMIFS('Schedule 4'!$F$89:$F$649,'Schedule 4'!$I$89:$I$649,'Well Cal.'!T$3,'Schedule 4'!$J$89:$J$649,'Well Cal.'!$E104)</f>
        <v>0</v>
      </c>
      <c r="U104" s="726">
        <f>SUMIFS('Schedule 4'!$F$89:$F$649,'Schedule 4'!$I$89:$I$649,'Well Cal.'!U$3,'Schedule 4'!$J$89:$J$649,'Well Cal.'!$E104)</f>
        <v>0</v>
      </c>
      <c r="V104" s="726">
        <f>SUMIFS('Schedule 4'!$F$89:$F$649,'Schedule 4'!$I$89:$I$649,'Well Cal.'!V$3,'Schedule 4'!$J$89:$J$649,'Well Cal.'!$E104)</f>
        <v>0</v>
      </c>
      <c r="W104" s="726">
        <f>SUMIFS('Schedule 4'!$F$89:$F$649,'Schedule 4'!$I$89:$I$649,'Well Cal.'!W$3,'Schedule 4'!$J$89:$J$649,'Well Cal.'!$E104)</f>
        <v>0</v>
      </c>
      <c r="X104" s="726">
        <f>SUMIFS('Schedule 4'!$F$89:$F$649,'Schedule 4'!$I$89:$I$649,'Well Cal.'!X$3,'Schedule 4'!$J$89:$J$649,'Well Cal.'!$E104)</f>
        <v>0</v>
      </c>
      <c r="Y104" s="726">
        <f>SUMIFS('Schedule 4'!$F$89:$F$649,'Schedule 4'!$I$89:$I$649,'Well Cal.'!Y$3,'Schedule 4'!$J$89:$J$649,'Well Cal.'!$E104)</f>
        <v>0</v>
      </c>
      <c r="Z104" s="726">
        <f>SUMIFS('Schedule 4'!$F$89:$F$649,'Schedule 4'!$I$89:$I$649,'Well Cal.'!Z$3,'Schedule 4'!$J$89:$J$649,'Well Cal.'!$E104)</f>
        <v>0</v>
      </c>
      <c r="AA104" s="726"/>
      <c r="AB104" s="1721"/>
      <c r="AC104" s="1731"/>
    </row>
    <row r="105" spans="2:29" x14ac:dyDescent="0.3">
      <c r="B105" s="1724"/>
      <c r="C105" s="1727"/>
      <c r="D105" s="1721"/>
      <c r="E105" s="775" t="s">
        <v>4240</v>
      </c>
      <c r="F105" s="726">
        <f>SUMIFS('Schedule 4'!$F$89:$F$649,'Schedule 4'!$I$89:$I$649,'Well Cal.'!F$3,'Schedule 4'!$J$89:$J$649,'Well Cal.'!$E105)</f>
        <v>0</v>
      </c>
      <c r="G105" s="726">
        <f>SUMIFS('Schedule 4'!$F$89:$F$649,'Schedule 4'!$I$89:$I$649,'Well Cal.'!G$3,'Schedule 4'!$J$89:$J$649,'Well Cal.'!$E105)</f>
        <v>0</v>
      </c>
      <c r="H105" s="726">
        <f>SUMIFS('Schedule 4'!$F$89:$F$649,'Schedule 4'!$I$89:$I$649,'Well Cal.'!H$3,'Schedule 4'!$J$89:$J$649,'Well Cal.'!$E105)</f>
        <v>0</v>
      </c>
      <c r="I105" s="726">
        <f>SUMIFS('Schedule 4'!$F$89:$F$649,'Schedule 4'!$I$89:$I$649,'Well Cal.'!I$3,'Schedule 4'!$J$89:$J$649,'Well Cal.'!$E105)</f>
        <v>0</v>
      </c>
      <c r="J105" s="726">
        <f>SUMIFS('Schedule 4'!$F$89:$F$649,'Schedule 4'!$I$89:$I$649,'Well Cal.'!J$3,'Schedule 4'!$J$89:$J$649,'Well Cal.'!$E105)</f>
        <v>0</v>
      </c>
      <c r="K105" s="726">
        <f>SUMIFS('Schedule 4'!$F$89:$F$649,'Schedule 4'!$I$89:$I$649,'Well Cal.'!K$3,'Schedule 4'!$J$89:$J$649,'Well Cal.'!$E105)</f>
        <v>0</v>
      </c>
      <c r="L105" s="726">
        <f>SUMIFS('Schedule 4'!$F$89:$F$649,'Schedule 4'!$I$89:$I$649,'Well Cal.'!L$3,'Schedule 4'!$J$89:$J$649,'Well Cal.'!$E105)</f>
        <v>0</v>
      </c>
      <c r="M105" s="726">
        <f>SUMIFS('Schedule 4'!$F$89:$F$649,'Schedule 4'!$I$89:$I$649,'Well Cal.'!M$3,'Schedule 4'!$J$89:$J$649,'Well Cal.'!$E105)</f>
        <v>0</v>
      </c>
      <c r="N105" s="726">
        <f>SUMIFS('Schedule 4'!$F$89:$F$649,'Schedule 4'!$I$89:$I$649,'Well Cal.'!N$3,'Schedule 4'!$J$89:$J$649,'Well Cal.'!$E105)</f>
        <v>0</v>
      </c>
      <c r="O105" s="726">
        <f>SUMIFS('Schedule 4'!$F$89:$F$649,'Schedule 4'!$I$89:$I$649,'Well Cal.'!O$3,'Schedule 4'!$J$89:$J$649,'Well Cal.'!$E105)</f>
        <v>0</v>
      </c>
      <c r="P105" s="726">
        <f>SUMIFS('Schedule 4'!$F$89:$F$649,'Schedule 4'!$I$89:$I$649,'Well Cal.'!P$3,'Schedule 4'!$J$89:$J$649,'Well Cal.'!$E105)</f>
        <v>0</v>
      </c>
      <c r="Q105" s="726">
        <f>SUMIFS('Schedule 4'!$F$89:$F$649,'Schedule 4'!$I$89:$I$649,'Well Cal.'!Q$3,'Schedule 4'!$J$89:$J$649,'Well Cal.'!$E105)</f>
        <v>0</v>
      </c>
      <c r="R105" s="726">
        <f>SUMIFS('Schedule 4'!$F$89:$F$649,'Schedule 4'!$I$89:$I$649,'Well Cal.'!R$3,'Schedule 4'!$J$89:$J$649,'Well Cal.'!$E105)</f>
        <v>0</v>
      </c>
      <c r="S105" s="726">
        <f>SUMIFS('Schedule 4'!$F$89:$F$649,'Schedule 4'!$I$89:$I$649,'Well Cal.'!S$3,'Schedule 4'!$J$89:$J$649,'Well Cal.'!$E105)</f>
        <v>0</v>
      </c>
      <c r="T105" s="726">
        <f>SUMIFS('Schedule 4'!$F$89:$F$649,'Schedule 4'!$I$89:$I$649,'Well Cal.'!T$3,'Schedule 4'!$J$89:$J$649,'Well Cal.'!$E105)</f>
        <v>0</v>
      </c>
      <c r="U105" s="726">
        <f>SUMIFS('Schedule 4'!$F$89:$F$649,'Schedule 4'!$I$89:$I$649,'Well Cal.'!U$3,'Schedule 4'!$J$89:$J$649,'Well Cal.'!$E105)</f>
        <v>0</v>
      </c>
      <c r="V105" s="726">
        <f>SUMIFS('Schedule 4'!$F$89:$F$649,'Schedule 4'!$I$89:$I$649,'Well Cal.'!V$3,'Schedule 4'!$J$89:$J$649,'Well Cal.'!$E105)</f>
        <v>0</v>
      </c>
      <c r="W105" s="726">
        <f>SUMIFS('Schedule 4'!$F$89:$F$649,'Schedule 4'!$I$89:$I$649,'Well Cal.'!W$3,'Schedule 4'!$J$89:$J$649,'Well Cal.'!$E105)</f>
        <v>0</v>
      </c>
      <c r="X105" s="726">
        <f>SUMIFS('Schedule 4'!$F$89:$F$649,'Schedule 4'!$I$89:$I$649,'Well Cal.'!X$3,'Schedule 4'!$J$89:$J$649,'Well Cal.'!$E105)</f>
        <v>0</v>
      </c>
      <c r="Y105" s="726">
        <f>SUMIFS('Schedule 4'!$F$89:$F$649,'Schedule 4'!$I$89:$I$649,'Well Cal.'!Y$3,'Schedule 4'!$J$89:$J$649,'Well Cal.'!$E105)</f>
        <v>0</v>
      </c>
      <c r="Z105" s="726">
        <f>SUMIFS('Schedule 4'!$F$89:$F$649,'Schedule 4'!$I$89:$I$649,'Well Cal.'!Z$3,'Schedule 4'!$J$89:$J$649,'Well Cal.'!$E105)</f>
        <v>0</v>
      </c>
      <c r="AA105" s="726"/>
      <c r="AB105" s="1721"/>
      <c r="AC105" s="1731"/>
    </row>
    <row r="106" spans="2:29" x14ac:dyDescent="0.3">
      <c r="B106" s="1724"/>
      <c r="C106" s="1727"/>
      <c r="D106" s="1721"/>
      <c r="E106" s="775" t="s">
        <v>4307</v>
      </c>
      <c r="F106" s="726">
        <f>SUMIFS('Schedule 4'!$F$89:$F$649,'Schedule 4'!$I$89:$I$649,'Well Cal.'!F$3,'Schedule 4'!$J$89:$J$649,'Well Cal.'!$E106)</f>
        <v>0</v>
      </c>
      <c r="G106" s="726">
        <f>SUMIFS('Schedule 4'!$F$89:$F$649,'Schedule 4'!$I$89:$I$649,'Well Cal.'!G$3,'Schedule 4'!$J$89:$J$649,'Well Cal.'!$E106)</f>
        <v>0</v>
      </c>
      <c r="H106" s="726">
        <f>SUMIFS('Schedule 4'!$F$89:$F$649,'Schedule 4'!$I$89:$I$649,'Well Cal.'!H$3,'Schedule 4'!$J$89:$J$649,'Well Cal.'!$E106)</f>
        <v>0</v>
      </c>
      <c r="I106" s="726">
        <f>SUMIFS('Schedule 4'!$F$89:$F$649,'Schedule 4'!$I$89:$I$649,'Well Cal.'!I$3,'Schedule 4'!$J$89:$J$649,'Well Cal.'!$E106)</f>
        <v>0</v>
      </c>
      <c r="J106" s="726">
        <f>SUMIFS('Schedule 4'!$F$89:$F$649,'Schedule 4'!$I$89:$I$649,'Well Cal.'!J$3,'Schedule 4'!$J$89:$J$649,'Well Cal.'!$E106)</f>
        <v>0</v>
      </c>
      <c r="K106" s="726">
        <f>SUMIFS('Schedule 4'!$F$89:$F$649,'Schedule 4'!$I$89:$I$649,'Well Cal.'!K$3,'Schedule 4'!$J$89:$J$649,'Well Cal.'!$E106)</f>
        <v>0</v>
      </c>
      <c r="L106" s="726">
        <f>SUMIFS('Schedule 4'!$F$89:$F$649,'Schedule 4'!$I$89:$I$649,'Well Cal.'!L$3,'Schedule 4'!$J$89:$J$649,'Well Cal.'!$E106)</f>
        <v>0</v>
      </c>
      <c r="M106" s="726">
        <f>SUMIFS('Schedule 4'!$F$89:$F$649,'Schedule 4'!$I$89:$I$649,'Well Cal.'!M$3,'Schedule 4'!$J$89:$J$649,'Well Cal.'!$E106)</f>
        <v>0</v>
      </c>
      <c r="N106" s="726">
        <f>SUMIFS('Schedule 4'!$F$89:$F$649,'Schedule 4'!$I$89:$I$649,'Well Cal.'!N$3,'Schedule 4'!$J$89:$J$649,'Well Cal.'!$E106)</f>
        <v>0</v>
      </c>
      <c r="O106" s="726">
        <f>SUMIFS('Schedule 4'!$F$89:$F$649,'Schedule 4'!$I$89:$I$649,'Well Cal.'!O$3,'Schedule 4'!$J$89:$J$649,'Well Cal.'!$E106)</f>
        <v>0</v>
      </c>
      <c r="P106" s="726">
        <f>SUMIFS('Schedule 4'!$F$89:$F$649,'Schedule 4'!$I$89:$I$649,'Well Cal.'!P$3,'Schedule 4'!$J$89:$J$649,'Well Cal.'!$E106)</f>
        <v>0</v>
      </c>
      <c r="Q106" s="726">
        <f>SUMIFS('Schedule 4'!$F$89:$F$649,'Schedule 4'!$I$89:$I$649,'Well Cal.'!Q$3,'Schedule 4'!$J$89:$J$649,'Well Cal.'!$E106)</f>
        <v>0</v>
      </c>
      <c r="R106" s="726">
        <f>SUMIFS('Schedule 4'!$F$89:$F$649,'Schedule 4'!$I$89:$I$649,'Well Cal.'!R$3,'Schedule 4'!$J$89:$J$649,'Well Cal.'!$E106)</f>
        <v>0</v>
      </c>
      <c r="S106" s="726">
        <f>SUMIFS('Schedule 4'!$F$89:$F$649,'Schedule 4'!$I$89:$I$649,'Well Cal.'!S$3,'Schedule 4'!$J$89:$J$649,'Well Cal.'!$E106)</f>
        <v>0</v>
      </c>
      <c r="T106" s="726">
        <f>SUMIFS('Schedule 4'!$F$89:$F$649,'Schedule 4'!$I$89:$I$649,'Well Cal.'!T$3,'Schedule 4'!$J$89:$J$649,'Well Cal.'!$E106)</f>
        <v>0</v>
      </c>
      <c r="U106" s="726">
        <f>SUMIFS('Schedule 4'!$F$89:$F$649,'Schedule 4'!$I$89:$I$649,'Well Cal.'!U$3,'Schedule 4'!$J$89:$J$649,'Well Cal.'!$E106)</f>
        <v>0</v>
      </c>
      <c r="V106" s="726">
        <f>SUMIFS('Schedule 4'!$F$89:$F$649,'Schedule 4'!$I$89:$I$649,'Well Cal.'!V$3,'Schedule 4'!$J$89:$J$649,'Well Cal.'!$E106)</f>
        <v>0</v>
      </c>
      <c r="W106" s="726">
        <f>SUMIFS('Schedule 4'!$F$89:$F$649,'Schedule 4'!$I$89:$I$649,'Well Cal.'!W$3,'Schedule 4'!$J$89:$J$649,'Well Cal.'!$E106)</f>
        <v>0</v>
      </c>
      <c r="X106" s="726">
        <f>SUMIFS('Schedule 4'!$F$89:$F$649,'Schedule 4'!$I$89:$I$649,'Well Cal.'!X$3,'Schedule 4'!$J$89:$J$649,'Well Cal.'!$E106)</f>
        <v>0</v>
      </c>
      <c r="Y106" s="726">
        <f>SUMIFS('Schedule 4'!$F$89:$F$649,'Schedule 4'!$I$89:$I$649,'Well Cal.'!Y$3,'Schedule 4'!$J$89:$J$649,'Well Cal.'!$E106)</f>
        <v>0</v>
      </c>
      <c r="Z106" s="726">
        <f>SUMIFS('Schedule 4'!$F$89:$F$649,'Schedule 4'!$I$89:$I$649,'Well Cal.'!Z$3,'Schedule 4'!$J$89:$J$649,'Well Cal.'!$E106)</f>
        <v>0</v>
      </c>
      <c r="AA106" s="726"/>
      <c r="AB106" s="1721"/>
      <c r="AC106" s="1731"/>
    </row>
    <row r="107" spans="2:29" x14ac:dyDescent="0.3">
      <c r="B107" s="1724"/>
      <c r="C107" s="1727"/>
      <c r="D107" s="1721"/>
      <c r="E107" s="775" t="s">
        <v>4373</v>
      </c>
      <c r="F107" s="726">
        <f>SUMIFS('Schedule 4'!$F$89:$F$649,'Schedule 4'!$I$89:$I$649,'Well Cal.'!F$3,'Schedule 4'!$J$89:$J$649,'Well Cal.'!$E107)</f>
        <v>0</v>
      </c>
      <c r="G107" s="726">
        <f>SUMIFS('Schedule 4'!$F$89:$F$649,'Schedule 4'!$I$89:$I$649,'Well Cal.'!G$3,'Schedule 4'!$J$89:$J$649,'Well Cal.'!$E107)</f>
        <v>0</v>
      </c>
      <c r="H107" s="726">
        <f>SUMIFS('Schedule 4'!$F$89:$F$649,'Schedule 4'!$I$89:$I$649,'Well Cal.'!H$3,'Schedule 4'!$J$89:$J$649,'Well Cal.'!$E107)</f>
        <v>0</v>
      </c>
      <c r="I107" s="726">
        <f>SUMIFS('Schedule 4'!$F$89:$F$649,'Schedule 4'!$I$89:$I$649,'Well Cal.'!I$3,'Schedule 4'!$J$89:$J$649,'Well Cal.'!$E107)</f>
        <v>0</v>
      </c>
      <c r="J107" s="726">
        <f>SUMIFS('Schedule 4'!$F$89:$F$649,'Schedule 4'!$I$89:$I$649,'Well Cal.'!J$3,'Schedule 4'!$J$89:$J$649,'Well Cal.'!$E107)</f>
        <v>0</v>
      </c>
      <c r="K107" s="726">
        <f>SUMIFS('Schedule 4'!$F$89:$F$649,'Schedule 4'!$I$89:$I$649,'Well Cal.'!K$3,'Schedule 4'!$J$89:$J$649,'Well Cal.'!$E107)</f>
        <v>0</v>
      </c>
      <c r="L107" s="726">
        <f>SUMIFS('Schedule 4'!$F$89:$F$649,'Schedule 4'!$I$89:$I$649,'Well Cal.'!L$3,'Schedule 4'!$J$89:$J$649,'Well Cal.'!$E107)</f>
        <v>0</v>
      </c>
      <c r="M107" s="726">
        <f>SUMIFS('Schedule 4'!$F$89:$F$649,'Schedule 4'!$I$89:$I$649,'Well Cal.'!M$3,'Schedule 4'!$J$89:$J$649,'Well Cal.'!$E107)</f>
        <v>0</v>
      </c>
      <c r="N107" s="726">
        <f>SUMIFS('Schedule 4'!$F$89:$F$649,'Schedule 4'!$I$89:$I$649,'Well Cal.'!N$3,'Schedule 4'!$J$89:$J$649,'Well Cal.'!$E107)</f>
        <v>0</v>
      </c>
      <c r="O107" s="726">
        <f>SUMIFS('Schedule 4'!$F$89:$F$649,'Schedule 4'!$I$89:$I$649,'Well Cal.'!O$3,'Schedule 4'!$J$89:$J$649,'Well Cal.'!$E107)</f>
        <v>0</v>
      </c>
      <c r="P107" s="726">
        <f>SUMIFS('Schedule 4'!$F$89:$F$649,'Schedule 4'!$I$89:$I$649,'Well Cal.'!P$3,'Schedule 4'!$J$89:$J$649,'Well Cal.'!$E107)</f>
        <v>0</v>
      </c>
      <c r="Q107" s="726">
        <f>SUMIFS('Schedule 4'!$F$89:$F$649,'Schedule 4'!$I$89:$I$649,'Well Cal.'!Q$3,'Schedule 4'!$J$89:$J$649,'Well Cal.'!$E107)</f>
        <v>0</v>
      </c>
      <c r="R107" s="726">
        <f>SUMIFS('Schedule 4'!$F$89:$F$649,'Schedule 4'!$I$89:$I$649,'Well Cal.'!R$3,'Schedule 4'!$J$89:$J$649,'Well Cal.'!$E107)</f>
        <v>0</v>
      </c>
      <c r="S107" s="726">
        <f>SUMIFS('Schedule 4'!$F$89:$F$649,'Schedule 4'!$I$89:$I$649,'Well Cal.'!S$3,'Schedule 4'!$J$89:$J$649,'Well Cal.'!$E107)</f>
        <v>0</v>
      </c>
      <c r="T107" s="726">
        <f>SUMIFS('Schedule 4'!$F$89:$F$649,'Schedule 4'!$I$89:$I$649,'Well Cal.'!T$3,'Schedule 4'!$J$89:$J$649,'Well Cal.'!$E107)</f>
        <v>0</v>
      </c>
      <c r="U107" s="726">
        <f>SUMIFS('Schedule 4'!$F$89:$F$649,'Schedule 4'!$I$89:$I$649,'Well Cal.'!U$3,'Schedule 4'!$J$89:$J$649,'Well Cal.'!$E107)</f>
        <v>0</v>
      </c>
      <c r="V107" s="726">
        <f>SUMIFS('Schedule 4'!$F$89:$F$649,'Schedule 4'!$I$89:$I$649,'Well Cal.'!V$3,'Schedule 4'!$J$89:$J$649,'Well Cal.'!$E107)</f>
        <v>0</v>
      </c>
      <c r="W107" s="726">
        <f>SUMIFS('Schedule 4'!$F$89:$F$649,'Schedule 4'!$I$89:$I$649,'Well Cal.'!W$3,'Schedule 4'!$J$89:$J$649,'Well Cal.'!$E107)</f>
        <v>0</v>
      </c>
      <c r="X107" s="726">
        <f>SUMIFS('Schedule 4'!$F$89:$F$649,'Schedule 4'!$I$89:$I$649,'Well Cal.'!X$3,'Schedule 4'!$J$89:$J$649,'Well Cal.'!$E107)</f>
        <v>0</v>
      </c>
      <c r="Y107" s="726">
        <f>SUMIFS('Schedule 4'!$F$89:$F$649,'Schedule 4'!$I$89:$I$649,'Well Cal.'!Y$3,'Schedule 4'!$J$89:$J$649,'Well Cal.'!$E107)</f>
        <v>0</v>
      </c>
      <c r="Z107" s="726">
        <f>SUMIFS('Schedule 4'!$F$89:$F$649,'Schedule 4'!$I$89:$I$649,'Well Cal.'!Z$3,'Schedule 4'!$J$89:$J$649,'Well Cal.'!$E107)</f>
        <v>0</v>
      </c>
      <c r="AA107" s="726"/>
      <c r="AB107" s="1721"/>
      <c r="AC107" s="1731"/>
    </row>
    <row r="108" spans="2:29" x14ac:dyDescent="0.3">
      <c r="B108" s="1724"/>
      <c r="C108" s="1727"/>
      <c r="D108" s="1721"/>
      <c r="E108" s="775" t="s">
        <v>4429</v>
      </c>
      <c r="F108" s="726">
        <f>SUMIFS('Schedule 4'!$F$89:$F$649,'Schedule 4'!$I$89:$I$649,'Well Cal.'!F$3,'Schedule 4'!$J$89:$J$649,'Well Cal.'!$E108)</f>
        <v>0</v>
      </c>
      <c r="G108" s="726">
        <f>SUMIFS('Schedule 4'!$F$89:$F$649,'Schedule 4'!$I$89:$I$649,'Well Cal.'!G$3,'Schedule 4'!$J$89:$J$649,'Well Cal.'!$E108)</f>
        <v>0</v>
      </c>
      <c r="H108" s="726">
        <f>SUMIFS('Schedule 4'!$F$89:$F$649,'Schedule 4'!$I$89:$I$649,'Well Cal.'!H$3,'Schedule 4'!$J$89:$J$649,'Well Cal.'!$E108)</f>
        <v>0</v>
      </c>
      <c r="I108" s="726">
        <f>SUMIFS('Schedule 4'!$F$89:$F$649,'Schedule 4'!$I$89:$I$649,'Well Cal.'!I$3,'Schedule 4'!$J$89:$J$649,'Well Cal.'!$E108)</f>
        <v>0</v>
      </c>
      <c r="J108" s="726">
        <f>SUMIFS('Schedule 4'!$F$89:$F$649,'Schedule 4'!$I$89:$I$649,'Well Cal.'!J$3,'Schedule 4'!$J$89:$J$649,'Well Cal.'!$E108)</f>
        <v>0</v>
      </c>
      <c r="K108" s="726">
        <f>SUMIFS('Schedule 4'!$F$89:$F$649,'Schedule 4'!$I$89:$I$649,'Well Cal.'!K$3,'Schedule 4'!$J$89:$J$649,'Well Cal.'!$E108)</f>
        <v>0</v>
      </c>
      <c r="L108" s="726">
        <f>SUMIFS('Schedule 4'!$F$89:$F$649,'Schedule 4'!$I$89:$I$649,'Well Cal.'!L$3,'Schedule 4'!$J$89:$J$649,'Well Cal.'!$E108)</f>
        <v>0</v>
      </c>
      <c r="M108" s="726">
        <f>SUMIFS('Schedule 4'!$F$89:$F$649,'Schedule 4'!$I$89:$I$649,'Well Cal.'!M$3,'Schedule 4'!$J$89:$J$649,'Well Cal.'!$E108)</f>
        <v>0</v>
      </c>
      <c r="N108" s="726">
        <f>SUMIFS('Schedule 4'!$F$89:$F$649,'Schedule 4'!$I$89:$I$649,'Well Cal.'!N$3,'Schedule 4'!$J$89:$J$649,'Well Cal.'!$E108)</f>
        <v>0</v>
      </c>
      <c r="O108" s="726">
        <f>SUMIFS('Schedule 4'!$F$89:$F$649,'Schedule 4'!$I$89:$I$649,'Well Cal.'!O$3,'Schedule 4'!$J$89:$J$649,'Well Cal.'!$E108)</f>
        <v>0</v>
      </c>
      <c r="P108" s="726">
        <f>SUMIFS('Schedule 4'!$F$89:$F$649,'Schedule 4'!$I$89:$I$649,'Well Cal.'!P$3,'Schedule 4'!$J$89:$J$649,'Well Cal.'!$E108)</f>
        <v>0</v>
      </c>
      <c r="Q108" s="726">
        <f>SUMIFS('Schedule 4'!$F$89:$F$649,'Schedule 4'!$I$89:$I$649,'Well Cal.'!Q$3,'Schedule 4'!$J$89:$J$649,'Well Cal.'!$E108)</f>
        <v>0</v>
      </c>
      <c r="R108" s="726">
        <f>SUMIFS('Schedule 4'!$F$89:$F$649,'Schedule 4'!$I$89:$I$649,'Well Cal.'!R$3,'Schedule 4'!$J$89:$J$649,'Well Cal.'!$E108)</f>
        <v>0</v>
      </c>
      <c r="S108" s="726">
        <f>SUMIFS('Schedule 4'!$F$89:$F$649,'Schedule 4'!$I$89:$I$649,'Well Cal.'!S$3,'Schedule 4'!$J$89:$J$649,'Well Cal.'!$E108)</f>
        <v>0</v>
      </c>
      <c r="T108" s="726">
        <f>SUMIFS('Schedule 4'!$F$89:$F$649,'Schedule 4'!$I$89:$I$649,'Well Cal.'!T$3,'Schedule 4'!$J$89:$J$649,'Well Cal.'!$E108)</f>
        <v>0</v>
      </c>
      <c r="U108" s="726">
        <f>SUMIFS('Schedule 4'!$F$89:$F$649,'Schedule 4'!$I$89:$I$649,'Well Cal.'!U$3,'Schedule 4'!$J$89:$J$649,'Well Cal.'!$E108)</f>
        <v>0</v>
      </c>
      <c r="V108" s="726">
        <f>SUMIFS('Schedule 4'!$F$89:$F$649,'Schedule 4'!$I$89:$I$649,'Well Cal.'!V$3,'Schedule 4'!$J$89:$J$649,'Well Cal.'!$E108)</f>
        <v>0</v>
      </c>
      <c r="W108" s="726">
        <f>SUMIFS('Schedule 4'!$F$89:$F$649,'Schedule 4'!$I$89:$I$649,'Well Cal.'!W$3,'Schedule 4'!$J$89:$J$649,'Well Cal.'!$E108)</f>
        <v>0</v>
      </c>
      <c r="X108" s="726">
        <f>SUMIFS('Schedule 4'!$F$89:$F$649,'Schedule 4'!$I$89:$I$649,'Well Cal.'!X$3,'Schedule 4'!$J$89:$J$649,'Well Cal.'!$E108)</f>
        <v>0</v>
      </c>
      <c r="Y108" s="726">
        <f>SUMIFS('Schedule 4'!$F$89:$F$649,'Schedule 4'!$I$89:$I$649,'Well Cal.'!Y$3,'Schedule 4'!$J$89:$J$649,'Well Cal.'!$E108)</f>
        <v>0</v>
      </c>
      <c r="Z108" s="726">
        <f>SUMIFS('Schedule 4'!$F$89:$F$649,'Schedule 4'!$I$89:$I$649,'Well Cal.'!Z$3,'Schedule 4'!$J$89:$J$649,'Well Cal.'!$E108)</f>
        <v>0</v>
      </c>
      <c r="AA108" s="726"/>
      <c r="AB108" s="1721"/>
      <c r="AC108" s="1731"/>
    </row>
    <row r="109" spans="2:29" x14ac:dyDescent="0.3">
      <c r="B109" s="1724"/>
      <c r="C109" s="1727"/>
      <c r="D109" s="1721"/>
      <c r="E109" s="775" t="s">
        <v>4477</v>
      </c>
      <c r="F109" s="726">
        <f>SUMIFS('Schedule 4'!$F$89:$F$649,'Schedule 4'!$I$89:$I$649,'Well Cal.'!F$3,'Schedule 4'!$J$89:$J$649,'Well Cal.'!$E109)</f>
        <v>0</v>
      </c>
      <c r="G109" s="726">
        <f>SUMIFS('Schedule 4'!$F$89:$F$649,'Schedule 4'!$I$89:$I$649,'Well Cal.'!G$3,'Schedule 4'!$J$89:$J$649,'Well Cal.'!$E109)</f>
        <v>0</v>
      </c>
      <c r="H109" s="726">
        <f>SUMIFS('Schedule 4'!$F$89:$F$649,'Schedule 4'!$I$89:$I$649,'Well Cal.'!H$3,'Schedule 4'!$J$89:$J$649,'Well Cal.'!$E109)</f>
        <v>0</v>
      </c>
      <c r="I109" s="726">
        <f>SUMIFS('Schedule 4'!$F$89:$F$649,'Schedule 4'!$I$89:$I$649,'Well Cal.'!I$3,'Schedule 4'!$J$89:$J$649,'Well Cal.'!$E109)</f>
        <v>0</v>
      </c>
      <c r="J109" s="726">
        <f>SUMIFS('Schedule 4'!$F$89:$F$649,'Schedule 4'!$I$89:$I$649,'Well Cal.'!J$3,'Schedule 4'!$J$89:$J$649,'Well Cal.'!$E109)</f>
        <v>0</v>
      </c>
      <c r="K109" s="726">
        <f>SUMIFS('Schedule 4'!$F$89:$F$649,'Schedule 4'!$I$89:$I$649,'Well Cal.'!K$3,'Schedule 4'!$J$89:$J$649,'Well Cal.'!$E109)</f>
        <v>0</v>
      </c>
      <c r="L109" s="726">
        <f>SUMIFS('Schedule 4'!$F$89:$F$649,'Schedule 4'!$I$89:$I$649,'Well Cal.'!L$3,'Schedule 4'!$J$89:$J$649,'Well Cal.'!$E109)</f>
        <v>0</v>
      </c>
      <c r="M109" s="726">
        <f>SUMIFS('Schedule 4'!$F$89:$F$649,'Schedule 4'!$I$89:$I$649,'Well Cal.'!M$3,'Schedule 4'!$J$89:$J$649,'Well Cal.'!$E109)</f>
        <v>0</v>
      </c>
      <c r="N109" s="726">
        <f>SUMIFS('Schedule 4'!$F$89:$F$649,'Schedule 4'!$I$89:$I$649,'Well Cal.'!N$3,'Schedule 4'!$J$89:$J$649,'Well Cal.'!$E109)</f>
        <v>0</v>
      </c>
      <c r="O109" s="726">
        <f>SUMIFS('Schedule 4'!$F$89:$F$649,'Schedule 4'!$I$89:$I$649,'Well Cal.'!O$3,'Schedule 4'!$J$89:$J$649,'Well Cal.'!$E109)</f>
        <v>0</v>
      </c>
      <c r="P109" s="726">
        <f>SUMIFS('Schedule 4'!$F$89:$F$649,'Schedule 4'!$I$89:$I$649,'Well Cal.'!P$3,'Schedule 4'!$J$89:$J$649,'Well Cal.'!$E109)</f>
        <v>0</v>
      </c>
      <c r="Q109" s="726">
        <f>SUMIFS('Schedule 4'!$F$89:$F$649,'Schedule 4'!$I$89:$I$649,'Well Cal.'!Q$3,'Schedule 4'!$J$89:$J$649,'Well Cal.'!$E109)</f>
        <v>0</v>
      </c>
      <c r="R109" s="726">
        <f>SUMIFS('Schedule 4'!$F$89:$F$649,'Schedule 4'!$I$89:$I$649,'Well Cal.'!R$3,'Schedule 4'!$J$89:$J$649,'Well Cal.'!$E109)</f>
        <v>0</v>
      </c>
      <c r="S109" s="726">
        <f>SUMIFS('Schedule 4'!$F$89:$F$649,'Schedule 4'!$I$89:$I$649,'Well Cal.'!S$3,'Schedule 4'!$J$89:$J$649,'Well Cal.'!$E109)</f>
        <v>0</v>
      </c>
      <c r="T109" s="726">
        <f>SUMIFS('Schedule 4'!$F$89:$F$649,'Schedule 4'!$I$89:$I$649,'Well Cal.'!T$3,'Schedule 4'!$J$89:$J$649,'Well Cal.'!$E109)</f>
        <v>0</v>
      </c>
      <c r="U109" s="726">
        <f>SUMIFS('Schedule 4'!$F$89:$F$649,'Schedule 4'!$I$89:$I$649,'Well Cal.'!U$3,'Schedule 4'!$J$89:$J$649,'Well Cal.'!$E109)</f>
        <v>0</v>
      </c>
      <c r="V109" s="726">
        <f>SUMIFS('Schedule 4'!$F$89:$F$649,'Schedule 4'!$I$89:$I$649,'Well Cal.'!V$3,'Schedule 4'!$J$89:$J$649,'Well Cal.'!$E109)</f>
        <v>0</v>
      </c>
      <c r="W109" s="726">
        <f>SUMIFS('Schedule 4'!$F$89:$F$649,'Schedule 4'!$I$89:$I$649,'Well Cal.'!W$3,'Schedule 4'!$J$89:$J$649,'Well Cal.'!$E109)</f>
        <v>0</v>
      </c>
      <c r="X109" s="726">
        <f>SUMIFS('Schedule 4'!$F$89:$F$649,'Schedule 4'!$I$89:$I$649,'Well Cal.'!X$3,'Schedule 4'!$J$89:$J$649,'Well Cal.'!$E109)</f>
        <v>0</v>
      </c>
      <c r="Y109" s="726">
        <f>SUMIFS('Schedule 4'!$F$89:$F$649,'Schedule 4'!$I$89:$I$649,'Well Cal.'!Y$3,'Schedule 4'!$J$89:$J$649,'Well Cal.'!$E109)</f>
        <v>0</v>
      </c>
      <c r="Z109" s="726">
        <f>SUMIFS('Schedule 4'!$F$89:$F$649,'Schedule 4'!$I$89:$I$649,'Well Cal.'!Z$3,'Schedule 4'!$J$89:$J$649,'Well Cal.'!$E109)</f>
        <v>0</v>
      </c>
      <c r="AA109" s="726"/>
      <c r="AB109" s="1721"/>
      <c r="AC109" s="1731"/>
    </row>
    <row r="110" spans="2:29" x14ac:dyDescent="0.3">
      <c r="B110" s="1724"/>
      <c r="C110" s="1727"/>
      <c r="D110" s="1721"/>
      <c r="E110" s="775" t="s">
        <v>4525</v>
      </c>
      <c r="F110" s="726">
        <f>SUMIFS('Schedule 4'!$F$89:$F$649,'Schedule 4'!$I$89:$I$649,'Well Cal.'!F$3,'Schedule 4'!$J$89:$J$649,'Well Cal.'!$E110)</f>
        <v>0</v>
      </c>
      <c r="G110" s="726">
        <f>SUMIFS('Schedule 4'!$F$89:$F$649,'Schedule 4'!$I$89:$I$649,'Well Cal.'!G$3,'Schedule 4'!$J$89:$J$649,'Well Cal.'!$E110)</f>
        <v>0</v>
      </c>
      <c r="H110" s="726">
        <f>SUMIFS('Schedule 4'!$F$89:$F$649,'Schedule 4'!$I$89:$I$649,'Well Cal.'!H$3,'Schedule 4'!$J$89:$J$649,'Well Cal.'!$E110)</f>
        <v>0</v>
      </c>
      <c r="I110" s="726">
        <f>SUMIFS('Schedule 4'!$F$89:$F$649,'Schedule 4'!$I$89:$I$649,'Well Cal.'!I$3,'Schedule 4'!$J$89:$J$649,'Well Cal.'!$E110)</f>
        <v>0</v>
      </c>
      <c r="J110" s="726">
        <f>SUMIFS('Schedule 4'!$F$89:$F$649,'Schedule 4'!$I$89:$I$649,'Well Cal.'!J$3,'Schedule 4'!$J$89:$J$649,'Well Cal.'!$E110)</f>
        <v>0</v>
      </c>
      <c r="K110" s="726">
        <f>SUMIFS('Schedule 4'!$F$89:$F$649,'Schedule 4'!$I$89:$I$649,'Well Cal.'!K$3,'Schedule 4'!$J$89:$J$649,'Well Cal.'!$E110)</f>
        <v>0</v>
      </c>
      <c r="L110" s="726">
        <f>SUMIFS('Schedule 4'!$F$89:$F$649,'Schedule 4'!$I$89:$I$649,'Well Cal.'!L$3,'Schedule 4'!$J$89:$J$649,'Well Cal.'!$E110)</f>
        <v>0</v>
      </c>
      <c r="M110" s="726">
        <f>SUMIFS('Schedule 4'!$F$89:$F$649,'Schedule 4'!$I$89:$I$649,'Well Cal.'!M$3,'Schedule 4'!$J$89:$J$649,'Well Cal.'!$E110)</f>
        <v>0</v>
      </c>
      <c r="N110" s="726">
        <f>SUMIFS('Schedule 4'!$F$89:$F$649,'Schedule 4'!$I$89:$I$649,'Well Cal.'!N$3,'Schedule 4'!$J$89:$J$649,'Well Cal.'!$E110)</f>
        <v>0</v>
      </c>
      <c r="O110" s="726">
        <f>SUMIFS('Schedule 4'!$F$89:$F$649,'Schedule 4'!$I$89:$I$649,'Well Cal.'!O$3,'Schedule 4'!$J$89:$J$649,'Well Cal.'!$E110)</f>
        <v>0</v>
      </c>
      <c r="P110" s="726">
        <f>SUMIFS('Schedule 4'!$F$89:$F$649,'Schedule 4'!$I$89:$I$649,'Well Cal.'!P$3,'Schedule 4'!$J$89:$J$649,'Well Cal.'!$E110)</f>
        <v>0</v>
      </c>
      <c r="Q110" s="726">
        <f>SUMIFS('Schedule 4'!$F$89:$F$649,'Schedule 4'!$I$89:$I$649,'Well Cal.'!Q$3,'Schedule 4'!$J$89:$J$649,'Well Cal.'!$E110)</f>
        <v>0</v>
      </c>
      <c r="R110" s="726">
        <f>SUMIFS('Schedule 4'!$F$89:$F$649,'Schedule 4'!$I$89:$I$649,'Well Cal.'!R$3,'Schedule 4'!$J$89:$J$649,'Well Cal.'!$E110)</f>
        <v>0</v>
      </c>
      <c r="S110" s="726">
        <f>SUMIFS('Schedule 4'!$F$89:$F$649,'Schedule 4'!$I$89:$I$649,'Well Cal.'!S$3,'Schedule 4'!$J$89:$J$649,'Well Cal.'!$E110)</f>
        <v>0</v>
      </c>
      <c r="T110" s="726">
        <f>SUMIFS('Schedule 4'!$F$89:$F$649,'Schedule 4'!$I$89:$I$649,'Well Cal.'!T$3,'Schedule 4'!$J$89:$J$649,'Well Cal.'!$E110)</f>
        <v>0</v>
      </c>
      <c r="U110" s="726">
        <f>SUMIFS('Schedule 4'!$F$89:$F$649,'Schedule 4'!$I$89:$I$649,'Well Cal.'!U$3,'Schedule 4'!$J$89:$J$649,'Well Cal.'!$E110)</f>
        <v>0</v>
      </c>
      <c r="V110" s="726">
        <f>SUMIFS('Schedule 4'!$F$89:$F$649,'Schedule 4'!$I$89:$I$649,'Well Cal.'!V$3,'Schedule 4'!$J$89:$J$649,'Well Cal.'!$E110)</f>
        <v>0</v>
      </c>
      <c r="W110" s="726">
        <f>SUMIFS('Schedule 4'!$F$89:$F$649,'Schedule 4'!$I$89:$I$649,'Well Cal.'!W$3,'Schedule 4'!$J$89:$J$649,'Well Cal.'!$E110)</f>
        <v>0</v>
      </c>
      <c r="X110" s="726">
        <f>SUMIFS('Schedule 4'!$F$89:$F$649,'Schedule 4'!$I$89:$I$649,'Well Cal.'!X$3,'Schedule 4'!$J$89:$J$649,'Well Cal.'!$E110)</f>
        <v>0</v>
      </c>
      <c r="Y110" s="726">
        <f>SUMIFS('Schedule 4'!$F$89:$F$649,'Schedule 4'!$I$89:$I$649,'Well Cal.'!Y$3,'Schedule 4'!$J$89:$J$649,'Well Cal.'!$E110)</f>
        <v>0</v>
      </c>
      <c r="Z110" s="726">
        <f>SUMIFS('Schedule 4'!$F$89:$F$649,'Schedule 4'!$I$89:$I$649,'Well Cal.'!Z$3,'Schedule 4'!$J$89:$J$649,'Well Cal.'!$E110)</f>
        <v>0</v>
      </c>
      <c r="AA110" s="726"/>
      <c r="AB110" s="1721"/>
      <c r="AC110" s="1731"/>
    </row>
    <row r="111" spans="2:29" x14ac:dyDescent="0.3">
      <c r="B111" s="1725"/>
      <c r="C111" s="1728"/>
      <c r="D111" s="1722"/>
      <c r="E111" s="776"/>
      <c r="F111" s="777"/>
      <c r="G111" s="777"/>
      <c r="H111" s="777"/>
      <c r="I111" s="777"/>
      <c r="J111" s="777"/>
      <c r="K111" s="777"/>
      <c r="L111" s="777"/>
      <c r="M111" s="777"/>
      <c r="N111" s="777"/>
      <c r="O111" s="777"/>
      <c r="P111" s="777"/>
      <c r="Q111" s="777"/>
      <c r="R111" s="777"/>
      <c r="S111" s="777"/>
      <c r="T111" s="777"/>
      <c r="U111" s="777"/>
      <c r="V111" s="777"/>
      <c r="W111" s="777"/>
      <c r="X111" s="777"/>
      <c r="Y111" s="777"/>
      <c r="Z111" s="777"/>
      <c r="AA111" s="777"/>
      <c r="AB111" s="1722"/>
      <c r="AC111" s="1732"/>
    </row>
    <row r="112" spans="2:29" x14ac:dyDescent="0.3">
      <c r="B112" s="1723" t="s">
        <v>1900</v>
      </c>
      <c r="C112" s="1726">
        <v>54.05</v>
      </c>
      <c r="D112" s="1720">
        <f>SUMIFS('Schedule 4'!$F$89:$F$649,'Schedule 4'!$K$89:$K$649,'Well Cal.'!$B112)</f>
        <v>0</v>
      </c>
      <c r="E112" s="754" t="s">
        <v>3153</v>
      </c>
      <c r="F112" s="728">
        <f>SUMIFS('Schedule 4'!$F$89:$F$649,'Schedule 4'!$I$89:$I$649,'Well Cal.'!F$3,'Schedule 4'!$J$89:$J$649,'Well Cal.'!$E112)</f>
        <v>0</v>
      </c>
      <c r="G112" s="728">
        <f>SUMIFS('Schedule 4'!$F$89:$F$649,'Schedule 4'!$I$89:$I$649,'Well Cal.'!G$3,'Schedule 4'!$J$89:$J$649,'Well Cal.'!$E112)</f>
        <v>0</v>
      </c>
      <c r="H112" s="728">
        <f>SUMIFS('Schedule 4'!$F$89:$F$649,'Schedule 4'!$I$89:$I$649,'Well Cal.'!H$3,'Schedule 4'!$J$89:$J$649,'Well Cal.'!$E112)</f>
        <v>0</v>
      </c>
      <c r="I112" s="728">
        <f>SUMIFS('Schedule 4'!$F$89:$F$649,'Schedule 4'!$I$89:$I$649,'Well Cal.'!I$3,'Schedule 4'!$J$89:$J$649,'Well Cal.'!$E112)</f>
        <v>0</v>
      </c>
      <c r="J112" s="728">
        <f>SUMIFS('Schedule 4'!$F$89:$F$649,'Schedule 4'!$I$89:$I$649,'Well Cal.'!J$3,'Schedule 4'!$J$89:$J$649,'Well Cal.'!$E112)</f>
        <v>0</v>
      </c>
      <c r="K112" s="728">
        <f>SUMIFS('Schedule 4'!$F$89:$F$649,'Schedule 4'!$I$89:$I$649,'Well Cal.'!K$3,'Schedule 4'!$J$89:$J$649,'Well Cal.'!$E112)</f>
        <v>0</v>
      </c>
      <c r="L112" s="728">
        <f>SUMIFS('Schedule 4'!$F$89:$F$649,'Schedule 4'!$I$89:$I$649,'Well Cal.'!L$3,'Schedule 4'!$J$89:$J$649,'Well Cal.'!$E112)</f>
        <v>0</v>
      </c>
      <c r="M112" s="728">
        <f>SUMIFS('Schedule 4'!$F$89:$F$649,'Schedule 4'!$I$89:$I$649,'Well Cal.'!M$3,'Schedule 4'!$J$89:$J$649,'Well Cal.'!$E112)</f>
        <v>0</v>
      </c>
      <c r="N112" s="728">
        <f>SUMIFS('Schedule 4'!$F$89:$F$649,'Schedule 4'!$I$89:$I$649,'Well Cal.'!N$3,'Schedule 4'!$J$89:$J$649,'Well Cal.'!$E112)</f>
        <v>0</v>
      </c>
      <c r="O112" s="728">
        <f>SUMIFS('Schedule 4'!$F$89:$F$649,'Schedule 4'!$I$89:$I$649,'Well Cal.'!O$3,'Schedule 4'!$J$89:$J$649,'Well Cal.'!$E112)</f>
        <v>0</v>
      </c>
      <c r="P112" s="728">
        <f>SUMIFS('Schedule 4'!$F$89:$F$649,'Schedule 4'!$I$89:$I$649,'Well Cal.'!P$3,'Schedule 4'!$J$89:$J$649,'Well Cal.'!$E112)</f>
        <v>0</v>
      </c>
      <c r="Q112" s="728">
        <f>SUMIFS('Schedule 4'!$F$89:$F$649,'Schedule 4'!$I$89:$I$649,'Well Cal.'!Q$3,'Schedule 4'!$J$89:$J$649,'Well Cal.'!$E112)</f>
        <v>0</v>
      </c>
      <c r="R112" s="728">
        <f>SUMIFS('Schedule 4'!$F$89:$F$649,'Schedule 4'!$I$89:$I$649,'Well Cal.'!R$3,'Schedule 4'!$J$89:$J$649,'Well Cal.'!$E112)</f>
        <v>0</v>
      </c>
      <c r="S112" s="728">
        <f>SUMIFS('Schedule 4'!$F$89:$F$649,'Schedule 4'!$I$89:$I$649,'Well Cal.'!S$3,'Schedule 4'!$J$89:$J$649,'Well Cal.'!$E112)</f>
        <v>0</v>
      </c>
      <c r="T112" s="728">
        <f>SUMIFS('Schedule 4'!$F$89:$F$649,'Schedule 4'!$I$89:$I$649,'Well Cal.'!T$3,'Schedule 4'!$J$89:$J$649,'Well Cal.'!$E112)</f>
        <v>0</v>
      </c>
      <c r="U112" s="728">
        <f>SUMIFS('Schedule 4'!$F$89:$F$649,'Schedule 4'!$I$89:$I$649,'Well Cal.'!U$3,'Schedule 4'!$J$89:$J$649,'Well Cal.'!$E112)</f>
        <v>0</v>
      </c>
      <c r="V112" s="728">
        <f>SUMIFS('Schedule 4'!$F$89:$F$649,'Schedule 4'!$I$89:$I$649,'Well Cal.'!V$3,'Schedule 4'!$J$89:$J$649,'Well Cal.'!$E112)</f>
        <v>0</v>
      </c>
      <c r="W112" s="728">
        <f>SUMIFS('Schedule 4'!$F$89:$F$649,'Schedule 4'!$I$89:$I$649,'Well Cal.'!W$3,'Schedule 4'!$J$89:$J$649,'Well Cal.'!$E112)</f>
        <v>0</v>
      </c>
      <c r="X112" s="728">
        <f>SUMIFS('Schedule 4'!$F$89:$F$649,'Schedule 4'!$I$89:$I$649,'Well Cal.'!X$3,'Schedule 4'!$J$89:$J$649,'Well Cal.'!$E112)</f>
        <v>0</v>
      </c>
      <c r="Y112" s="728">
        <f>SUMIFS('Schedule 4'!$F$89:$F$649,'Schedule 4'!$I$89:$I$649,'Well Cal.'!Y$3,'Schedule 4'!$J$89:$J$649,'Well Cal.'!$E112)</f>
        <v>0</v>
      </c>
      <c r="Z112" s="728">
        <f>SUMIFS('Schedule 4'!$F$89:$F$649,'Schedule 4'!$I$89:$I$649,'Well Cal.'!Z$3,'Schedule 4'!$J$89:$J$649,'Well Cal.'!$E112)</f>
        <v>0</v>
      </c>
      <c r="AA112" s="728"/>
      <c r="AB112" s="1729">
        <f>SUM(F112:AA133)</f>
        <v>0</v>
      </c>
      <c r="AC112" s="1729">
        <f>D112-AB112</f>
        <v>0</v>
      </c>
    </row>
    <row r="113" spans="2:29" x14ac:dyDescent="0.3">
      <c r="B113" s="1724"/>
      <c r="C113" s="1727"/>
      <c r="D113" s="1721"/>
      <c r="E113" s="761" t="s">
        <v>3235</v>
      </c>
      <c r="F113" s="726">
        <f>SUMIFS('Schedule 4'!$F$89:$F$649,'Schedule 4'!$I$89:$I$649,'Well Cal.'!F$3,'Schedule 4'!$J$89:$J$649,'Well Cal.'!$E113)</f>
        <v>0</v>
      </c>
      <c r="G113" s="726">
        <f>SUMIFS('Schedule 4'!$F$89:$F$649,'Schedule 4'!$I$89:$I$649,'Well Cal.'!G$3,'Schedule 4'!$J$89:$J$649,'Well Cal.'!$E113)</f>
        <v>0</v>
      </c>
      <c r="H113" s="726">
        <f>SUMIFS('Schedule 4'!$F$89:$F$649,'Schedule 4'!$I$89:$I$649,'Well Cal.'!H$3,'Schedule 4'!$J$89:$J$649,'Well Cal.'!$E113)</f>
        <v>0</v>
      </c>
      <c r="I113" s="726">
        <f>SUMIFS('Schedule 4'!$F$89:$F$649,'Schedule 4'!$I$89:$I$649,'Well Cal.'!I$3,'Schedule 4'!$J$89:$J$649,'Well Cal.'!$E113)</f>
        <v>0</v>
      </c>
      <c r="J113" s="726">
        <f>SUMIFS('Schedule 4'!$F$89:$F$649,'Schedule 4'!$I$89:$I$649,'Well Cal.'!J$3,'Schedule 4'!$J$89:$J$649,'Well Cal.'!$E113)</f>
        <v>0</v>
      </c>
      <c r="K113" s="726">
        <f>SUMIFS('Schedule 4'!$F$89:$F$649,'Schedule 4'!$I$89:$I$649,'Well Cal.'!K$3,'Schedule 4'!$J$89:$J$649,'Well Cal.'!$E113)</f>
        <v>0</v>
      </c>
      <c r="L113" s="726">
        <f>SUMIFS('Schedule 4'!$F$89:$F$649,'Schedule 4'!$I$89:$I$649,'Well Cal.'!L$3,'Schedule 4'!$J$89:$J$649,'Well Cal.'!$E113)</f>
        <v>0</v>
      </c>
      <c r="M113" s="726">
        <f>SUMIFS('Schedule 4'!$F$89:$F$649,'Schedule 4'!$I$89:$I$649,'Well Cal.'!M$3,'Schedule 4'!$J$89:$J$649,'Well Cal.'!$E113)</f>
        <v>0</v>
      </c>
      <c r="N113" s="726">
        <f>SUMIFS('Schedule 4'!$F$89:$F$649,'Schedule 4'!$I$89:$I$649,'Well Cal.'!N$3,'Schedule 4'!$J$89:$J$649,'Well Cal.'!$E113)</f>
        <v>0</v>
      </c>
      <c r="O113" s="726">
        <f>SUMIFS('Schedule 4'!$F$89:$F$649,'Schedule 4'!$I$89:$I$649,'Well Cal.'!O$3,'Schedule 4'!$J$89:$J$649,'Well Cal.'!$E113)</f>
        <v>0</v>
      </c>
      <c r="P113" s="726">
        <f>SUMIFS('Schedule 4'!$F$89:$F$649,'Schedule 4'!$I$89:$I$649,'Well Cal.'!P$3,'Schedule 4'!$J$89:$J$649,'Well Cal.'!$E113)</f>
        <v>0</v>
      </c>
      <c r="Q113" s="726">
        <f>SUMIFS('Schedule 4'!$F$89:$F$649,'Schedule 4'!$I$89:$I$649,'Well Cal.'!Q$3,'Schedule 4'!$J$89:$J$649,'Well Cal.'!$E113)</f>
        <v>0</v>
      </c>
      <c r="R113" s="726">
        <f>SUMIFS('Schedule 4'!$F$89:$F$649,'Schedule 4'!$I$89:$I$649,'Well Cal.'!R$3,'Schedule 4'!$J$89:$J$649,'Well Cal.'!$E113)</f>
        <v>0</v>
      </c>
      <c r="S113" s="726">
        <f>SUMIFS('Schedule 4'!$F$89:$F$649,'Schedule 4'!$I$89:$I$649,'Well Cal.'!S$3,'Schedule 4'!$J$89:$J$649,'Well Cal.'!$E113)</f>
        <v>0</v>
      </c>
      <c r="T113" s="726">
        <f>SUMIFS('Schedule 4'!$F$89:$F$649,'Schedule 4'!$I$89:$I$649,'Well Cal.'!T$3,'Schedule 4'!$J$89:$J$649,'Well Cal.'!$E113)</f>
        <v>0</v>
      </c>
      <c r="U113" s="726">
        <f>SUMIFS('Schedule 4'!$F$89:$F$649,'Schedule 4'!$I$89:$I$649,'Well Cal.'!U$3,'Schedule 4'!$J$89:$J$649,'Well Cal.'!$E113)</f>
        <v>0</v>
      </c>
      <c r="V113" s="726">
        <f>SUMIFS('Schedule 4'!$F$89:$F$649,'Schedule 4'!$I$89:$I$649,'Well Cal.'!V$3,'Schedule 4'!$J$89:$J$649,'Well Cal.'!$E113)</f>
        <v>0</v>
      </c>
      <c r="W113" s="726">
        <f>SUMIFS('Schedule 4'!$F$89:$F$649,'Schedule 4'!$I$89:$I$649,'Well Cal.'!W$3,'Schedule 4'!$J$89:$J$649,'Well Cal.'!$E113)</f>
        <v>0</v>
      </c>
      <c r="X113" s="726">
        <f>SUMIFS('Schedule 4'!$F$89:$F$649,'Schedule 4'!$I$89:$I$649,'Well Cal.'!X$3,'Schedule 4'!$J$89:$J$649,'Well Cal.'!$E113)</f>
        <v>0</v>
      </c>
      <c r="Y113" s="726">
        <f>SUMIFS('Schedule 4'!$F$89:$F$649,'Schedule 4'!$I$89:$I$649,'Well Cal.'!Y$3,'Schedule 4'!$J$89:$J$649,'Well Cal.'!$E113)</f>
        <v>0</v>
      </c>
      <c r="Z113" s="726">
        <f>SUMIFS('Schedule 4'!$F$89:$F$649,'Schedule 4'!$I$89:$I$649,'Well Cal.'!Z$3,'Schedule 4'!$J$89:$J$649,'Well Cal.'!$E113)</f>
        <v>0</v>
      </c>
      <c r="AA113" s="726"/>
      <c r="AB113" s="1730"/>
      <c r="AC113" s="1730"/>
    </row>
    <row r="114" spans="2:29" x14ac:dyDescent="0.3">
      <c r="B114" s="1724"/>
      <c r="C114" s="1727"/>
      <c r="D114" s="1721"/>
      <c r="E114" s="761" t="s">
        <v>3314</v>
      </c>
      <c r="F114" s="726">
        <f>SUMIFS('Schedule 4'!$F$89:$F$649,'Schedule 4'!$I$89:$I$649,'Well Cal.'!F$3,'Schedule 4'!$J$89:$J$649,'Well Cal.'!$E114)</f>
        <v>0</v>
      </c>
      <c r="G114" s="726">
        <f>SUMIFS('Schedule 4'!$F$89:$F$649,'Schedule 4'!$I$89:$I$649,'Well Cal.'!G$3,'Schedule 4'!$J$89:$J$649,'Well Cal.'!$E114)</f>
        <v>0</v>
      </c>
      <c r="H114" s="726">
        <f>SUMIFS('Schedule 4'!$F$89:$F$649,'Schedule 4'!$I$89:$I$649,'Well Cal.'!H$3,'Schedule 4'!$J$89:$J$649,'Well Cal.'!$E114)</f>
        <v>0</v>
      </c>
      <c r="I114" s="726">
        <f>SUMIFS('Schedule 4'!$F$89:$F$649,'Schedule 4'!$I$89:$I$649,'Well Cal.'!I$3,'Schedule 4'!$J$89:$J$649,'Well Cal.'!$E114)</f>
        <v>0</v>
      </c>
      <c r="J114" s="726">
        <f>SUMIFS('Schedule 4'!$F$89:$F$649,'Schedule 4'!$I$89:$I$649,'Well Cal.'!J$3,'Schedule 4'!$J$89:$J$649,'Well Cal.'!$E114)</f>
        <v>0</v>
      </c>
      <c r="K114" s="726">
        <f>SUMIFS('Schedule 4'!$F$89:$F$649,'Schedule 4'!$I$89:$I$649,'Well Cal.'!K$3,'Schedule 4'!$J$89:$J$649,'Well Cal.'!$E114)</f>
        <v>0</v>
      </c>
      <c r="L114" s="726">
        <f>SUMIFS('Schedule 4'!$F$89:$F$649,'Schedule 4'!$I$89:$I$649,'Well Cal.'!L$3,'Schedule 4'!$J$89:$J$649,'Well Cal.'!$E114)</f>
        <v>0</v>
      </c>
      <c r="M114" s="726">
        <f>SUMIFS('Schedule 4'!$F$89:$F$649,'Schedule 4'!$I$89:$I$649,'Well Cal.'!M$3,'Schedule 4'!$J$89:$J$649,'Well Cal.'!$E114)</f>
        <v>0</v>
      </c>
      <c r="N114" s="726">
        <f>SUMIFS('Schedule 4'!$F$89:$F$649,'Schedule 4'!$I$89:$I$649,'Well Cal.'!N$3,'Schedule 4'!$J$89:$J$649,'Well Cal.'!$E114)</f>
        <v>0</v>
      </c>
      <c r="O114" s="726">
        <f>SUMIFS('Schedule 4'!$F$89:$F$649,'Schedule 4'!$I$89:$I$649,'Well Cal.'!O$3,'Schedule 4'!$J$89:$J$649,'Well Cal.'!$E114)</f>
        <v>0</v>
      </c>
      <c r="P114" s="726">
        <f>SUMIFS('Schedule 4'!$F$89:$F$649,'Schedule 4'!$I$89:$I$649,'Well Cal.'!P$3,'Schedule 4'!$J$89:$J$649,'Well Cal.'!$E114)</f>
        <v>0</v>
      </c>
      <c r="Q114" s="726">
        <f>SUMIFS('Schedule 4'!$F$89:$F$649,'Schedule 4'!$I$89:$I$649,'Well Cal.'!Q$3,'Schedule 4'!$J$89:$J$649,'Well Cal.'!$E114)</f>
        <v>0</v>
      </c>
      <c r="R114" s="726">
        <f>SUMIFS('Schedule 4'!$F$89:$F$649,'Schedule 4'!$I$89:$I$649,'Well Cal.'!R$3,'Schedule 4'!$J$89:$J$649,'Well Cal.'!$E114)</f>
        <v>0</v>
      </c>
      <c r="S114" s="726">
        <f>SUMIFS('Schedule 4'!$F$89:$F$649,'Schedule 4'!$I$89:$I$649,'Well Cal.'!S$3,'Schedule 4'!$J$89:$J$649,'Well Cal.'!$E114)</f>
        <v>0</v>
      </c>
      <c r="T114" s="726">
        <f>SUMIFS('Schedule 4'!$F$89:$F$649,'Schedule 4'!$I$89:$I$649,'Well Cal.'!T$3,'Schedule 4'!$J$89:$J$649,'Well Cal.'!$E114)</f>
        <v>0</v>
      </c>
      <c r="U114" s="726">
        <f>SUMIFS('Schedule 4'!$F$89:$F$649,'Schedule 4'!$I$89:$I$649,'Well Cal.'!U$3,'Schedule 4'!$J$89:$J$649,'Well Cal.'!$E114)</f>
        <v>0</v>
      </c>
      <c r="V114" s="726">
        <f>SUMIFS('Schedule 4'!$F$89:$F$649,'Schedule 4'!$I$89:$I$649,'Well Cal.'!V$3,'Schedule 4'!$J$89:$J$649,'Well Cal.'!$E114)</f>
        <v>0</v>
      </c>
      <c r="W114" s="726">
        <f>SUMIFS('Schedule 4'!$F$89:$F$649,'Schedule 4'!$I$89:$I$649,'Well Cal.'!W$3,'Schedule 4'!$J$89:$J$649,'Well Cal.'!$E114)</f>
        <v>0</v>
      </c>
      <c r="X114" s="726">
        <f>SUMIFS('Schedule 4'!$F$89:$F$649,'Schedule 4'!$I$89:$I$649,'Well Cal.'!X$3,'Schedule 4'!$J$89:$J$649,'Well Cal.'!$E114)</f>
        <v>0</v>
      </c>
      <c r="Y114" s="726">
        <f>SUMIFS('Schedule 4'!$F$89:$F$649,'Schedule 4'!$I$89:$I$649,'Well Cal.'!Y$3,'Schedule 4'!$J$89:$J$649,'Well Cal.'!$E114)</f>
        <v>0</v>
      </c>
      <c r="Z114" s="726">
        <f>SUMIFS('Schedule 4'!$F$89:$F$649,'Schedule 4'!$I$89:$I$649,'Well Cal.'!Z$3,'Schedule 4'!$J$89:$J$649,'Well Cal.'!$E114)</f>
        <v>0</v>
      </c>
      <c r="AA114" s="726"/>
      <c r="AB114" s="1730"/>
      <c r="AC114" s="1730"/>
    </row>
    <row r="115" spans="2:29" x14ac:dyDescent="0.3">
      <c r="B115" s="1724"/>
      <c r="C115" s="1727"/>
      <c r="D115" s="1721"/>
      <c r="E115" s="775" t="s">
        <v>3384</v>
      </c>
      <c r="F115" s="727">
        <f>SUMIFS('Schedule 4'!$F$89:$F$649,'Schedule 4'!$I$89:$I$649,'Well Cal.'!F$3,'Schedule 4'!$J$89:$J$649,'Well Cal.'!$E115)</f>
        <v>0</v>
      </c>
      <c r="G115" s="727">
        <f>SUMIFS('Schedule 4'!$F$89:$F$649,'Schedule 4'!$I$89:$I$649,'Well Cal.'!G$3,'Schedule 4'!$J$89:$J$649,'Well Cal.'!$E115)</f>
        <v>0</v>
      </c>
      <c r="H115" s="727">
        <f>SUMIFS('Schedule 4'!$F$89:$F$649,'Schedule 4'!$I$89:$I$649,'Well Cal.'!H$3,'Schedule 4'!$J$89:$J$649,'Well Cal.'!$E115)</f>
        <v>0</v>
      </c>
      <c r="I115" s="727">
        <f>SUMIFS('Schedule 4'!$F$89:$F$649,'Schedule 4'!$I$89:$I$649,'Well Cal.'!I$3,'Schedule 4'!$J$89:$J$649,'Well Cal.'!$E115)</f>
        <v>0</v>
      </c>
      <c r="J115" s="727">
        <f>SUMIFS('Schedule 4'!$F$89:$F$649,'Schedule 4'!$I$89:$I$649,'Well Cal.'!J$3,'Schedule 4'!$J$89:$J$649,'Well Cal.'!$E115)</f>
        <v>0</v>
      </c>
      <c r="K115" s="727">
        <f>SUMIFS('Schedule 4'!$F$89:$F$649,'Schedule 4'!$I$89:$I$649,'Well Cal.'!K$3,'Schedule 4'!$J$89:$J$649,'Well Cal.'!$E115)</f>
        <v>0</v>
      </c>
      <c r="L115" s="727">
        <f>SUMIFS('Schedule 4'!$F$89:$F$649,'Schedule 4'!$I$89:$I$649,'Well Cal.'!L$3,'Schedule 4'!$J$89:$J$649,'Well Cal.'!$E115)</f>
        <v>0</v>
      </c>
      <c r="M115" s="727">
        <f>SUMIFS('Schedule 4'!$F$89:$F$649,'Schedule 4'!$I$89:$I$649,'Well Cal.'!M$3,'Schedule 4'!$J$89:$J$649,'Well Cal.'!$E115)</f>
        <v>0</v>
      </c>
      <c r="N115" s="727">
        <f>SUMIFS('Schedule 4'!$F$89:$F$649,'Schedule 4'!$I$89:$I$649,'Well Cal.'!N$3,'Schedule 4'!$J$89:$J$649,'Well Cal.'!$E115)</f>
        <v>0</v>
      </c>
      <c r="O115" s="727">
        <f>SUMIFS('Schedule 4'!$F$89:$F$649,'Schedule 4'!$I$89:$I$649,'Well Cal.'!O$3,'Schedule 4'!$J$89:$J$649,'Well Cal.'!$E115)</f>
        <v>0</v>
      </c>
      <c r="P115" s="727">
        <f>SUMIFS('Schedule 4'!$F$89:$F$649,'Schedule 4'!$I$89:$I$649,'Well Cal.'!P$3,'Schedule 4'!$J$89:$J$649,'Well Cal.'!$E115)</f>
        <v>0</v>
      </c>
      <c r="Q115" s="727">
        <f>SUMIFS('Schedule 4'!$F$89:$F$649,'Schedule 4'!$I$89:$I$649,'Well Cal.'!Q$3,'Schedule 4'!$J$89:$J$649,'Well Cal.'!$E115)</f>
        <v>0</v>
      </c>
      <c r="R115" s="727">
        <f>SUMIFS('Schedule 4'!$F$89:$F$649,'Schedule 4'!$I$89:$I$649,'Well Cal.'!R$3,'Schedule 4'!$J$89:$J$649,'Well Cal.'!$E115)</f>
        <v>0</v>
      </c>
      <c r="S115" s="727">
        <f>SUMIFS('Schedule 4'!$F$89:$F$649,'Schedule 4'!$I$89:$I$649,'Well Cal.'!S$3,'Schedule 4'!$J$89:$J$649,'Well Cal.'!$E115)</f>
        <v>0</v>
      </c>
      <c r="T115" s="727">
        <f>SUMIFS('Schedule 4'!$F$89:$F$649,'Schedule 4'!$I$89:$I$649,'Well Cal.'!T$3,'Schedule 4'!$J$89:$J$649,'Well Cal.'!$E115)</f>
        <v>0</v>
      </c>
      <c r="U115" s="727">
        <f>SUMIFS('Schedule 4'!$F$89:$F$649,'Schedule 4'!$I$89:$I$649,'Well Cal.'!U$3,'Schedule 4'!$J$89:$J$649,'Well Cal.'!$E115)</f>
        <v>0</v>
      </c>
      <c r="V115" s="727">
        <f>SUMIFS('Schedule 4'!$F$89:$F$649,'Schedule 4'!$I$89:$I$649,'Well Cal.'!V$3,'Schedule 4'!$J$89:$J$649,'Well Cal.'!$E115)</f>
        <v>0</v>
      </c>
      <c r="W115" s="727">
        <f>SUMIFS('Schedule 4'!$F$89:$F$649,'Schedule 4'!$I$89:$I$649,'Well Cal.'!W$3,'Schedule 4'!$J$89:$J$649,'Well Cal.'!$E115)</f>
        <v>0</v>
      </c>
      <c r="X115" s="727">
        <f>SUMIFS('Schedule 4'!$F$89:$F$649,'Schedule 4'!$I$89:$I$649,'Well Cal.'!X$3,'Schedule 4'!$J$89:$J$649,'Well Cal.'!$E115)</f>
        <v>0</v>
      </c>
      <c r="Y115" s="727">
        <f>SUMIFS('Schedule 4'!$F$89:$F$649,'Schedule 4'!$I$89:$I$649,'Well Cal.'!Y$3,'Schedule 4'!$J$89:$J$649,'Well Cal.'!$E115)</f>
        <v>0</v>
      </c>
      <c r="Z115" s="727">
        <f>SUMIFS('Schedule 4'!$F$89:$F$649,'Schedule 4'!$I$89:$I$649,'Well Cal.'!Z$3,'Schedule 4'!$J$89:$J$649,'Well Cal.'!$E115)</f>
        <v>0</v>
      </c>
      <c r="AA115" s="727"/>
      <c r="AB115" s="1730"/>
      <c r="AC115" s="1730"/>
    </row>
    <row r="116" spans="2:29" x14ac:dyDescent="0.3">
      <c r="B116" s="1724"/>
      <c r="C116" s="1727"/>
      <c r="D116" s="1721"/>
      <c r="E116" s="775" t="s">
        <v>3468</v>
      </c>
      <c r="F116" s="727">
        <f>SUMIFS('Schedule 4'!$F$89:$F$649,'Schedule 4'!$I$89:$I$649,'Well Cal.'!F$3,'Schedule 4'!$J$89:$J$649,'Well Cal.'!$E116)</f>
        <v>0</v>
      </c>
      <c r="G116" s="727">
        <f>SUMIFS('Schedule 4'!$F$89:$F$649,'Schedule 4'!$I$89:$I$649,'Well Cal.'!G$3,'Schedule 4'!$J$89:$J$649,'Well Cal.'!$E116)</f>
        <v>0</v>
      </c>
      <c r="H116" s="727">
        <f>SUMIFS('Schedule 4'!$F$89:$F$649,'Schedule 4'!$I$89:$I$649,'Well Cal.'!H$3,'Schedule 4'!$J$89:$J$649,'Well Cal.'!$E116)</f>
        <v>0</v>
      </c>
      <c r="I116" s="727">
        <f>SUMIFS('Schedule 4'!$F$89:$F$649,'Schedule 4'!$I$89:$I$649,'Well Cal.'!I$3,'Schedule 4'!$J$89:$J$649,'Well Cal.'!$E116)</f>
        <v>0</v>
      </c>
      <c r="J116" s="727">
        <f>SUMIFS('Schedule 4'!$F$89:$F$649,'Schedule 4'!$I$89:$I$649,'Well Cal.'!J$3,'Schedule 4'!$J$89:$J$649,'Well Cal.'!$E116)</f>
        <v>0</v>
      </c>
      <c r="K116" s="727">
        <f>SUMIFS('Schedule 4'!$F$89:$F$649,'Schedule 4'!$I$89:$I$649,'Well Cal.'!K$3,'Schedule 4'!$J$89:$J$649,'Well Cal.'!$E116)</f>
        <v>0</v>
      </c>
      <c r="L116" s="727">
        <f>SUMIFS('Schedule 4'!$F$89:$F$649,'Schedule 4'!$I$89:$I$649,'Well Cal.'!L$3,'Schedule 4'!$J$89:$J$649,'Well Cal.'!$E116)</f>
        <v>0</v>
      </c>
      <c r="M116" s="727">
        <f>SUMIFS('Schedule 4'!$F$89:$F$649,'Schedule 4'!$I$89:$I$649,'Well Cal.'!M$3,'Schedule 4'!$J$89:$J$649,'Well Cal.'!$E116)</f>
        <v>0</v>
      </c>
      <c r="N116" s="727">
        <f>SUMIFS('Schedule 4'!$F$89:$F$649,'Schedule 4'!$I$89:$I$649,'Well Cal.'!N$3,'Schedule 4'!$J$89:$J$649,'Well Cal.'!$E116)</f>
        <v>0</v>
      </c>
      <c r="O116" s="727">
        <f>SUMIFS('Schedule 4'!$F$89:$F$649,'Schedule 4'!$I$89:$I$649,'Well Cal.'!O$3,'Schedule 4'!$J$89:$J$649,'Well Cal.'!$E116)</f>
        <v>0</v>
      </c>
      <c r="P116" s="727">
        <f>SUMIFS('Schedule 4'!$F$89:$F$649,'Schedule 4'!$I$89:$I$649,'Well Cal.'!P$3,'Schedule 4'!$J$89:$J$649,'Well Cal.'!$E116)</f>
        <v>0</v>
      </c>
      <c r="Q116" s="727">
        <f>SUMIFS('Schedule 4'!$F$89:$F$649,'Schedule 4'!$I$89:$I$649,'Well Cal.'!Q$3,'Schedule 4'!$J$89:$J$649,'Well Cal.'!$E116)</f>
        <v>0</v>
      </c>
      <c r="R116" s="727">
        <f>SUMIFS('Schedule 4'!$F$89:$F$649,'Schedule 4'!$I$89:$I$649,'Well Cal.'!R$3,'Schedule 4'!$J$89:$J$649,'Well Cal.'!$E116)</f>
        <v>0</v>
      </c>
      <c r="S116" s="727">
        <f>SUMIFS('Schedule 4'!$F$89:$F$649,'Schedule 4'!$I$89:$I$649,'Well Cal.'!S$3,'Schedule 4'!$J$89:$J$649,'Well Cal.'!$E116)</f>
        <v>0</v>
      </c>
      <c r="T116" s="727">
        <f>SUMIFS('Schedule 4'!$F$89:$F$649,'Schedule 4'!$I$89:$I$649,'Well Cal.'!T$3,'Schedule 4'!$J$89:$J$649,'Well Cal.'!$E116)</f>
        <v>0</v>
      </c>
      <c r="U116" s="727">
        <f>SUMIFS('Schedule 4'!$F$89:$F$649,'Schedule 4'!$I$89:$I$649,'Well Cal.'!U$3,'Schedule 4'!$J$89:$J$649,'Well Cal.'!$E116)</f>
        <v>0</v>
      </c>
      <c r="V116" s="727">
        <f>SUMIFS('Schedule 4'!$F$89:$F$649,'Schedule 4'!$I$89:$I$649,'Well Cal.'!V$3,'Schedule 4'!$J$89:$J$649,'Well Cal.'!$E116)</f>
        <v>0</v>
      </c>
      <c r="W116" s="727">
        <f>SUMIFS('Schedule 4'!$F$89:$F$649,'Schedule 4'!$I$89:$I$649,'Well Cal.'!W$3,'Schedule 4'!$J$89:$J$649,'Well Cal.'!$E116)</f>
        <v>0</v>
      </c>
      <c r="X116" s="727">
        <f>SUMIFS('Schedule 4'!$F$89:$F$649,'Schedule 4'!$I$89:$I$649,'Well Cal.'!X$3,'Schedule 4'!$J$89:$J$649,'Well Cal.'!$E116)</f>
        <v>0</v>
      </c>
      <c r="Y116" s="727">
        <f>SUMIFS('Schedule 4'!$F$89:$F$649,'Schedule 4'!$I$89:$I$649,'Well Cal.'!Y$3,'Schedule 4'!$J$89:$J$649,'Well Cal.'!$E116)</f>
        <v>0</v>
      </c>
      <c r="Z116" s="727">
        <f>SUMIFS('Schedule 4'!$F$89:$F$649,'Schedule 4'!$I$89:$I$649,'Well Cal.'!Z$3,'Schedule 4'!$J$89:$J$649,'Well Cal.'!$E116)</f>
        <v>0</v>
      </c>
      <c r="AA116" s="727"/>
      <c r="AB116" s="1730"/>
      <c r="AC116" s="1730"/>
    </row>
    <row r="117" spans="2:29" x14ac:dyDescent="0.3">
      <c r="B117" s="1724"/>
      <c r="C117" s="1727"/>
      <c r="D117" s="1721"/>
      <c r="E117" s="775" t="s">
        <v>3557</v>
      </c>
      <c r="F117" s="727">
        <f>SUMIFS('Schedule 4'!$F$89:$F$649,'Schedule 4'!$I$89:$I$649,'Well Cal.'!F$3,'Schedule 4'!$J$89:$J$649,'Well Cal.'!$E117)</f>
        <v>0</v>
      </c>
      <c r="G117" s="727">
        <f>SUMIFS('Schedule 4'!$F$89:$F$649,'Schedule 4'!$I$89:$I$649,'Well Cal.'!G$3,'Schedule 4'!$J$89:$J$649,'Well Cal.'!$E117)</f>
        <v>0</v>
      </c>
      <c r="H117" s="727">
        <f>SUMIFS('Schedule 4'!$F$89:$F$649,'Schedule 4'!$I$89:$I$649,'Well Cal.'!H$3,'Schedule 4'!$J$89:$J$649,'Well Cal.'!$E117)</f>
        <v>0</v>
      </c>
      <c r="I117" s="727">
        <f>SUMIFS('Schedule 4'!$F$89:$F$649,'Schedule 4'!$I$89:$I$649,'Well Cal.'!I$3,'Schedule 4'!$J$89:$J$649,'Well Cal.'!$E117)</f>
        <v>0</v>
      </c>
      <c r="J117" s="727">
        <f>SUMIFS('Schedule 4'!$F$89:$F$649,'Schedule 4'!$I$89:$I$649,'Well Cal.'!J$3,'Schedule 4'!$J$89:$J$649,'Well Cal.'!$E117)</f>
        <v>0</v>
      </c>
      <c r="K117" s="727">
        <f>SUMIFS('Schedule 4'!$F$89:$F$649,'Schedule 4'!$I$89:$I$649,'Well Cal.'!K$3,'Schedule 4'!$J$89:$J$649,'Well Cal.'!$E117)</f>
        <v>0</v>
      </c>
      <c r="L117" s="727">
        <f>SUMIFS('Schedule 4'!$F$89:$F$649,'Schedule 4'!$I$89:$I$649,'Well Cal.'!L$3,'Schedule 4'!$J$89:$J$649,'Well Cal.'!$E117)</f>
        <v>0</v>
      </c>
      <c r="M117" s="727">
        <f>SUMIFS('Schedule 4'!$F$89:$F$649,'Schedule 4'!$I$89:$I$649,'Well Cal.'!M$3,'Schedule 4'!$J$89:$J$649,'Well Cal.'!$E117)</f>
        <v>0</v>
      </c>
      <c r="N117" s="727">
        <f>SUMIFS('Schedule 4'!$F$89:$F$649,'Schedule 4'!$I$89:$I$649,'Well Cal.'!N$3,'Schedule 4'!$J$89:$J$649,'Well Cal.'!$E117)</f>
        <v>0</v>
      </c>
      <c r="O117" s="727">
        <f>SUMIFS('Schedule 4'!$F$89:$F$649,'Schedule 4'!$I$89:$I$649,'Well Cal.'!O$3,'Schedule 4'!$J$89:$J$649,'Well Cal.'!$E117)</f>
        <v>0</v>
      </c>
      <c r="P117" s="727">
        <f>SUMIFS('Schedule 4'!$F$89:$F$649,'Schedule 4'!$I$89:$I$649,'Well Cal.'!P$3,'Schedule 4'!$J$89:$J$649,'Well Cal.'!$E117)</f>
        <v>0</v>
      </c>
      <c r="Q117" s="727">
        <f>SUMIFS('Schedule 4'!$F$89:$F$649,'Schedule 4'!$I$89:$I$649,'Well Cal.'!Q$3,'Schedule 4'!$J$89:$J$649,'Well Cal.'!$E117)</f>
        <v>0</v>
      </c>
      <c r="R117" s="727">
        <f>SUMIFS('Schedule 4'!$F$89:$F$649,'Schedule 4'!$I$89:$I$649,'Well Cal.'!R$3,'Schedule 4'!$J$89:$J$649,'Well Cal.'!$E117)</f>
        <v>0</v>
      </c>
      <c r="S117" s="727">
        <f>SUMIFS('Schedule 4'!$F$89:$F$649,'Schedule 4'!$I$89:$I$649,'Well Cal.'!S$3,'Schedule 4'!$J$89:$J$649,'Well Cal.'!$E117)</f>
        <v>0</v>
      </c>
      <c r="T117" s="727">
        <f>SUMIFS('Schedule 4'!$F$89:$F$649,'Schedule 4'!$I$89:$I$649,'Well Cal.'!T$3,'Schedule 4'!$J$89:$J$649,'Well Cal.'!$E117)</f>
        <v>0</v>
      </c>
      <c r="U117" s="727">
        <f>SUMIFS('Schedule 4'!$F$89:$F$649,'Schedule 4'!$I$89:$I$649,'Well Cal.'!U$3,'Schedule 4'!$J$89:$J$649,'Well Cal.'!$E117)</f>
        <v>0</v>
      </c>
      <c r="V117" s="727">
        <f>SUMIFS('Schedule 4'!$F$89:$F$649,'Schedule 4'!$I$89:$I$649,'Well Cal.'!V$3,'Schedule 4'!$J$89:$J$649,'Well Cal.'!$E117)</f>
        <v>0</v>
      </c>
      <c r="W117" s="727">
        <f>SUMIFS('Schedule 4'!$F$89:$F$649,'Schedule 4'!$I$89:$I$649,'Well Cal.'!W$3,'Schedule 4'!$J$89:$J$649,'Well Cal.'!$E117)</f>
        <v>0</v>
      </c>
      <c r="X117" s="727">
        <f>SUMIFS('Schedule 4'!$F$89:$F$649,'Schedule 4'!$I$89:$I$649,'Well Cal.'!X$3,'Schedule 4'!$J$89:$J$649,'Well Cal.'!$E117)</f>
        <v>0</v>
      </c>
      <c r="Y117" s="727">
        <f>SUMIFS('Schedule 4'!$F$89:$F$649,'Schedule 4'!$I$89:$I$649,'Well Cal.'!Y$3,'Schedule 4'!$J$89:$J$649,'Well Cal.'!$E117)</f>
        <v>0</v>
      </c>
      <c r="Z117" s="727">
        <f>SUMIFS('Schedule 4'!$F$89:$F$649,'Schedule 4'!$I$89:$I$649,'Well Cal.'!Z$3,'Schedule 4'!$J$89:$J$649,'Well Cal.'!$E117)</f>
        <v>0</v>
      </c>
      <c r="AA117" s="727"/>
      <c r="AB117" s="1730"/>
      <c r="AC117" s="1730"/>
    </row>
    <row r="118" spans="2:29" x14ac:dyDescent="0.3">
      <c r="B118" s="1724"/>
      <c r="C118" s="1727"/>
      <c r="D118" s="1721"/>
      <c r="E118" s="775" t="s">
        <v>3622</v>
      </c>
      <c r="F118" s="727">
        <f>SUMIFS('Schedule 4'!$F$89:$F$649,'Schedule 4'!$I$89:$I$649,'Well Cal.'!F$3,'Schedule 4'!$J$89:$J$649,'Well Cal.'!$E118)</f>
        <v>0</v>
      </c>
      <c r="G118" s="727">
        <f>SUMIFS('Schedule 4'!$F$89:$F$649,'Schedule 4'!$I$89:$I$649,'Well Cal.'!G$3,'Schedule 4'!$J$89:$J$649,'Well Cal.'!$E118)</f>
        <v>0</v>
      </c>
      <c r="H118" s="727">
        <f>SUMIFS('Schedule 4'!$F$89:$F$649,'Schedule 4'!$I$89:$I$649,'Well Cal.'!H$3,'Schedule 4'!$J$89:$J$649,'Well Cal.'!$E118)</f>
        <v>0</v>
      </c>
      <c r="I118" s="727">
        <f>SUMIFS('Schedule 4'!$F$89:$F$649,'Schedule 4'!$I$89:$I$649,'Well Cal.'!I$3,'Schedule 4'!$J$89:$J$649,'Well Cal.'!$E118)</f>
        <v>0</v>
      </c>
      <c r="J118" s="727">
        <f>SUMIFS('Schedule 4'!$F$89:$F$649,'Schedule 4'!$I$89:$I$649,'Well Cal.'!J$3,'Schedule 4'!$J$89:$J$649,'Well Cal.'!$E118)</f>
        <v>0</v>
      </c>
      <c r="K118" s="727">
        <f>SUMIFS('Schedule 4'!$F$89:$F$649,'Schedule 4'!$I$89:$I$649,'Well Cal.'!K$3,'Schedule 4'!$J$89:$J$649,'Well Cal.'!$E118)</f>
        <v>0</v>
      </c>
      <c r="L118" s="727">
        <f>SUMIFS('Schedule 4'!$F$89:$F$649,'Schedule 4'!$I$89:$I$649,'Well Cal.'!L$3,'Schedule 4'!$J$89:$J$649,'Well Cal.'!$E118)</f>
        <v>0</v>
      </c>
      <c r="M118" s="727">
        <f>SUMIFS('Schedule 4'!$F$89:$F$649,'Schedule 4'!$I$89:$I$649,'Well Cal.'!M$3,'Schedule 4'!$J$89:$J$649,'Well Cal.'!$E118)</f>
        <v>0</v>
      </c>
      <c r="N118" s="727">
        <f>SUMIFS('Schedule 4'!$F$89:$F$649,'Schedule 4'!$I$89:$I$649,'Well Cal.'!N$3,'Schedule 4'!$J$89:$J$649,'Well Cal.'!$E118)</f>
        <v>0</v>
      </c>
      <c r="O118" s="727">
        <f>SUMIFS('Schedule 4'!$F$89:$F$649,'Schedule 4'!$I$89:$I$649,'Well Cal.'!O$3,'Schedule 4'!$J$89:$J$649,'Well Cal.'!$E118)</f>
        <v>0</v>
      </c>
      <c r="P118" s="727">
        <f>SUMIFS('Schedule 4'!$F$89:$F$649,'Schedule 4'!$I$89:$I$649,'Well Cal.'!P$3,'Schedule 4'!$J$89:$J$649,'Well Cal.'!$E118)</f>
        <v>0</v>
      </c>
      <c r="Q118" s="727">
        <f>SUMIFS('Schedule 4'!$F$89:$F$649,'Schedule 4'!$I$89:$I$649,'Well Cal.'!Q$3,'Schedule 4'!$J$89:$J$649,'Well Cal.'!$E118)</f>
        <v>0</v>
      </c>
      <c r="R118" s="727">
        <f>SUMIFS('Schedule 4'!$F$89:$F$649,'Schedule 4'!$I$89:$I$649,'Well Cal.'!R$3,'Schedule 4'!$J$89:$J$649,'Well Cal.'!$E118)</f>
        <v>0</v>
      </c>
      <c r="S118" s="727">
        <f>SUMIFS('Schedule 4'!$F$89:$F$649,'Schedule 4'!$I$89:$I$649,'Well Cal.'!S$3,'Schedule 4'!$J$89:$J$649,'Well Cal.'!$E118)</f>
        <v>0</v>
      </c>
      <c r="T118" s="727">
        <f>SUMIFS('Schedule 4'!$F$89:$F$649,'Schedule 4'!$I$89:$I$649,'Well Cal.'!T$3,'Schedule 4'!$J$89:$J$649,'Well Cal.'!$E118)</f>
        <v>0</v>
      </c>
      <c r="U118" s="727">
        <f>SUMIFS('Schedule 4'!$F$89:$F$649,'Schedule 4'!$I$89:$I$649,'Well Cal.'!U$3,'Schedule 4'!$J$89:$J$649,'Well Cal.'!$E118)</f>
        <v>0</v>
      </c>
      <c r="V118" s="727">
        <f>SUMIFS('Schedule 4'!$F$89:$F$649,'Schedule 4'!$I$89:$I$649,'Well Cal.'!V$3,'Schedule 4'!$J$89:$J$649,'Well Cal.'!$E118)</f>
        <v>0</v>
      </c>
      <c r="W118" s="727">
        <f>SUMIFS('Schedule 4'!$F$89:$F$649,'Schedule 4'!$I$89:$I$649,'Well Cal.'!W$3,'Schedule 4'!$J$89:$J$649,'Well Cal.'!$E118)</f>
        <v>0</v>
      </c>
      <c r="X118" s="727">
        <f>SUMIFS('Schedule 4'!$F$89:$F$649,'Schedule 4'!$I$89:$I$649,'Well Cal.'!X$3,'Schedule 4'!$J$89:$J$649,'Well Cal.'!$E118)</f>
        <v>0</v>
      </c>
      <c r="Y118" s="727">
        <f>SUMIFS('Schedule 4'!$F$89:$F$649,'Schedule 4'!$I$89:$I$649,'Well Cal.'!Y$3,'Schedule 4'!$J$89:$J$649,'Well Cal.'!$E118)</f>
        <v>0</v>
      </c>
      <c r="Z118" s="727">
        <f>SUMIFS('Schedule 4'!$F$89:$F$649,'Schedule 4'!$I$89:$I$649,'Well Cal.'!Z$3,'Schedule 4'!$J$89:$J$649,'Well Cal.'!$E118)</f>
        <v>0</v>
      </c>
      <c r="AA118" s="727"/>
      <c r="AB118" s="1730"/>
      <c r="AC118" s="1730"/>
    </row>
    <row r="119" spans="2:29" x14ac:dyDescent="0.3">
      <c r="B119" s="1724"/>
      <c r="C119" s="1727"/>
      <c r="D119" s="1721"/>
      <c r="E119" s="775" t="s">
        <v>3738</v>
      </c>
      <c r="F119" s="727">
        <f>SUMIFS('Schedule 4'!$F$89:$F$649,'Schedule 4'!$I$89:$I$649,'Well Cal.'!F$3,'Schedule 4'!$J$89:$J$649,'Well Cal.'!$E119)</f>
        <v>0</v>
      </c>
      <c r="G119" s="727">
        <f>SUMIFS('Schedule 4'!$F$89:$F$649,'Schedule 4'!$I$89:$I$649,'Well Cal.'!G$3,'Schedule 4'!$J$89:$J$649,'Well Cal.'!$E119)</f>
        <v>0</v>
      </c>
      <c r="H119" s="727">
        <f>SUMIFS('Schedule 4'!$F$89:$F$649,'Schedule 4'!$I$89:$I$649,'Well Cal.'!H$3,'Schedule 4'!$J$89:$J$649,'Well Cal.'!$E119)</f>
        <v>0</v>
      </c>
      <c r="I119" s="727">
        <f>SUMIFS('Schedule 4'!$F$89:$F$649,'Schedule 4'!$I$89:$I$649,'Well Cal.'!I$3,'Schedule 4'!$J$89:$J$649,'Well Cal.'!$E119)</f>
        <v>0</v>
      </c>
      <c r="J119" s="727">
        <f>SUMIFS('Schedule 4'!$F$89:$F$649,'Schedule 4'!$I$89:$I$649,'Well Cal.'!J$3,'Schedule 4'!$J$89:$J$649,'Well Cal.'!$E119)</f>
        <v>0</v>
      </c>
      <c r="K119" s="727">
        <f>SUMIFS('Schedule 4'!$F$89:$F$649,'Schedule 4'!$I$89:$I$649,'Well Cal.'!K$3,'Schedule 4'!$J$89:$J$649,'Well Cal.'!$E119)</f>
        <v>0</v>
      </c>
      <c r="L119" s="727">
        <f>SUMIFS('Schedule 4'!$F$89:$F$649,'Schedule 4'!$I$89:$I$649,'Well Cal.'!L$3,'Schedule 4'!$J$89:$J$649,'Well Cal.'!$E119)</f>
        <v>0</v>
      </c>
      <c r="M119" s="727">
        <f>SUMIFS('Schedule 4'!$F$89:$F$649,'Schedule 4'!$I$89:$I$649,'Well Cal.'!M$3,'Schedule 4'!$J$89:$J$649,'Well Cal.'!$E119)</f>
        <v>0</v>
      </c>
      <c r="N119" s="727">
        <f>SUMIFS('Schedule 4'!$F$89:$F$649,'Schedule 4'!$I$89:$I$649,'Well Cal.'!N$3,'Schedule 4'!$J$89:$J$649,'Well Cal.'!$E119)</f>
        <v>0</v>
      </c>
      <c r="O119" s="727">
        <f>SUMIFS('Schedule 4'!$F$89:$F$649,'Schedule 4'!$I$89:$I$649,'Well Cal.'!O$3,'Schedule 4'!$J$89:$J$649,'Well Cal.'!$E119)</f>
        <v>0</v>
      </c>
      <c r="P119" s="727">
        <f>SUMIFS('Schedule 4'!$F$89:$F$649,'Schedule 4'!$I$89:$I$649,'Well Cal.'!P$3,'Schedule 4'!$J$89:$J$649,'Well Cal.'!$E119)</f>
        <v>0</v>
      </c>
      <c r="Q119" s="727">
        <f>SUMIFS('Schedule 4'!$F$89:$F$649,'Schedule 4'!$I$89:$I$649,'Well Cal.'!Q$3,'Schedule 4'!$J$89:$J$649,'Well Cal.'!$E119)</f>
        <v>0</v>
      </c>
      <c r="R119" s="727">
        <f>SUMIFS('Schedule 4'!$F$89:$F$649,'Schedule 4'!$I$89:$I$649,'Well Cal.'!R$3,'Schedule 4'!$J$89:$J$649,'Well Cal.'!$E119)</f>
        <v>0</v>
      </c>
      <c r="S119" s="727">
        <f>SUMIFS('Schedule 4'!$F$89:$F$649,'Schedule 4'!$I$89:$I$649,'Well Cal.'!S$3,'Schedule 4'!$J$89:$J$649,'Well Cal.'!$E119)</f>
        <v>0</v>
      </c>
      <c r="T119" s="727">
        <f>SUMIFS('Schedule 4'!$F$89:$F$649,'Schedule 4'!$I$89:$I$649,'Well Cal.'!T$3,'Schedule 4'!$J$89:$J$649,'Well Cal.'!$E119)</f>
        <v>0</v>
      </c>
      <c r="U119" s="727">
        <f>SUMIFS('Schedule 4'!$F$89:$F$649,'Schedule 4'!$I$89:$I$649,'Well Cal.'!U$3,'Schedule 4'!$J$89:$J$649,'Well Cal.'!$E119)</f>
        <v>0</v>
      </c>
      <c r="V119" s="727">
        <f>SUMIFS('Schedule 4'!$F$89:$F$649,'Schedule 4'!$I$89:$I$649,'Well Cal.'!V$3,'Schedule 4'!$J$89:$J$649,'Well Cal.'!$E119)</f>
        <v>0</v>
      </c>
      <c r="W119" s="727">
        <f>SUMIFS('Schedule 4'!$F$89:$F$649,'Schedule 4'!$I$89:$I$649,'Well Cal.'!W$3,'Schedule 4'!$J$89:$J$649,'Well Cal.'!$E119)</f>
        <v>0</v>
      </c>
      <c r="X119" s="727">
        <f>SUMIFS('Schedule 4'!$F$89:$F$649,'Schedule 4'!$I$89:$I$649,'Well Cal.'!X$3,'Schedule 4'!$J$89:$J$649,'Well Cal.'!$E119)</f>
        <v>0</v>
      </c>
      <c r="Y119" s="727">
        <f>SUMIFS('Schedule 4'!$F$89:$F$649,'Schedule 4'!$I$89:$I$649,'Well Cal.'!Y$3,'Schedule 4'!$J$89:$J$649,'Well Cal.'!$E119)</f>
        <v>0</v>
      </c>
      <c r="Z119" s="727">
        <f>SUMIFS('Schedule 4'!$F$89:$F$649,'Schedule 4'!$I$89:$I$649,'Well Cal.'!Z$3,'Schedule 4'!$J$89:$J$649,'Well Cal.'!$E119)</f>
        <v>0</v>
      </c>
      <c r="AA119" s="727"/>
      <c r="AB119" s="1731"/>
      <c r="AC119" s="1731"/>
    </row>
    <row r="120" spans="2:29" x14ac:dyDescent="0.3">
      <c r="B120" s="1724"/>
      <c r="C120" s="1727"/>
      <c r="D120" s="1721"/>
      <c r="E120" s="775" t="s">
        <v>3761</v>
      </c>
      <c r="F120" s="727">
        <f>SUMIFS('Schedule 4'!$F$89:$F$649,'Schedule 4'!$I$89:$I$649,'Well Cal.'!F$3,'Schedule 4'!$J$89:$J$649,'Well Cal.'!$E120)</f>
        <v>0</v>
      </c>
      <c r="G120" s="727">
        <f>SUMIFS('Schedule 4'!$F$89:$F$649,'Schedule 4'!$I$89:$I$649,'Well Cal.'!G$3,'Schedule 4'!$J$89:$J$649,'Well Cal.'!$E120)</f>
        <v>0</v>
      </c>
      <c r="H120" s="727">
        <f>SUMIFS('Schedule 4'!$F$89:$F$649,'Schedule 4'!$I$89:$I$649,'Well Cal.'!H$3,'Schedule 4'!$J$89:$J$649,'Well Cal.'!$E120)</f>
        <v>0</v>
      </c>
      <c r="I120" s="727">
        <f>SUMIFS('Schedule 4'!$F$89:$F$649,'Schedule 4'!$I$89:$I$649,'Well Cal.'!I$3,'Schedule 4'!$J$89:$J$649,'Well Cal.'!$E120)</f>
        <v>0</v>
      </c>
      <c r="J120" s="727">
        <f>SUMIFS('Schedule 4'!$F$89:$F$649,'Schedule 4'!$I$89:$I$649,'Well Cal.'!J$3,'Schedule 4'!$J$89:$J$649,'Well Cal.'!$E120)</f>
        <v>0</v>
      </c>
      <c r="K120" s="727">
        <f>SUMIFS('Schedule 4'!$F$89:$F$649,'Schedule 4'!$I$89:$I$649,'Well Cal.'!K$3,'Schedule 4'!$J$89:$J$649,'Well Cal.'!$E120)</f>
        <v>0</v>
      </c>
      <c r="L120" s="727">
        <f>SUMIFS('Schedule 4'!$F$89:$F$649,'Schedule 4'!$I$89:$I$649,'Well Cal.'!L$3,'Schedule 4'!$J$89:$J$649,'Well Cal.'!$E120)</f>
        <v>0</v>
      </c>
      <c r="M120" s="727">
        <f>SUMIFS('Schedule 4'!$F$89:$F$649,'Schedule 4'!$I$89:$I$649,'Well Cal.'!M$3,'Schedule 4'!$J$89:$J$649,'Well Cal.'!$E120)</f>
        <v>0</v>
      </c>
      <c r="N120" s="727">
        <f>SUMIFS('Schedule 4'!$F$89:$F$649,'Schedule 4'!$I$89:$I$649,'Well Cal.'!N$3,'Schedule 4'!$J$89:$J$649,'Well Cal.'!$E120)</f>
        <v>0</v>
      </c>
      <c r="O120" s="727">
        <f>SUMIFS('Schedule 4'!$F$89:$F$649,'Schedule 4'!$I$89:$I$649,'Well Cal.'!O$3,'Schedule 4'!$J$89:$J$649,'Well Cal.'!$E120)</f>
        <v>0</v>
      </c>
      <c r="P120" s="727">
        <f>SUMIFS('Schedule 4'!$F$89:$F$649,'Schedule 4'!$I$89:$I$649,'Well Cal.'!P$3,'Schedule 4'!$J$89:$J$649,'Well Cal.'!$E120)</f>
        <v>0</v>
      </c>
      <c r="Q120" s="727">
        <f>SUMIFS('Schedule 4'!$F$89:$F$649,'Schedule 4'!$I$89:$I$649,'Well Cal.'!Q$3,'Schedule 4'!$J$89:$J$649,'Well Cal.'!$E120)</f>
        <v>0</v>
      </c>
      <c r="R120" s="727">
        <f>SUMIFS('Schedule 4'!$F$89:$F$649,'Schedule 4'!$I$89:$I$649,'Well Cal.'!R$3,'Schedule 4'!$J$89:$J$649,'Well Cal.'!$E120)</f>
        <v>0</v>
      </c>
      <c r="S120" s="727">
        <f>SUMIFS('Schedule 4'!$F$89:$F$649,'Schedule 4'!$I$89:$I$649,'Well Cal.'!S$3,'Schedule 4'!$J$89:$J$649,'Well Cal.'!$E120)</f>
        <v>0</v>
      </c>
      <c r="T120" s="727">
        <f>SUMIFS('Schedule 4'!$F$89:$F$649,'Schedule 4'!$I$89:$I$649,'Well Cal.'!T$3,'Schedule 4'!$J$89:$J$649,'Well Cal.'!$E120)</f>
        <v>0</v>
      </c>
      <c r="U120" s="727">
        <f>SUMIFS('Schedule 4'!$F$89:$F$649,'Schedule 4'!$I$89:$I$649,'Well Cal.'!U$3,'Schedule 4'!$J$89:$J$649,'Well Cal.'!$E120)</f>
        <v>0</v>
      </c>
      <c r="V120" s="727">
        <f>SUMIFS('Schedule 4'!$F$89:$F$649,'Schedule 4'!$I$89:$I$649,'Well Cal.'!V$3,'Schedule 4'!$J$89:$J$649,'Well Cal.'!$E120)</f>
        <v>0</v>
      </c>
      <c r="W120" s="727">
        <f>SUMIFS('Schedule 4'!$F$89:$F$649,'Schedule 4'!$I$89:$I$649,'Well Cal.'!W$3,'Schedule 4'!$J$89:$J$649,'Well Cal.'!$E120)</f>
        <v>0</v>
      </c>
      <c r="X120" s="727">
        <f>SUMIFS('Schedule 4'!$F$89:$F$649,'Schedule 4'!$I$89:$I$649,'Well Cal.'!X$3,'Schedule 4'!$J$89:$J$649,'Well Cal.'!$E120)</f>
        <v>0</v>
      </c>
      <c r="Y120" s="727">
        <f>SUMIFS('Schedule 4'!$F$89:$F$649,'Schedule 4'!$I$89:$I$649,'Well Cal.'!Y$3,'Schedule 4'!$J$89:$J$649,'Well Cal.'!$E120)</f>
        <v>0</v>
      </c>
      <c r="Z120" s="727">
        <f>SUMIFS('Schedule 4'!$F$89:$F$649,'Schedule 4'!$I$89:$I$649,'Well Cal.'!Z$3,'Schedule 4'!$J$89:$J$649,'Well Cal.'!$E120)</f>
        <v>0</v>
      </c>
      <c r="AA120" s="727"/>
      <c r="AB120" s="1731"/>
      <c r="AC120" s="1731"/>
    </row>
    <row r="121" spans="2:29" x14ac:dyDescent="0.3">
      <c r="B121" s="1724"/>
      <c r="C121" s="1727"/>
      <c r="D121" s="1721"/>
      <c r="E121" s="775" t="s">
        <v>3846</v>
      </c>
      <c r="F121" s="727">
        <f>SUMIFS('Schedule 4'!$F$89:$F$649,'Schedule 4'!$I$89:$I$649,'Well Cal.'!F$3,'Schedule 4'!$J$89:$J$649,'Well Cal.'!$E121)</f>
        <v>0</v>
      </c>
      <c r="G121" s="727">
        <f>SUMIFS('Schedule 4'!$F$89:$F$649,'Schedule 4'!$I$89:$I$649,'Well Cal.'!G$3,'Schedule 4'!$J$89:$J$649,'Well Cal.'!$E121)</f>
        <v>0</v>
      </c>
      <c r="H121" s="727">
        <f>SUMIFS('Schedule 4'!$F$89:$F$649,'Schedule 4'!$I$89:$I$649,'Well Cal.'!H$3,'Schedule 4'!$J$89:$J$649,'Well Cal.'!$E121)</f>
        <v>0</v>
      </c>
      <c r="I121" s="727">
        <f>SUMIFS('Schedule 4'!$F$89:$F$649,'Schedule 4'!$I$89:$I$649,'Well Cal.'!I$3,'Schedule 4'!$J$89:$J$649,'Well Cal.'!$E121)</f>
        <v>0</v>
      </c>
      <c r="J121" s="727">
        <f>SUMIFS('Schedule 4'!$F$89:$F$649,'Schedule 4'!$I$89:$I$649,'Well Cal.'!J$3,'Schedule 4'!$J$89:$J$649,'Well Cal.'!$E121)</f>
        <v>0</v>
      </c>
      <c r="K121" s="727">
        <f>SUMIFS('Schedule 4'!$F$89:$F$649,'Schedule 4'!$I$89:$I$649,'Well Cal.'!K$3,'Schedule 4'!$J$89:$J$649,'Well Cal.'!$E121)</f>
        <v>0</v>
      </c>
      <c r="L121" s="727">
        <f>SUMIFS('Schedule 4'!$F$89:$F$649,'Schedule 4'!$I$89:$I$649,'Well Cal.'!L$3,'Schedule 4'!$J$89:$J$649,'Well Cal.'!$E121)</f>
        <v>0</v>
      </c>
      <c r="M121" s="727">
        <f>SUMIFS('Schedule 4'!$F$89:$F$649,'Schedule 4'!$I$89:$I$649,'Well Cal.'!M$3,'Schedule 4'!$J$89:$J$649,'Well Cal.'!$E121)</f>
        <v>0</v>
      </c>
      <c r="N121" s="727">
        <f>SUMIFS('Schedule 4'!$F$89:$F$649,'Schedule 4'!$I$89:$I$649,'Well Cal.'!N$3,'Schedule 4'!$J$89:$J$649,'Well Cal.'!$E121)</f>
        <v>0</v>
      </c>
      <c r="O121" s="727">
        <f>SUMIFS('Schedule 4'!$F$89:$F$649,'Schedule 4'!$I$89:$I$649,'Well Cal.'!O$3,'Schedule 4'!$J$89:$J$649,'Well Cal.'!$E121)</f>
        <v>0</v>
      </c>
      <c r="P121" s="727">
        <f>SUMIFS('Schedule 4'!$F$89:$F$649,'Schedule 4'!$I$89:$I$649,'Well Cal.'!P$3,'Schedule 4'!$J$89:$J$649,'Well Cal.'!$E121)</f>
        <v>0</v>
      </c>
      <c r="Q121" s="727">
        <f>SUMIFS('Schedule 4'!$F$89:$F$649,'Schedule 4'!$I$89:$I$649,'Well Cal.'!Q$3,'Schedule 4'!$J$89:$J$649,'Well Cal.'!$E121)</f>
        <v>0</v>
      </c>
      <c r="R121" s="727">
        <f>SUMIFS('Schedule 4'!$F$89:$F$649,'Schedule 4'!$I$89:$I$649,'Well Cal.'!R$3,'Schedule 4'!$J$89:$J$649,'Well Cal.'!$E121)</f>
        <v>0</v>
      </c>
      <c r="S121" s="727">
        <f>SUMIFS('Schedule 4'!$F$89:$F$649,'Schedule 4'!$I$89:$I$649,'Well Cal.'!S$3,'Schedule 4'!$J$89:$J$649,'Well Cal.'!$E121)</f>
        <v>0</v>
      </c>
      <c r="T121" s="727">
        <f>SUMIFS('Schedule 4'!$F$89:$F$649,'Schedule 4'!$I$89:$I$649,'Well Cal.'!T$3,'Schedule 4'!$J$89:$J$649,'Well Cal.'!$E121)</f>
        <v>0</v>
      </c>
      <c r="U121" s="727">
        <f>SUMIFS('Schedule 4'!$F$89:$F$649,'Schedule 4'!$I$89:$I$649,'Well Cal.'!U$3,'Schedule 4'!$J$89:$J$649,'Well Cal.'!$E121)</f>
        <v>0</v>
      </c>
      <c r="V121" s="727">
        <f>SUMIFS('Schedule 4'!$F$89:$F$649,'Schedule 4'!$I$89:$I$649,'Well Cal.'!V$3,'Schedule 4'!$J$89:$J$649,'Well Cal.'!$E121)</f>
        <v>0</v>
      </c>
      <c r="W121" s="727">
        <f>SUMIFS('Schedule 4'!$F$89:$F$649,'Schedule 4'!$I$89:$I$649,'Well Cal.'!W$3,'Schedule 4'!$J$89:$J$649,'Well Cal.'!$E121)</f>
        <v>0</v>
      </c>
      <c r="X121" s="727">
        <f>SUMIFS('Schedule 4'!$F$89:$F$649,'Schedule 4'!$I$89:$I$649,'Well Cal.'!X$3,'Schedule 4'!$J$89:$J$649,'Well Cal.'!$E121)</f>
        <v>0</v>
      </c>
      <c r="Y121" s="727">
        <f>SUMIFS('Schedule 4'!$F$89:$F$649,'Schedule 4'!$I$89:$I$649,'Well Cal.'!Y$3,'Schedule 4'!$J$89:$J$649,'Well Cal.'!$E121)</f>
        <v>0</v>
      </c>
      <c r="Z121" s="727">
        <f>SUMIFS('Schedule 4'!$F$89:$F$649,'Schedule 4'!$I$89:$I$649,'Well Cal.'!Z$3,'Schedule 4'!$J$89:$J$649,'Well Cal.'!$E121)</f>
        <v>0</v>
      </c>
      <c r="AA121" s="727"/>
      <c r="AB121" s="1731"/>
      <c r="AC121" s="1731"/>
    </row>
    <row r="122" spans="2:29" x14ac:dyDescent="0.3">
      <c r="B122" s="1724"/>
      <c r="C122" s="1727"/>
      <c r="D122" s="1721"/>
      <c r="E122" s="775" t="s">
        <v>3917</v>
      </c>
      <c r="F122" s="727">
        <f>SUMIFS('Schedule 4'!$F$89:$F$649,'Schedule 4'!$I$89:$I$649,'Well Cal.'!F$3,'Schedule 4'!$J$89:$J$649,'Well Cal.'!$E122)</f>
        <v>0</v>
      </c>
      <c r="G122" s="727">
        <f>SUMIFS('Schedule 4'!$F$89:$F$649,'Schedule 4'!$I$89:$I$649,'Well Cal.'!G$3,'Schedule 4'!$J$89:$J$649,'Well Cal.'!$E122)</f>
        <v>0</v>
      </c>
      <c r="H122" s="727">
        <f>SUMIFS('Schedule 4'!$F$89:$F$649,'Schedule 4'!$I$89:$I$649,'Well Cal.'!H$3,'Schedule 4'!$J$89:$J$649,'Well Cal.'!$E122)</f>
        <v>0</v>
      </c>
      <c r="I122" s="727">
        <f>SUMIFS('Schedule 4'!$F$89:$F$649,'Schedule 4'!$I$89:$I$649,'Well Cal.'!I$3,'Schedule 4'!$J$89:$J$649,'Well Cal.'!$E122)</f>
        <v>0</v>
      </c>
      <c r="J122" s="727">
        <f>SUMIFS('Schedule 4'!$F$89:$F$649,'Schedule 4'!$I$89:$I$649,'Well Cal.'!J$3,'Schedule 4'!$J$89:$J$649,'Well Cal.'!$E122)</f>
        <v>0</v>
      </c>
      <c r="K122" s="727">
        <f>SUMIFS('Schedule 4'!$F$89:$F$649,'Schedule 4'!$I$89:$I$649,'Well Cal.'!K$3,'Schedule 4'!$J$89:$J$649,'Well Cal.'!$E122)</f>
        <v>0</v>
      </c>
      <c r="L122" s="727">
        <f>SUMIFS('Schedule 4'!$F$89:$F$649,'Schedule 4'!$I$89:$I$649,'Well Cal.'!L$3,'Schedule 4'!$J$89:$J$649,'Well Cal.'!$E122)</f>
        <v>0</v>
      </c>
      <c r="M122" s="727">
        <f>SUMIFS('Schedule 4'!$F$89:$F$649,'Schedule 4'!$I$89:$I$649,'Well Cal.'!M$3,'Schedule 4'!$J$89:$J$649,'Well Cal.'!$E122)</f>
        <v>0</v>
      </c>
      <c r="N122" s="727">
        <f>SUMIFS('Schedule 4'!$F$89:$F$649,'Schedule 4'!$I$89:$I$649,'Well Cal.'!N$3,'Schedule 4'!$J$89:$J$649,'Well Cal.'!$E122)</f>
        <v>0</v>
      </c>
      <c r="O122" s="727">
        <f>SUMIFS('Schedule 4'!$F$89:$F$649,'Schedule 4'!$I$89:$I$649,'Well Cal.'!O$3,'Schedule 4'!$J$89:$J$649,'Well Cal.'!$E122)</f>
        <v>0</v>
      </c>
      <c r="P122" s="727">
        <f>SUMIFS('Schedule 4'!$F$89:$F$649,'Schedule 4'!$I$89:$I$649,'Well Cal.'!P$3,'Schedule 4'!$J$89:$J$649,'Well Cal.'!$E122)</f>
        <v>0</v>
      </c>
      <c r="Q122" s="727">
        <f>SUMIFS('Schedule 4'!$F$89:$F$649,'Schedule 4'!$I$89:$I$649,'Well Cal.'!Q$3,'Schedule 4'!$J$89:$J$649,'Well Cal.'!$E122)</f>
        <v>0</v>
      </c>
      <c r="R122" s="727">
        <f>SUMIFS('Schedule 4'!$F$89:$F$649,'Schedule 4'!$I$89:$I$649,'Well Cal.'!R$3,'Schedule 4'!$J$89:$J$649,'Well Cal.'!$E122)</f>
        <v>0</v>
      </c>
      <c r="S122" s="727">
        <f>SUMIFS('Schedule 4'!$F$89:$F$649,'Schedule 4'!$I$89:$I$649,'Well Cal.'!S$3,'Schedule 4'!$J$89:$J$649,'Well Cal.'!$E122)</f>
        <v>0</v>
      </c>
      <c r="T122" s="727">
        <f>SUMIFS('Schedule 4'!$F$89:$F$649,'Schedule 4'!$I$89:$I$649,'Well Cal.'!T$3,'Schedule 4'!$J$89:$J$649,'Well Cal.'!$E122)</f>
        <v>0</v>
      </c>
      <c r="U122" s="727">
        <f>SUMIFS('Schedule 4'!$F$89:$F$649,'Schedule 4'!$I$89:$I$649,'Well Cal.'!U$3,'Schedule 4'!$J$89:$J$649,'Well Cal.'!$E122)</f>
        <v>0</v>
      </c>
      <c r="V122" s="727">
        <f>SUMIFS('Schedule 4'!$F$89:$F$649,'Schedule 4'!$I$89:$I$649,'Well Cal.'!V$3,'Schedule 4'!$J$89:$J$649,'Well Cal.'!$E122)</f>
        <v>0</v>
      </c>
      <c r="W122" s="727">
        <f>SUMIFS('Schedule 4'!$F$89:$F$649,'Schedule 4'!$I$89:$I$649,'Well Cal.'!W$3,'Schedule 4'!$J$89:$J$649,'Well Cal.'!$E122)</f>
        <v>0</v>
      </c>
      <c r="X122" s="727">
        <f>SUMIFS('Schedule 4'!$F$89:$F$649,'Schedule 4'!$I$89:$I$649,'Well Cal.'!X$3,'Schedule 4'!$J$89:$J$649,'Well Cal.'!$E122)</f>
        <v>0</v>
      </c>
      <c r="Y122" s="727">
        <f>SUMIFS('Schedule 4'!$F$89:$F$649,'Schedule 4'!$I$89:$I$649,'Well Cal.'!Y$3,'Schedule 4'!$J$89:$J$649,'Well Cal.'!$E122)</f>
        <v>0</v>
      </c>
      <c r="Z122" s="727">
        <f>SUMIFS('Schedule 4'!$F$89:$F$649,'Schedule 4'!$I$89:$I$649,'Well Cal.'!Z$3,'Schedule 4'!$J$89:$J$649,'Well Cal.'!$E122)</f>
        <v>0</v>
      </c>
      <c r="AA122" s="727"/>
      <c r="AB122" s="1731"/>
      <c r="AC122" s="1731"/>
    </row>
    <row r="123" spans="2:29" x14ac:dyDescent="0.3">
      <c r="B123" s="1724"/>
      <c r="C123" s="1727"/>
      <c r="D123" s="1721"/>
      <c r="E123" s="775" t="s">
        <v>3983</v>
      </c>
      <c r="F123" s="727">
        <f>SUMIFS('Schedule 4'!$F$89:$F$649,'Schedule 4'!$I$89:$I$649,'Well Cal.'!F$3,'Schedule 4'!$J$89:$J$649,'Well Cal.'!$E123)</f>
        <v>0</v>
      </c>
      <c r="G123" s="727">
        <f>SUMIFS('Schedule 4'!$F$89:$F$649,'Schedule 4'!$I$89:$I$649,'Well Cal.'!G$3,'Schedule 4'!$J$89:$J$649,'Well Cal.'!$E123)</f>
        <v>0</v>
      </c>
      <c r="H123" s="727">
        <f>SUMIFS('Schedule 4'!$F$89:$F$649,'Schedule 4'!$I$89:$I$649,'Well Cal.'!H$3,'Schedule 4'!$J$89:$J$649,'Well Cal.'!$E123)</f>
        <v>0</v>
      </c>
      <c r="I123" s="727">
        <f>SUMIFS('Schedule 4'!$F$89:$F$649,'Schedule 4'!$I$89:$I$649,'Well Cal.'!I$3,'Schedule 4'!$J$89:$J$649,'Well Cal.'!$E123)</f>
        <v>0</v>
      </c>
      <c r="J123" s="727">
        <f>SUMIFS('Schedule 4'!$F$89:$F$649,'Schedule 4'!$I$89:$I$649,'Well Cal.'!J$3,'Schedule 4'!$J$89:$J$649,'Well Cal.'!$E123)</f>
        <v>0</v>
      </c>
      <c r="K123" s="727">
        <f>SUMIFS('Schedule 4'!$F$89:$F$649,'Schedule 4'!$I$89:$I$649,'Well Cal.'!K$3,'Schedule 4'!$J$89:$J$649,'Well Cal.'!$E123)</f>
        <v>0</v>
      </c>
      <c r="L123" s="727">
        <f>SUMIFS('Schedule 4'!$F$89:$F$649,'Schedule 4'!$I$89:$I$649,'Well Cal.'!L$3,'Schedule 4'!$J$89:$J$649,'Well Cal.'!$E123)</f>
        <v>0</v>
      </c>
      <c r="M123" s="727">
        <f>SUMIFS('Schedule 4'!$F$89:$F$649,'Schedule 4'!$I$89:$I$649,'Well Cal.'!M$3,'Schedule 4'!$J$89:$J$649,'Well Cal.'!$E123)</f>
        <v>0</v>
      </c>
      <c r="N123" s="727">
        <f>SUMIFS('Schedule 4'!$F$89:$F$649,'Schedule 4'!$I$89:$I$649,'Well Cal.'!N$3,'Schedule 4'!$J$89:$J$649,'Well Cal.'!$E123)</f>
        <v>0</v>
      </c>
      <c r="O123" s="727">
        <f>SUMIFS('Schedule 4'!$F$89:$F$649,'Schedule 4'!$I$89:$I$649,'Well Cal.'!O$3,'Schedule 4'!$J$89:$J$649,'Well Cal.'!$E123)</f>
        <v>0</v>
      </c>
      <c r="P123" s="727">
        <f>SUMIFS('Schedule 4'!$F$89:$F$649,'Schedule 4'!$I$89:$I$649,'Well Cal.'!P$3,'Schedule 4'!$J$89:$J$649,'Well Cal.'!$E123)</f>
        <v>0</v>
      </c>
      <c r="Q123" s="727">
        <f>SUMIFS('Schedule 4'!$F$89:$F$649,'Schedule 4'!$I$89:$I$649,'Well Cal.'!Q$3,'Schedule 4'!$J$89:$J$649,'Well Cal.'!$E123)</f>
        <v>0</v>
      </c>
      <c r="R123" s="727">
        <f>SUMIFS('Schedule 4'!$F$89:$F$649,'Schedule 4'!$I$89:$I$649,'Well Cal.'!R$3,'Schedule 4'!$J$89:$J$649,'Well Cal.'!$E123)</f>
        <v>0</v>
      </c>
      <c r="S123" s="727">
        <f>SUMIFS('Schedule 4'!$F$89:$F$649,'Schedule 4'!$I$89:$I$649,'Well Cal.'!S$3,'Schedule 4'!$J$89:$J$649,'Well Cal.'!$E123)</f>
        <v>0</v>
      </c>
      <c r="T123" s="727">
        <f>SUMIFS('Schedule 4'!$F$89:$F$649,'Schedule 4'!$I$89:$I$649,'Well Cal.'!T$3,'Schedule 4'!$J$89:$J$649,'Well Cal.'!$E123)</f>
        <v>0</v>
      </c>
      <c r="U123" s="727">
        <f>SUMIFS('Schedule 4'!$F$89:$F$649,'Schedule 4'!$I$89:$I$649,'Well Cal.'!U$3,'Schedule 4'!$J$89:$J$649,'Well Cal.'!$E123)</f>
        <v>0</v>
      </c>
      <c r="V123" s="727">
        <f>SUMIFS('Schedule 4'!$F$89:$F$649,'Schedule 4'!$I$89:$I$649,'Well Cal.'!V$3,'Schedule 4'!$J$89:$J$649,'Well Cal.'!$E123)</f>
        <v>0</v>
      </c>
      <c r="W123" s="727">
        <f>SUMIFS('Schedule 4'!$F$89:$F$649,'Schedule 4'!$I$89:$I$649,'Well Cal.'!W$3,'Schedule 4'!$J$89:$J$649,'Well Cal.'!$E123)</f>
        <v>0</v>
      </c>
      <c r="X123" s="727">
        <f>SUMIFS('Schedule 4'!$F$89:$F$649,'Schedule 4'!$I$89:$I$649,'Well Cal.'!X$3,'Schedule 4'!$J$89:$J$649,'Well Cal.'!$E123)</f>
        <v>0</v>
      </c>
      <c r="Y123" s="727">
        <f>SUMIFS('Schedule 4'!$F$89:$F$649,'Schedule 4'!$I$89:$I$649,'Well Cal.'!Y$3,'Schedule 4'!$J$89:$J$649,'Well Cal.'!$E123)</f>
        <v>0</v>
      </c>
      <c r="Z123" s="727">
        <f>SUMIFS('Schedule 4'!$F$89:$F$649,'Schedule 4'!$I$89:$I$649,'Well Cal.'!Z$3,'Schedule 4'!$J$89:$J$649,'Well Cal.'!$E123)</f>
        <v>0</v>
      </c>
      <c r="AA123" s="727"/>
      <c r="AB123" s="1731"/>
      <c r="AC123" s="1731"/>
    </row>
    <row r="124" spans="2:29" x14ac:dyDescent="0.3">
      <c r="B124" s="1724"/>
      <c r="C124" s="1727"/>
      <c r="D124" s="1721"/>
      <c r="E124" s="775" t="s">
        <v>4054</v>
      </c>
      <c r="F124" s="727">
        <f>SUMIFS('Schedule 4'!$F$89:$F$649,'Schedule 4'!$I$89:$I$649,'Well Cal.'!F$3,'Schedule 4'!$J$89:$J$649,'Well Cal.'!$E124)</f>
        <v>0</v>
      </c>
      <c r="G124" s="727">
        <f>SUMIFS('Schedule 4'!$F$89:$F$649,'Schedule 4'!$I$89:$I$649,'Well Cal.'!G$3,'Schedule 4'!$J$89:$J$649,'Well Cal.'!$E124)</f>
        <v>0</v>
      </c>
      <c r="H124" s="727">
        <f>SUMIFS('Schedule 4'!$F$89:$F$649,'Schedule 4'!$I$89:$I$649,'Well Cal.'!H$3,'Schedule 4'!$J$89:$J$649,'Well Cal.'!$E124)</f>
        <v>0</v>
      </c>
      <c r="I124" s="727">
        <f>SUMIFS('Schedule 4'!$F$89:$F$649,'Schedule 4'!$I$89:$I$649,'Well Cal.'!I$3,'Schedule 4'!$J$89:$J$649,'Well Cal.'!$E124)</f>
        <v>0</v>
      </c>
      <c r="J124" s="727">
        <f>SUMIFS('Schedule 4'!$F$89:$F$649,'Schedule 4'!$I$89:$I$649,'Well Cal.'!J$3,'Schedule 4'!$J$89:$J$649,'Well Cal.'!$E124)</f>
        <v>0</v>
      </c>
      <c r="K124" s="727">
        <f>SUMIFS('Schedule 4'!$F$89:$F$649,'Schedule 4'!$I$89:$I$649,'Well Cal.'!K$3,'Schedule 4'!$J$89:$J$649,'Well Cal.'!$E124)</f>
        <v>0</v>
      </c>
      <c r="L124" s="727">
        <f>SUMIFS('Schedule 4'!$F$89:$F$649,'Schedule 4'!$I$89:$I$649,'Well Cal.'!L$3,'Schedule 4'!$J$89:$J$649,'Well Cal.'!$E124)</f>
        <v>0</v>
      </c>
      <c r="M124" s="727">
        <f>SUMIFS('Schedule 4'!$F$89:$F$649,'Schedule 4'!$I$89:$I$649,'Well Cal.'!M$3,'Schedule 4'!$J$89:$J$649,'Well Cal.'!$E124)</f>
        <v>0</v>
      </c>
      <c r="N124" s="727">
        <f>SUMIFS('Schedule 4'!$F$89:$F$649,'Schedule 4'!$I$89:$I$649,'Well Cal.'!N$3,'Schedule 4'!$J$89:$J$649,'Well Cal.'!$E124)</f>
        <v>0</v>
      </c>
      <c r="O124" s="727">
        <f>SUMIFS('Schedule 4'!$F$89:$F$649,'Schedule 4'!$I$89:$I$649,'Well Cal.'!O$3,'Schedule 4'!$J$89:$J$649,'Well Cal.'!$E124)</f>
        <v>0</v>
      </c>
      <c r="P124" s="727">
        <f>SUMIFS('Schedule 4'!$F$89:$F$649,'Schedule 4'!$I$89:$I$649,'Well Cal.'!P$3,'Schedule 4'!$J$89:$J$649,'Well Cal.'!$E124)</f>
        <v>0</v>
      </c>
      <c r="Q124" s="727">
        <f>SUMIFS('Schedule 4'!$F$89:$F$649,'Schedule 4'!$I$89:$I$649,'Well Cal.'!Q$3,'Schedule 4'!$J$89:$J$649,'Well Cal.'!$E124)</f>
        <v>0</v>
      </c>
      <c r="R124" s="727">
        <f>SUMIFS('Schedule 4'!$F$89:$F$649,'Schedule 4'!$I$89:$I$649,'Well Cal.'!R$3,'Schedule 4'!$J$89:$J$649,'Well Cal.'!$E124)</f>
        <v>0</v>
      </c>
      <c r="S124" s="727">
        <f>SUMIFS('Schedule 4'!$F$89:$F$649,'Schedule 4'!$I$89:$I$649,'Well Cal.'!S$3,'Schedule 4'!$J$89:$J$649,'Well Cal.'!$E124)</f>
        <v>0</v>
      </c>
      <c r="T124" s="727">
        <f>SUMIFS('Schedule 4'!$F$89:$F$649,'Schedule 4'!$I$89:$I$649,'Well Cal.'!T$3,'Schedule 4'!$J$89:$J$649,'Well Cal.'!$E124)</f>
        <v>0</v>
      </c>
      <c r="U124" s="727">
        <f>SUMIFS('Schedule 4'!$F$89:$F$649,'Schedule 4'!$I$89:$I$649,'Well Cal.'!U$3,'Schedule 4'!$J$89:$J$649,'Well Cal.'!$E124)</f>
        <v>0</v>
      </c>
      <c r="V124" s="727">
        <f>SUMIFS('Schedule 4'!$F$89:$F$649,'Schedule 4'!$I$89:$I$649,'Well Cal.'!V$3,'Schedule 4'!$J$89:$J$649,'Well Cal.'!$E124)</f>
        <v>0</v>
      </c>
      <c r="W124" s="727">
        <f>SUMIFS('Schedule 4'!$F$89:$F$649,'Schedule 4'!$I$89:$I$649,'Well Cal.'!W$3,'Schedule 4'!$J$89:$J$649,'Well Cal.'!$E124)</f>
        <v>0</v>
      </c>
      <c r="X124" s="727">
        <f>SUMIFS('Schedule 4'!$F$89:$F$649,'Schedule 4'!$I$89:$I$649,'Well Cal.'!X$3,'Schedule 4'!$J$89:$J$649,'Well Cal.'!$E124)</f>
        <v>0</v>
      </c>
      <c r="Y124" s="727">
        <f>SUMIFS('Schedule 4'!$F$89:$F$649,'Schedule 4'!$I$89:$I$649,'Well Cal.'!Y$3,'Schedule 4'!$J$89:$J$649,'Well Cal.'!$E124)</f>
        <v>0</v>
      </c>
      <c r="Z124" s="727">
        <f>SUMIFS('Schedule 4'!$F$89:$F$649,'Schedule 4'!$I$89:$I$649,'Well Cal.'!Z$3,'Schedule 4'!$J$89:$J$649,'Well Cal.'!$E124)</f>
        <v>0</v>
      </c>
      <c r="AA124" s="727"/>
      <c r="AB124" s="1731"/>
      <c r="AC124" s="1731"/>
    </row>
    <row r="125" spans="2:29" x14ac:dyDescent="0.3">
      <c r="B125" s="1724"/>
      <c r="C125" s="1727"/>
      <c r="D125" s="1721"/>
      <c r="E125" s="775" t="s">
        <v>4119</v>
      </c>
      <c r="F125" s="727">
        <f>SUMIFS('Schedule 4'!$F$89:$F$649,'Schedule 4'!$I$89:$I$649,'Well Cal.'!F$3,'Schedule 4'!$J$89:$J$649,'Well Cal.'!$E125)</f>
        <v>0</v>
      </c>
      <c r="G125" s="727">
        <f>SUMIFS('Schedule 4'!$F$89:$F$649,'Schedule 4'!$I$89:$I$649,'Well Cal.'!G$3,'Schedule 4'!$J$89:$J$649,'Well Cal.'!$E125)</f>
        <v>0</v>
      </c>
      <c r="H125" s="727">
        <f>SUMIFS('Schedule 4'!$F$89:$F$649,'Schedule 4'!$I$89:$I$649,'Well Cal.'!H$3,'Schedule 4'!$J$89:$J$649,'Well Cal.'!$E125)</f>
        <v>0</v>
      </c>
      <c r="I125" s="727">
        <f>SUMIFS('Schedule 4'!$F$89:$F$649,'Schedule 4'!$I$89:$I$649,'Well Cal.'!I$3,'Schedule 4'!$J$89:$J$649,'Well Cal.'!$E125)</f>
        <v>0</v>
      </c>
      <c r="J125" s="727">
        <f>SUMIFS('Schedule 4'!$F$89:$F$649,'Schedule 4'!$I$89:$I$649,'Well Cal.'!J$3,'Schedule 4'!$J$89:$J$649,'Well Cal.'!$E125)</f>
        <v>0</v>
      </c>
      <c r="K125" s="727">
        <f>SUMIFS('Schedule 4'!$F$89:$F$649,'Schedule 4'!$I$89:$I$649,'Well Cal.'!K$3,'Schedule 4'!$J$89:$J$649,'Well Cal.'!$E125)</f>
        <v>0</v>
      </c>
      <c r="L125" s="727">
        <f>SUMIFS('Schedule 4'!$F$89:$F$649,'Schedule 4'!$I$89:$I$649,'Well Cal.'!L$3,'Schedule 4'!$J$89:$J$649,'Well Cal.'!$E125)</f>
        <v>0</v>
      </c>
      <c r="M125" s="727">
        <f>SUMIFS('Schedule 4'!$F$89:$F$649,'Schedule 4'!$I$89:$I$649,'Well Cal.'!M$3,'Schedule 4'!$J$89:$J$649,'Well Cal.'!$E125)</f>
        <v>0</v>
      </c>
      <c r="N125" s="727">
        <f>SUMIFS('Schedule 4'!$F$89:$F$649,'Schedule 4'!$I$89:$I$649,'Well Cal.'!N$3,'Schedule 4'!$J$89:$J$649,'Well Cal.'!$E125)</f>
        <v>0</v>
      </c>
      <c r="O125" s="727">
        <f>SUMIFS('Schedule 4'!$F$89:$F$649,'Schedule 4'!$I$89:$I$649,'Well Cal.'!O$3,'Schedule 4'!$J$89:$J$649,'Well Cal.'!$E125)</f>
        <v>0</v>
      </c>
      <c r="P125" s="727">
        <f>SUMIFS('Schedule 4'!$F$89:$F$649,'Schedule 4'!$I$89:$I$649,'Well Cal.'!P$3,'Schedule 4'!$J$89:$J$649,'Well Cal.'!$E125)</f>
        <v>0</v>
      </c>
      <c r="Q125" s="727">
        <f>SUMIFS('Schedule 4'!$F$89:$F$649,'Schedule 4'!$I$89:$I$649,'Well Cal.'!Q$3,'Schedule 4'!$J$89:$J$649,'Well Cal.'!$E125)</f>
        <v>0</v>
      </c>
      <c r="R125" s="727">
        <f>SUMIFS('Schedule 4'!$F$89:$F$649,'Schedule 4'!$I$89:$I$649,'Well Cal.'!R$3,'Schedule 4'!$J$89:$J$649,'Well Cal.'!$E125)</f>
        <v>0</v>
      </c>
      <c r="S125" s="727">
        <f>SUMIFS('Schedule 4'!$F$89:$F$649,'Schedule 4'!$I$89:$I$649,'Well Cal.'!S$3,'Schedule 4'!$J$89:$J$649,'Well Cal.'!$E125)</f>
        <v>0</v>
      </c>
      <c r="T125" s="727">
        <f>SUMIFS('Schedule 4'!$F$89:$F$649,'Schedule 4'!$I$89:$I$649,'Well Cal.'!T$3,'Schedule 4'!$J$89:$J$649,'Well Cal.'!$E125)</f>
        <v>0</v>
      </c>
      <c r="U125" s="727">
        <f>SUMIFS('Schedule 4'!$F$89:$F$649,'Schedule 4'!$I$89:$I$649,'Well Cal.'!U$3,'Schedule 4'!$J$89:$J$649,'Well Cal.'!$E125)</f>
        <v>0</v>
      </c>
      <c r="V125" s="727">
        <f>SUMIFS('Schedule 4'!$F$89:$F$649,'Schedule 4'!$I$89:$I$649,'Well Cal.'!V$3,'Schedule 4'!$J$89:$J$649,'Well Cal.'!$E125)</f>
        <v>0</v>
      </c>
      <c r="W125" s="727">
        <f>SUMIFS('Schedule 4'!$F$89:$F$649,'Schedule 4'!$I$89:$I$649,'Well Cal.'!W$3,'Schedule 4'!$J$89:$J$649,'Well Cal.'!$E125)</f>
        <v>0</v>
      </c>
      <c r="X125" s="727">
        <f>SUMIFS('Schedule 4'!$F$89:$F$649,'Schedule 4'!$I$89:$I$649,'Well Cal.'!X$3,'Schedule 4'!$J$89:$J$649,'Well Cal.'!$E125)</f>
        <v>0</v>
      </c>
      <c r="Y125" s="727">
        <f>SUMIFS('Schedule 4'!$F$89:$F$649,'Schedule 4'!$I$89:$I$649,'Well Cal.'!Y$3,'Schedule 4'!$J$89:$J$649,'Well Cal.'!$E125)</f>
        <v>0</v>
      </c>
      <c r="Z125" s="727">
        <f>SUMIFS('Schedule 4'!$F$89:$F$649,'Schedule 4'!$I$89:$I$649,'Well Cal.'!Z$3,'Schedule 4'!$J$89:$J$649,'Well Cal.'!$E125)</f>
        <v>0</v>
      </c>
      <c r="AA125" s="727"/>
      <c r="AB125" s="1731"/>
      <c r="AC125" s="1731"/>
    </row>
    <row r="126" spans="2:29" x14ac:dyDescent="0.3">
      <c r="B126" s="1724"/>
      <c r="C126" s="1727"/>
      <c r="D126" s="1721"/>
      <c r="E126" s="775" t="s">
        <v>4183</v>
      </c>
      <c r="F126" s="727">
        <f>SUMIFS('Schedule 4'!$F$89:$F$649,'Schedule 4'!$I$89:$I$649,'Well Cal.'!F$3,'Schedule 4'!$J$89:$J$649,'Well Cal.'!$E126)</f>
        <v>0</v>
      </c>
      <c r="G126" s="727">
        <f>SUMIFS('Schedule 4'!$F$89:$F$649,'Schedule 4'!$I$89:$I$649,'Well Cal.'!G$3,'Schedule 4'!$J$89:$J$649,'Well Cal.'!$E126)</f>
        <v>0</v>
      </c>
      <c r="H126" s="727">
        <f>SUMIFS('Schedule 4'!$F$89:$F$649,'Schedule 4'!$I$89:$I$649,'Well Cal.'!H$3,'Schedule 4'!$J$89:$J$649,'Well Cal.'!$E126)</f>
        <v>0</v>
      </c>
      <c r="I126" s="727">
        <f>SUMIFS('Schedule 4'!$F$89:$F$649,'Schedule 4'!$I$89:$I$649,'Well Cal.'!I$3,'Schedule 4'!$J$89:$J$649,'Well Cal.'!$E126)</f>
        <v>0</v>
      </c>
      <c r="J126" s="727">
        <f>SUMIFS('Schedule 4'!$F$89:$F$649,'Schedule 4'!$I$89:$I$649,'Well Cal.'!J$3,'Schedule 4'!$J$89:$J$649,'Well Cal.'!$E126)</f>
        <v>0</v>
      </c>
      <c r="K126" s="727">
        <f>SUMIFS('Schedule 4'!$F$89:$F$649,'Schedule 4'!$I$89:$I$649,'Well Cal.'!K$3,'Schedule 4'!$J$89:$J$649,'Well Cal.'!$E126)</f>
        <v>0</v>
      </c>
      <c r="L126" s="727">
        <f>SUMIFS('Schedule 4'!$F$89:$F$649,'Schedule 4'!$I$89:$I$649,'Well Cal.'!L$3,'Schedule 4'!$J$89:$J$649,'Well Cal.'!$E126)</f>
        <v>0</v>
      </c>
      <c r="M126" s="727">
        <f>SUMIFS('Schedule 4'!$F$89:$F$649,'Schedule 4'!$I$89:$I$649,'Well Cal.'!M$3,'Schedule 4'!$J$89:$J$649,'Well Cal.'!$E126)</f>
        <v>0</v>
      </c>
      <c r="N126" s="727">
        <f>SUMIFS('Schedule 4'!$F$89:$F$649,'Schedule 4'!$I$89:$I$649,'Well Cal.'!N$3,'Schedule 4'!$J$89:$J$649,'Well Cal.'!$E126)</f>
        <v>0</v>
      </c>
      <c r="O126" s="727">
        <f>SUMIFS('Schedule 4'!$F$89:$F$649,'Schedule 4'!$I$89:$I$649,'Well Cal.'!O$3,'Schedule 4'!$J$89:$J$649,'Well Cal.'!$E126)</f>
        <v>0</v>
      </c>
      <c r="P126" s="727">
        <f>SUMIFS('Schedule 4'!$F$89:$F$649,'Schedule 4'!$I$89:$I$649,'Well Cal.'!P$3,'Schedule 4'!$J$89:$J$649,'Well Cal.'!$E126)</f>
        <v>0</v>
      </c>
      <c r="Q126" s="727">
        <f>SUMIFS('Schedule 4'!$F$89:$F$649,'Schedule 4'!$I$89:$I$649,'Well Cal.'!Q$3,'Schedule 4'!$J$89:$J$649,'Well Cal.'!$E126)</f>
        <v>0</v>
      </c>
      <c r="R126" s="727">
        <f>SUMIFS('Schedule 4'!$F$89:$F$649,'Schedule 4'!$I$89:$I$649,'Well Cal.'!R$3,'Schedule 4'!$J$89:$J$649,'Well Cal.'!$E126)</f>
        <v>0</v>
      </c>
      <c r="S126" s="727">
        <f>SUMIFS('Schedule 4'!$F$89:$F$649,'Schedule 4'!$I$89:$I$649,'Well Cal.'!S$3,'Schedule 4'!$J$89:$J$649,'Well Cal.'!$E126)</f>
        <v>0</v>
      </c>
      <c r="T126" s="727">
        <f>SUMIFS('Schedule 4'!$F$89:$F$649,'Schedule 4'!$I$89:$I$649,'Well Cal.'!T$3,'Schedule 4'!$J$89:$J$649,'Well Cal.'!$E126)</f>
        <v>0</v>
      </c>
      <c r="U126" s="727">
        <f>SUMIFS('Schedule 4'!$F$89:$F$649,'Schedule 4'!$I$89:$I$649,'Well Cal.'!U$3,'Schedule 4'!$J$89:$J$649,'Well Cal.'!$E126)</f>
        <v>0</v>
      </c>
      <c r="V126" s="727">
        <f>SUMIFS('Schedule 4'!$F$89:$F$649,'Schedule 4'!$I$89:$I$649,'Well Cal.'!V$3,'Schedule 4'!$J$89:$J$649,'Well Cal.'!$E126)</f>
        <v>0</v>
      </c>
      <c r="W126" s="727">
        <f>SUMIFS('Schedule 4'!$F$89:$F$649,'Schedule 4'!$I$89:$I$649,'Well Cal.'!W$3,'Schedule 4'!$J$89:$J$649,'Well Cal.'!$E126)</f>
        <v>0</v>
      </c>
      <c r="X126" s="727">
        <f>SUMIFS('Schedule 4'!$F$89:$F$649,'Schedule 4'!$I$89:$I$649,'Well Cal.'!X$3,'Schedule 4'!$J$89:$J$649,'Well Cal.'!$E126)</f>
        <v>0</v>
      </c>
      <c r="Y126" s="727">
        <f>SUMIFS('Schedule 4'!$F$89:$F$649,'Schedule 4'!$I$89:$I$649,'Well Cal.'!Y$3,'Schedule 4'!$J$89:$J$649,'Well Cal.'!$E126)</f>
        <v>0</v>
      </c>
      <c r="Z126" s="727">
        <f>SUMIFS('Schedule 4'!$F$89:$F$649,'Schedule 4'!$I$89:$I$649,'Well Cal.'!Z$3,'Schedule 4'!$J$89:$J$649,'Well Cal.'!$E126)</f>
        <v>0</v>
      </c>
      <c r="AA126" s="727"/>
      <c r="AB126" s="1731"/>
      <c r="AC126" s="1731"/>
    </row>
    <row r="127" spans="2:29" x14ac:dyDescent="0.3">
      <c r="B127" s="1724"/>
      <c r="C127" s="1727"/>
      <c r="D127" s="1721"/>
      <c r="E127" s="775" t="s">
        <v>4256</v>
      </c>
      <c r="F127" s="727">
        <f>SUMIFS('Schedule 4'!$F$89:$F$649,'Schedule 4'!$I$89:$I$649,'Well Cal.'!F$3,'Schedule 4'!$J$89:$J$649,'Well Cal.'!$E127)</f>
        <v>0</v>
      </c>
      <c r="G127" s="727">
        <f>SUMIFS('Schedule 4'!$F$89:$F$649,'Schedule 4'!$I$89:$I$649,'Well Cal.'!G$3,'Schedule 4'!$J$89:$J$649,'Well Cal.'!$E127)</f>
        <v>0</v>
      </c>
      <c r="H127" s="727">
        <f>SUMIFS('Schedule 4'!$F$89:$F$649,'Schedule 4'!$I$89:$I$649,'Well Cal.'!H$3,'Schedule 4'!$J$89:$J$649,'Well Cal.'!$E127)</f>
        <v>0</v>
      </c>
      <c r="I127" s="727">
        <f>SUMIFS('Schedule 4'!$F$89:$F$649,'Schedule 4'!$I$89:$I$649,'Well Cal.'!I$3,'Schedule 4'!$J$89:$J$649,'Well Cal.'!$E127)</f>
        <v>0</v>
      </c>
      <c r="J127" s="727">
        <f>SUMIFS('Schedule 4'!$F$89:$F$649,'Schedule 4'!$I$89:$I$649,'Well Cal.'!J$3,'Schedule 4'!$J$89:$J$649,'Well Cal.'!$E127)</f>
        <v>0</v>
      </c>
      <c r="K127" s="727">
        <f>SUMIFS('Schedule 4'!$F$89:$F$649,'Schedule 4'!$I$89:$I$649,'Well Cal.'!K$3,'Schedule 4'!$J$89:$J$649,'Well Cal.'!$E127)</f>
        <v>0</v>
      </c>
      <c r="L127" s="727">
        <f>SUMIFS('Schedule 4'!$F$89:$F$649,'Schedule 4'!$I$89:$I$649,'Well Cal.'!L$3,'Schedule 4'!$J$89:$J$649,'Well Cal.'!$E127)</f>
        <v>0</v>
      </c>
      <c r="M127" s="727">
        <f>SUMIFS('Schedule 4'!$F$89:$F$649,'Schedule 4'!$I$89:$I$649,'Well Cal.'!M$3,'Schedule 4'!$J$89:$J$649,'Well Cal.'!$E127)</f>
        <v>0</v>
      </c>
      <c r="N127" s="727">
        <f>SUMIFS('Schedule 4'!$F$89:$F$649,'Schedule 4'!$I$89:$I$649,'Well Cal.'!N$3,'Schedule 4'!$J$89:$J$649,'Well Cal.'!$E127)</f>
        <v>0</v>
      </c>
      <c r="O127" s="727">
        <f>SUMIFS('Schedule 4'!$F$89:$F$649,'Schedule 4'!$I$89:$I$649,'Well Cal.'!O$3,'Schedule 4'!$J$89:$J$649,'Well Cal.'!$E127)</f>
        <v>0</v>
      </c>
      <c r="P127" s="727">
        <f>SUMIFS('Schedule 4'!$F$89:$F$649,'Schedule 4'!$I$89:$I$649,'Well Cal.'!P$3,'Schedule 4'!$J$89:$J$649,'Well Cal.'!$E127)</f>
        <v>0</v>
      </c>
      <c r="Q127" s="727">
        <f>SUMIFS('Schedule 4'!$F$89:$F$649,'Schedule 4'!$I$89:$I$649,'Well Cal.'!Q$3,'Schedule 4'!$J$89:$J$649,'Well Cal.'!$E127)</f>
        <v>0</v>
      </c>
      <c r="R127" s="727">
        <f>SUMIFS('Schedule 4'!$F$89:$F$649,'Schedule 4'!$I$89:$I$649,'Well Cal.'!R$3,'Schedule 4'!$J$89:$J$649,'Well Cal.'!$E127)</f>
        <v>0</v>
      </c>
      <c r="S127" s="727">
        <f>SUMIFS('Schedule 4'!$F$89:$F$649,'Schedule 4'!$I$89:$I$649,'Well Cal.'!S$3,'Schedule 4'!$J$89:$J$649,'Well Cal.'!$E127)</f>
        <v>0</v>
      </c>
      <c r="T127" s="727">
        <f>SUMIFS('Schedule 4'!$F$89:$F$649,'Schedule 4'!$I$89:$I$649,'Well Cal.'!T$3,'Schedule 4'!$J$89:$J$649,'Well Cal.'!$E127)</f>
        <v>0</v>
      </c>
      <c r="U127" s="727">
        <f>SUMIFS('Schedule 4'!$F$89:$F$649,'Schedule 4'!$I$89:$I$649,'Well Cal.'!U$3,'Schedule 4'!$J$89:$J$649,'Well Cal.'!$E127)</f>
        <v>0</v>
      </c>
      <c r="V127" s="727">
        <f>SUMIFS('Schedule 4'!$F$89:$F$649,'Schedule 4'!$I$89:$I$649,'Well Cal.'!V$3,'Schedule 4'!$J$89:$J$649,'Well Cal.'!$E127)</f>
        <v>0</v>
      </c>
      <c r="W127" s="727">
        <f>SUMIFS('Schedule 4'!$F$89:$F$649,'Schedule 4'!$I$89:$I$649,'Well Cal.'!W$3,'Schedule 4'!$J$89:$J$649,'Well Cal.'!$E127)</f>
        <v>0</v>
      </c>
      <c r="X127" s="727">
        <f>SUMIFS('Schedule 4'!$F$89:$F$649,'Schedule 4'!$I$89:$I$649,'Well Cal.'!X$3,'Schedule 4'!$J$89:$J$649,'Well Cal.'!$E127)</f>
        <v>0</v>
      </c>
      <c r="Y127" s="727">
        <f>SUMIFS('Schedule 4'!$F$89:$F$649,'Schedule 4'!$I$89:$I$649,'Well Cal.'!Y$3,'Schedule 4'!$J$89:$J$649,'Well Cal.'!$E127)</f>
        <v>0</v>
      </c>
      <c r="Z127" s="727">
        <f>SUMIFS('Schedule 4'!$F$89:$F$649,'Schedule 4'!$I$89:$I$649,'Well Cal.'!Z$3,'Schedule 4'!$J$89:$J$649,'Well Cal.'!$E127)</f>
        <v>0</v>
      </c>
      <c r="AA127" s="727"/>
      <c r="AB127" s="1731"/>
      <c r="AC127" s="1731"/>
    </row>
    <row r="128" spans="2:29" x14ac:dyDescent="0.3">
      <c r="B128" s="1724"/>
      <c r="C128" s="1727"/>
      <c r="D128" s="1721"/>
      <c r="E128" s="775" t="s">
        <v>4336</v>
      </c>
      <c r="F128" s="727">
        <f>SUMIFS('Schedule 4'!$F$89:$F$649,'Schedule 4'!$I$89:$I$649,'Well Cal.'!F$3,'Schedule 4'!$J$89:$J$649,'Well Cal.'!$E128)</f>
        <v>0</v>
      </c>
      <c r="G128" s="727">
        <f>SUMIFS('Schedule 4'!$F$89:$F$649,'Schedule 4'!$I$89:$I$649,'Well Cal.'!G$3,'Schedule 4'!$J$89:$J$649,'Well Cal.'!$E128)</f>
        <v>0</v>
      </c>
      <c r="H128" s="727">
        <f>SUMIFS('Schedule 4'!$F$89:$F$649,'Schedule 4'!$I$89:$I$649,'Well Cal.'!H$3,'Schedule 4'!$J$89:$J$649,'Well Cal.'!$E128)</f>
        <v>0</v>
      </c>
      <c r="I128" s="727">
        <f>SUMIFS('Schedule 4'!$F$89:$F$649,'Schedule 4'!$I$89:$I$649,'Well Cal.'!I$3,'Schedule 4'!$J$89:$J$649,'Well Cal.'!$E128)</f>
        <v>0</v>
      </c>
      <c r="J128" s="727">
        <f>SUMIFS('Schedule 4'!$F$89:$F$649,'Schedule 4'!$I$89:$I$649,'Well Cal.'!J$3,'Schedule 4'!$J$89:$J$649,'Well Cal.'!$E128)</f>
        <v>0</v>
      </c>
      <c r="K128" s="727">
        <f>SUMIFS('Schedule 4'!$F$89:$F$649,'Schedule 4'!$I$89:$I$649,'Well Cal.'!K$3,'Schedule 4'!$J$89:$J$649,'Well Cal.'!$E128)</f>
        <v>0</v>
      </c>
      <c r="L128" s="727">
        <f>SUMIFS('Schedule 4'!$F$89:$F$649,'Schedule 4'!$I$89:$I$649,'Well Cal.'!L$3,'Schedule 4'!$J$89:$J$649,'Well Cal.'!$E128)</f>
        <v>0</v>
      </c>
      <c r="M128" s="727">
        <f>SUMIFS('Schedule 4'!$F$89:$F$649,'Schedule 4'!$I$89:$I$649,'Well Cal.'!M$3,'Schedule 4'!$J$89:$J$649,'Well Cal.'!$E128)</f>
        <v>0</v>
      </c>
      <c r="N128" s="727">
        <f>SUMIFS('Schedule 4'!$F$89:$F$649,'Schedule 4'!$I$89:$I$649,'Well Cal.'!N$3,'Schedule 4'!$J$89:$J$649,'Well Cal.'!$E128)</f>
        <v>0</v>
      </c>
      <c r="O128" s="727">
        <f>SUMIFS('Schedule 4'!$F$89:$F$649,'Schedule 4'!$I$89:$I$649,'Well Cal.'!O$3,'Schedule 4'!$J$89:$J$649,'Well Cal.'!$E128)</f>
        <v>0</v>
      </c>
      <c r="P128" s="727">
        <f>SUMIFS('Schedule 4'!$F$89:$F$649,'Schedule 4'!$I$89:$I$649,'Well Cal.'!P$3,'Schedule 4'!$J$89:$J$649,'Well Cal.'!$E128)</f>
        <v>0</v>
      </c>
      <c r="Q128" s="727">
        <f>SUMIFS('Schedule 4'!$F$89:$F$649,'Schedule 4'!$I$89:$I$649,'Well Cal.'!Q$3,'Schedule 4'!$J$89:$J$649,'Well Cal.'!$E128)</f>
        <v>0</v>
      </c>
      <c r="R128" s="727">
        <f>SUMIFS('Schedule 4'!$F$89:$F$649,'Schedule 4'!$I$89:$I$649,'Well Cal.'!R$3,'Schedule 4'!$J$89:$J$649,'Well Cal.'!$E128)</f>
        <v>0</v>
      </c>
      <c r="S128" s="727">
        <f>SUMIFS('Schedule 4'!$F$89:$F$649,'Schedule 4'!$I$89:$I$649,'Well Cal.'!S$3,'Schedule 4'!$J$89:$J$649,'Well Cal.'!$E128)</f>
        <v>0</v>
      </c>
      <c r="T128" s="727">
        <f>SUMIFS('Schedule 4'!$F$89:$F$649,'Schedule 4'!$I$89:$I$649,'Well Cal.'!T$3,'Schedule 4'!$J$89:$J$649,'Well Cal.'!$E128)</f>
        <v>0</v>
      </c>
      <c r="U128" s="727">
        <f>SUMIFS('Schedule 4'!$F$89:$F$649,'Schedule 4'!$I$89:$I$649,'Well Cal.'!U$3,'Schedule 4'!$J$89:$J$649,'Well Cal.'!$E128)</f>
        <v>0</v>
      </c>
      <c r="V128" s="727">
        <f>SUMIFS('Schedule 4'!$F$89:$F$649,'Schedule 4'!$I$89:$I$649,'Well Cal.'!V$3,'Schedule 4'!$J$89:$J$649,'Well Cal.'!$E128)</f>
        <v>0</v>
      </c>
      <c r="W128" s="727">
        <f>SUMIFS('Schedule 4'!$F$89:$F$649,'Schedule 4'!$I$89:$I$649,'Well Cal.'!W$3,'Schedule 4'!$J$89:$J$649,'Well Cal.'!$E128)</f>
        <v>0</v>
      </c>
      <c r="X128" s="727">
        <f>SUMIFS('Schedule 4'!$F$89:$F$649,'Schedule 4'!$I$89:$I$649,'Well Cal.'!X$3,'Schedule 4'!$J$89:$J$649,'Well Cal.'!$E128)</f>
        <v>0</v>
      </c>
      <c r="Y128" s="727">
        <f>SUMIFS('Schedule 4'!$F$89:$F$649,'Schedule 4'!$I$89:$I$649,'Well Cal.'!Y$3,'Schedule 4'!$J$89:$J$649,'Well Cal.'!$E128)</f>
        <v>0</v>
      </c>
      <c r="Z128" s="727">
        <f>SUMIFS('Schedule 4'!$F$89:$F$649,'Schedule 4'!$I$89:$I$649,'Well Cal.'!Z$3,'Schedule 4'!$J$89:$J$649,'Well Cal.'!$E128)</f>
        <v>0</v>
      </c>
      <c r="AA128" s="727"/>
      <c r="AB128" s="1731"/>
      <c r="AC128" s="1731"/>
    </row>
    <row r="129" spans="2:29" x14ac:dyDescent="0.3">
      <c r="B129" s="1724"/>
      <c r="C129" s="1727"/>
      <c r="D129" s="1721"/>
      <c r="E129" s="775" t="s">
        <v>4394</v>
      </c>
      <c r="F129" s="727">
        <f>SUMIFS('Schedule 4'!$F$89:$F$649,'Schedule 4'!$I$89:$I$649,'Well Cal.'!F$3,'Schedule 4'!$J$89:$J$649,'Well Cal.'!$E129)</f>
        <v>0</v>
      </c>
      <c r="G129" s="727">
        <f>SUMIFS('Schedule 4'!$F$89:$F$649,'Schedule 4'!$I$89:$I$649,'Well Cal.'!G$3,'Schedule 4'!$J$89:$J$649,'Well Cal.'!$E129)</f>
        <v>0</v>
      </c>
      <c r="H129" s="727">
        <f>SUMIFS('Schedule 4'!$F$89:$F$649,'Schedule 4'!$I$89:$I$649,'Well Cal.'!H$3,'Schedule 4'!$J$89:$J$649,'Well Cal.'!$E129)</f>
        <v>0</v>
      </c>
      <c r="I129" s="727">
        <f>SUMIFS('Schedule 4'!$F$89:$F$649,'Schedule 4'!$I$89:$I$649,'Well Cal.'!I$3,'Schedule 4'!$J$89:$J$649,'Well Cal.'!$E129)</f>
        <v>0</v>
      </c>
      <c r="J129" s="727">
        <f>SUMIFS('Schedule 4'!$F$89:$F$649,'Schedule 4'!$I$89:$I$649,'Well Cal.'!J$3,'Schedule 4'!$J$89:$J$649,'Well Cal.'!$E129)</f>
        <v>0</v>
      </c>
      <c r="K129" s="727">
        <f>SUMIFS('Schedule 4'!$F$89:$F$649,'Schedule 4'!$I$89:$I$649,'Well Cal.'!K$3,'Schedule 4'!$J$89:$J$649,'Well Cal.'!$E129)</f>
        <v>0</v>
      </c>
      <c r="L129" s="727">
        <f>SUMIFS('Schedule 4'!$F$89:$F$649,'Schedule 4'!$I$89:$I$649,'Well Cal.'!L$3,'Schedule 4'!$J$89:$J$649,'Well Cal.'!$E129)</f>
        <v>0</v>
      </c>
      <c r="M129" s="727">
        <f>SUMIFS('Schedule 4'!$F$89:$F$649,'Schedule 4'!$I$89:$I$649,'Well Cal.'!M$3,'Schedule 4'!$J$89:$J$649,'Well Cal.'!$E129)</f>
        <v>0</v>
      </c>
      <c r="N129" s="727">
        <f>SUMIFS('Schedule 4'!$F$89:$F$649,'Schedule 4'!$I$89:$I$649,'Well Cal.'!N$3,'Schedule 4'!$J$89:$J$649,'Well Cal.'!$E129)</f>
        <v>0</v>
      </c>
      <c r="O129" s="727">
        <f>SUMIFS('Schedule 4'!$F$89:$F$649,'Schedule 4'!$I$89:$I$649,'Well Cal.'!O$3,'Schedule 4'!$J$89:$J$649,'Well Cal.'!$E129)</f>
        <v>0</v>
      </c>
      <c r="P129" s="727">
        <f>SUMIFS('Schedule 4'!$F$89:$F$649,'Schedule 4'!$I$89:$I$649,'Well Cal.'!P$3,'Schedule 4'!$J$89:$J$649,'Well Cal.'!$E129)</f>
        <v>0</v>
      </c>
      <c r="Q129" s="727">
        <f>SUMIFS('Schedule 4'!$F$89:$F$649,'Schedule 4'!$I$89:$I$649,'Well Cal.'!Q$3,'Schedule 4'!$J$89:$J$649,'Well Cal.'!$E129)</f>
        <v>0</v>
      </c>
      <c r="R129" s="727">
        <f>SUMIFS('Schedule 4'!$F$89:$F$649,'Schedule 4'!$I$89:$I$649,'Well Cal.'!R$3,'Schedule 4'!$J$89:$J$649,'Well Cal.'!$E129)</f>
        <v>0</v>
      </c>
      <c r="S129" s="727">
        <f>SUMIFS('Schedule 4'!$F$89:$F$649,'Schedule 4'!$I$89:$I$649,'Well Cal.'!S$3,'Schedule 4'!$J$89:$J$649,'Well Cal.'!$E129)</f>
        <v>0</v>
      </c>
      <c r="T129" s="727">
        <f>SUMIFS('Schedule 4'!$F$89:$F$649,'Schedule 4'!$I$89:$I$649,'Well Cal.'!T$3,'Schedule 4'!$J$89:$J$649,'Well Cal.'!$E129)</f>
        <v>0</v>
      </c>
      <c r="U129" s="727">
        <f>SUMIFS('Schedule 4'!$F$89:$F$649,'Schedule 4'!$I$89:$I$649,'Well Cal.'!U$3,'Schedule 4'!$J$89:$J$649,'Well Cal.'!$E129)</f>
        <v>0</v>
      </c>
      <c r="V129" s="727">
        <f>SUMIFS('Schedule 4'!$F$89:$F$649,'Schedule 4'!$I$89:$I$649,'Well Cal.'!V$3,'Schedule 4'!$J$89:$J$649,'Well Cal.'!$E129)</f>
        <v>0</v>
      </c>
      <c r="W129" s="727">
        <f>SUMIFS('Schedule 4'!$F$89:$F$649,'Schedule 4'!$I$89:$I$649,'Well Cal.'!W$3,'Schedule 4'!$J$89:$J$649,'Well Cal.'!$E129)</f>
        <v>0</v>
      </c>
      <c r="X129" s="727">
        <f>SUMIFS('Schedule 4'!$F$89:$F$649,'Schedule 4'!$I$89:$I$649,'Well Cal.'!X$3,'Schedule 4'!$J$89:$J$649,'Well Cal.'!$E129)</f>
        <v>0</v>
      </c>
      <c r="Y129" s="727">
        <f>SUMIFS('Schedule 4'!$F$89:$F$649,'Schedule 4'!$I$89:$I$649,'Well Cal.'!Y$3,'Schedule 4'!$J$89:$J$649,'Well Cal.'!$E129)</f>
        <v>0</v>
      </c>
      <c r="Z129" s="727">
        <f>SUMIFS('Schedule 4'!$F$89:$F$649,'Schedule 4'!$I$89:$I$649,'Well Cal.'!Z$3,'Schedule 4'!$J$89:$J$649,'Well Cal.'!$E129)</f>
        <v>0</v>
      </c>
      <c r="AA129" s="727"/>
      <c r="AB129" s="1731"/>
      <c r="AC129" s="1731"/>
    </row>
    <row r="130" spans="2:29" x14ac:dyDescent="0.3">
      <c r="B130" s="1724"/>
      <c r="C130" s="1727"/>
      <c r="D130" s="1721"/>
      <c r="E130" s="775" t="s">
        <v>4452</v>
      </c>
      <c r="F130" s="727">
        <f>SUMIFS('Schedule 4'!$F$89:$F$649,'Schedule 4'!$I$89:$I$649,'Well Cal.'!F$3,'Schedule 4'!$J$89:$J$649,'Well Cal.'!$E130)</f>
        <v>0</v>
      </c>
      <c r="G130" s="727">
        <f>SUMIFS('Schedule 4'!$F$89:$F$649,'Schedule 4'!$I$89:$I$649,'Well Cal.'!G$3,'Schedule 4'!$J$89:$J$649,'Well Cal.'!$E130)</f>
        <v>0</v>
      </c>
      <c r="H130" s="727">
        <f>SUMIFS('Schedule 4'!$F$89:$F$649,'Schedule 4'!$I$89:$I$649,'Well Cal.'!H$3,'Schedule 4'!$J$89:$J$649,'Well Cal.'!$E130)</f>
        <v>0</v>
      </c>
      <c r="I130" s="727">
        <f>SUMIFS('Schedule 4'!$F$89:$F$649,'Schedule 4'!$I$89:$I$649,'Well Cal.'!I$3,'Schedule 4'!$J$89:$J$649,'Well Cal.'!$E130)</f>
        <v>0</v>
      </c>
      <c r="J130" s="727">
        <f>SUMIFS('Schedule 4'!$F$89:$F$649,'Schedule 4'!$I$89:$I$649,'Well Cal.'!J$3,'Schedule 4'!$J$89:$J$649,'Well Cal.'!$E130)</f>
        <v>0</v>
      </c>
      <c r="K130" s="727">
        <f>SUMIFS('Schedule 4'!$F$89:$F$649,'Schedule 4'!$I$89:$I$649,'Well Cal.'!K$3,'Schedule 4'!$J$89:$J$649,'Well Cal.'!$E130)</f>
        <v>0</v>
      </c>
      <c r="L130" s="727">
        <f>SUMIFS('Schedule 4'!$F$89:$F$649,'Schedule 4'!$I$89:$I$649,'Well Cal.'!L$3,'Schedule 4'!$J$89:$J$649,'Well Cal.'!$E130)</f>
        <v>0</v>
      </c>
      <c r="M130" s="727">
        <f>SUMIFS('Schedule 4'!$F$89:$F$649,'Schedule 4'!$I$89:$I$649,'Well Cal.'!M$3,'Schedule 4'!$J$89:$J$649,'Well Cal.'!$E130)</f>
        <v>0</v>
      </c>
      <c r="N130" s="727">
        <f>SUMIFS('Schedule 4'!$F$89:$F$649,'Schedule 4'!$I$89:$I$649,'Well Cal.'!N$3,'Schedule 4'!$J$89:$J$649,'Well Cal.'!$E130)</f>
        <v>0</v>
      </c>
      <c r="O130" s="727">
        <f>SUMIFS('Schedule 4'!$F$89:$F$649,'Schedule 4'!$I$89:$I$649,'Well Cal.'!O$3,'Schedule 4'!$J$89:$J$649,'Well Cal.'!$E130)</f>
        <v>0</v>
      </c>
      <c r="P130" s="727">
        <f>SUMIFS('Schedule 4'!$F$89:$F$649,'Schedule 4'!$I$89:$I$649,'Well Cal.'!P$3,'Schedule 4'!$J$89:$J$649,'Well Cal.'!$E130)</f>
        <v>0</v>
      </c>
      <c r="Q130" s="727">
        <f>SUMIFS('Schedule 4'!$F$89:$F$649,'Schedule 4'!$I$89:$I$649,'Well Cal.'!Q$3,'Schedule 4'!$J$89:$J$649,'Well Cal.'!$E130)</f>
        <v>0</v>
      </c>
      <c r="R130" s="727">
        <f>SUMIFS('Schedule 4'!$F$89:$F$649,'Schedule 4'!$I$89:$I$649,'Well Cal.'!R$3,'Schedule 4'!$J$89:$J$649,'Well Cal.'!$E130)</f>
        <v>0</v>
      </c>
      <c r="S130" s="727">
        <f>SUMIFS('Schedule 4'!$F$89:$F$649,'Schedule 4'!$I$89:$I$649,'Well Cal.'!S$3,'Schedule 4'!$J$89:$J$649,'Well Cal.'!$E130)</f>
        <v>0</v>
      </c>
      <c r="T130" s="727">
        <f>SUMIFS('Schedule 4'!$F$89:$F$649,'Schedule 4'!$I$89:$I$649,'Well Cal.'!T$3,'Schedule 4'!$J$89:$J$649,'Well Cal.'!$E130)</f>
        <v>0</v>
      </c>
      <c r="U130" s="727">
        <f>SUMIFS('Schedule 4'!$F$89:$F$649,'Schedule 4'!$I$89:$I$649,'Well Cal.'!U$3,'Schedule 4'!$J$89:$J$649,'Well Cal.'!$E130)</f>
        <v>0</v>
      </c>
      <c r="V130" s="727">
        <f>SUMIFS('Schedule 4'!$F$89:$F$649,'Schedule 4'!$I$89:$I$649,'Well Cal.'!V$3,'Schedule 4'!$J$89:$J$649,'Well Cal.'!$E130)</f>
        <v>0</v>
      </c>
      <c r="W130" s="727">
        <f>SUMIFS('Schedule 4'!$F$89:$F$649,'Schedule 4'!$I$89:$I$649,'Well Cal.'!W$3,'Schedule 4'!$J$89:$J$649,'Well Cal.'!$E130)</f>
        <v>0</v>
      </c>
      <c r="X130" s="727">
        <f>SUMIFS('Schedule 4'!$F$89:$F$649,'Schedule 4'!$I$89:$I$649,'Well Cal.'!X$3,'Schedule 4'!$J$89:$J$649,'Well Cal.'!$E130)</f>
        <v>0</v>
      </c>
      <c r="Y130" s="727">
        <f>SUMIFS('Schedule 4'!$F$89:$F$649,'Schedule 4'!$I$89:$I$649,'Well Cal.'!Y$3,'Schedule 4'!$J$89:$J$649,'Well Cal.'!$E130)</f>
        <v>0</v>
      </c>
      <c r="Z130" s="727">
        <f>SUMIFS('Schedule 4'!$F$89:$F$649,'Schedule 4'!$I$89:$I$649,'Well Cal.'!Z$3,'Schedule 4'!$J$89:$J$649,'Well Cal.'!$E130)</f>
        <v>0</v>
      </c>
      <c r="AA130" s="727"/>
      <c r="AB130" s="1731"/>
      <c r="AC130" s="1731"/>
    </row>
    <row r="131" spans="2:29" x14ac:dyDescent="0.3">
      <c r="B131" s="1724"/>
      <c r="C131" s="1727"/>
      <c r="D131" s="1721"/>
      <c r="E131" s="775" t="s">
        <v>4495</v>
      </c>
      <c r="F131" s="727">
        <f>SUMIFS('Schedule 4'!$F$89:$F$649,'Schedule 4'!$I$89:$I$649,'Well Cal.'!F$3,'Schedule 4'!$J$89:$J$649,'Well Cal.'!$E131)</f>
        <v>0</v>
      </c>
      <c r="G131" s="727">
        <f>SUMIFS('Schedule 4'!$F$89:$F$649,'Schedule 4'!$I$89:$I$649,'Well Cal.'!G$3,'Schedule 4'!$J$89:$J$649,'Well Cal.'!$E131)</f>
        <v>0</v>
      </c>
      <c r="H131" s="727">
        <f>SUMIFS('Schedule 4'!$F$89:$F$649,'Schedule 4'!$I$89:$I$649,'Well Cal.'!H$3,'Schedule 4'!$J$89:$J$649,'Well Cal.'!$E131)</f>
        <v>0</v>
      </c>
      <c r="I131" s="727">
        <f>SUMIFS('Schedule 4'!$F$89:$F$649,'Schedule 4'!$I$89:$I$649,'Well Cal.'!I$3,'Schedule 4'!$J$89:$J$649,'Well Cal.'!$E131)</f>
        <v>0</v>
      </c>
      <c r="J131" s="727">
        <f>SUMIFS('Schedule 4'!$F$89:$F$649,'Schedule 4'!$I$89:$I$649,'Well Cal.'!J$3,'Schedule 4'!$J$89:$J$649,'Well Cal.'!$E131)</f>
        <v>0</v>
      </c>
      <c r="K131" s="727">
        <f>SUMIFS('Schedule 4'!$F$89:$F$649,'Schedule 4'!$I$89:$I$649,'Well Cal.'!K$3,'Schedule 4'!$J$89:$J$649,'Well Cal.'!$E131)</f>
        <v>0</v>
      </c>
      <c r="L131" s="727">
        <f>SUMIFS('Schedule 4'!$F$89:$F$649,'Schedule 4'!$I$89:$I$649,'Well Cal.'!L$3,'Schedule 4'!$J$89:$J$649,'Well Cal.'!$E131)</f>
        <v>0</v>
      </c>
      <c r="M131" s="727">
        <f>SUMIFS('Schedule 4'!$F$89:$F$649,'Schedule 4'!$I$89:$I$649,'Well Cal.'!M$3,'Schedule 4'!$J$89:$J$649,'Well Cal.'!$E131)</f>
        <v>0</v>
      </c>
      <c r="N131" s="727">
        <f>SUMIFS('Schedule 4'!$F$89:$F$649,'Schedule 4'!$I$89:$I$649,'Well Cal.'!N$3,'Schedule 4'!$J$89:$J$649,'Well Cal.'!$E131)</f>
        <v>0</v>
      </c>
      <c r="O131" s="727">
        <f>SUMIFS('Schedule 4'!$F$89:$F$649,'Schedule 4'!$I$89:$I$649,'Well Cal.'!O$3,'Schedule 4'!$J$89:$J$649,'Well Cal.'!$E131)</f>
        <v>0</v>
      </c>
      <c r="P131" s="727">
        <f>SUMIFS('Schedule 4'!$F$89:$F$649,'Schedule 4'!$I$89:$I$649,'Well Cal.'!P$3,'Schedule 4'!$J$89:$J$649,'Well Cal.'!$E131)</f>
        <v>0</v>
      </c>
      <c r="Q131" s="727">
        <f>SUMIFS('Schedule 4'!$F$89:$F$649,'Schedule 4'!$I$89:$I$649,'Well Cal.'!Q$3,'Schedule 4'!$J$89:$J$649,'Well Cal.'!$E131)</f>
        <v>0</v>
      </c>
      <c r="R131" s="727">
        <f>SUMIFS('Schedule 4'!$F$89:$F$649,'Schedule 4'!$I$89:$I$649,'Well Cal.'!R$3,'Schedule 4'!$J$89:$J$649,'Well Cal.'!$E131)</f>
        <v>0</v>
      </c>
      <c r="S131" s="727">
        <f>SUMIFS('Schedule 4'!$F$89:$F$649,'Schedule 4'!$I$89:$I$649,'Well Cal.'!S$3,'Schedule 4'!$J$89:$J$649,'Well Cal.'!$E131)</f>
        <v>0</v>
      </c>
      <c r="T131" s="727">
        <f>SUMIFS('Schedule 4'!$F$89:$F$649,'Schedule 4'!$I$89:$I$649,'Well Cal.'!T$3,'Schedule 4'!$J$89:$J$649,'Well Cal.'!$E131)</f>
        <v>0</v>
      </c>
      <c r="U131" s="727">
        <f>SUMIFS('Schedule 4'!$F$89:$F$649,'Schedule 4'!$I$89:$I$649,'Well Cal.'!U$3,'Schedule 4'!$J$89:$J$649,'Well Cal.'!$E131)</f>
        <v>0</v>
      </c>
      <c r="V131" s="727">
        <f>SUMIFS('Schedule 4'!$F$89:$F$649,'Schedule 4'!$I$89:$I$649,'Well Cal.'!V$3,'Schedule 4'!$J$89:$J$649,'Well Cal.'!$E131)</f>
        <v>0</v>
      </c>
      <c r="W131" s="727">
        <f>SUMIFS('Schedule 4'!$F$89:$F$649,'Schedule 4'!$I$89:$I$649,'Well Cal.'!W$3,'Schedule 4'!$J$89:$J$649,'Well Cal.'!$E131)</f>
        <v>0</v>
      </c>
      <c r="X131" s="727">
        <f>SUMIFS('Schedule 4'!$F$89:$F$649,'Schedule 4'!$I$89:$I$649,'Well Cal.'!X$3,'Schedule 4'!$J$89:$J$649,'Well Cal.'!$E131)</f>
        <v>0</v>
      </c>
      <c r="Y131" s="727">
        <f>SUMIFS('Schedule 4'!$F$89:$F$649,'Schedule 4'!$I$89:$I$649,'Well Cal.'!Y$3,'Schedule 4'!$J$89:$J$649,'Well Cal.'!$E131)</f>
        <v>0</v>
      </c>
      <c r="Z131" s="727">
        <f>SUMIFS('Schedule 4'!$F$89:$F$649,'Schedule 4'!$I$89:$I$649,'Well Cal.'!Z$3,'Schedule 4'!$J$89:$J$649,'Well Cal.'!$E131)</f>
        <v>0</v>
      </c>
      <c r="AA131" s="727"/>
      <c r="AB131" s="1731"/>
      <c r="AC131" s="1731"/>
    </row>
    <row r="132" spans="2:29" x14ac:dyDescent="0.3">
      <c r="B132" s="1724"/>
      <c r="C132" s="1727"/>
      <c r="D132" s="1721"/>
      <c r="E132" s="775" t="s">
        <v>4542</v>
      </c>
      <c r="F132" s="727">
        <f>SUMIFS('Schedule 4'!$F$89:$F$649,'Schedule 4'!$I$89:$I$649,'Well Cal.'!F$3,'Schedule 4'!$J$89:$J$649,'Well Cal.'!$E132)</f>
        <v>0</v>
      </c>
      <c r="G132" s="727">
        <f>SUMIFS('Schedule 4'!$F$89:$F$649,'Schedule 4'!$I$89:$I$649,'Well Cal.'!G$3,'Schedule 4'!$J$89:$J$649,'Well Cal.'!$E132)</f>
        <v>0</v>
      </c>
      <c r="H132" s="727">
        <f>SUMIFS('Schedule 4'!$F$89:$F$649,'Schedule 4'!$I$89:$I$649,'Well Cal.'!H$3,'Schedule 4'!$J$89:$J$649,'Well Cal.'!$E132)</f>
        <v>0</v>
      </c>
      <c r="I132" s="727">
        <f>SUMIFS('Schedule 4'!$F$89:$F$649,'Schedule 4'!$I$89:$I$649,'Well Cal.'!I$3,'Schedule 4'!$J$89:$J$649,'Well Cal.'!$E132)</f>
        <v>0</v>
      </c>
      <c r="J132" s="727">
        <f>SUMIFS('Schedule 4'!$F$89:$F$649,'Schedule 4'!$I$89:$I$649,'Well Cal.'!J$3,'Schedule 4'!$J$89:$J$649,'Well Cal.'!$E132)</f>
        <v>0</v>
      </c>
      <c r="K132" s="727">
        <f>SUMIFS('Schedule 4'!$F$89:$F$649,'Schedule 4'!$I$89:$I$649,'Well Cal.'!K$3,'Schedule 4'!$J$89:$J$649,'Well Cal.'!$E132)</f>
        <v>0</v>
      </c>
      <c r="L132" s="727">
        <f>SUMIFS('Schedule 4'!$F$89:$F$649,'Schedule 4'!$I$89:$I$649,'Well Cal.'!L$3,'Schedule 4'!$J$89:$J$649,'Well Cal.'!$E132)</f>
        <v>0</v>
      </c>
      <c r="M132" s="727">
        <f>SUMIFS('Schedule 4'!$F$89:$F$649,'Schedule 4'!$I$89:$I$649,'Well Cal.'!M$3,'Schedule 4'!$J$89:$J$649,'Well Cal.'!$E132)</f>
        <v>0</v>
      </c>
      <c r="N132" s="727">
        <f>SUMIFS('Schedule 4'!$F$89:$F$649,'Schedule 4'!$I$89:$I$649,'Well Cal.'!N$3,'Schedule 4'!$J$89:$J$649,'Well Cal.'!$E132)</f>
        <v>0</v>
      </c>
      <c r="O132" s="727">
        <f>SUMIFS('Schedule 4'!$F$89:$F$649,'Schedule 4'!$I$89:$I$649,'Well Cal.'!O$3,'Schedule 4'!$J$89:$J$649,'Well Cal.'!$E132)</f>
        <v>0</v>
      </c>
      <c r="P132" s="727">
        <f>SUMIFS('Schedule 4'!$F$89:$F$649,'Schedule 4'!$I$89:$I$649,'Well Cal.'!P$3,'Schedule 4'!$J$89:$J$649,'Well Cal.'!$E132)</f>
        <v>0</v>
      </c>
      <c r="Q132" s="727">
        <f>SUMIFS('Schedule 4'!$F$89:$F$649,'Schedule 4'!$I$89:$I$649,'Well Cal.'!Q$3,'Schedule 4'!$J$89:$J$649,'Well Cal.'!$E132)</f>
        <v>0</v>
      </c>
      <c r="R132" s="727">
        <f>SUMIFS('Schedule 4'!$F$89:$F$649,'Schedule 4'!$I$89:$I$649,'Well Cal.'!R$3,'Schedule 4'!$J$89:$J$649,'Well Cal.'!$E132)</f>
        <v>0</v>
      </c>
      <c r="S132" s="727">
        <f>SUMIFS('Schedule 4'!$F$89:$F$649,'Schedule 4'!$I$89:$I$649,'Well Cal.'!S$3,'Schedule 4'!$J$89:$J$649,'Well Cal.'!$E132)</f>
        <v>0</v>
      </c>
      <c r="T132" s="727">
        <f>SUMIFS('Schedule 4'!$F$89:$F$649,'Schedule 4'!$I$89:$I$649,'Well Cal.'!T$3,'Schedule 4'!$J$89:$J$649,'Well Cal.'!$E132)</f>
        <v>0</v>
      </c>
      <c r="U132" s="1107">
        <f>SUMIFS('Schedule 4'!$F$89:$F$649,'Schedule 4'!$I$89:$I$649,'Well Cal.'!U$3,'Schedule 4'!$J$89:$J$649,'Well Cal.'!$E132)</f>
        <v>0</v>
      </c>
      <c r="V132" s="1107">
        <f>SUMIFS('Schedule 4'!$F$89:$F$649,'Schedule 4'!$I$89:$I$649,'Well Cal.'!V$3,'Schedule 4'!$J$89:$J$649,'Well Cal.'!$E132)</f>
        <v>0</v>
      </c>
      <c r="W132" s="1107">
        <f>SUMIFS('Schedule 4'!$F$89:$F$649,'Schedule 4'!$I$89:$I$649,'Well Cal.'!W$3,'Schedule 4'!$J$89:$J$649,'Well Cal.'!$E132)</f>
        <v>0</v>
      </c>
      <c r="X132" s="1107">
        <f>SUMIFS('Schedule 4'!$F$89:$F$649,'Schedule 4'!$I$89:$I$649,'Well Cal.'!X$3,'Schedule 4'!$J$89:$J$649,'Well Cal.'!$E132)</f>
        <v>0</v>
      </c>
      <c r="Y132" s="1107">
        <f>SUMIFS('Schedule 4'!$F$89:$F$649,'Schedule 4'!$I$89:$I$649,'Well Cal.'!Y$3,'Schedule 4'!$J$89:$J$649,'Well Cal.'!$E132)</f>
        <v>0</v>
      </c>
      <c r="Z132" s="1107">
        <f>SUMIFS('Schedule 4'!$F$89:$F$649,'Schedule 4'!$I$89:$I$649,'Well Cal.'!Z$3,'Schedule 4'!$J$89:$J$649,'Well Cal.'!$E132)</f>
        <v>0</v>
      </c>
      <c r="AA132" s="1107"/>
      <c r="AB132" s="1731"/>
      <c r="AC132" s="1731"/>
    </row>
    <row r="133" spans="2:29" x14ac:dyDescent="0.3">
      <c r="B133" s="1725"/>
      <c r="C133" s="1728"/>
      <c r="D133" s="1722"/>
      <c r="E133" s="776"/>
      <c r="F133" s="777"/>
      <c r="G133" s="777"/>
      <c r="H133" s="777"/>
      <c r="I133" s="777"/>
      <c r="J133" s="777"/>
      <c r="K133" s="777"/>
      <c r="L133" s="777"/>
      <c r="M133" s="777"/>
      <c r="N133" s="777"/>
      <c r="O133" s="777"/>
      <c r="P133" s="777"/>
      <c r="Q133" s="777"/>
      <c r="R133" s="777"/>
      <c r="S133" s="777"/>
      <c r="T133" s="777"/>
      <c r="U133" s="777"/>
      <c r="V133" s="777"/>
      <c r="W133" s="777"/>
      <c r="X133" s="777"/>
      <c r="Y133" s="777"/>
      <c r="Z133" s="777"/>
      <c r="AA133" s="777"/>
      <c r="AB133" s="1732"/>
      <c r="AC133" s="1732"/>
    </row>
    <row r="134" spans="2:29" x14ac:dyDescent="0.3">
      <c r="B134" s="1723" t="s">
        <v>1901</v>
      </c>
      <c r="C134" s="1726">
        <v>50.55</v>
      </c>
      <c r="D134" s="1720">
        <f>SUMIFS('Schedule 4'!$F$89:$F$649,'Schedule 4'!$K$89:$K$649,'Well Cal.'!$B134)</f>
        <v>52.55</v>
      </c>
      <c r="E134" s="754" t="s">
        <v>3162</v>
      </c>
      <c r="F134" s="728">
        <f>SUMIFS('Schedule 4'!$F$89:$F$649,'Schedule 4'!$I$89:$I$649,'Well Cal.'!F$3,'Schedule 4'!$J$89:$J$649,'Well Cal.'!$E134)</f>
        <v>0</v>
      </c>
      <c r="G134" s="728">
        <f>SUMIFS('Schedule 4'!$F$89:$F$649,'Schedule 4'!$I$89:$I$649,'Well Cal.'!G$3,'Schedule 4'!$J$89:$J$649,'Well Cal.'!$E134)</f>
        <v>0</v>
      </c>
      <c r="H134" s="728">
        <f>SUMIFS('Schedule 4'!$F$89:$F$649,'Schedule 4'!$I$89:$I$649,'Well Cal.'!H$3,'Schedule 4'!$J$89:$J$649,'Well Cal.'!$E134)</f>
        <v>0</v>
      </c>
      <c r="I134" s="728">
        <f>SUMIFS('Schedule 4'!$F$89:$F$649,'Schedule 4'!$I$89:$I$649,'Well Cal.'!I$3,'Schedule 4'!$J$89:$J$649,'Well Cal.'!$E134)</f>
        <v>4.32</v>
      </c>
      <c r="J134" s="728">
        <f>SUMIFS('Schedule 4'!$F$89:$F$649,'Schedule 4'!$I$89:$I$649,'Well Cal.'!J$3,'Schedule 4'!$J$89:$J$649,'Well Cal.'!$E134)</f>
        <v>0</v>
      </c>
      <c r="K134" s="728">
        <f>SUMIFS('Schedule 4'!$F$89:$F$649,'Schedule 4'!$I$89:$I$649,'Well Cal.'!K$3,'Schedule 4'!$J$89:$J$649,'Well Cal.'!$E134)</f>
        <v>0</v>
      </c>
      <c r="L134" s="728">
        <f>SUMIFS('Schedule 4'!$F$89:$F$649,'Schedule 4'!$I$89:$I$649,'Well Cal.'!L$3,'Schedule 4'!$J$89:$J$649,'Well Cal.'!$E134)</f>
        <v>0</v>
      </c>
      <c r="M134" s="728">
        <f>SUMIFS('Schedule 4'!$F$89:$F$649,'Schedule 4'!$I$89:$I$649,'Well Cal.'!M$3,'Schedule 4'!$J$89:$J$649,'Well Cal.'!$E134)</f>
        <v>0</v>
      </c>
      <c r="N134" s="728">
        <f>SUMIFS('Schedule 4'!$F$89:$F$649,'Schedule 4'!$I$89:$I$649,'Well Cal.'!N$3,'Schedule 4'!$J$89:$J$649,'Well Cal.'!$E134)</f>
        <v>0</v>
      </c>
      <c r="O134" s="728">
        <f>SUMIFS('Schedule 4'!$F$89:$F$649,'Schedule 4'!$I$89:$I$649,'Well Cal.'!O$3,'Schedule 4'!$J$89:$J$649,'Well Cal.'!$E134)</f>
        <v>0</v>
      </c>
      <c r="P134" s="728">
        <f>SUMIFS('Schedule 4'!$F$89:$F$649,'Schedule 4'!$I$89:$I$649,'Well Cal.'!P$3,'Schedule 4'!$J$89:$J$649,'Well Cal.'!$E134)</f>
        <v>0</v>
      </c>
      <c r="Q134" s="728">
        <f>SUMIFS('Schedule 4'!$F$89:$F$649,'Schedule 4'!$I$89:$I$649,'Well Cal.'!Q$3,'Schedule 4'!$J$89:$J$649,'Well Cal.'!$E134)</f>
        <v>0</v>
      </c>
      <c r="R134" s="728">
        <f>SUMIFS('Schedule 4'!$F$89:$F$649,'Schedule 4'!$I$89:$I$649,'Well Cal.'!R$3,'Schedule 4'!$J$89:$J$649,'Well Cal.'!$E134)</f>
        <v>0</v>
      </c>
      <c r="S134" s="728">
        <f>SUMIFS('Schedule 4'!$F$89:$F$649,'Schedule 4'!$I$89:$I$649,'Well Cal.'!S$3,'Schedule 4'!$J$89:$J$649,'Well Cal.'!$E134)</f>
        <v>0</v>
      </c>
      <c r="T134" s="728">
        <f>SUMIFS('Schedule 4'!$F$89:$F$649,'Schedule 4'!$I$89:$I$649,'Well Cal.'!T$3,'Schedule 4'!$J$89:$J$649,'Well Cal.'!$E134)</f>
        <v>0</v>
      </c>
      <c r="U134" s="728">
        <f>SUMIFS('Schedule 4'!$F$89:$F$649,'Schedule 4'!$I$89:$I$649,'Well Cal.'!U$3,'Schedule 4'!$J$89:$J$649,'Well Cal.'!$E134)</f>
        <v>0</v>
      </c>
      <c r="V134" s="728">
        <f>SUMIFS('Schedule 4'!$F$89:$F$649,'Schedule 4'!$I$89:$I$649,'Well Cal.'!V$3,'Schedule 4'!$J$89:$J$649,'Well Cal.'!$E134)</f>
        <v>0</v>
      </c>
      <c r="W134" s="728">
        <f>SUMIFS('Schedule 4'!$F$89:$F$649,'Schedule 4'!$I$89:$I$649,'Well Cal.'!W$3,'Schedule 4'!$J$89:$J$649,'Well Cal.'!$E134)</f>
        <v>0</v>
      </c>
      <c r="X134" s="728">
        <f>SUMIFS('Schedule 4'!$F$89:$F$649,'Schedule 4'!$I$89:$I$649,'Well Cal.'!X$3,'Schedule 4'!$J$89:$J$649,'Well Cal.'!$E134)</f>
        <v>0</v>
      </c>
      <c r="Y134" s="728">
        <f>SUMIFS('Schedule 4'!$F$89:$F$649,'Schedule 4'!$I$89:$I$649,'Well Cal.'!Y$3,'Schedule 4'!$J$89:$J$649,'Well Cal.'!$E134)</f>
        <v>0</v>
      </c>
      <c r="Z134" s="728">
        <f>SUMIFS('Schedule 4'!$F$89:$F$649,'Schedule 4'!$I$89:$I$649,'Well Cal.'!Z$3,'Schedule 4'!$J$89:$J$649,'Well Cal.'!$E134)</f>
        <v>0</v>
      </c>
      <c r="AA134" s="728"/>
      <c r="AB134" s="1720">
        <f>SUM(F134:AA154)</f>
        <v>50.55</v>
      </c>
      <c r="AC134" s="1729">
        <f>D134-AB134</f>
        <v>2</v>
      </c>
    </row>
    <row r="135" spans="2:29" x14ac:dyDescent="0.3">
      <c r="B135" s="1724"/>
      <c r="C135" s="1727"/>
      <c r="D135" s="1721"/>
      <c r="E135" s="761" t="s">
        <v>3238</v>
      </c>
      <c r="F135" s="726">
        <f>SUMIFS('Schedule 4'!$F$89:$F$649,'Schedule 4'!$I$89:$I$649,'Well Cal.'!F$3,'Schedule 4'!$J$89:$J$649,'Well Cal.'!$E135)</f>
        <v>0</v>
      </c>
      <c r="G135" s="726">
        <f>SUMIFS('Schedule 4'!$F$89:$F$649,'Schedule 4'!$I$89:$I$649,'Well Cal.'!G$3,'Schedule 4'!$J$89:$J$649,'Well Cal.'!$E135)</f>
        <v>0</v>
      </c>
      <c r="H135" s="726">
        <f>SUMIFS('Schedule 4'!$F$89:$F$649,'Schedule 4'!$I$89:$I$649,'Well Cal.'!H$3,'Schedule 4'!$J$89:$J$649,'Well Cal.'!$E135)</f>
        <v>0</v>
      </c>
      <c r="I135" s="726">
        <f>SUMIFS('Schedule 4'!$F$89:$F$649,'Schedule 4'!$I$89:$I$649,'Well Cal.'!I$3,'Schedule 4'!$J$89:$J$649,'Well Cal.'!$E135)</f>
        <v>2.5</v>
      </c>
      <c r="J135" s="726">
        <f>SUMIFS('Schedule 4'!$F$89:$F$649,'Schedule 4'!$I$89:$I$649,'Well Cal.'!J$3,'Schedule 4'!$J$89:$J$649,'Well Cal.'!$E135)</f>
        <v>0</v>
      </c>
      <c r="K135" s="726">
        <f>SUMIFS('Schedule 4'!$F$89:$F$649,'Schedule 4'!$I$89:$I$649,'Well Cal.'!K$3,'Schedule 4'!$J$89:$J$649,'Well Cal.'!$E135)</f>
        <v>0</v>
      </c>
      <c r="L135" s="726">
        <f>SUMIFS('Schedule 4'!$F$89:$F$649,'Schedule 4'!$I$89:$I$649,'Well Cal.'!L$3,'Schedule 4'!$J$89:$J$649,'Well Cal.'!$E135)</f>
        <v>0</v>
      </c>
      <c r="M135" s="726">
        <f>SUMIFS('Schedule 4'!$F$89:$F$649,'Schedule 4'!$I$89:$I$649,'Well Cal.'!M$3,'Schedule 4'!$J$89:$J$649,'Well Cal.'!$E135)</f>
        <v>0</v>
      </c>
      <c r="N135" s="726">
        <f>SUMIFS('Schedule 4'!$F$89:$F$649,'Schedule 4'!$I$89:$I$649,'Well Cal.'!N$3,'Schedule 4'!$J$89:$J$649,'Well Cal.'!$E135)</f>
        <v>0</v>
      </c>
      <c r="O135" s="726">
        <f>SUMIFS('Schedule 4'!$F$89:$F$649,'Schedule 4'!$I$89:$I$649,'Well Cal.'!O$3,'Schedule 4'!$J$89:$J$649,'Well Cal.'!$E135)</f>
        <v>0</v>
      </c>
      <c r="P135" s="726">
        <f>SUMIFS('Schedule 4'!$F$89:$F$649,'Schedule 4'!$I$89:$I$649,'Well Cal.'!P$3,'Schedule 4'!$J$89:$J$649,'Well Cal.'!$E135)</f>
        <v>0</v>
      </c>
      <c r="Q135" s="726">
        <f>SUMIFS('Schedule 4'!$F$89:$F$649,'Schedule 4'!$I$89:$I$649,'Well Cal.'!Q$3,'Schedule 4'!$J$89:$J$649,'Well Cal.'!$E135)</f>
        <v>0</v>
      </c>
      <c r="R135" s="726">
        <f>SUMIFS('Schedule 4'!$F$89:$F$649,'Schedule 4'!$I$89:$I$649,'Well Cal.'!R$3,'Schedule 4'!$J$89:$J$649,'Well Cal.'!$E135)</f>
        <v>0</v>
      </c>
      <c r="S135" s="726">
        <f>SUMIFS('Schedule 4'!$F$89:$F$649,'Schedule 4'!$I$89:$I$649,'Well Cal.'!S$3,'Schedule 4'!$J$89:$J$649,'Well Cal.'!$E135)</f>
        <v>0</v>
      </c>
      <c r="T135" s="726">
        <f>SUMIFS('Schedule 4'!$F$89:$F$649,'Schedule 4'!$I$89:$I$649,'Well Cal.'!T$3,'Schedule 4'!$J$89:$J$649,'Well Cal.'!$E135)</f>
        <v>0</v>
      </c>
      <c r="U135" s="726">
        <f>SUMIFS('Schedule 4'!$F$89:$F$649,'Schedule 4'!$I$89:$I$649,'Well Cal.'!U$3,'Schedule 4'!$J$89:$J$649,'Well Cal.'!$E135)</f>
        <v>0</v>
      </c>
      <c r="V135" s="726">
        <f>SUMIFS('Schedule 4'!$F$89:$F$649,'Schedule 4'!$I$89:$I$649,'Well Cal.'!V$3,'Schedule 4'!$J$89:$J$649,'Well Cal.'!$E135)</f>
        <v>0</v>
      </c>
      <c r="W135" s="726">
        <f>SUMIFS('Schedule 4'!$F$89:$F$649,'Schedule 4'!$I$89:$I$649,'Well Cal.'!W$3,'Schedule 4'!$J$89:$J$649,'Well Cal.'!$E135)</f>
        <v>0</v>
      </c>
      <c r="X135" s="726">
        <f>SUMIFS('Schedule 4'!$F$89:$F$649,'Schedule 4'!$I$89:$I$649,'Well Cal.'!X$3,'Schedule 4'!$J$89:$J$649,'Well Cal.'!$E135)</f>
        <v>0</v>
      </c>
      <c r="Y135" s="726">
        <f>SUMIFS('Schedule 4'!$F$89:$F$649,'Schedule 4'!$I$89:$I$649,'Well Cal.'!Y$3,'Schedule 4'!$J$89:$J$649,'Well Cal.'!$E135)</f>
        <v>0</v>
      </c>
      <c r="Z135" s="726">
        <f>SUMIFS('Schedule 4'!$F$89:$F$649,'Schedule 4'!$I$89:$I$649,'Well Cal.'!Z$3,'Schedule 4'!$J$89:$J$649,'Well Cal.'!$E135)</f>
        <v>0</v>
      </c>
      <c r="AA135" s="726"/>
      <c r="AB135" s="1721"/>
      <c r="AC135" s="1730"/>
    </row>
    <row r="136" spans="2:29" x14ac:dyDescent="0.3">
      <c r="B136" s="1724"/>
      <c r="C136" s="1727"/>
      <c r="D136" s="1721"/>
      <c r="E136" s="761" t="s">
        <v>3316</v>
      </c>
      <c r="F136" s="726">
        <f>SUMIFS('Schedule 4'!$F$89:$F$649,'Schedule 4'!$I$89:$I$649,'Well Cal.'!F$3,'Schedule 4'!$J$89:$J$649,'Well Cal.'!$E136)</f>
        <v>0</v>
      </c>
      <c r="G136" s="726">
        <f>SUMIFS('Schedule 4'!$F$89:$F$649,'Schedule 4'!$I$89:$I$649,'Well Cal.'!G$3,'Schedule 4'!$J$89:$J$649,'Well Cal.'!$E136)</f>
        <v>0</v>
      </c>
      <c r="H136" s="726">
        <f>SUMIFS('Schedule 4'!$F$89:$F$649,'Schedule 4'!$I$89:$I$649,'Well Cal.'!H$3,'Schedule 4'!$J$89:$J$649,'Well Cal.'!$E136)</f>
        <v>0</v>
      </c>
      <c r="I136" s="726">
        <f>SUMIFS('Schedule 4'!$F$89:$F$649,'Schedule 4'!$I$89:$I$649,'Well Cal.'!I$3,'Schedule 4'!$J$89:$J$649,'Well Cal.'!$E136)</f>
        <v>2.5</v>
      </c>
      <c r="J136" s="726">
        <f>SUMIFS('Schedule 4'!$F$89:$F$649,'Schedule 4'!$I$89:$I$649,'Well Cal.'!J$3,'Schedule 4'!$J$89:$J$649,'Well Cal.'!$E136)</f>
        <v>0</v>
      </c>
      <c r="K136" s="726">
        <f>SUMIFS('Schedule 4'!$F$89:$F$649,'Schedule 4'!$I$89:$I$649,'Well Cal.'!K$3,'Schedule 4'!$J$89:$J$649,'Well Cal.'!$E136)</f>
        <v>0</v>
      </c>
      <c r="L136" s="726">
        <f>SUMIFS('Schedule 4'!$F$89:$F$649,'Schedule 4'!$I$89:$I$649,'Well Cal.'!L$3,'Schedule 4'!$J$89:$J$649,'Well Cal.'!$E136)</f>
        <v>0</v>
      </c>
      <c r="M136" s="726">
        <f>SUMIFS('Schedule 4'!$F$89:$F$649,'Schedule 4'!$I$89:$I$649,'Well Cal.'!M$3,'Schedule 4'!$J$89:$J$649,'Well Cal.'!$E136)</f>
        <v>0</v>
      </c>
      <c r="N136" s="726">
        <f>SUMIFS('Schedule 4'!$F$89:$F$649,'Schedule 4'!$I$89:$I$649,'Well Cal.'!N$3,'Schedule 4'!$J$89:$J$649,'Well Cal.'!$E136)</f>
        <v>0</v>
      </c>
      <c r="O136" s="726">
        <f>SUMIFS('Schedule 4'!$F$89:$F$649,'Schedule 4'!$I$89:$I$649,'Well Cal.'!O$3,'Schedule 4'!$J$89:$J$649,'Well Cal.'!$E136)</f>
        <v>0</v>
      </c>
      <c r="P136" s="726">
        <f>SUMIFS('Schedule 4'!$F$89:$F$649,'Schedule 4'!$I$89:$I$649,'Well Cal.'!P$3,'Schedule 4'!$J$89:$J$649,'Well Cal.'!$E136)</f>
        <v>0</v>
      </c>
      <c r="Q136" s="726">
        <f>SUMIFS('Schedule 4'!$F$89:$F$649,'Schedule 4'!$I$89:$I$649,'Well Cal.'!Q$3,'Schedule 4'!$J$89:$J$649,'Well Cal.'!$E136)</f>
        <v>0</v>
      </c>
      <c r="R136" s="726">
        <f>SUMIFS('Schedule 4'!$F$89:$F$649,'Schedule 4'!$I$89:$I$649,'Well Cal.'!R$3,'Schedule 4'!$J$89:$J$649,'Well Cal.'!$E136)</f>
        <v>0</v>
      </c>
      <c r="S136" s="726">
        <f>SUMIFS('Schedule 4'!$F$89:$F$649,'Schedule 4'!$I$89:$I$649,'Well Cal.'!S$3,'Schedule 4'!$J$89:$J$649,'Well Cal.'!$E136)</f>
        <v>0</v>
      </c>
      <c r="T136" s="726">
        <f>SUMIFS('Schedule 4'!$F$89:$F$649,'Schedule 4'!$I$89:$I$649,'Well Cal.'!T$3,'Schedule 4'!$J$89:$J$649,'Well Cal.'!$E136)</f>
        <v>0</v>
      </c>
      <c r="U136" s="726">
        <f>SUMIFS('Schedule 4'!$F$89:$F$649,'Schedule 4'!$I$89:$I$649,'Well Cal.'!U$3,'Schedule 4'!$J$89:$J$649,'Well Cal.'!$E136)</f>
        <v>0</v>
      </c>
      <c r="V136" s="726">
        <f>SUMIFS('Schedule 4'!$F$89:$F$649,'Schedule 4'!$I$89:$I$649,'Well Cal.'!V$3,'Schedule 4'!$J$89:$J$649,'Well Cal.'!$E136)</f>
        <v>0</v>
      </c>
      <c r="W136" s="726">
        <f>SUMIFS('Schedule 4'!$F$89:$F$649,'Schedule 4'!$I$89:$I$649,'Well Cal.'!W$3,'Schedule 4'!$J$89:$J$649,'Well Cal.'!$E136)</f>
        <v>0</v>
      </c>
      <c r="X136" s="726">
        <f>SUMIFS('Schedule 4'!$F$89:$F$649,'Schedule 4'!$I$89:$I$649,'Well Cal.'!X$3,'Schedule 4'!$J$89:$J$649,'Well Cal.'!$E136)</f>
        <v>0</v>
      </c>
      <c r="Y136" s="726">
        <f>SUMIFS('Schedule 4'!$F$89:$F$649,'Schedule 4'!$I$89:$I$649,'Well Cal.'!Y$3,'Schedule 4'!$J$89:$J$649,'Well Cal.'!$E136)</f>
        <v>0</v>
      </c>
      <c r="Z136" s="726">
        <f>SUMIFS('Schedule 4'!$F$89:$F$649,'Schedule 4'!$I$89:$I$649,'Well Cal.'!Z$3,'Schedule 4'!$J$89:$J$649,'Well Cal.'!$E136)</f>
        <v>0</v>
      </c>
      <c r="AA136" s="726"/>
      <c r="AB136" s="1721"/>
      <c r="AC136" s="1730"/>
    </row>
    <row r="137" spans="2:29" x14ac:dyDescent="0.3">
      <c r="B137" s="1724"/>
      <c r="C137" s="1727"/>
      <c r="D137" s="1721"/>
      <c r="E137" s="775" t="s">
        <v>3386</v>
      </c>
      <c r="F137" s="727">
        <f>SUMIFS('Schedule 4'!$F$89:$F$649,'Schedule 4'!$I$89:$I$649,'Well Cal.'!F$3,'Schedule 4'!$J$89:$J$649,'Well Cal.'!$E137)</f>
        <v>0</v>
      </c>
      <c r="G137" s="727">
        <f>SUMIFS('Schedule 4'!$F$89:$F$649,'Schedule 4'!$I$89:$I$649,'Well Cal.'!G$3,'Schedule 4'!$J$89:$J$649,'Well Cal.'!$E137)</f>
        <v>0</v>
      </c>
      <c r="H137" s="727">
        <f>SUMIFS('Schedule 4'!$F$89:$F$649,'Schedule 4'!$I$89:$I$649,'Well Cal.'!H$3,'Schedule 4'!$J$89:$J$649,'Well Cal.'!$E137)</f>
        <v>0</v>
      </c>
      <c r="I137" s="727">
        <f>SUMIFS('Schedule 4'!$F$89:$F$649,'Schedule 4'!$I$89:$I$649,'Well Cal.'!I$3,'Schedule 4'!$J$89:$J$649,'Well Cal.'!$E137)</f>
        <v>2.5</v>
      </c>
      <c r="J137" s="727">
        <f>SUMIFS('Schedule 4'!$F$89:$F$649,'Schedule 4'!$I$89:$I$649,'Well Cal.'!J$3,'Schedule 4'!$J$89:$J$649,'Well Cal.'!$E137)</f>
        <v>0</v>
      </c>
      <c r="K137" s="727">
        <f>SUMIFS('Schedule 4'!$F$89:$F$649,'Schedule 4'!$I$89:$I$649,'Well Cal.'!K$3,'Schedule 4'!$J$89:$J$649,'Well Cal.'!$E137)</f>
        <v>0</v>
      </c>
      <c r="L137" s="727">
        <f>SUMIFS('Schedule 4'!$F$89:$F$649,'Schedule 4'!$I$89:$I$649,'Well Cal.'!L$3,'Schedule 4'!$J$89:$J$649,'Well Cal.'!$E137)</f>
        <v>0</v>
      </c>
      <c r="M137" s="727">
        <f>SUMIFS('Schedule 4'!$F$89:$F$649,'Schedule 4'!$I$89:$I$649,'Well Cal.'!M$3,'Schedule 4'!$J$89:$J$649,'Well Cal.'!$E137)</f>
        <v>0</v>
      </c>
      <c r="N137" s="727">
        <f>SUMIFS('Schedule 4'!$F$89:$F$649,'Schedule 4'!$I$89:$I$649,'Well Cal.'!N$3,'Schedule 4'!$J$89:$J$649,'Well Cal.'!$E137)</f>
        <v>0</v>
      </c>
      <c r="O137" s="727">
        <f>SUMIFS('Schedule 4'!$F$89:$F$649,'Schedule 4'!$I$89:$I$649,'Well Cal.'!O$3,'Schedule 4'!$J$89:$J$649,'Well Cal.'!$E137)</f>
        <v>0</v>
      </c>
      <c r="P137" s="727">
        <f>SUMIFS('Schedule 4'!$F$89:$F$649,'Schedule 4'!$I$89:$I$649,'Well Cal.'!P$3,'Schedule 4'!$J$89:$J$649,'Well Cal.'!$E137)</f>
        <v>0</v>
      </c>
      <c r="Q137" s="727">
        <f>SUMIFS('Schedule 4'!$F$89:$F$649,'Schedule 4'!$I$89:$I$649,'Well Cal.'!Q$3,'Schedule 4'!$J$89:$J$649,'Well Cal.'!$E137)</f>
        <v>0</v>
      </c>
      <c r="R137" s="727">
        <f>SUMIFS('Schedule 4'!$F$89:$F$649,'Schedule 4'!$I$89:$I$649,'Well Cal.'!R$3,'Schedule 4'!$J$89:$J$649,'Well Cal.'!$E137)</f>
        <v>0</v>
      </c>
      <c r="S137" s="727">
        <f>SUMIFS('Schedule 4'!$F$89:$F$649,'Schedule 4'!$I$89:$I$649,'Well Cal.'!S$3,'Schedule 4'!$J$89:$J$649,'Well Cal.'!$E137)</f>
        <v>0</v>
      </c>
      <c r="T137" s="727">
        <f>SUMIFS('Schedule 4'!$F$89:$F$649,'Schedule 4'!$I$89:$I$649,'Well Cal.'!T$3,'Schedule 4'!$J$89:$J$649,'Well Cal.'!$E137)</f>
        <v>0</v>
      </c>
      <c r="U137" s="727">
        <f>SUMIFS('Schedule 4'!$F$89:$F$649,'Schedule 4'!$I$89:$I$649,'Well Cal.'!U$3,'Schedule 4'!$J$89:$J$649,'Well Cal.'!$E137)</f>
        <v>0</v>
      </c>
      <c r="V137" s="727">
        <f>SUMIFS('Schedule 4'!$F$89:$F$649,'Schedule 4'!$I$89:$I$649,'Well Cal.'!V$3,'Schedule 4'!$J$89:$J$649,'Well Cal.'!$E137)</f>
        <v>0</v>
      </c>
      <c r="W137" s="727">
        <f>SUMIFS('Schedule 4'!$F$89:$F$649,'Schedule 4'!$I$89:$I$649,'Well Cal.'!W$3,'Schedule 4'!$J$89:$J$649,'Well Cal.'!$E137)</f>
        <v>0</v>
      </c>
      <c r="X137" s="727">
        <f>SUMIFS('Schedule 4'!$F$89:$F$649,'Schedule 4'!$I$89:$I$649,'Well Cal.'!X$3,'Schedule 4'!$J$89:$J$649,'Well Cal.'!$E137)</f>
        <v>0</v>
      </c>
      <c r="Y137" s="727">
        <f>SUMIFS('Schedule 4'!$F$89:$F$649,'Schedule 4'!$I$89:$I$649,'Well Cal.'!Y$3,'Schedule 4'!$J$89:$J$649,'Well Cal.'!$E137)</f>
        <v>0</v>
      </c>
      <c r="Z137" s="727">
        <f>SUMIFS('Schedule 4'!$F$89:$F$649,'Schedule 4'!$I$89:$I$649,'Well Cal.'!Z$3,'Schedule 4'!$J$89:$J$649,'Well Cal.'!$E137)</f>
        <v>0</v>
      </c>
      <c r="AA137" s="727"/>
      <c r="AB137" s="1721"/>
      <c r="AC137" s="1730"/>
    </row>
    <row r="138" spans="2:29" x14ac:dyDescent="0.3">
      <c r="B138" s="1724"/>
      <c r="C138" s="1727"/>
      <c r="D138" s="1721"/>
      <c r="E138" s="775" t="s">
        <v>3471</v>
      </c>
      <c r="F138" s="727">
        <f>SUMIFS('Schedule 4'!$F$89:$F$649,'Schedule 4'!$I$89:$I$649,'Well Cal.'!F$3,'Schedule 4'!$J$89:$J$649,'Well Cal.'!$E138)</f>
        <v>0</v>
      </c>
      <c r="G138" s="727">
        <f>SUMIFS('Schedule 4'!$F$89:$F$649,'Schedule 4'!$I$89:$I$649,'Well Cal.'!G$3,'Schedule 4'!$J$89:$J$649,'Well Cal.'!$E138)</f>
        <v>0</v>
      </c>
      <c r="H138" s="727">
        <f>SUMIFS('Schedule 4'!$F$89:$F$649,'Schedule 4'!$I$89:$I$649,'Well Cal.'!H$3,'Schedule 4'!$J$89:$J$649,'Well Cal.'!$E138)</f>
        <v>0</v>
      </c>
      <c r="I138" s="727">
        <f>SUMIFS('Schedule 4'!$F$89:$F$649,'Schedule 4'!$I$89:$I$649,'Well Cal.'!I$3,'Schedule 4'!$J$89:$J$649,'Well Cal.'!$E138)</f>
        <v>0</v>
      </c>
      <c r="J138" s="727">
        <f>SUMIFS('Schedule 4'!$F$89:$F$649,'Schedule 4'!$I$89:$I$649,'Well Cal.'!J$3,'Schedule 4'!$J$89:$J$649,'Well Cal.'!$E138)</f>
        <v>2.6149999999999998</v>
      </c>
      <c r="K138" s="727">
        <f>SUMIFS('Schedule 4'!$F$89:$F$649,'Schedule 4'!$I$89:$I$649,'Well Cal.'!K$3,'Schedule 4'!$J$89:$J$649,'Well Cal.'!$E138)</f>
        <v>0</v>
      </c>
      <c r="L138" s="727">
        <f>SUMIFS('Schedule 4'!$F$89:$F$649,'Schedule 4'!$I$89:$I$649,'Well Cal.'!L$3,'Schedule 4'!$J$89:$J$649,'Well Cal.'!$E138)</f>
        <v>0</v>
      </c>
      <c r="M138" s="727">
        <f>SUMIFS('Schedule 4'!$F$89:$F$649,'Schedule 4'!$I$89:$I$649,'Well Cal.'!M$3,'Schedule 4'!$J$89:$J$649,'Well Cal.'!$E138)</f>
        <v>0</v>
      </c>
      <c r="N138" s="727">
        <f>SUMIFS('Schedule 4'!$F$89:$F$649,'Schedule 4'!$I$89:$I$649,'Well Cal.'!N$3,'Schedule 4'!$J$89:$J$649,'Well Cal.'!$E138)</f>
        <v>0</v>
      </c>
      <c r="O138" s="727">
        <f>SUMIFS('Schedule 4'!$F$89:$F$649,'Schedule 4'!$I$89:$I$649,'Well Cal.'!O$3,'Schedule 4'!$J$89:$J$649,'Well Cal.'!$E138)</f>
        <v>0</v>
      </c>
      <c r="P138" s="727">
        <f>SUMIFS('Schedule 4'!$F$89:$F$649,'Schedule 4'!$I$89:$I$649,'Well Cal.'!P$3,'Schedule 4'!$J$89:$J$649,'Well Cal.'!$E138)</f>
        <v>0</v>
      </c>
      <c r="Q138" s="727">
        <f>SUMIFS('Schedule 4'!$F$89:$F$649,'Schedule 4'!$I$89:$I$649,'Well Cal.'!Q$3,'Schedule 4'!$J$89:$J$649,'Well Cal.'!$E138)</f>
        <v>0</v>
      </c>
      <c r="R138" s="727">
        <f>SUMIFS('Schedule 4'!$F$89:$F$649,'Schedule 4'!$I$89:$I$649,'Well Cal.'!R$3,'Schedule 4'!$J$89:$J$649,'Well Cal.'!$E138)</f>
        <v>0</v>
      </c>
      <c r="S138" s="727">
        <f>SUMIFS('Schedule 4'!$F$89:$F$649,'Schedule 4'!$I$89:$I$649,'Well Cal.'!S$3,'Schedule 4'!$J$89:$J$649,'Well Cal.'!$E138)</f>
        <v>0</v>
      </c>
      <c r="T138" s="727">
        <f>SUMIFS('Schedule 4'!$F$89:$F$649,'Schedule 4'!$I$89:$I$649,'Well Cal.'!T$3,'Schedule 4'!$J$89:$J$649,'Well Cal.'!$E138)</f>
        <v>0</v>
      </c>
      <c r="U138" s="727">
        <f>SUMIFS('Schedule 4'!$F$89:$F$649,'Schedule 4'!$I$89:$I$649,'Well Cal.'!U$3,'Schedule 4'!$J$89:$J$649,'Well Cal.'!$E138)</f>
        <v>0</v>
      </c>
      <c r="V138" s="727">
        <f>SUMIFS('Schedule 4'!$F$89:$F$649,'Schedule 4'!$I$89:$I$649,'Well Cal.'!V$3,'Schedule 4'!$J$89:$J$649,'Well Cal.'!$E138)</f>
        <v>0</v>
      </c>
      <c r="W138" s="727">
        <f>SUMIFS('Schedule 4'!$F$89:$F$649,'Schedule 4'!$I$89:$I$649,'Well Cal.'!W$3,'Schedule 4'!$J$89:$J$649,'Well Cal.'!$E138)</f>
        <v>0</v>
      </c>
      <c r="X138" s="727">
        <f>SUMIFS('Schedule 4'!$F$89:$F$649,'Schedule 4'!$I$89:$I$649,'Well Cal.'!X$3,'Schedule 4'!$J$89:$J$649,'Well Cal.'!$E138)</f>
        <v>0</v>
      </c>
      <c r="Y138" s="727">
        <f>SUMIFS('Schedule 4'!$F$89:$F$649,'Schedule 4'!$I$89:$I$649,'Well Cal.'!Y$3,'Schedule 4'!$J$89:$J$649,'Well Cal.'!$E138)</f>
        <v>0</v>
      </c>
      <c r="Z138" s="727">
        <f>SUMIFS('Schedule 4'!$F$89:$F$649,'Schedule 4'!$I$89:$I$649,'Well Cal.'!Z$3,'Schedule 4'!$J$89:$J$649,'Well Cal.'!$E138)</f>
        <v>0</v>
      </c>
      <c r="AA138" s="727"/>
      <c r="AB138" s="1721"/>
      <c r="AC138" s="1730"/>
    </row>
    <row r="139" spans="2:29" x14ac:dyDescent="0.3">
      <c r="B139" s="1724"/>
      <c r="C139" s="1727"/>
      <c r="D139" s="1721"/>
      <c r="E139" s="775" t="s">
        <v>3542</v>
      </c>
      <c r="F139" s="727">
        <f>SUMIFS('Schedule 4'!$F$89:$F$649,'Schedule 4'!$I$89:$I$649,'Well Cal.'!F$3,'Schedule 4'!$J$89:$J$649,'Well Cal.'!$E139)</f>
        <v>0</v>
      </c>
      <c r="G139" s="727">
        <f>SUMIFS('Schedule 4'!$F$89:$F$649,'Schedule 4'!$I$89:$I$649,'Well Cal.'!G$3,'Schedule 4'!$J$89:$J$649,'Well Cal.'!$E139)</f>
        <v>0</v>
      </c>
      <c r="H139" s="727">
        <f>SUMIFS('Schedule 4'!$F$89:$F$649,'Schedule 4'!$I$89:$I$649,'Well Cal.'!H$3,'Schedule 4'!$J$89:$J$649,'Well Cal.'!$E139)</f>
        <v>0</v>
      </c>
      <c r="I139" s="727">
        <f>SUMIFS('Schedule 4'!$F$89:$F$649,'Schedule 4'!$I$89:$I$649,'Well Cal.'!I$3,'Schedule 4'!$J$89:$J$649,'Well Cal.'!$E139)</f>
        <v>0</v>
      </c>
      <c r="J139" s="727">
        <f>SUMIFS('Schedule 4'!$F$89:$F$649,'Schedule 4'!$I$89:$I$649,'Well Cal.'!J$3,'Schedule 4'!$J$89:$J$649,'Well Cal.'!$E139)</f>
        <v>2.3199999999999998</v>
      </c>
      <c r="K139" s="727">
        <f>SUMIFS('Schedule 4'!$F$89:$F$649,'Schedule 4'!$I$89:$I$649,'Well Cal.'!K$3,'Schedule 4'!$J$89:$J$649,'Well Cal.'!$E139)</f>
        <v>0</v>
      </c>
      <c r="L139" s="727">
        <f>SUMIFS('Schedule 4'!$F$89:$F$649,'Schedule 4'!$I$89:$I$649,'Well Cal.'!L$3,'Schedule 4'!$J$89:$J$649,'Well Cal.'!$E139)</f>
        <v>0</v>
      </c>
      <c r="M139" s="727">
        <f>SUMIFS('Schedule 4'!$F$89:$F$649,'Schedule 4'!$I$89:$I$649,'Well Cal.'!M$3,'Schedule 4'!$J$89:$J$649,'Well Cal.'!$E139)</f>
        <v>0</v>
      </c>
      <c r="N139" s="727">
        <f>SUMIFS('Schedule 4'!$F$89:$F$649,'Schedule 4'!$I$89:$I$649,'Well Cal.'!N$3,'Schedule 4'!$J$89:$J$649,'Well Cal.'!$E139)</f>
        <v>0</v>
      </c>
      <c r="O139" s="727">
        <f>SUMIFS('Schedule 4'!$F$89:$F$649,'Schedule 4'!$I$89:$I$649,'Well Cal.'!O$3,'Schedule 4'!$J$89:$J$649,'Well Cal.'!$E139)</f>
        <v>0</v>
      </c>
      <c r="P139" s="727">
        <f>SUMIFS('Schedule 4'!$F$89:$F$649,'Schedule 4'!$I$89:$I$649,'Well Cal.'!P$3,'Schedule 4'!$J$89:$J$649,'Well Cal.'!$E139)</f>
        <v>0</v>
      </c>
      <c r="Q139" s="727">
        <f>SUMIFS('Schedule 4'!$F$89:$F$649,'Schedule 4'!$I$89:$I$649,'Well Cal.'!Q$3,'Schedule 4'!$J$89:$J$649,'Well Cal.'!$E139)</f>
        <v>0</v>
      </c>
      <c r="R139" s="727">
        <f>SUMIFS('Schedule 4'!$F$89:$F$649,'Schedule 4'!$I$89:$I$649,'Well Cal.'!R$3,'Schedule 4'!$J$89:$J$649,'Well Cal.'!$E139)</f>
        <v>0</v>
      </c>
      <c r="S139" s="727">
        <f>SUMIFS('Schedule 4'!$F$89:$F$649,'Schedule 4'!$I$89:$I$649,'Well Cal.'!S$3,'Schedule 4'!$J$89:$J$649,'Well Cal.'!$E139)</f>
        <v>0</v>
      </c>
      <c r="T139" s="727">
        <f>SUMIFS('Schedule 4'!$F$89:$F$649,'Schedule 4'!$I$89:$I$649,'Well Cal.'!T$3,'Schedule 4'!$J$89:$J$649,'Well Cal.'!$E139)</f>
        <v>0</v>
      </c>
      <c r="U139" s="727">
        <f>SUMIFS('Schedule 4'!$F$89:$F$649,'Schedule 4'!$I$89:$I$649,'Well Cal.'!U$3,'Schedule 4'!$J$89:$J$649,'Well Cal.'!$E139)</f>
        <v>0</v>
      </c>
      <c r="V139" s="727">
        <f>SUMIFS('Schedule 4'!$F$89:$F$649,'Schedule 4'!$I$89:$I$649,'Well Cal.'!V$3,'Schedule 4'!$J$89:$J$649,'Well Cal.'!$E139)</f>
        <v>0</v>
      </c>
      <c r="W139" s="727">
        <f>SUMIFS('Schedule 4'!$F$89:$F$649,'Schedule 4'!$I$89:$I$649,'Well Cal.'!W$3,'Schedule 4'!$J$89:$J$649,'Well Cal.'!$E139)</f>
        <v>0</v>
      </c>
      <c r="X139" s="727">
        <f>SUMIFS('Schedule 4'!$F$89:$F$649,'Schedule 4'!$I$89:$I$649,'Well Cal.'!X$3,'Schedule 4'!$J$89:$J$649,'Well Cal.'!$E139)</f>
        <v>0</v>
      </c>
      <c r="Y139" s="727">
        <f>SUMIFS('Schedule 4'!$F$89:$F$649,'Schedule 4'!$I$89:$I$649,'Well Cal.'!Y$3,'Schedule 4'!$J$89:$J$649,'Well Cal.'!$E139)</f>
        <v>0</v>
      </c>
      <c r="Z139" s="727">
        <f>SUMIFS('Schedule 4'!$F$89:$F$649,'Schedule 4'!$I$89:$I$649,'Well Cal.'!Z$3,'Schedule 4'!$J$89:$J$649,'Well Cal.'!$E139)</f>
        <v>0</v>
      </c>
      <c r="AA139" s="727"/>
      <c r="AB139" s="1721"/>
      <c r="AC139" s="1730"/>
    </row>
    <row r="140" spans="2:29" x14ac:dyDescent="0.3">
      <c r="B140" s="1724"/>
      <c r="C140" s="1727"/>
      <c r="D140" s="1721"/>
      <c r="E140" s="775" t="s">
        <v>3611</v>
      </c>
      <c r="F140" s="727">
        <f>SUMIFS('Schedule 4'!$F$89:$F$649,'Schedule 4'!$I$89:$I$649,'Well Cal.'!F$3,'Schedule 4'!$J$89:$J$649,'Well Cal.'!$E140)</f>
        <v>0</v>
      </c>
      <c r="G140" s="727">
        <f>SUMIFS('Schedule 4'!$F$89:$F$649,'Schedule 4'!$I$89:$I$649,'Well Cal.'!G$3,'Schedule 4'!$J$89:$J$649,'Well Cal.'!$E140)</f>
        <v>0</v>
      </c>
      <c r="H140" s="727">
        <f>SUMIFS('Schedule 4'!$F$89:$F$649,'Schedule 4'!$I$89:$I$649,'Well Cal.'!H$3,'Schedule 4'!$J$89:$J$649,'Well Cal.'!$E140)</f>
        <v>0</v>
      </c>
      <c r="I140" s="727">
        <f>SUMIFS('Schedule 4'!$F$89:$F$649,'Schedule 4'!$I$89:$I$649,'Well Cal.'!I$3,'Schedule 4'!$J$89:$J$649,'Well Cal.'!$E140)</f>
        <v>0</v>
      </c>
      <c r="J140" s="727">
        <f>SUMIFS('Schedule 4'!$F$89:$F$649,'Schedule 4'!$I$89:$I$649,'Well Cal.'!J$3,'Schedule 4'!$J$89:$J$649,'Well Cal.'!$E140)</f>
        <v>2.5</v>
      </c>
      <c r="K140" s="727">
        <f>SUMIFS('Schedule 4'!$F$89:$F$649,'Schedule 4'!$I$89:$I$649,'Well Cal.'!K$3,'Schedule 4'!$J$89:$J$649,'Well Cal.'!$E140)</f>
        <v>0</v>
      </c>
      <c r="L140" s="727">
        <f>SUMIFS('Schedule 4'!$F$89:$F$649,'Schedule 4'!$I$89:$I$649,'Well Cal.'!L$3,'Schedule 4'!$J$89:$J$649,'Well Cal.'!$E140)</f>
        <v>0</v>
      </c>
      <c r="M140" s="727">
        <f>SUMIFS('Schedule 4'!$F$89:$F$649,'Schedule 4'!$I$89:$I$649,'Well Cal.'!M$3,'Schedule 4'!$J$89:$J$649,'Well Cal.'!$E140)</f>
        <v>0</v>
      </c>
      <c r="N140" s="727">
        <f>SUMIFS('Schedule 4'!$F$89:$F$649,'Schedule 4'!$I$89:$I$649,'Well Cal.'!N$3,'Schedule 4'!$J$89:$J$649,'Well Cal.'!$E140)</f>
        <v>0</v>
      </c>
      <c r="O140" s="727">
        <f>SUMIFS('Schedule 4'!$F$89:$F$649,'Schedule 4'!$I$89:$I$649,'Well Cal.'!O$3,'Schedule 4'!$J$89:$J$649,'Well Cal.'!$E140)</f>
        <v>0</v>
      </c>
      <c r="P140" s="727">
        <f>SUMIFS('Schedule 4'!$F$89:$F$649,'Schedule 4'!$I$89:$I$649,'Well Cal.'!P$3,'Schedule 4'!$J$89:$J$649,'Well Cal.'!$E140)</f>
        <v>0</v>
      </c>
      <c r="Q140" s="727">
        <f>SUMIFS('Schedule 4'!$F$89:$F$649,'Schedule 4'!$I$89:$I$649,'Well Cal.'!Q$3,'Schedule 4'!$J$89:$J$649,'Well Cal.'!$E140)</f>
        <v>0</v>
      </c>
      <c r="R140" s="727">
        <f>SUMIFS('Schedule 4'!$F$89:$F$649,'Schedule 4'!$I$89:$I$649,'Well Cal.'!R$3,'Schedule 4'!$J$89:$J$649,'Well Cal.'!$E140)</f>
        <v>0</v>
      </c>
      <c r="S140" s="727">
        <f>SUMIFS('Schedule 4'!$F$89:$F$649,'Schedule 4'!$I$89:$I$649,'Well Cal.'!S$3,'Schedule 4'!$J$89:$J$649,'Well Cal.'!$E140)</f>
        <v>0</v>
      </c>
      <c r="T140" s="727">
        <f>SUMIFS('Schedule 4'!$F$89:$F$649,'Schedule 4'!$I$89:$I$649,'Well Cal.'!T$3,'Schedule 4'!$J$89:$J$649,'Well Cal.'!$E140)</f>
        <v>0</v>
      </c>
      <c r="U140" s="727">
        <f>SUMIFS('Schedule 4'!$F$89:$F$649,'Schedule 4'!$I$89:$I$649,'Well Cal.'!U$3,'Schedule 4'!$J$89:$J$649,'Well Cal.'!$E140)</f>
        <v>0</v>
      </c>
      <c r="V140" s="727">
        <f>SUMIFS('Schedule 4'!$F$89:$F$649,'Schedule 4'!$I$89:$I$649,'Well Cal.'!V$3,'Schedule 4'!$J$89:$J$649,'Well Cal.'!$E140)</f>
        <v>0</v>
      </c>
      <c r="W140" s="727">
        <f>SUMIFS('Schedule 4'!$F$89:$F$649,'Schedule 4'!$I$89:$I$649,'Well Cal.'!W$3,'Schedule 4'!$J$89:$J$649,'Well Cal.'!$E140)</f>
        <v>0</v>
      </c>
      <c r="X140" s="727">
        <f>SUMIFS('Schedule 4'!$F$89:$F$649,'Schedule 4'!$I$89:$I$649,'Well Cal.'!X$3,'Schedule 4'!$J$89:$J$649,'Well Cal.'!$E140)</f>
        <v>0</v>
      </c>
      <c r="Y140" s="727">
        <f>SUMIFS('Schedule 4'!$F$89:$F$649,'Schedule 4'!$I$89:$I$649,'Well Cal.'!Y$3,'Schedule 4'!$J$89:$J$649,'Well Cal.'!$E140)</f>
        <v>0</v>
      </c>
      <c r="Z140" s="727">
        <f>SUMIFS('Schedule 4'!$F$89:$F$649,'Schedule 4'!$I$89:$I$649,'Well Cal.'!Z$3,'Schedule 4'!$J$89:$J$649,'Well Cal.'!$E140)</f>
        <v>0</v>
      </c>
      <c r="AA140" s="727"/>
      <c r="AB140" s="1721"/>
      <c r="AC140" s="1730"/>
    </row>
    <row r="141" spans="2:29" x14ac:dyDescent="0.3">
      <c r="B141" s="1724"/>
      <c r="C141" s="1727"/>
      <c r="D141" s="1721"/>
      <c r="E141" s="775" t="s">
        <v>3663</v>
      </c>
      <c r="F141" s="727">
        <f>SUMIFS('Schedule 4'!$F$89:$F$649,'Schedule 4'!$I$89:$I$649,'Well Cal.'!F$3,'Schedule 4'!$J$89:$J$649,'Well Cal.'!$E141)</f>
        <v>0</v>
      </c>
      <c r="G141" s="727">
        <f>SUMIFS('Schedule 4'!$F$89:$F$649,'Schedule 4'!$I$89:$I$649,'Well Cal.'!G$3,'Schedule 4'!$J$89:$J$649,'Well Cal.'!$E141)</f>
        <v>0</v>
      </c>
      <c r="H141" s="727">
        <f>SUMIFS('Schedule 4'!$F$89:$F$649,'Schedule 4'!$I$89:$I$649,'Well Cal.'!H$3,'Schedule 4'!$J$89:$J$649,'Well Cal.'!$E141)</f>
        <v>0</v>
      </c>
      <c r="I141" s="727">
        <f>SUMIFS('Schedule 4'!$F$89:$F$649,'Schedule 4'!$I$89:$I$649,'Well Cal.'!I$3,'Schedule 4'!$J$89:$J$649,'Well Cal.'!$E141)</f>
        <v>0</v>
      </c>
      <c r="J141" s="727">
        <f>SUMIFS('Schedule 4'!$F$89:$F$649,'Schedule 4'!$I$89:$I$649,'Well Cal.'!J$3,'Schedule 4'!$J$89:$J$649,'Well Cal.'!$E141)</f>
        <v>0</v>
      </c>
      <c r="K141" s="727">
        <f>SUMIFS('Schedule 4'!$F$89:$F$649,'Schedule 4'!$I$89:$I$649,'Well Cal.'!K$3,'Schedule 4'!$J$89:$J$649,'Well Cal.'!$E141)</f>
        <v>2.5</v>
      </c>
      <c r="L141" s="727">
        <f>SUMIFS('Schedule 4'!$F$89:$F$649,'Schedule 4'!$I$89:$I$649,'Well Cal.'!L$3,'Schedule 4'!$J$89:$J$649,'Well Cal.'!$E141)</f>
        <v>0</v>
      </c>
      <c r="M141" s="727">
        <f>SUMIFS('Schedule 4'!$F$89:$F$649,'Schedule 4'!$I$89:$I$649,'Well Cal.'!M$3,'Schedule 4'!$J$89:$J$649,'Well Cal.'!$E141)</f>
        <v>0</v>
      </c>
      <c r="N141" s="727">
        <f>SUMIFS('Schedule 4'!$F$89:$F$649,'Schedule 4'!$I$89:$I$649,'Well Cal.'!N$3,'Schedule 4'!$J$89:$J$649,'Well Cal.'!$E141)</f>
        <v>0</v>
      </c>
      <c r="O141" s="727">
        <f>SUMIFS('Schedule 4'!$F$89:$F$649,'Schedule 4'!$I$89:$I$649,'Well Cal.'!O$3,'Schedule 4'!$J$89:$J$649,'Well Cal.'!$E141)</f>
        <v>0</v>
      </c>
      <c r="P141" s="727">
        <f>SUMIFS('Schedule 4'!$F$89:$F$649,'Schedule 4'!$I$89:$I$649,'Well Cal.'!P$3,'Schedule 4'!$J$89:$J$649,'Well Cal.'!$E141)</f>
        <v>0</v>
      </c>
      <c r="Q141" s="727">
        <f>SUMIFS('Schedule 4'!$F$89:$F$649,'Schedule 4'!$I$89:$I$649,'Well Cal.'!Q$3,'Schedule 4'!$J$89:$J$649,'Well Cal.'!$E141)</f>
        <v>0</v>
      </c>
      <c r="R141" s="727">
        <f>SUMIFS('Schedule 4'!$F$89:$F$649,'Schedule 4'!$I$89:$I$649,'Well Cal.'!R$3,'Schedule 4'!$J$89:$J$649,'Well Cal.'!$E141)</f>
        <v>0</v>
      </c>
      <c r="S141" s="727">
        <f>SUMIFS('Schedule 4'!$F$89:$F$649,'Schedule 4'!$I$89:$I$649,'Well Cal.'!S$3,'Schedule 4'!$J$89:$J$649,'Well Cal.'!$E141)</f>
        <v>0</v>
      </c>
      <c r="T141" s="727">
        <f>SUMIFS('Schedule 4'!$F$89:$F$649,'Schedule 4'!$I$89:$I$649,'Well Cal.'!T$3,'Schedule 4'!$J$89:$J$649,'Well Cal.'!$E141)</f>
        <v>0</v>
      </c>
      <c r="U141" s="727">
        <f>SUMIFS('Schedule 4'!$F$89:$F$649,'Schedule 4'!$I$89:$I$649,'Well Cal.'!U$3,'Schedule 4'!$J$89:$J$649,'Well Cal.'!$E141)</f>
        <v>0</v>
      </c>
      <c r="V141" s="727">
        <f>SUMIFS('Schedule 4'!$F$89:$F$649,'Schedule 4'!$I$89:$I$649,'Well Cal.'!V$3,'Schedule 4'!$J$89:$J$649,'Well Cal.'!$E141)</f>
        <v>0</v>
      </c>
      <c r="W141" s="727">
        <f>SUMIFS('Schedule 4'!$F$89:$F$649,'Schedule 4'!$I$89:$I$649,'Well Cal.'!W$3,'Schedule 4'!$J$89:$J$649,'Well Cal.'!$E141)</f>
        <v>0</v>
      </c>
      <c r="X141" s="727">
        <f>SUMIFS('Schedule 4'!$F$89:$F$649,'Schedule 4'!$I$89:$I$649,'Well Cal.'!X$3,'Schedule 4'!$J$89:$J$649,'Well Cal.'!$E141)</f>
        <v>0</v>
      </c>
      <c r="Y141" s="727">
        <f>SUMIFS('Schedule 4'!$F$89:$F$649,'Schedule 4'!$I$89:$I$649,'Well Cal.'!Y$3,'Schedule 4'!$J$89:$J$649,'Well Cal.'!$E141)</f>
        <v>0</v>
      </c>
      <c r="Z141" s="727">
        <f>SUMIFS('Schedule 4'!$F$89:$F$649,'Schedule 4'!$I$89:$I$649,'Well Cal.'!Z$3,'Schedule 4'!$J$89:$J$649,'Well Cal.'!$E141)</f>
        <v>0</v>
      </c>
      <c r="AA141" s="727"/>
      <c r="AB141" s="1721"/>
      <c r="AC141" s="1731"/>
    </row>
    <row r="142" spans="2:29" x14ac:dyDescent="0.3">
      <c r="B142" s="1724"/>
      <c r="C142" s="1727"/>
      <c r="D142" s="1721"/>
      <c r="E142" s="775" t="s">
        <v>3763</v>
      </c>
      <c r="F142" s="727">
        <f>SUMIFS('Schedule 4'!$F$89:$F$649,'Schedule 4'!$I$89:$I$649,'Well Cal.'!F$3,'Schedule 4'!$J$89:$J$649,'Well Cal.'!$E142)</f>
        <v>0</v>
      </c>
      <c r="G142" s="727">
        <f>SUMIFS('Schedule 4'!$F$89:$F$649,'Schedule 4'!$I$89:$I$649,'Well Cal.'!G$3,'Schedule 4'!$J$89:$J$649,'Well Cal.'!$E142)</f>
        <v>0</v>
      </c>
      <c r="H142" s="727">
        <f>SUMIFS('Schedule 4'!$F$89:$F$649,'Schedule 4'!$I$89:$I$649,'Well Cal.'!H$3,'Schedule 4'!$J$89:$J$649,'Well Cal.'!$E142)</f>
        <v>0</v>
      </c>
      <c r="I142" s="727">
        <f>SUMIFS('Schedule 4'!$F$89:$F$649,'Schedule 4'!$I$89:$I$649,'Well Cal.'!I$3,'Schedule 4'!$J$89:$J$649,'Well Cal.'!$E142)</f>
        <v>0</v>
      </c>
      <c r="J142" s="727">
        <f>SUMIFS('Schedule 4'!$F$89:$F$649,'Schedule 4'!$I$89:$I$649,'Well Cal.'!J$3,'Schedule 4'!$J$89:$J$649,'Well Cal.'!$E142)</f>
        <v>0</v>
      </c>
      <c r="K142" s="727">
        <f>SUMIFS('Schedule 4'!$F$89:$F$649,'Schedule 4'!$I$89:$I$649,'Well Cal.'!K$3,'Schedule 4'!$J$89:$J$649,'Well Cal.'!$E142)</f>
        <v>0.54500000000000004</v>
      </c>
      <c r="L142" s="727">
        <f>SUMIFS('Schedule 4'!$F$89:$F$649,'Schedule 4'!$I$89:$I$649,'Well Cal.'!L$3,'Schedule 4'!$J$89:$J$649,'Well Cal.'!$E142)</f>
        <v>0</v>
      </c>
      <c r="M142" s="727">
        <f>SUMIFS('Schedule 4'!$F$89:$F$649,'Schedule 4'!$I$89:$I$649,'Well Cal.'!M$3,'Schedule 4'!$J$89:$J$649,'Well Cal.'!$E142)</f>
        <v>0</v>
      </c>
      <c r="N142" s="727">
        <f>SUMIFS('Schedule 4'!$F$89:$F$649,'Schedule 4'!$I$89:$I$649,'Well Cal.'!N$3,'Schedule 4'!$J$89:$J$649,'Well Cal.'!$E142)</f>
        <v>0</v>
      </c>
      <c r="O142" s="727">
        <f>SUMIFS('Schedule 4'!$F$89:$F$649,'Schedule 4'!$I$89:$I$649,'Well Cal.'!O$3,'Schedule 4'!$J$89:$J$649,'Well Cal.'!$E142)</f>
        <v>0</v>
      </c>
      <c r="P142" s="727">
        <f>SUMIFS('Schedule 4'!$F$89:$F$649,'Schedule 4'!$I$89:$I$649,'Well Cal.'!P$3,'Schedule 4'!$J$89:$J$649,'Well Cal.'!$E142)</f>
        <v>0</v>
      </c>
      <c r="Q142" s="727">
        <f>SUMIFS('Schedule 4'!$F$89:$F$649,'Schedule 4'!$I$89:$I$649,'Well Cal.'!Q$3,'Schedule 4'!$J$89:$J$649,'Well Cal.'!$E142)</f>
        <v>0</v>
      </c>
      <c r="R142" s="727">
        <f>SUMIFS('Schedule 4'!$F$89:$F$649,'Schedule 4'!$I$89:$I$649,'Well Cal.'!R$3,'Schedule 4'!$J$89:$J$649,'Well Cal.'!$E142)</f>
        <v>0</v>
      </c>
      <c r="S142" s="727">
        <f>SUMIFS('Schedule 4'!$F$89:$F$649,'Schedule 4'!$I$89:$I$649,'Well Cal.'!S$3,'Schedule 4'!$J$89:$J$649,'Well Cal.'!$E142)</f>
        <v>0</v>
      </c>
      <c r="T142" s="727">
        <f>SUMIFS('Schedule 4'!$F$89:$F$649,'Schedule 4'!$I$89:$I$649,'Well Cal.'!T$3,'Schedule 4'!$J$89:$J$649,'Well Cal.'!$E142)</f>
        <v>0</v>
      </c>
      <c r="U142" s="727">
        <f>SUMIFS('Schedule 4'!$F$89:$F$649,'Schedule 4'!$I$89:$I$649,'Well Cal.'!U$3,'Schedule 4'!$J$89:$J$649,'Well Cal.'!$E142)</f>
        <v>0</v>
      </c>
      <c r="V142" s="727">
        <f>SUMIFS('Schedule 4'!$F$89:$F$649,'Schedule 4'!$I$89:$I$649,'Well Cal.'!V$3,'Schedule 4'!$J$89:$J$649,'Well Cal.'!$E142)</f>
        <v>0</v>
      </c>
      <c r="W142" s="727">
        <f>SUMIFS('Schedule 4'!$F$89:$F$649,'Schedule 4'!$I$89:$I$649,'Well Cal.'!W$3,'Schedule 4'!$J$89:$J$649,'Well Cal.'!$E142)</f>
        <v>0</v>
      </c>
      <c r="X142" s="727">
        <f>SUMIFS('Schedule 4'!$F$89:$F$649,'Schedule 4'!$I$89:$I$649,'Well Cal.'!X$3,'Schedule 4'!$J$89:$J$649,'Well Cal.'!$E142)</f>
        <v>0</v>
      </c>
      <c r="Y142" s="727">
        <f>SUMIFS('Schedule 4'!$F$89:$F$649,'Schedule 4'!$I$89:$I$649,'Well Cal.'!Y$3,'Schedule 4'!$J$89:$J$649,'Well Cal.'!$E142)</f>
        <v>0</v>
      </c>
      <c r="Z142" s="727">
        <f>SUMIFS('Schedule 4'!$F$89:$F$649,'Schedule 4'!$I$89:$I$649,'Well Cal.'!Z$3,'Schedule 4'!$J$89:$J$649,'Well Cal.'!$E142)</f>
        <v>0</v>
      </c>
      <c r="AA142" s="727"/>
      <c r="AB142" s="1721"/>
      <c r="AC142" s="1731"/>
    </row>
    <row r="143" spans="2:29" x14ac:dyDescent="0.3">
      <c r="B143" s="1724"/>
      <c r="C143" s="1727"/>
      <c r="D143" s="1721"/>
      <c r="E143" s="775" t="s">
        <v>3827</v>
      </c>
      <c r="F143" s="727">
        <f>SUMIFS('Schedule 4'!$F$89:$F$649,'Schedule 4'!$I$89:$I$649,'Well Cal.'!F$3,'Schedule 4'!$J$89:$J$649,'Well Cal.'!$E143)</f>
        <v>0</v>
      </c>
      <c r="G143" s="727">
        <f>SUMIFS('Schedule 4'!$F$89:$F$649,'Schedule 4'!$I$89:$I$649,'Well Cal.'!G$3,'Schedule 4'!$J$89:$J$649,'Well Cal.'!$E143)</f>
        <v>0</v>
      </c>
      <c r="H143" s="727">
        <f>SUMIFS('Schedule 4'!$F$89:$F$649,'Schedule 4'!$I$89:$I$649,'Well Cal.'!H$3,'Schedule 4'!$J$89:$J$649,'Well Cal.'!$E143)</f>
        <v>0</v>
      </c>
      <c r="I143" s="727">
        <f>SUMIFS('Schedule 4'!$F$89:$F$649,'Schedule 4'!$I$89:$I$649,'Well Cal.'!I$3,'Schedule 4'!$J$89:$J$649,'Well Cal.'!$E143)</f>
        <v>0</v>
      </c>
      <c r="J143" s="727">
        <f>SUMIFS('Schedule 4'!$F$89:$F$649,'Schedule 4'!$I$89:$I$649,'Well Cal.'!J$3,'Schedule 4'!$J$89:$J$649,'Well Cal.'!$E143)</f>
        <v>0</v>
      </c>
      <c r="K143" s="727">
        <f>SUMIFS('Schedule 4'!$F$89:$F$649,'Schedule 4'!$I$89:$I$649,'Well Cal.'!K$3,'Schedule 4'!$J$89:$J$649,'Well Cal.'!$E143)</f>
        <v>2.81</v>
      </c>
      <c r="L143" s="727">
        <f>SUMIFS('Schedule 4'!$F$89:$F$649,'Schedule 4'!$I$89:$I$649,'Well Cal.'!L$3,'Schedule 4'!$J$89:$J$649,'Well Cal.'!$E143)</f>
        <v>0</v>
      </c>
      <c r="M143" s="727">
        <f>SUMIFS('Schedule 4'!$F$89:$F$649,'Schedule 4'!$I$89:$I$649,'Well Cal.'!M$3,'Schedule 4'!$J$89:$J$649,'Well Cal.'!$E143)</f>
        <v>0</v>
      </c>
      <c r="N143" s="727">
        <f>SUMIFS('Schedule 4'!$F$89:$F$649,'Schedule 4'!$I$89:$I$649,'Well Cal.'!N$3,'Schedule 4'!$J$89:$J$649,'Well Cal.'!$E143)</f>
        <v>0</v>
      </c>
      <c r="O143" s="727">
        <f>SUMIFS('Schedule 4'!$F$89:$F$649,'Schedule 4'!$I$89:$I$649,'Well Cal.'!O$3,'Schedule 4'!$J$89:$J$649,'Well Cal.'!$E143)</f>
        <v>0</v>
      </c>
      <c r="P143" s="727">
        <f>SUMIFS('Schedule 4'!$F$89:$F$649,'Schedule 4'!$I$89:$I$649,'Well Cal.'!P$3,'Schedule 4'!$J$89:$J$649,'Well Cal.'!$E143)</f>
        <v>0</v>
      </c>
      <c r="Q143" s="727">
        <f>SUMIFS('Schedule 4'!$F$89:$F$649,'Schedule 4'!$I$89:$I$649,'Well Cal.'!Q$3,'Schedule 4'!$J$89:$J$649,'Well Cal.'!$E143)</f>
        <v>0</v>
      </c>
      <c r="R143" s="727">
        <f>SUMIFS('Schedule 4'!$F$89:$F$649,'Schedule 4'!$I$89:$I$649,'Well Cal.'!R$3,'Schedule 4'!$J$89:$J$649,'Well Cal.'!$E143)</f>
        <v>0</v>
      </c>
      <c r="S143" s="727">
        <f>SUMIFS('Schedule 4'!$F$89:$F$649,'Schedule 4'!$I$89:$I$649,'Well Cal.'!S$3,'Schedule 4'!$J$89:$J$649,'Well Cal.'!$E143)</f>
        <v>0</v>
      </c>
      <c r="T143" s="727">
        <f>SUMIFS('Schedule 4'!$F$89:$F$649,'Schedule 4'!$I$89:$I$649,'Well Cal.'!T$3,'Schedule 4'!$J$89:$J$649,'Well Cal.'!$E143)</f>
        <v>0</v>
      </c>
      <c r="U143" s="727">
        <f>SUMIFS('Schedule 4'!$F$89:$F$649,'Schedule 4'!$I$89:$I$649,'Well Cal.'!U$3,'Schedule 4'!$J$89:$J$649,'Well Cal.'!$E143)</f>
        <v>0</v>
      </c>
      <c r="V143" s="727">
        <f>SUMIFS('Schedule 4'!$F$89:$F$649,'Schedule 4'!$I$89:$I$649,'Well Cal.'!V$3,'Schedule 4'!$J$89:$J$649,'Well Cal.'!$E143)</f>
        <v>0</v>
      </c>
      <c r="W143" s="727">
        <f>SUMIFS('Schedule 4'!$F$89:$F$649,'Schedule 4'!$I$89:$I$649,'Well Cal.'!W$3,'Schedule 4'!$J$89:$J$649,'Well Cal.'!$E143)</f>
        <v>0</v>
      </c>
      <c r="X143" s="727">
        <f>SUMIFS('Schedule 4'!$F$89:$F$649,'Schedule 4'!$I$89:$I$649,'Well Cal.'!X$3,'Schedule 4'!$J$89:$J$649,'Well Cal.'!$E143)</f>
        <v>0</v>
      </c>
      <c r="Y143" s="727">
        <f>SUMIFS('Schedule 4'!$F$89:$F$649,'Schedule 4'!$I$89:$I$649,'Well Cal.'!Y$3,'Schedule 4'!$J$89:$J$649,'Well Cal.'!$E143)</f>
        <v>0</v>
      </c>
      <c r="Z143" s="727">
        <f>SUMIFS('Schedule 4'!$F$89:$F$649,'Schedule 4'!$I$89:$I$649,'Well Cal.'!Z$3,'Schedule 4'!$J$89:$J$649,'Well Cal.'!$E143)</f>
        <v>0</v>
      </c>
      <c r="AA143" s="727"/>
      <c r="AB143" s="1721"/>
      <c r="AC143" s="1731"/>
    </row>
    <row r="144" spans="2:29" x14ac:dyDescent="0.3">
      <c r="B144" s="1724"/>
      <c r="C144" s="1727"/>
      <c r="D144" s="1721"/>
      <c r="E144" s="775" t="s">
        <v>3897</v>
      </c>
      <c r="F144" s="727">
        <f>SUMIFS('Schedule 4'!$F$89:$F$649,'Schedule 4'!$I$89:$I$649,'Well Cal.'!F$3,'Schedule 4'!$J$89:$J$649,'Well Cal.'!$E144)</f>
        <v>0</v>
      </c>
      <c r="G144" s="727">
        <f>SUMIFS('Schedule 4'!$F$89:$F$649,'Schedule 4'!$I$89:$I$649,'Well Cal.'!G$3,'Schedule 4'!$J$89:$J$649,'Well Cal.'!$E144)</f>
        <v>0</v>
      </c>
      <c r="H144" s="727">
        <f>SUMIFS('Schedule 4'!$F$89:$F$649,'Schedule 4'!$I$89:$I$649,'Well Cal.'!H$3,'Schedule 4'!$J$89:$J$649,'Well Cal.'!$E144)</f>
        <v>0</v>
      </c>
      <c r="I144" s="727">
        <f>SUMIFS('Schedule 4'!$F$89:$F$649,'Schedule 4'!$I$89:$I$649,'Well Cal.'!I$3,'Schedule 4'!$J$89:$J$649,'Well Cal.'!$E144)</f>
        <v>0</v>
      </c>
      <c r="J144" s="727">
        <f>SUMIFS('Schedule 4'!$F$89:$F$649,'Schedule 4'!$I$89:$I$649,'Well Cal.'!J$3,'Schedule 4'!$J$89:$J$649,'Well Cal.'!$E144)</f>
        <v>0</v>
      </c>
      <c r="K144" s="727">
        <f>SUMIFS('Schedule 4'!$F$89:$F$649,'Schedule 4'!$I$89:$I$649,'Well Cal.'!K$3,'Schedule 4'!$J$89:$J$649,'Well Cal.'!$E144)</f>
        <v>0</v>
      </c>
      <c r="L144" s="727">
        <f>SUMIFS('Schedule 4'!$F$89:$F$649,'Schedule 4'!$I$89:$I$649,'Well Cal.'!L$3,'Schedule 4'!$J$89:$J$649,'Well Cal.'!$E144)</f>
        <v>2.5</v>
      </c>
      <c r="M144" s="727">
        <f>SUMIFS('Schedule 4'!$F$89:$F$649,'Schedule 4'!$I$89:$I$649,'Well Cal.'!M$3,'Schedule 4'!$J$89:$J$649,'Well Cal.'!$E144)</f>
        <v>0</v>
      </c>
      <c r="N144" s="727">
        <f>SUMIFS('Schedule 4'!$F$89:$F$649,'Schedule 4'!$I$89:$I$649,'Well Cal.'!N$3,'Schedule 4'!$J$89:$J$649,'Well Cal.'!$E144)</f>
        <v>0</v>
      </c>
      <c r="O144" s="727">
        <f>SUMIFS('Schedule 4'!$F$89:$F$649,'Schedule 4'!$I$89:$I$649,'Well Cal.'!O$3,'Schedule 4'!$J$89:$J$649,'Well Cal.'!$E144)</f>
        <v>0</v>
      </c>
      <c r="P144" s="727">
        <f>SUMIFS('Schedule 4'!$F$89:$F$649,'Schedule 4'!$I$89:$I$649,'Well Cal.'!P$3,'Schedule 4'!$J$89:$J$649,'Well Cal.'!$E144)</f>
        <v>0</v>
      </c>
      <c r="Q144" s="727">
        <f>SUMIFS('Schedule 4'!$F$89:$F$649,'Schedule 4'!$I$89:$I$649,'Well Cal.'!Q$3,'Schedule 4'!$J$89:$J$649,'Well Cal.'!$E144)</f>
        <v>0</v>
      </c>
      <c r="R144" s="727">
        <f>SUMIFS('Schedule 4'!$F$89:$F$649,'Schedule 4'!$I$89:$I$649,'Well Cal.'!R$3,'Schedule 4'!$J$89:$J$649,'Well Cal.'!$E144)</f>
        <v>0</v>
      </c>
      <c r="S144" s="727">
        <f>SUMIFS('Schedule 4'!$F$89:$F$649,'Schedule 4'!$I$89:$I$649,'Well Cal.'!S$3,'Schedule 4'!$J$89:$J$649,'Well Cal.'!$E144)</f>
        <v>0</v>
      </c>
      <c r="T144" s="727">
        <f>SUMIFS('Schedule 4'!$F$89:$F$649,'Schedule 4'!$I$89:$I$649,'Well Cal.'!T$3,'Schedule 4'!$J$89:$J$649,'Well Cal.'!$E144)</f>
        <v>0</v>
      </c>
      <c r="U144" s="727">
        <f>SUMIFS('Schedule 4'!$F$89:$F$649,'Schedule 4'!$I$89:$I$649,'Well Cal.'!U$3,'Schedule 4'!$J$89:$J$649,'Well Cal.'!$E144)</f>
        <v>0</v>
      </c>
      <c r="V144" s="727">
        <f>SUMIFS('Schedule 4'!$F$89:$F$649,'Schedule 4'!$I$89:$I$649,'Well Cal.'!V$3,'Schedule 4'!$J$89:$J$649,'Well Cal.'!$E144)</f>
        <v>0</v>
      </c>
      <c r="W144" s="727">
        <f>SUMIFS('Schedule 4'!$F$89:$F$649,'Schedule 4'!$I$89:$I$649,'Well Cal.'!W$3,'Schedule 4'!$J$89:$J$649,'Well Cal.'!$E144)</f>
        <v>0</v>
      </c>
      <c r="X144" s="727">
        <f>SUMIFS('Schedule 4'!$F$89:$F$649,'Schedule 4'!$I$89:$I$649,'Well Cal.'!X$3,'Schedule 4'!$J$89:$J$649,'Well Cal.'!$E144)</f>
        <v>0</v>
      </c>
      <c r="Y144" s="727">
        <f>SUMIFS('Schedule 4'!$F$89:$F$649,'Schedule 4'!$I$89:$I$649,'Well Cal.'!Y$3,'Schedule 4'!$J$89:$J$649,'Well Cal.'!$E144)</f>
        <v>0</v>
      </c>
      <c r="Z144" s="727">
        <f>SUMIFS('Schedule 4'!$F$89:$F$649,'Schedule 4'!$I$89:$I$649,'Well Cal.'!Z$3,'Schedule 4'!$J$89:$J$649,'Well Cal.'!$E144)</f>
        <v>0</v>
      </c>
      <c r="AA144" s="727"/>
      <c r="AB144" s="1721"/>
      <c r="AC144" s="1731"/>
    </row>
    <row r="145" spans="2:31" x14ac:dyDescent="0.3">
      <c r="B145" s="1724"/>
      <c r="C145" s="1727"/>
      <c r="D145" s="1721"/>
      <c r="E145" s="775" t="s">
        <v>3959</v>
      </c>
      <c r="F145" s="727">
        <f>SUMIFS('Schedule 4'!$F$89:$F$649,'Schedule 4'!$I$89:$I$649,'Well Cal.'!F$3,'Schedule 4'!$J$89:$J$649,'Well Cal.'!$E145)</f>
        <v>0</v>
      </c>
      <c r="G145" s="727">
        <f>SUMIFS('Schedule 4'!$F$89:$F$649,'Schedule 4'!$I$89:$I$649,'Well Cal.'!G$3,'Schedule 4'!$J$89:$J$649,'Well Cal.'!$E145)</f>
        <v>0</v>
      </c>
      <c r="H145" s="727">
        <f>SUMIFS('Schedule 4'!$F$89:$F$649,'Schedule 4'!$I$89:$I$649,'Well Cal.'!H$3,'Schedule 4'!$J$89:$J$649,'Well Cal.'!$E145)</f>
        <v>0</v>
      </c>
      <c r="I145" s="727">
        <f>SUMIFS('Schedule 4'!$F$89:$F$649,'Schedule 4'!$I$89:$I$649,'Well Cal.'!I$3,'Schedule 4'!$J$89:$J$649,'Well Cal.'!$E145)</f>
        <v>0</v>
      </c>
      <c r="J145" s="727">
        <f>SUMIFS('Schedule 4'!$F$89:$F$649,'Schedule 4'!$I$89:$I$649,'Well Cal.'!J$3,'Schedule 4'!$J$89:$J$649,'Well Cal.'!$E145)</f>
        <v>0</v>
      </c>
      <c r="K145" s="727">
        <f>SUMIFS('Schedule 4'!$F$89:$F$649,'Schedule 4'!$I$89:$I$649,'Well Cal.'!K$3,'Schedule 4'!$J$89:$J$649,'Well Cal.'!$E145)</f>
        <v>0</v>
      </c>
      <c r="L145" s="727">
        <f>SUMIFS('Schedule 4'!$F$89:$F$649,'Schedule 4'!$I$89:$I$649,'Well Cal.'!L$3,'Schedule 4'!$J$89:$J$649,'Well Cal.'!$E145)</f>
        <v>2.5</v>
      </c>
      <c r="M145" s="727">
        <f>SUMIFS('Schedule 4'!$F$89:$F$649,'Schedule 4'!$I$89:$I$649,'Well Cal.'!M$3,'Schedule 4'!$J$89:$J$649,'Well Cal.'!$E145)</f>
        <v>0</v>
      </c>
      <c r="N145" s="727">
        <f>SUMIFS('Schedule 4'!$F$89:$F$649,'Schedule 4'!$I$89:$I$649,'Well Cal.'!N$3,'Schedule 4'!$J$89:$J$649,'Well Cal.'!$E145)</f>
        <v>0</v>
      </c>
      <c r="O145" s="727">
        <f>SUMIFS('Schedule 4'!$F$89:$F$649,'Schedule 4'!$I$89:$I$649,'Well Cal.'!O$3,'Schedule 4'!$J$89:$J$649,'Well Cal.'!$E145)</f>
        <v>0</v>
      </c>
      <c r="P145" s="727">
        <f>SUMIFS('Schedule 4'!$F$89:$F$649,'Schedule 4'!$I$89:$I$649,'Well Cal.'!P$3,'Schedule 4'!$J$89:$J$649,'Well Cal.'!$E145)</f>
        <v>0</v>
      </c>
      <c r="Q145" s="727">
        <f>SUMIFS('Schedule 4'!$F$89:$F$649,'Schedule 4'!$I$89:$I$649,'Well Cal.'!Q$3,'Schedule 4'!$J$89:$J$649,'Well Cal.'!$E145)</f>
        <v>0</v>
      </c>
      <c r="R145" s="727">
        <f>SUMIFS('Schedule 4'!$F$89:$F$649,'Schedule 4'!$I$89:$I$649,'Well Cal.'!R$3,'Schedule 4'!$J$89:$J$649,'Well Cal.'!$E145)</f>
        <v>0</v>
      </c>
      <c r="S145" s="727">
        <f>SUMIFS('Schedule 4'!$F$89:$F$649,'Schedule 4'!$I$89:$I$649,'Well Cal.'!S$3,'Schedule 4'!$J$89:$J$649,'Well Cal.'!$E145)</f>
        <v>0</v>
      </c>
      <c r="T145" s="727">
        <f>SUMIFS('Schedule 4'!$F$89:$F$649,'Schedule 4'!$I$89:$I$649,'Well Cal.'!T$3,'Schedule 4'!$J$89:$J$649,'Well Cal.'!$E145)</f>
        <v>0</v>
      </c>
      <c r="U145" s="727">
        <f>SUMIFS('Schedule 4'!$F$89:$F$649,'Schedule 4'!$I$89:$I$649,'Well Cal.'!U$3,'Schedule 4'!$J$89:$J$649,'Well Cal.'!$E145)</f>
        <v>0</v>
      </c>
      <c r="V145" s="727">
        <f>SUMIFS('Schedule 4'!$F$89:$F$649,'Schedule 4'!$I$89:$I$649,'Well Cal.'!V$3,'Schedule 4'!$J$89:$J$649,'Well Cal.'!$E145)</f>
        <v>0</v>
      </c>
      <c r="W145" s="727">
        <f>SUMIFS('Schedule 4'!$F$89:$F$649,'Schedule 4'!$I$89:$I$649,'Well Cal.'!W$3,'Schedule 4'!$J$89:$J$649,'Well Cal.'!$E145)</f>
        <v>0</v>
      </c>
      <c r="X145" s="727">
        <f>SUMIFS('Schedule 4'!$F$89:$F$649,'Schedule 4'!$I$89:$I$649,'Well Cal.'!X$3,'Schedule 4'!$J$89:$J$649,'Well Cal.'!$E145)</f>
        <v>0</v>
      </c>
      <c r="Y145" s="727">
        <f>SUMIFS('Schedule 4'!$F$89:$F$649,'Schedule 4'!$I$89:$I$649,'Well Cal.'!Y$3,'Schedule 4'!$J$89:$J$649,'Well Cal.'!$E145)</f>
        <v>0</v>
      </c>
      <c r="Z145" s="727">
        <f>SUMIFS('Schedule 4'!$F$89:$F$649,'Schedule 4'!$I$89:$I$649,'Well Cal.'!Z$3,'Schedule 4'!$J$89:$J$649,'Well Cal.'!$E145)</f>
        <v>0</v>
      </c>
      <c r="AA145" s="727"/>
      <c r="AB145" s="1721"/>
      <c r="AC145" s="1731"/>
      <c r="AE145" s="827"/>
    </row>
    <row r="146" spans="2:31" x14ac:dyDescent="0.3">
      <c r="B146" s="1724"/>
      <c r="C146" s="1727"/>
      <c r="D146" s="1721"/>
      <c r="E146" s="775" t="s">
        <v>4019</v>
      </c>
      <c r="F146" s="727">
        <f>SUMIFS('Schedule 4'!$F$89:$F$649,'Schedule 4'!$I$89:$I$649,'Well Cal.'!F$3,'Schedule 4'!$J$89:$J$649,'Well Cal.'!$E146)</f>
        <v>0</v>
      </c>
      <c r="G146" s="727">
        <f>SUMIFS('Schedule 4'!$F$89:$F$649,'Schedule 4'!$I$89:$I$649,'Well Cal.'!G$3,'Schedule 4'!$J$89:$J$649,'Well Cal.'!$E146)</f>
        <v>0</v>
      </c>
      <c r="H146" s="727">
        <f>SUMIFS('Schedule 4'!$F$89:$F$649,'Schedule 4'!$I$89:$I$649,'Well Cal.'!H$3,'Schedule 4'!$J$89:$J$649,'Well Cal.'!$E146)</f>
        <v>0</v>
      </c>
      <c r="I146" s="727">
        <f>SUMIFS('Schedule 4'!$F$89:$F$649,'Schedule 4'!$I$89:$I$649,'Well Cal.'!I$3,'Schedule 4'!$J$89:$J$649,'Well Cal.'!$E146)</f>
        <v>0</v>
      </c>
      <c r="J146" s="727">
        <f>SUMIFS('Schedule 4'!$F$89:$F$649,'Schedule 4'!$I$89:$I$649,'Well Cal.'!J$3,'Schedule 4'!$J$89:$J$649,'Well Cal.'!$E146)</f>
        <v>0</v>
      </c>
      <c r="K146" s="727">
        <f>SUMIFS('Schedule 4'!$F$89:$F$649,'Schedule 4'!$I$89:$I$649,'Well Cal.'!K$3,'Schedule 4'!$J$89:$J$649,'Well Cal.'!$E146)</f>
        <v>0</v>
      </c>
      <c r="L146" s="727">
        <f>SUMIFS('Schedule 4'!$F$89:$F$649,'Schedule 4'!$I$89:$I$649,'Well Cal.'!L$3,'Schedule 4'!$J$89:$J$649,'Well Cal.'!$E146)</f>
        <v>2.2000000000000002</v>
      </c>
      <c r="M146" s="727">
        <f>SUMIFS('Schedule 4'!$F$89:$F$649,'Schedule 4'!$I$89:$I$649,'Well Cal.'!M$3,'Schedule 4'!$J$89:$J$649,'Well Cal.'!$E146)</f>
        <v>0</v>
      </c>
      <c r="N146" s="727">
        <f>SUMIFS('Schedule 4'!$F$89:$F$649,'Schedule 4'!$I$89:$I$649,'Well Cal.'!N$3,'Schedule 4'!$J$89:$J$649,'Well Cal.'!$E146)</f>
        <v>0</v>
      </c>
      <c r="O146" s="727">
        <f>SUMIFS('Schedule 4'!$F$89:$F$649,'Schedule 4'!$I$89:$I$649,'Well Cal.'!O$3,'Schedule 4'!$J$89:$J$649,'Well Cal.'!$E146)</f>
        <v>0</v>
      </c>
      <c r="P146" s="727">
        <f>SUMIFS('Schedule 4'!$F$89:$F$649,'Schedule 4'!$I$89:$I$649,'Well Cal.'!P$3,'Schedule 4'!$J$89:$J$649,'Well Cal.'!$E146)</f>
        <v>0</v>
      </c>
      <c r="Q146" s="727">
        <f>SUMIFS('Schedule 4'!$F$89:$F$649,'Schedule 4'!$I$89:$I$649,'Well Cal.'!Q$3,'Schedule 4'!$J$89:$J$649,'Well Cal.'!$E146)</f>
        <v>0</v>
      </c>
      <c r="R146" s="727">
        <f>SUMIFS('Schedule 4'!$F$89:$F$649,'Schedule 4'!$I$89:$I$649,'Well Cal.'!R$3,'Schedule 4'!$J$89:$J$649,'Well Cal.'!$E146)</f>
        <v>0</v>
      </c>
      <c r="S146" s="727">
        <f>SUMIFS('Schedule 4'!$F$89:$F$649,'Schedule 4'!$I$89:$I$649,'Well Cal.'!S$3,'Schedule 4'!$J$89:$J$649,'Well Cal.'!$E146)</f>
        <v>0</v>
      </c>
      <c r="T146" s="727">
        <f>SUMIFS('Schedule 4'!$F$89:$F$649,'Schedule 4'!$I$89:$I$649,'Well Cal.'!T$3,'Schedule 4'!$J$89:$J$649,'Well Cal.'!$E146)</f>
        <v>0</v>
      </c>
      <c r="U146" s="727">
        <f>SUMIFS('Schedule 4'!$F$89:$F$649,'Schedule 4'!$I$89:$I$649,'Well Cal.'!U$3,'Schedule 4'!$J$89:$J$649,'Well Cal.'!$E146)</f>
        <v>0</v>
      </c>
      <c r="V146" s="727">
        <f>SUMIFS('Schedule 4'!$F$89:$F$649,'Schedule 4'!$I$89:$I$649,'Well Cal.'!V$3,'Schedule 4'!$J$89:$J$649,'Well Cal.'!$E146)</f>
        <v>0</v>
      </c>
      <c r="W146" s="727">
        <f>SUMIFS('Schedule 4'!$F$89:$F$649,'Schedule 4'!$I$89:$I$649,'Well Cal.'!W$3,'Schedule 4'!$J$89:$J$649,'Well Cal.'!$E146)</f>
        <v>0</v>
      </c>
      <c r="X146" s="727">
        <f>SUMIFS('Schedule 4'!$F$89:$F$649,'Schedule 4'!$I$89:$I$649,'Well Cal.'!X$3,'Schedule 4'!$J$89:$J$649,'Well Cal.'!$E146)</f>
        <v>0</v>
      </c>
      <c r="Y146" s="727">
        <f>SUMIFS('Schedule 4'!$F$89:$F$649,'Schedule 4'!$I$89:$I$649,'Well Cal.'!Y$3,'Schedule 4'!$J$89:$J$649,'Well Cal.'!$E146)</f>
        <v>0</v>
      </c>
      <c r="Z146" s="727">
        <f>SUMIFS('Schedule 4'!$F$89:$F$649,'Schedule 4'!$I$89:$I$649,'Well Cal.'!Z$3,'Schedule 4'!$J$89:$J$649,'Well Cal.'!$E146)</f>
        <v>0</v>
      </c>
      <c r="AA146" s="727"/>
      <c r="AB146" s="1721"/>
      <c r="AC146" s="1731"/>
    </row>
    <row r="147" spans="2:31" x14ac:dyDescent="0.3">
      <c r="B147" s="1724"/>
      <c r="C147" s="1727"/>
      <c r="D147" s="1721"/>
      <c r="E147" s="775" t="s">
        <v>4092</v>
      </c>
      <c r="F147" s="727">
        <f>SUMIFS('Schedule 4'!$F$89:$F$649,'Schedule 4'!$I$89:$I$649,'Well Cal.'!F$3,'Schedule 4'!$J$89:$J$649,'Well Cal.'!$E147)</f>
        <v>0</v>
      </c>
      <c r="G147" s="727">
        <f>SUMIFS('Schedule 4'!$F$89:$F$649,'Schedule 4'!$I$89:$I$649,'Well Cal.'!G$3,'Schedule 4'!$J$89:$J$649,'Well Cal.'!$E147)</f>
        <v>0</v>
      </c>
      <c r="H147" s="727">
        <f>SUMIFS('Schedule 4'!$F$89:$F$649,'Schedule 4'!$I$89:$I$649,'Well Cal.'!H$3,'Schedule 4'!$J$89:$J$649,'Well Cal.'!$E147)</f>
        <v>0</v>
      </c>
      <c r="I147" s="727">
        <f>SUMIFS('Schedule 4'!$F$89:$F$649,'Schedule 4'!$I$89:$I$649,'Well Cal.'!I$3,'Schedule 4'!$J$89:$J$649,'Well Cal.'!$E147)</f>
        <v>0</v>
      </c>
      <c r="J147" s="727">
        <f>SUMIFS('Schedule 4'!$F$89:$F$649,'Schedule 4'!$I$89:$I$649,'Well Cal.'!J$3,'Schedule 4'!$J$89:$J$649,'Well Cal.'!$E147)</f>
        <v>0</v>
      </c>
      <c r="K147" s="727">
        <f>SUMIFS('Schedule 4'!$F$89:$F$649,'Schedule 4'!$I$89:$I$649,'Well Cal.'!K$3,'Schedule 4'!$J$89:$J$649,'Well Cal.'!$E147)</f>
        <v>0</v>
      </c>
      <c r="L147" s="727">
        <f>SUMIFS('Schedule 4'!$F$89:$F$649,'Schedule 4'!$I$89:$I$649,'Well Cal.'!L$3,'Schedule 4'!$J$89:$J$649,'Well Cal.'!$E147)</f>
        <v>0</v>
      </c>
      <c r="M147" s="727">
        <f>SUMIFS('Schedule 4'!$F$89:$F$649,'Schedule 4'!$I$89:$I$649,'Well Cal.'!M$3,'Schedule 4'!$J$89:$J$649,'Well Cal.'!$E147)</f>
        <v>2.8</v>
      </c>
      <c r="N147" s="727">
        <f>SUMIFS('Schedule 4'!$F$89:$F$649,'Schedule 4'!$I$89:$I$649,'Well Cal.'!N$3,'Schedule 4'!$J$89:$J$649,'Well Cal.'!$E147)</f>
        <v>0</v>
      </c>
      <c r="O147" s="727">
        <f>SUMIFS('Schedule 4'!$F$89:$F$649,'Schedule 4'!$I$89:$I$649,'Well Cal.'!O$3,'Schedule 4'!$J$89:$J$649,'Well Cal.'!$E147)</f>
        <v>0</v>
      </c>
      <c r="P147" s="727">
        <f>SUMIFS('Schedule 4'!$F$89:$F$649,'Schedule 4'!$I$89:$I$649,'Well Cal.'!P$3,'Schedule 4'!$J$89:$J$649,'Well Cal.'!$E147)</f>
        <v>0</v>
      </c>
      <c r="Q147" s="727">
        <f>SUMIFS('Schedule 4'!$F$89:$F$649,'Schedule 4'!$I$89:$I$649,'Well Cal.'!Q$3,'Schedule 4'!$J$89:$J$649,'Well Cal.'!$E147)</f>
        <v>0</v>
      </c>
      <c r="R147" s="727">
        <f>SUMIFS('Schedule 4'!$F$89:$F$649,'Schedule 4'!$I$89:$I$649,'Well Cal.'!R$3,'Schedule 4'!$J$89:$J$649,'Well Cal.'!$E147)</f>
        <v>0</v>
      </c>
      <c r="S147" s="727">
        <f>SUMIFS('Schedule 4'!$F$89:$F$649,'Schedule 4'!$I$89:$I$649,'Well Cal.'!S$3,'Schedule 4'!$J$89:$J$649,'Well Cal.'!$E147)</f>
        <v>0</v>
      </c>
      <c r="T147" s="727">
        <f>SUMIFS('Schedule 4'!$F$89:$F$649,'Schedule 4'!$I$89:$I$649,'Well Cal.'!T$3,'Schedule 4'!$J$89:$J$649,'Well Cal.'!$E147)</f>
        <v>0</v>
      </c>
      <c r="U147" s="727">
        <f>SUMIFS('Schedule 4'!$F$89:$F$649,'Schedule 4'!$I$89:$I$649,'Well Cal.'!U$3,'Schedule 4'!$J$89:$J$649,'Well Cal.'!$E147)</f>
        <v>0</v>
      </c>
      <c r="V147" s="727">
        <f>SUMIFS('Schedule 4'!$F$89:$F$649,'Schedule 4'!$I$89:$I$649,'Well Cal.'!V$3,'Schedule 4'!$J$89:$J$649,'Well Cal.'!$E147)</f>
        <v>0</v>
      </c>
      <c r="W147" s="727">
        <f>SUMIFS('Schedule 4'!$F$89:$F$649,'Schedule 4'!$I$89:$I$649,'Well Cal.'!W$3,'Schedule 4'!$J$89:$J$649,'Well Cal.'!$E147)</f>
        <v>0</v>
      </c>
      <c r="X147" s="727">
        <f>SUMIFS('Schedule 4'!$F$89:$F$649,'Schedule 4'!$I$89:$I$649,'Well Cal.'!X$3,'Schedule 4'!$J$89:$J$649,'Well Cal.'!$E147)</f>
        <v>0</v>
      </c>
      <c r="Y147" s="727">
        <f>SUMIFS('Schedule 4'!$F$89:$F$649,'Schedule 4'!$I$89:$I$649,'Well Cal.'!Y$3,'Schedule 4'!$J$89:$J$649,'Well Cal.'!$E147)</f>
        <v>0</v>
      </c>
      <c r="Z147" s="727">
        <f>SUMIFS('Schedule 4'!$F$89:$F$649,'Schedule 4'!$I$89:$I$649,'Well Cal.'!Z$3,'Schedule 4'!$J$89:$J$649,'Well Cal.'!$E147)</f>
        <v>0</v>
      </c>
      <c r="AA147" s="727"/>
      <c r="AB147" s="1721"/>
      <c r="AC147" s="1731"/>
    </row>
    <row r="148" spans="2:31" x14ac:dyDescent="0.3">
      <c r="B148" s="1724"/>
      <c r="C148" s="1727"/>
      <c r="D148" s="1721"/>
      <c r="E148" s="775" t="s">
        <v>4166</v>
      </c>
      <c r="F148" s="727">
        <f>SUMIFS('Schedule 4'!$F$89:$F$649,'Schedule 4'!$I$89:$I$649,'Well Cal.'!F$3,'Schedule 4'!$J$89:$J$649,'Well Cal.'!$E148)</f>
        <v>0</v>
      </c>
      <c r="G148" s="727">
        <f>SUMIFS('Schedule 4'!$F$89:$F$649,'Schedule 4'!$I$89:$I$649,'Well Cal.'!G$3,'Schedule 4'!$J$89:$J$649,'Well Cal.'!$E148)</f>
        <v>0</v>
      </c>
      <c r="H148" s="727">
        <f>SUMIFS('Schedule 4'!$F$89:$F$649,'Schedule 4'!$I$89:$I$649,'Well Cal.'!H$3,'Schedule 4'!$J$89:$J$649,'Well Cal.'!$E148)</f>
        <v>0</v>
      </c>
      <c r="I148" s="727">
        <f>SUMIFS('Schedule 4'!$F$89:$F$649,'Schedule 4'!$I$89:$I$649,'Well Cal.'!I$3,'Schedule 4'!$J$89:$J$649,'Well Cal.'!$E148)</f>
        <v>0</v>
      </c>
      <c r="J148" s="727">
        <f>SUMIFS('Schedule 4'!$F$89:$F$649,'Schedule 4'!$I$89:$I$649,'Well Cal.'!J$3,'Schedule 4'!$J$89:$J$649,'Well Cal.'!$E148)</f>
        <v>0</v>
      </c>
      <c r="K148" s="727">
        <f>SUMIFS('Schedule 4'!$F$89:$F$649,'Schedule 4'!$I$89:$I$649,'Well Cal.'!K$3,'Schedule 4'!$J$89:$J$649,'Well Cal.'!$E148)</f>
        <v>0</v>
      </c>
      <c r="L148" s="727">
        <f>SUMIFS('Schedule 4'!$F$89:$F$649,'Schedule 4'!$I$89:$I$649,'Well Cal.'!L$3,'Schedule 4'!$J$89:$J$649,'Well Cal.'!$E148)</f>
        <v>0</v>
      </c>
      <c r="M148" s="727">
        <f>SUMIFS('Schedule 4'!$F$89:$F$649,'Schedule 4'!$I$89:$I$649,'Well Cal.'!M$3,'Schedule 4'!$J$89:$J$649,'Well Cal.'!$E148)</f>
        <v>2.7</v>
      </c>
      <c r="N148" s="727">
        <f>SUMIFS('Schedule 4'!$F$89:$F$649,'Schedule 4'!$I$89:$I$649,'Well Cal.'!N$3,'Schedule 4'!$J$89:$J$649,'Well Cal.'!$E148)</f>
        <v>0</v>
      </c>
      <c r="O148" s="727">
        <f>SUMIFS('Schedule 4'!$F$89:$F$649,'Schedule 4'!$I$89:$I$649,'Well Cal.'!O$3,'Schedule 4'!$J$89:$J$649,'Well Cal.'!$E148)</f>
        <v>0</v>
      </c>
      <c r="P148" s="727">
        <f>SUMIFS('Schedule 4'!$F$89:$F$649,'Schedule 4'!$I$89:$I$649,'Well Cal.'!P$3,'Schedule 4'!$J$89:$J$649,'Well Cal.'!$E148)</f>
        <v>0</v>
      </c>
      <c r="Q148" s="727">
        <f>SUMIFS('Schedule 4'!$F$89:$F$649,'Schedule 4'!$I$89:$I$649,'Well Cal.'!Q$3,'Schedule 4'!$J$89:$J$649,'Well Cal.'!$E148)</f>
        <v>0</v>
      </c>
      <c r="R148" s="727">
        <f>SUMIFS('Schedule 4'!$F$89:$F$649,'Schedule 4'!$I$89:$I$649,'Well Cal.'!R$3,'Schedule 4'!$J$89:$J$649,'Well Cal.'!$E148)</f>
        <v>0</v>
      </c>
      <c r="S148" s="727">
        <f>SUMIFS('Schedule 4'!$F$89:$F$649,'Schedule 4'!$I$89:$I$649,'Well Cal.'!S$3,'Schedule 4'!$J$89:$J$649,'Well Cal.'!$E148)</f>
        <v>0</v>
      </c>
      <c r="T148" s="727">
        <f>SUMIFS('Schedule 4'!$F$89:$F$649,'Schedule 4'!$I$89:$I$649,'Well Cal.'!T$3,'Schedule 4'!$J$89:$J$649,'Well Cal.'!$E148)</f>
        <v>0</v>
      </c>
      <c r="U148" s="727">
        <f>SUMIFS('Schedule 4'!$F$89:$F$649,'Schedule 4'!$I$89:$I$649,'Well Cal.'!U$3,'Schedule 4'!$J$89:$J$649,'Well Cal.'!$E148)</f>
        <v>0</v>
      </c>
      <c r="V148" s="727">
        <f>SUMIFS('Schedule 4'!$F$89:$F$649,'Schedule 4'!$I$89:$I$649,'Well Cal.'!V$3,'Schedule 4'!$J$89:$J$649,'Well Cal.'!$E148)</f>
        <v>0</v>
      </c>
      <c r="W148" s="727">
        <f>SUMIFS('Schedule 4'!$F$89:$F$649,'Schedule 4'!$I$89:$I$649,'Well Cal.'!W$3,'Schedule 4'!$J$89:$J$649,'Well Cal.'!$E148)</f>
        <v>0</v>
      </c>
      <c r="X148" s="727">
        <f>SUMIFS('Schedule 4'!$F$89:$F$649,'Schedule 4'!$I$89:$I$649,'Well Cal.'!X$3,'Schedule 4'!$J$89:$J$649,'Well Cal.'!$E148)</f>
        <v>0</v>
      </c>
      <c r="Y148" s="727">
        <f>SUMIFS('Schedule 4'!$F$89:$F$649,'Schedule 4'!$I$89:$I$649,'Well Cal.'!Y$3,'Schedule 4'!$J$89:$J$649,'Well Cal.'!$E148)</f>
        <v>0</v>
      </c>
      <c r="Z148" s="727">
        <f>SUMIFS('Schedule 4'!$F$89:$F$649,'Schedule 4'!$I$89:$I$649,'Well Cal.'!Z$3,'Schedule 4'!$J$89:$J$649,'Well Cal.'!$E148)</f>
        <v>0</v>
      </c>
      <c r="AA148" s="727"/>
      <c r="AB148" s="1721"/>
      <c r="AC148" s="1731"/>
    </row>
    <row r="149" spans="2:31" x14ac:dyDescent="0.3">
      <c r="B149" s="1724"/>
      <c r="C149" s="1727"/>
      <c r="D149" s="1721"/>
      <c r="E149" s="775" t="s">
        <v>4237</v>
      </c>
      <c r="F149" s="727">
        <f>SUMIFS('Schedule 4'!$F$89:$F$649,'Schedule 4'!$I$89:$I$649,'Well Cal.'!F$3,'Schedule 4'!$J$89:$J$649,'Well Cal.'!$E149)</f>
        <v>0</v>
      </c>
      <c r="G149" s="727">
        <f>SUMIFS('Schedule 4'!$F$89:$F$649,'Schedule 4'!$I$89:$I$649,'Well Cal.'!G$3,'Schedule 4'!$J$89:$J$649,'Well Cal.'!$E149)</f>
        <v>0</v>
      </c>
      <c r="H149" s="727">
        <f>SUMIFS('Schedule 4'!$F$89:$F$649,'Schedule 4'!$I$89:$I$649,'Well Cal.'!H$3,'Schedule 4'!$J$89:$J$649,'Well Cal.'!$E149)</f>
        <v>0</v>
      </c>
      <c r="I149" s="727">
        <f>SUMIFS('Schedule 4'!$F$89:$F$649,'Schedule 4'!$I$89:$I$649,'Well Cal.'!I$3,'Schedule 4'!$J$89:$J$649,'Well Cal.'!$E149)</f>
        <v>0</v>
      </c>
      <c r="J149" s="727">
        <f>SUMIFS('Schedule 4'!$F$89:$F$649,'Schedule 4'!$I$89:$I$649,'Well Cal.'!J$3,'Schedule 4'!$J$89:$J$649,'Well Cal.'!$E149)</f>
        <v>0</v>
      </c>
      <c r="K149" s="727">
        <f>SUMIFS('Schedule 4'!$F$89:$F$649,'Schedule 4'!$I$89:$I$649,'Well Cal.'!K$3,'Schedule 4'!$J$89:$J$649,'Well Cal.'!$E149)</f>
        <v>0</v>
      </c>
      <c r="L149" s="727">
        <f>SUMIFS('Schedule 4'!$F$89:$F$649,'Schedule 4'!$I$89:$I$649,'Well Cal.'!L$3,'Schedule 4'!$J$89:$J$649,'Well Cal.'!$E149)</f>
        <v>0</v>
      </c>
      <c r="M149" s="727">
        <f>SUMIFS('Schedule 4'!$F$89:$F$649,'Schedule 4'!$I$89:$I$649,'Well Cal.'!M$3,'Schedule 4'!$J$89:$J$649,'Well Cal.'!$E149)</f>
        <v>2.5</v>
      </c>
      <c r="N149" s="727">
        <f>SUMIFS('Schedule 4'!$F$89:$F$649,'Schedule 4'!$I$89:$I$649,'Well Cal.'!N$3,'Schedule 4'!$J$89:$J$649,'Well Cal.'!$E149)</f>
        <v>0</v>
      </c>
      <c r="O149" s="727">
        <f>SUMIFS('Schedule 4'!$F$89:$F$649,'Schedule 4'!$I$89:$I$649,'Well Cal.'!O$3,'Schedule 4'!$J$89:$J$649,'Well Cal.'!$E149)</f>
        <v>0</v>
      </c>
      <c r="P149" s="727">
        <f>SUMIFS('Schedule 4'!$F$89:$F$649,'Schedule 4'!$I$89:$I$649,'Well Cal.'!P$3,'Schedule 4'!$J$89:$J$649,'Well Cal.'!$E149)</f>
        <v>0</v>
      </c>
      <c r="Q149" s="727">
        <f>SUMIFS('Schedule 4'!$F$89:$F$649,'Schedule 4'!$I$89:$I$649,'Well Cal.'!Q$3,'Schedule 4'!$J$89:$J$649,'Well Cal.'!$E149)</f>
        <v>0</v>
      </c>
      <c r="R149" s="727">
        <f>SUMIFS('Schedule 4'!$F$89:$F$649,'Schedule 4'!$I$89:$I$649,'Well Cal.'!R$3,'Schedule 4'!$J$89:$J$649,'Well Cal.'!$E149)</f>
        <v>0</v>
      </c>
      <c r="S149" s="727">
        <f>SUMIFS('Schedule 4'!$F$89:$F$649,'Schedule 4'!$I$89:$I$649,'Well Cal.'!S$3,'Schedule 4'!$J$89:$J$649,'Well Cal.'!$E149)</f>
        <v>0</v>
      </c>
      <c r="T149" s="727">
        <f>SUMIFS('Schedule 4'!$F$89:$F$649,'Schedule 4'!$I$89:$I$649,'Well Cal.'!T$3,'Schedule 4'!$J$89:$J$649,'Well Cal.'!$E149)</f>
        <v>0</v>
      </c>
      <c r="U149" s="727">
        <f>SUMIFS('Schedule 4'!$F$89:$F$649,'Schedule 4'!$I$89:$I$649,'Well Cal.'!U$3,'Schedule 4'!$J$89:$J$649,'Well Cal.'!$E149)</f>
        <v>0</v>
      </c>
      <c r="V149" s="727">
        <f>SUMIFS('Schedule 4'!$F$89:$F$649,'Schedule 4'!$I$89:$I$649,'Well Cal.'!V$3,'Schedule 4'!$J$89:$J$649,'Well Cal.'!$E149)</f>
        <v>0</v>
      </c>
      <c r="W149" s="727">
        <f>SUMIFS('Schedule 4'!$F$89:$F$649,'Schedule 4'!$I$89:$I$649,'Well Cal.'!W$3,'Schedule 4'!$J$89:$J$649,'Well Cal.'!$E149)</f>
        <v>0</v>
      </c>
      <c r="X149" s="727">
        <f>SUMIFS('Schedule 4'!$F$89:$F$649,'Schedule 4'!$I$89:$I$649,'Well Cal.'!X$3,'Schedule 4'!$J$89:$J$649,'Well Cal.'!$E149)</f>
        <v>0</v>
      </c>
      <c r="Y149" s="727">
        <f>SUMIFS('Schedule 4'!$F$89:$F$649,'Schedule 4'!$I$89:$I$649,'Well Cal.'!Y$3,'Schedule 4'!$J$89:$J$649,'Well Cal.'!$E149)</f>
        <v>0</v>
      </c>
      <c r="Z149" s="727">
        <f>SUMIFS('Schedule 4'!$F$89:$F$649,'Schedule 4'!$I$89:$I$649,'Well Cal.'!Z$3,'Schedule 4'!$J$89:$J$649,'Well Cal.'!$E149)</f>
        <v>0</v>
      </c>
      <c r="AA149" s="727"/>
      <c r="AB149" s="1721"/>
      <c r="AC149" s="1731"/>
    </row>
    <row r="150" spans="2:31" x14ac:dyDescent="0.3">
      <c r="B150" s="1724"/>
      <c r="C150" s="1727"/>
      <c r="D150" s="1721"/>
      <c r="E150" s="775" t="s">
        <v>4304</v>
      </c>
      <c r="F150" s="727">
        <f>SUMIFS('Schedule 4'!$F$89:$F$649,'Schedule 4'!$I$89:$I$649,'Well Cal.'!F$3,'Schedule 4'!$J$89:$J$649,'Well Cal.'!$E150)</f>
        <v>0</v>
      </c>
      <c r="G150" s="727">
        <f>SUMIFS('Schedule 4'!$F$89:$F$649,'Schedule 4'!$I$89:$I$649,'Well Cal.'!G$3,'Schedule 4'!$J$89:$J$649,'Well Cal.'!$E150)</f>
        <v>0</v>
      </c>
      <c r="H150" s="727">
        <f>SUMIFS('Schedule 4'!$F$89:$F$649,'Schedule 4'!$I$89:$I$649,'Well Cal.'!H$3,'Schedule 4'!$J$89:$J$649,'Well Cal.'!$E150)</f>
        <v>0</v>
      </c>
      <c r="I150" s="727">
        <f>SUMIFS('Schedule 4'!$F$89:$F$649,'Schedule 4'!$I$89:$I$649,'Well Cal.'!I$3,'Schedule 4'!$J$89:$J$649,'Well Cal.'!$E150)</f>
        <v>0</v>
      </c>
      <c r="J150" s="727">
        <f>SUMIFS('Schedule 4'!$F$89:$F$649,'Schedule 4'!$I$89:$I$649,'Well Cal.'!J$3,'Schedule 4'!$J$89:$J$649,'Well Cal.'!$E150)</f>
        <v>0</v>
      </c>
      <c r="K150" s="727">
        <f>SUMIFS('Schedule 4'!$F$89:$F$649,'Schedule 4'!$I$89:$I$649,'Well Cal.'!K$3,'Schedule 4'!$J$89:$J$649,'Well Cal.'!$E150)</f>
        <v>0</v>
      </c>
      <c r="L150" s="727">
        <f>SUMIFS('Schedule 4'!$F$89:$F$649,'Schedule 4'!$I$89:$I$649,'Well Cal.'!L$3,'Schedule 4'!$J$89:$J$649,'Well Cal.'!$E150)</f>
        <v>0</v>
      </c>
      <c r="M150" s="727">
        <f>SUMIFS('Schedule 4'!$F$89:$F$649,'Schedule 4'!$I$89:$I$649,'Well Cal.'!M$3,'Schedule 4'!$J$89:$J$649,'Well Cal.'!$E150)</f>
        <v>0</v>
      </c>
      <c r="N150" s="727">
        <f>SUMIFS('Schedule 4'!$F$89:$F$649,'Schedule 4'!$I$89:$I$649,'Well Cal.'!N$3,'Schedule 4'!$J$89:$J$649,'Well Cal.'!$E150)</f>
        <v>2.5</v>
      </c>
      <c r="O150" s="727">
        <f>SUMIFS('Schedule 4'!$F$89:$F$649,'Schedule 4'!$I$89:$I$649,'Well Cal.'!O$3,'Schedule 4'!$J$89:$J$649,'Well Cal.'!$E150)</f>
        <v>0</v>
      </c>
      <c r="P150" s="727">
        <f>SUMIFS('Schedule 4'!$F$89:$F$649,'Schedule 4'!$I$89:$I$649,'Well Cal.'!P$3,'Schedule 4'!$J$89:$J$649,'Well Cal.'!$E150)</f>
        <v>0</v>
      </c>
      <c r="Q150" s="727">
        <f>SUMIFS('Schedule 4'!$F$89:$F$649,'Schedule 4'!$I$89:$I$649,'Well Cal.'!Q$3,'Schedule 4'!$J$89:$J$649,'Well Cal.'!$E150)</f>
        <v>0</v>
      </c>
      <c r="R150" s="727">
        <f>SUMIFS('Schedule 4'!$F$89:$F$649,'Schedule 4'!$I$89:$I$649,'Well Cal.'!R$3,'Schedule 4'!$J$89:$J$649,'Well Cal.'!$E150)</f>
        <v>0</v>
      </c>
      <c r="S150" s="727">
        <f>SUMIFS('Schedule 4'!$F$89:$F$649,'Schedule 4'!$I$89:$I$649,'Well Cal.'!S$3,'Schedule 4'!$J$89:$J$649,'Well Cal.'!$E150)</f>
        <v>0</v>
      </c>
      <c r="T150" s="727">
        <f>SUMIFS('Schedule 4'!$F$89:$F$649,'Schedule 4'!$I$89:$I$649,'Well Cal.'!T$3,'Schedule 4'!$J$89:$J$649,'Well Cal.'!$E150)</f>
        <v>0</v>
      </c>
      <c r="U150" s="727">
        <f>SUMIFS('Schedule 4'!$F$89:$F$649,'Schedule 4'!$I$89:$I$649,'Well Cal.'!U$3,'Schedule 4'!$J$89:$J$649,'Well Cal.'!$E150)</f>
        <v>0</v>
      </c>
      <c r="V150" s="727">
        <f>SUMIFS('Schedule 4'!$F$89:$F$649,'Schedule 4'!$I$89:$I$649,'Well Cal.'!V$3,'Schedule 4'!$J$89:$J$649,'Well Cal.'!$E150)</f>
        <v>0</v>
      </c>
      <c r="W150" s="727">
        <f>SUMIFS('Schedule 4'!$F$89:$F$649,'Schedule 4'!$I$89:$I$649,'Well Cal.'!W$3,'Schedule 4'!$J$89:$J$649,'Well Cal.'!$E150)</f>
        <v>0</v>
      </c>
      <c r="X150" s="727">
        <f>SUMIFS('Schedule 4'!$F$89:$F$649,'Schedule 4'!$I$89:$I$649,'Well Cal.'!X$3,'Schedule 4'!$J$89:$J$649,'Well Cal.'!$E150)</f>
        <v>0</v>
      </c>
      <c r="Y150" s="727">
        <f>SUMIFS('Schedule 4'!$F$89:$F$649,'Schedule 4'!$I$89:$I$649,'Well Cal.'!Y$3,'Schedule 4'!$J$89:$J$649,'Well Cal.'!$E150)</f>
        <v>0</v>
      </c>
      <c r="Z150" s="727">
        <f>SUMIFS('Schedule 4'!$F$89:$F$649,'Schedule 4'!$I$89:$I$649,'Well Cal.'!Z$3,'Schedule 4'!$J$89:$J$649,'Well Cal.'!$E150)</f>
        <v>0</v>
      </c>
      <c r="AA150" s="727"/>
      <c r="AB150" s="1721"/>
      <c r="AC150" s="1731"/>
    </row>
    <row r="151" spans="2:31" x14ac:dyDescent="0.3">
      <c r="B151" s="1724"/>
      <c r="C151" s="1727"/>
      <c r="D151" s="1721"/>
      <c r="E151" s="775" t="s">
        <v>4367</v>
      </c>
      <c r="F151" s="727">
        <f>SUMIFS('Schedule 4'!$F$89:$F$649,'Schedule 4'!$I$89:$I$649,'Well Cal.'!F$3,'Schedule 4'!$J$89:$J$649,'Well Cal.'!$E151)</f>
        <v>0</v>
      </c>
      <c r="G151" s="727">
        <f>SUMIFS('Schedule 4'!$F$89:$F$649,'Schedule 4'!$I$89:$I$649,'Well Cal.'!G$3,'Schedule 4'!$J$89:$J$649,'Well Cal.'!$E151)</f>
        <v>0</v>
      </c>
      <c r="H151" s="727">
        <f>SUMIFS('Schedule 4'!$F$89:$F$649,'Schedule 4'!$I$89:$I$649,'Well Cal.'!H$3,'Schedule 4'!$J$89:$J$649,'Well Cal.'!$E151)</f>
        <v>0</v>
      </c>
      <c r="I151" s="727">
        <f>SUMIFS('Schedule 4'!$F$89:$F$649,'Schedule 4'!$I$89:$I$649,'Well Cal.'!I$3,'Schedule 4'!$J$89:$J$649,'Well Cal.'!$E151)</f>
        <v>0</v>
      </c>
      <c r="J151" s="727">
        <f>SUMIFS('Schedule 4'!$F$89:$F$649,'Schedule 4'!$I$89:$I$649,'Well Cal.'!J$3,'Schedule 4'!$J$89:$J$649,'Well Cal.'!$E151)</f>
        <v>0</v>
      </c>
      <c r="K151" s="727">
        <f>SUMIFS('Schedule 4'!$F$89:$F$649,'Schedule 4'!$I$89:$I$649,'Well Cal.'!K$3,'Schedule 4'!$J$89:$J$649,'Well Cal.'!$E151)</f>
        <v>0</v>
      </c>
      <c r="L151" s="727">
        <f>SUMIFS('Schedule 4'!$F$89:$F$649,'Schedule 4'!$I$89:$I$649,'Well Cal.'!L$3,'Schedule 4'!$J$89:$J$649,'Well Cal.'!$E151)</f>
        <v>0</v>
      </c>
      <c r="M151" s="727">
        <f>SUMIFS('Schedule 4'!$F$89:$F$649,'Schedule 4'!$I$89:$I$649,'Well Cal.'!M$3,'Schedule 4'!$J$89:$J$649,'Well Cal.'!$E151)</f>
        <v>0</v>
      </c>
      <c r="N151" s="727">
        <f>SUMIFS('Schedule 4'!$F$89:$F$649,'Schedule 4'!$I$89:$I$649,'Well Cal.'!N$3,'Schedule 4'!$J$89:$J$649,'Well Cal.'!$E151)</f>
        <v>2.5</v>
      </c>
      <c r="O151" s="727">
        <f>SUMIFS('Schedule 4'!$F$89:$F$649,'Schedule 4'!$I$89:$I$649,'Well Cal.'!O$3,'Schedule 4'!$J$89:$J$649,'Well Cal.'!$E151)</f>
        <v>0</v>
      </c>
      <c r="P151" s="727">
        <f>SUMIFS('Schedule 4'!$F$89:$F$649,'Schedule 4'!$I$89:$I$649,'Well Cal.'!P$3,'Schedule 4'!$J$89:$J$649,'Well Cal.'!$E151)</f>
        <v>0</v>
      </c>
      <c r="Q151" s="727">
        <f>SUMIFS('Schedule 4'!$F$89:$F$649,'Schedule 4'!$I$89:$I$649,'Well Cal.'!Q$3,'Schedule 4'!$J$89:$J$649,'Well Cal.'!$E151)</f>
        <v>0</v>
      </c>
      <c r="R151" s="727">
        <f>SUMIFS('Schedule 4'!$F$89:$F$649,'Schedule 4'!$I$89:$I$649,'Well Cal.'!R$3,'Schedule 4'!$J$89:$J$649,'Well Cal.'!$E151)</f>
        <v>0</v>
      </c>
      <c r="S151" s="727">
        <f>SUMIFS('Schedule 4'!$F$89:$F$649,'Schedule 4'!$I$89:$I$649,'Well Cal.'!S$3,'Schedule 4'!$J$89:$J$649,'Well Cal.'!$E151)</f>
        <v>0</v>
      </c>
      <c r="T151" s="727">
        <f>SUMIFS('Schedule 4'!$F$89:$F$649,'Schedule 4'!$I$89:$I$649,'Well Cal.'!T$3,'Schedule 4'!$J$89:$J$649,'Well Cal.'!$E151)</f>
        <v>0</v>
      </c>
      <c r="U151" s="727">
        <f>SUMIFS('Schedule 4'!$F$89:$F$649,'Schedule 4'!$I$89:$I$649,'Well Cal.'!U$3,'Schedule 4'!$J$89:$J$649,'Well Cal.'!$E151)</f>
        <v>0</v>
      </c>
      <c r="V151" s="727">
        <f>SUMIFS('Schedule 4'!$F$89:$F$649,'Schedule 4'!$I$89:$I$649,'Well Cal.'!V$3,'Schedule 4'!$J$89:$J$649,'Well Cal.'!$E151)</f>
        <v>0</v>
      </c>
      <c r="W151" s="727">
        <f>SUMIFS('Schedule 4'!$F$89:$F$649,'Schedule 4'!$I$89:$I$649,'Well Cal.'!W$3,'Schedule 4'!$J$89:$J$649,'Well Cal.'!$E151)</f>
        <v>0</v>
      </c>
      <c r="X151" s="727">
        <f>SUMIFS('Schedule 4'!$F$89:$F$649,'Schedule 4'!$I$89:$I$649,'Well Cal.'!X$3,'Schedule 4'!$J$89:$J$649,'Well Cal.'!$E151)</f>
        <v>0</v>
      </c>
      <c r="Y151" s="727">
        <f>SUMIFS('Schedule 4'!$F$89:$F$649,'Schedule 4'!$I$89:$I$649,'Well Cal.'!Y$3,'Schedule 4'!$J$89:$J$649,'Well Cal.'!$E151)</f>
        <v>0</v>
      </c>
      <c r="Z151" s="727">
        <f>SUMIFS('Schedule 4'!$F$89:$F$649,'Schedule 4'!$I$89:$I$649,'Well Cal.'!Z$3,'Schedule 4'!$J$89:$J$649,'Well Cal.'!$E151)</f>
        <v>0</v>
      </c>
      <c r="AA151" s="727"/>
      <c r="AB151" s="1721"/>
      <c r="AC151" s="1731"/>
    </row>
    <row r="152" spans="2:31" x14ac:dyDescent="0.3">
      <c r="B152" s="1724"/>
      <c r="C152" s="1727"/>
      <c r="D152" s="1721"/>
      <c r="E152" s="775" t="s">
        <v>4438</v>
      </c>
      <c r="F152" s="727">
        <f>SUMIFS('Schedule 4'!$F$89:$F$649,'Schedule 4'!$I$89:$I$649,'Well Cal.'!F$3,'Schedule 4'!$J$89:$J$649,'Well Cal.'!$E152)</f>
        <v>0</v>
      </c>
      <c r="G152" s="727">
        <f>SUMIFS('Schedule 4'!$F$89:$F$649,'Schedule 4'!$I$89:$I$649,'Well Cal.'!G$3,'Schedule 4'!$J$89:$J$649,'Well Cal.'!$E152)</f>
        <v>0</v>
      </c>
      <c r="H152" s="727">
        <f>SUMIFS('Schedule 4'!$F$89:$F$649,'Schedule 4'!$I$89:$I$649,'Well Cal.'!H$3,'Schedule 4'!$J$89:$J$649,'Well Cal.'!$E152)</f>
        <v>0</v>
      </c>
      <c r="I152" s="727">
        <f>SUMIFS('Schedule 4'!$F$89:$F$649,'Schedule 4'!$I$89:$I$649,'Well Cal.'!I$3,'Schedule 4'!$J$89:$J$649,'Well Cal.'!$E152)</f>
        <v>0</v>
      </c>
      <c r="J152" s="727">
        <f>SUMIFS('Schedule 4'!$F$89:$F$649,'Schedule 4'!$I$89:$I$649,'Well Cal.'!J$3,'Schedule 4'!$J$89:$J$649,'Well Cal.'!$E152)</f>
        <v>0</v>
      </c>
      <c r="K152" s="727">
        <f>SUMIFS('Schedule 4'!$F$89:$F$649,'Schedule 4'!$I$89:$I$649,'Well Cal.'!K$3,'Schedule 4'!$J$89:$J$649,'Well Cal.'!$E152)</f>
        <v>0</v>
      </c>
      <c r="L152" s="727">
        <f>SUMIFS('Schedule 4'!$F$89:$F$649,'Schedule 4'!$I$89:$I$649,'Well Cal.'!L$3,'Schedule 4'!$J$89:$J$649,'Well Cal.'!$E152)</f>
        <v>0</v>
      </c>
      <c r="M152" s="727">
        <f>SUMIFS('Schedule 4'!$F$89:$F$649,'Schedule 4'!$I$89:$I$649,'Well Cal.'!M$3,'Schedule 4'!$J$89:$J$649,'Well Cal.'!$E152)</f>
        <v>0</v>
      </c>
      <c r="N152" s="727">
        <f>SUMIFS('Schedule 4'!$F$89:$F$649,'Schedule 4'!$I$89:$I$649,'Well Cal.'!N$3,'Schedule 4'!$J$89:$J$649,'Well Cal.'!$E152)</f>
        <v>0</v>
      </c>
      <c r="O152" s="727">
        <f>SUMIFS('Schedule 4'!$F$89:$F$649,'Schedule 4'!$I$89:$I$649,'Well Cal.'!O$3,'Schedule 4'!$J$89:$J$649,'Well Cal.'!$E152)</f>
        <v>0</v>
      </c>
      <c r="P152" s="727">
        <f>SUMIFS('Schedule 4'!$F$89:$F$649,'Schedule 4'!$I$89:$I$649,'Well Cal.'!P$3,'Schedule 4'!$J$89:$J$649,'Well Cal.'!$E152)</f>
        <v>0</v>
      </c>
      <c r="Q152" s="727">
        <f>SUMIFS('Schedule 4'!$F$89:$F$649,'Schedule 4'!$I$89:$I$649,'Well Cal.'!Q$3,'Schedule 4'!$J$89:$J$649,'Well Cal.'!$E152)</f>
        <v>0</v>
      </c>
      <c r="R152" s="727">
        <f>SUMIFS('Schedule 4'!$F$89:$F$649,'Schedule 4'!$I$89:$I$649,'Well Cal.'!R$3,'Schedule 4'!$J$89:$J$649,'Well Cal.'!$E152)</f>
        <v>2.66</v>
      </c>
      <c r="S152" s="727">
        <f>SUMIFS('Schedule 4'!$F$89:$F$649,'Schedule 4'!$I$89:$I$649,'Well Cal.'!S$3,'Schedule 4'!$J$89:$J$649,'Well Cal.'!$E152)</f>
        <v>0</v>
      </c>
      <c r="T152" s="727">
        <f>SUMIFS('Schedule 4'!$F$89:$F$649,'Schedule 4'!$I$89:$I$649,'Well Cal.'!T$3,'Schedule 4'!$J$89:$J$649,'Well Cal.'!$E152)</f>
        <v>0</v>
      </c>
      <c r="U152" s="727">
        <f>SUMIFS('Schedule 4'!$F$89:$F$649,'Schedule 4'!$I$89:$I$649,'Well Cal.'!U$3,'Schedule 4'!$J$89:$J$649,'Well Cal.'!$E152)</f>
        <v>0</v>
      </c>
      <c r="V152" s="727">
        <f>SUMIFS('Schedule 4'!$F$89:$F$649,'Schedule 4'!$I$89:$I$649,'Well Cal.'!V$3,'Schedule 4'!$J$89:$J$649,'Well Cal.'!$E152)</f>
        <v>0</v>
      </c>
      <c r="W152" s="727">
        <f>SUMIFS('Schedule 4'!$F$89:$F$649,'Schedule 4'!$I$89:$I$649,'Well Cal.'!W$3,'Schedule 4'!$J$89:$J$649,'Well Cal.'!$E152)</f>
        <v>0</v>
      </c>
      <c r="X152" s="727">
        <f>SUMIFS('Schedule 4'!$F$89:$F$649,'Schedule 4'!$I$89:$I$649,'Well Cal.'!X$3,'Schedule 4'!$J$89:$J$649,'Well Cal.'!$E152)</f>
        <v>0</v>
      </c>
      <c r="Y152" s="727">
        <f>SUMIFS('Schedule 4'!$F$89:$F$649,'Schedule 4'!$I$89:$I$649,'Well Cal.'!Y$3,'Schedule 4'!$J$89:$J$649,'Well Cal.'!$E152)</f>
        <v>0</v>
      </c>
      <c r="Z152" s="727">
        <f>SUMIFS('Schedule 4'!$F$89:$F$649,'Schedule 4'!$I$89:$I$649,'Well Cal.'!Z$3,'Schedule 4'!$J$89:$J$649,'Well Cal.'!$E152)</f>
        <v>0</v>
      </c>
      <c r="AA152" s="727"/>
      <c r="AB152" s="1721"/>
      <c r="AC152" s="1731"/>
    </row>
    <row r="153" spans="2:31" x14ac:dyDescent="0.3">
      <c r="B153" s="1724"/>
      <c r="C153" s="1727"/>
      <c r="D153" s="1721"/>
      <c r="E153" s="775" t="s">
        <v>4486</v>
      </c>
      <c r="F153" s="727">
        <f>SUMIFS('Schedule 4'!$F$89:$F$649,'Schedule 4'!$I$89:$I$649,'Well Cal.'!F$3,'Schedule 4'!$J$89:$J$649,'Well Cal.'!$E153)</f>
        <v>0</v>
      </c>
      <c r="G153" s="727">
        <f>SUMIFS('Schedule 4'!$F$89:$F$649,'Schedule 4'!$I$89:$I$649,'Well Cal.'!G$3,'Schedule 4'!$J$89:$J$649,'Well Cal.'!$E153)</f>
        <v>0</v>
      </c>
      <c r="H153" s="727">
        <f>SUMIFS('Schedule 4'!$F$89:$F$649,'Schedule 4'!$I$89:$I$649,'Well Cal.'!H$3,'Schedule 4'!$J$89:$J$649,'Well Cal.'!$E153)</f>
        <v>0</v>
      </c>
      <c r="I153" s="727">
        <f>SUMIFS('Schedule 4'!$F$89:$F$649,'Schedule 4'!$I$89:$I$649,'Well Cal.'!I$3,'Schedule 4'!$J$89:$J$649,'Well Cal.'!$E153)</f>
        <v>0</v>
      </c>
      <c r="J153" s="727">
        <f>SUMIFS('Schedule 4'!$F$89:$F$649,'Schedule 4'!$I$89:$I$649,'Well Cal.'!J$3,'Schedule 4'!$J$89:$J$649,'Well Cal.'!$E153)</f>
        <v>0</v>
      </c>
      <c r="K153" s="727">
        <f>SUMIFS('Schedule 4'!$F$89:$F$649,'Schedule 4'!$I$89:$I$649,'Well Cal.'!K$3,'Schedule 4'!$J$89:$J$649,'Well Cal.'!$E153)</f>
        <v>0</v>
      </c>
      <c r="L153" s="727">
        <f>SUMIFS('Schedule 4'!$F$89:$F$649,'Schedule 4'!$I$89:$I$649,'Well Cal.'!L$3,'Schedule 4'!$J$89:$J$649,'Well Cal.'!$E153)</f>
        <v>0</v>
      </c>
      <c r="M153" s="727">
        <f>SUMIFS('Schedule 4'!$F$89:$F$649,'Schedule 4'!$I$89:$I$649,'Well Cal.'!M$3,'Schedule 4'!$J$89:$J$649,'Well Cal.'!$E153)</f>
        <v>0</v>
      </c>
      <c r="N153" s="727">
        <f>SUMIFS('Schedule 4'!$F$89:$F$649,'Schedule 4'!$I$89:$I$649,'Well Cal.'!N$3,'Schedule 4'!$J$89:$J$649,'Well Cal.'!$E153)</f>
        <v>0</v>
      </c>
      <c r="O153" s="727">
        <f>SUMIFS('Schedule 4'!$F$89:$F$649,'Schedule 4'!$I$89:$I$649,'Well Cal.'!O$3,'Schedule 4'!$J$89:$J$649,'Well Cal.'!$E153)</f>
        <v>0</v>
      </c>
      <c r="P153" s="727">
        <f>SUMIFS('Schedule 4'!$F$89:$F$649,'Schedule 4'!$I$89:$I$649,'Well Cal.'!P$3,'Schedule 4'!$J$89:$J$649,'Well Cal.'!$E153)</f>
        <v>0</v>
      </c>
      <c r="Q153" s="727">
        <f>SUMIFS('Schedule 4'!$F$89:$F$649,'Schedule 4'!$I$89:$I$649,'Well Cal.'!Q$3,'Schedule 4'!$J$89:$J$649,'Well Cal.'!$E153)</f>
        <v>0</v>
      </c>
      <c r="R153" s="727">
        <f>SUMIFS('Schedule 4'!$F$89:$F$649,'Schedule 4'!$I$89:$I$649,'Well Cal.'!R$3,'Schedule 4'!$J$89:$J$649,'Well Cal.'!$E153)</f>
        <v>2.58</v>
      </c>
      <c r="S153" s="727">
        <f>SUMIFS('Schedule 4'!$F$89:$F$649,'Schedule 4'!$I$89:$I$649,'Well Cal.'!S$3,'Schedule 4'!$J$89:$J$649,'Well Cal.'!$E153)</f>
        <v>0</v>
      </c>
      <c r="T153" s="727">
        <f>SUMIFS('Schedule 4'!$F$89:$F$649,'Schedule 4'!$I$89:$I$649,'Well Cal.'!T$3,'Schedule 4'!$J$89:$J$649,'Well Cal.'!$E153)</f>
        <v>0</v>
      </c>
      <c r="U153" s="727">
        <f>SUMIFS('Schedule 4'!$F$89:$F$649,'Schedule 4'!$I$89:$I$649,'Well Cal.'!U$3,'Schedule 4'!$J$89:$J$649,'Well Cal.'!$E153)</f>
        <v>0</v>
      </c>
      <c r="V153" s="727">
        <f>SUMIFS('Schedule 4'!$F$89:$F$649,'Schedule 4'!$I$89:$I$649,'Well Cal.'!V$3,'Schedule 4'!$J$89:$J$649,'Well Cal.'!$E153)</f>
        <v>0</v>
      </c>
      <c r="W153" s="727">
        <f>SUMIFS('Schedule 4'!$F$89:$F$649,'Schedule 4'!$I$89:$I$649,'Well Cal.'!W$3,'Schedule 4'!$J$89:$J$649,'Well Cal.'!$E153)</f>
        <v>0</v>
      </c>
      <c r="X153" s="727">
        <f>SUMIFS('Schedule 4'!$F$89:$F$649,'Schedule 4'!$I$89:$I$649,'Well Cal.'!X$3,'Schedule 4'!$J$89:$J$649,'Well Cal.'!$E153)</f>
        <v>0</v>
      </c>
      <c r="Y153" s="727">
        <f>SUMIFS('Schedule 4'!$F$89:$F$649,'Schedule 4'!$I$89:$I$649,'Well Cal.'!Y$3,'Schedule 4'!$J$89:$J$649,'Well Cal.'!$E153)</f>
        <v>0</v>
      </c>
      <c r="Z153" s="727">
        <f>SUMIFS('Schedule 4'!$F$89:$F$649,'Schedule 4'!$I$89:$I$649,'Well Cal.'!Z$3,'Schedule 4'!$J$89:$J$649,'Well Cal.'!$E153)</f>
        <v>0</v>
      </c>
      <c r="AA153" s="727"/>
      <c r="AB153" s="1721"/>
      <c r="AC153" s="1731"/>
    </row>
    <row r="154" spans="2:31" x14ac:dyDescent="0.3">
      <c r="B154" s="1725"/>
      <c r="C154" s="1728"/>
      <c r="D154" s="1722"/>
      <c r="E154" s="776"/>
      <c r="F154" s="777"/>
      <c r="G154" s="777"/>
      <c r="H154" s="777"/>
      <c r="I154" s="777"/>
      <c r="J154" s="777"/>
      <c r="K154" s="777"/>
      <c r="L154" s="777"/>
      <c r="M154" s="777"/>
      <c r="N154" s="777"/>
      <c r="O154" s="777"/>
      <c r="P154" s="777"/>
      <c r="Q154" s="777"/>
      <c r="R154" s="777"/>
      <c r="S154" s="777"/>
      <c r="T154" s="777"/>
      <c r="U154" s="777"/>
      <c r="V154" s="777"/>
      <c r="W154" s="777"/>
      <c r="X154" s="777"/>
      <c r="Y154" s="777"/>
      <c r="Z154" s="777"/>
      <c r="AA154" s="777"/>
      <c r="AB154" s="1722"/>
      <c r="AC154" s="1732"/>
    </row>
    <row r="155" spans="2:31" x14ac:dyDescent="0.3">
      <c r="B155" s="1723" t="s">
        <v>1902</v>
      </c>
      <c r="C155" s="1726">
        <v>54.05</v>
      </c>
      <c r="D155" s="1720">
        <f>SUMIFS('Schedule 4'!$F$89:$F$649,'Schedule 4'!$K$89:$K$649,'Well Cal.'!$B155)</f>
        <v>46.199999999999996</v>
      </c>
      <c r="E155" s="754" t="s">
        <v>3189</v>
      </c>
      <c r="F155" s="728">
        <f>SUMIFS('Schedule 4'!$F$89:$F$649,'Schedule 4'!$I$89:$I$649,'Well Cal.'!F$3,'Schedule 4'!$J$89:$J$649,'Well Cal.'!$E155)</f>
        <v>0</v>
      </c>
      <c r="G155" s="728">
        <f>SUMIFS('Schedule 4'!$F$89:$F$649,'Schedule 4'!$I$89:$I$649,'Well Cal.'!G$3,'Schedule 4'!$J$89:$J$649,'Well Cal.'!$E155)</f>
        <v>0</v>
      </c>
      <c r="H155" s="728">
        <f>SUMIFS('Schedule 4'!$F$89:$F$649,'Schedule 4'!$I$89:$I$649,'Well Cal.'!H$3,'Schedule 4'!$J$89:$J$649,'Well Cal.'!$E155)</f>
        <v>0</v>
      </c>
      <c r="I155" s="728">
        <f>SUMIFS('Schedule 4'!$F$89:$F$649,'Schedule 4'!$I$89:$I$649,'Well Cal.'!I$3,'Schedule 4'!$J$89:$J$649,'Well Cal.'!$E155)</f>
        <v>0</v>
      </c>
      <c r="J155" s="728">
        <f>SUMIFS('Schedule 4'!$F$89:$F$649,'Schedule 4'!$I$89:$I$649,'Well Cal.'!J$3,'Schedule 4'!$J$89:$J$649,'Well Cal.'!$E155)</f>
        <v>0</v>
      </c>
      <c r="K155" s="728">
        <f>SUMIFS('Schedule 4'!$F$89:$F$649,'Schedule 4'!$I$89:$I$649,'Well Cal.'!K$3,'Schedule 4'!$J$89:$J$649,'Well Cal.'!$E155)</f>
        <v>0</v>
      </c>
      <c r="L155" s="728">
        <f>SUMIFS('Schedule 4'!$F$89:$F$649,'Schedule 4'!$I$89:$I$649,'Well Cal.'!L$3,'Schedule 4'!$J$89:$J$649,'Well Cal.'!$E155)</f>
        <v>0</v>
      </c>
      <c r="M155" s="728">
        <f>SUMIFS('Schedule 4'!$F$89:$F$649,'Schedule 4'!$I$89:$I$649,'Well Cal.'!M$3,'Schedule 4'!$J$89:$J$649,'Well Cal.'!$E155)</f>
        <v>0</v>
      </c>
      <c r="N155" s="728">
        <f>SUMIFS('Schedule 4'!$F$89:$F$649,'Schedule 4'!$I$89:$I$649,'Well Cal.'!N$3,'Schedule 4'!$J$89:$J$649,'Well Cal.'!$E155)</f>
        <v>0</v>
      </c>
      <c r="O155" s="728">
        <f>SUMIFS('Schedule 4'!$F$89:$F$649,'Schedule 4'!$I$89:$I$649,'Well Cal.'!O$3,'Schedule 4'!$J$89:$J$649,'Well Cal.'!$E155)</f>
        <v>0</v>
      </c>
      <c r="P155" s="728">
        <f>SUMIFS('Schedule 4'!$F$89:$F$649,'Schedule 4'!$I$89:$I$649,'Well Cal.'!P$3,'Schedule 4'!$J$89:$J$649,'Well Cal.'!$E155)</f>
        <v>0</v>
      </c>
      <c r="Q155" s="728">
        <f>SUMIFS('Schedule 4'!$F$89:$F$649,'Schedule 4'!$I$89:$I$649,'Well Cal.'!Q$3,'Schedule 4'!$J$89:$J$649,'Well Cal.'!$E155)</f>
        <v>0</v>
      </c>
      <c r="R155" s="728">
        <f>SUMIFS('Schedule 4'!$F$89:$F$649,'Schedule 4'!$I$89:$I$649,'Well Cal.'!R$3,'Schedule 4'!$J$89:$J$649,'Well Cal.'!$E155)</f>
        <v>0</v>
      </c>
      <c r="S155" s="728">
        <f>SUMIFS('Schedule 4'!$F$89:$F$649,'Schedule 4'!$I$89:$I$649,'Well Cal.'!S$3,'Schedule 4'!$J$89:$J$649,'Well Cal.'!$E155)</f>
        <v>0</v>
      </c>
      <c r="T155" s="728">
        <f>SUMIFS('Schedule 4'!$F$89:$F$649,'Schedule 4'!$I$89:$I$649,'Well Cal.'!T$3,'Schedule 4'!$J$89:$J$649,'Well Cal.'!$E155)</f>
        <v>6.2</v>
      </c>
      <c r="U155" s="728">
        <f>SUMIFS('Schedule 4'!$F$89:$F$649,'Schedule 4'!$I$89:$I$649,'Well Cal.'!U$3,'Schedule 4'!$J$89:$J$649,'Well Cal.'!$E155)</f>
        <v>0</v>
      </c>
      <c r="V155" s="728">
        <f>SUMIFS('Schedule 4'!$F$89:$F$649,'Schedule 4'!$I$89:$I$649,'Well Cal.'!V$3,'Schedule 4'!$J$89:$J$649,'Well Cal.'!$E155)</f>
        <v>0</v>
      </c>
      <c r="W155" s="728">
        <f>SUMIFS('Schedule 4'!$F$89:$F$649,'Schedule 4'!$I$89:$I$649,'Well Cal.'!W$3,'Schedule 4'!$J$89:$J$649,'Well Cal.'!$E155)</f>
        <v>0</v>
      </c>
      <c r="X155" s="728">
        <f>SUMIFS('Schedule 4'!$F$89:$F$649,'Schedule 4'!$I$89:$I$649,'Well Cal.'!X$3,'Schedule 4'!$J$89:$J$649,'Well Cal.'!$E155)</f>
        <v>0</v>
      </c>
      <c r="Y155" s="728">
        <f>SUMIFS('Schedule 4'!$F$89:$F$649,'Schedule 4'!$I$89:$I$649,'Well Cal.'!Y$3,'Schedule 4'!$J$89:$J$649,'Well Cal.'!$E155)</f>
        <v>0</v>
      </c>
      <c r="Z155" s="728">
        <f>SUMIFS('Schedule 4'!$F$89:$F$649,'Schedule 4'!$I$89:$I$649,'Well Cal.'!Z$3,'Schedule 4'!$J$89:$J$649,'Well Cal.'!$E155)</f>
        <v>0</v>
      </c>
      <c r="AA155" s="728"/>
      <c r="AB155" s="1713">
        <f>SUM(F155:AA171)</f>
        <v>44.2</v>
      </c>
      <c r="AC155" s="1729">
        <f>D155-AB155</f>
        <v>1.9999999999999929</v>
      </c>
    </row>
    <row r="156" spans="2:31" x14ac:dyDescent="0.3">
      <c r="B156" s="1724"/>
      <c r="C156" s="1727"/>
      <c r="D156" s="1721"/>
      <c r="E156" s="761" t="s">
        <v>3270</v>
      </c>
      <c r="F156" s="726">
        <f>SUMIFS('Schedule 4'!$F$89:$F$649,'Schedule 4'!$I$89:$I$649,'Well Cal.'!F$3,'Schedule 4'!$J$89:$J$649,'Well Cal.'!$E156)</f>
        <v>0</v>
      </c>
      <c r="G156" s="726">
        <f>SUMIFS('Schedule 4'!$F$89:$F$649,'Schedule 4'!$I$89:$I$649,'Well Cal.'!G$3,'Schedule 4'!$J$89:$J$649,'Well Cal.'!$E156)</f>
        <v>0</v>
      </c>
      <c r="H156" s="726">
        <f>SUMIFS('Schedule 4'!$F$89:$F$649,'Schedule 4'!$I$89:$I$649,'Well Cal.'!H$3,'Schedule 4'!$J$89:$J$649,'Well Cal.'!$E156)</f>
        <v>0</v>
      </c>
      <c r="I156" s="726">
        <f>SUMIFS('Schedule 4'!$F$89:$F$649,'Schedule 4'!$I$89:$I$649,'Well Cal.'!I$3,'Schedule 4'!$J$89:$J$649,'Well Cal.'!$E156)</f>
        <v>0</v>
      </c>
      <c r="J156" s="726">
        <f>SUMIFS('Schedule 4'!$F$89:$F$649,'Schedule 4'!$I$89:$I$649,'Well Cal.'!J$3,'Schedule 4'!$J$89:$J$649,'Well Cal.'!$E156)</f>
        <v>0</v>
      </c>
      <c r="K156" s="726">
        <f>SUMIFS('Schedule 4'!$F$89:$F$649,'Schedule 4'!$I$89:$I$649,'Well Cal.'!K$3,'Schedule 4'!$J$89:$J$649,'Well Cal.'!$E156)</f>
        <v>0</v>
      </c>
      <c r="L156" s="726">
        <f>SUMIFS('Schedule 4'!$F$89:$F$649,'Schedule 4'!$I$89:$I$649,'Well Cal.'!L$3,'Schedule 4'!$J$89:$J$649,'Well Cal.'!$E156)</f>
        <v>0</v>
      </c>
      <c r="M156" s="726">
        <f>SUMIFS('Schedule 4'!$F$89:$F$649,'Schedule 4'!$I$89:$I$649,'Well Cal.'!M$3,'Schedule 4'!$J$89:$J$649,'Well Cal.'!$E156)</f>
        <v>0</v>
      </c>
      <c r="N156" s="726">
        <f>SUMIFS('Schedule 4'!$F$89:$F$649,'Schedule 4'!$I$89:$I$649,'Well Cal.'!N$3,'Schedule 4'!$J$89:$J$649,'Well Cal.'!$E156)</f>
        <v>0</v>
      </c>
      <c r="O156" s="726">
        <f>SUMIFS('Schedule 4'!$F$89:$F$649,'Schedule 4'!$I$89:$I$649,'Well Cal.'!O$3,'Schedule 4'!$J$89:$J$649,'Well Cal.'!$E156)</f>
        <v>0</v>
      </c>
      <c r="P156" s="726">
        <f>SUMIFS('Schedule 4'!$F$89:$F$649,'Schedule 4'!$I$89:$I$649,'Well Cal.'!P$3,'Schedule 4'!$J$89:$J$649,'Well Cal.'!$E156)</f>
        <v>0</v>
      </c>
      <c r="Q156" s="726">
        <f>SUMIFS('Schedule 4'!$F$89:$F$649,'Schedule 4'!$I$89:$I$649,'Well Cal.'!Q$3,'Schedule 4'!$J$89:$J$649,'Well Cal.'!$E156)</f>
        <v>0</v>
      </c>
      <c r="R156" s="726">
        <f>SUMIFS('Schedule 4'!$F$89:$F$649,'Schedule 4'!$I$89:$I$649,'Well Cal.'!R$3,'Schedule 4'!$J$89:$J$649,'Well Cal.'!$E156)</f>
        <v>0</v>
      </c>
      <c r="S156" s="726">
        <f>SUMIFS('Schedule 4'!$F$89:$F$649,'Schedule 4'!$I$89:$I$649,'Well Cal.'!S$3,'Schedule 4'!$J$89:$J$649,'Well Cal.'!$E156)</f>
        <v>0</v>
      </c>
      <c r="T156" s="726">
        <f>SUMIFS('Schedule 4'!$F$89:$F$649,'Schedule 4'!$I$89:$I$649,'Well Cal.'!T$3,'Schedule 4'!$J$89:$J$649,'Well Cal.'!$E156)</f>
        <v>2.5</v>
      </c>
      <c r="U156" s="726">
        <f>SUMIFS('Schedule 4'!$F$89:$F$649,'Schedule 4'!$I$89:$I$649,'Well Cal.'!U$3,'Schedule 4'!$J$89:$J$649,'Well Cal.'!$E156)</f>
        <v>0</v>
      </c>
      <c r="V156" s="726">
        <f>SUMIFS('Schedule 4'!$F$89:$F$649,'Schedule 4'!$I$89:$I$649,'Well Cal.'!V$3,'Schedule 4'!$J$89:$J$649,'Well Cal.'!$E156)</f>
        <v>0</v>
      </c>
      <c r="W156" s="726">
        <f>SUMIFS('Schedule 4'!$F$89:$F$649,'Schedule 4'!$I$89:$I$649,'Well Cal.'!W$3,'Schedule 4'!$J$89:$J$649,'Well Cal.'!$E156)</f>
        <v>0</v>
      </c>
      <c r="X156" s="726">
        <f>SUMIFS('Schedule 4'!$F$89:$F$649,'Schedule 4'!$I$89:$I$649,'Well Cal.'!X$3,'Schedule 4'!$J$89:$J$649,'Well Cal.'!$E156)</f>
        <v>0</v>
      </c>
      <c r="Y156" s="726">
        <f>SUMIFS('Schedule 4'!$F$89:$F$649,'Schedule 4'!$I$89:$I$649,'Well Cal.'!Y$3,'Schedule 4'!$J$89:$J$649,'Well Cal.'!$E156)</f>
        <v>0</v>
      </c>
      <c r="Z156" s="726">
        <f>SUMIFS('Schedule 4'!$F$89:$F$649,'Schedule 4'!$I$89:$I$649,'Well Cal.'!Z$3,'Schedule 4'!$J$89:$J$649,'Well Cal.'!$E156)</f>
        <v>0</v>
      </c>
      <c r="AA156" s="726"/>
      <c r="AB156" s="1714"/>
      <c r="AC156" s="1730"/>
    </row>
    <row r="157" spans="2:31" x14ac:dyDescent="0.3">
      <c r="B157" s="1724"/>
      <c r="C157" s="1727"/>
      <c r="D157" s="1721"/>
      <c r="E157" s="761" t="s">
        <v>3349</v>
      </c>
      <c r="F157" s="726">
        <f>SUMIFS('Schedule 4'!$F$89:$F$649,'Schedule 4'!$I$89:$I$649,'Well Cal.'!F$3,'Schedule 4'!$J$89:$J$649,'Well Cal.'!$E157)</f>
        <v>0</v>
      </c>
      <c r="G157" s="726">
        <f>SUMIFS('Schedule 4'!$F$89:$F$649,'Schedule 4'!$I$89:$I$649,'Well Cal.'!G$3,'Schedule 4'!$J$89:$J$649,'Well Cal.'!$E157)</f>
        <v>0</v>
      </c>
      <c r="H157" s="726">
        <f>SUMIFS('Schedule 4'!$F$89:$F$649,'Schedule 4'!$I$89:$I$649,'Well Cal.'!H$3,'Schedule 4'!$J$89:$J$649,'Well Cal.'!$E157)</f>
        <v>0</v>
      </c>
      <c r="I157" s="726">
        <f>SUMIFS('Schedule 4'!$F$89:$F$649,'Schedule 4'!$I$89:$I$649,'Well Cal.'!I$3,'Schedule 4'!$J$89:$J$649,'Well Cal.'!$E157)</f>
        <v>0</v>
      </c>
      <c r="J157" s="726">
        <f>SUMIFS('Schedule 4'!$F$89:$F$649,'Schedule 4'!$I$89:$I$649,'Well Cal.'!J$3,'Schedule 4'!$J$89:$J$649,'Well Cal.'!$E157)</f>
        <v>0</v>
      </c>
      <c r="K157" s="726">
        <f>SUMIFS('Schedule 4'!$F$89:$F$649,'Schedule 4'!$I$89:$I$649,'Well Cal.'!K$3,'Schedule 4'!$J$89:$J$649,'Well Cal.'!$E157)</f>
        <v>0</v>
      </c>
      <c r="L157" s="726">
        <f>SUMIFS('Schedule 4'!$F$89:$F$649,'Schedule 4'!$I$89:$I$649,'Well Cal.'!L$3,'Schedule 4'!$J$89:$J$649,'Well Cal.'!$E157)</f>
        <v>0</v>
      </c>
      <c r="M157" s="726">
        <f>SUMIFS('Schedule 4'!$F$89:$F$649,'Schedule 4'!$I$89:$I$649,'Well Cal.'!M$3,'Schedule 4'!$J$89:$J$649,'Well Cal.'!$E157)</f>
        <v>0</v>
      </c>
      <c r="N157" s="726">
        <f>SUMIFS('Schedule 4'!$F$89:$F$649,'Schedule 4'!$I$89:$I$649,'Well Cal.'!N$3,'Schedule 4'!$J$89:$J$649,'Well Cal.'!$E157)</f>
        <v>0</v>
      </c>
      <c r="O157" s="726">
        <f>SUMIFS('Schedule 4'!$F$89:$F$649,'Schedule 4'!$I$89:$I$649,'Well Cal.'!O$3,'Schedule 4'!$J$89:$J$649,'Well Cal.'!$E157)</f>
        <v>0</v>
      </c>
      <c r="P157" s="726">
        <f>SUMIFS('Schedule 4'!$F$89:$F$649,'Schedule 4'!$I$89:$I$649,'Well Cal.'!P$3,'Schedule 4'!$J$89:$J$649,'Well Cal.'!$E157)</f>
        <v>0</v>
      </c>
      <c r="Q157" s="726">
        <f>SUMIFS('Schedule 4'!$F$89:$F$649,'Schedule 4'!$I$89:$I$649,'Well Cal.'!Q$3,'Schedule 4'!$J$89:$J$649,'Well Cal.'!$E157)</f>
        <v>0</v>
      </c>
      <c r="R157" s="726">
        <f>SUMIFS('Schedule 4'!$F$89:$F$649,'Schedule 4'!$I$89:$I$649,'Well Cal.'!R$3,'Schedule 4'!$J$89:$J$649,'Well Cal.'!$E157)</f>
        <v>0</v>
      </c>
      <c r="S157" s="726">
        <f>SUMIFS('Schedule 4'!$F$89:$F$649,'Schedule 4'!$I$89:$I$649,'Well Cal.'!S$3,'Schedule 4'!$J$89:$J$649,'Well Cal.'!$E157)</f>
        <v>0</v>
      </c>
      <c r="T157" s="726">
        <f>SUMIFS('Schedule 4'!$F$89:$F$649,'Schedule 4'!$I$89:$I$649,'Well Cal.'!T$3,'Schedule 4'!$J$89:$J$649,'Well Cal.'!$E157)</f>
        <v>0</v>
      </c>
      <c r="U157" s="726">
        <f>SUMIFS('Schedule 4'!$F$89:$F$649,'Schedule 4'!$I$89:$I$649,'Well Cal.'!U$3,'Schedule 4'!$J$89:$J$649,'Well Cal.'!$E157)</f>
        <v>2.5</v>
      </c>
      <c r="V157" s="726">
        <f>SUMIFS('Schedule 4'!$F$89:$F$649,'Schedule 4'!$I$89:$I$649,'Well Cal.'!V$3,'Schedule 4'!$J$89:$J$649,'Well Cal.'!$E157)</f>
        <v>0</v>
      </c>
      <c r="W157" s="726">
        <f>SUMIFS('Schedule 4'!$F$89:$F$649,'Schedule 4'!$I$89:$I$649,'Well Cal.'!W$3,'Schedule 4'!$J$89:$J$649,'Well Cal.'!$E157)</f>
        <v>0</v>
      </c>
      <c r="X157" s="726">
        <f>SUMIFS('Schedule 4'!$F$89:$F$649,'Schedule 4'!$I$89:$I$649,'Well Cal.'!X$3,'Schedule 4'!$J$89:$J$649,'Well Cal.'!$E157)</f>
        <v>0</v>
      </c>
      <c r="Y157" s="726">
        <f>SUMIFS('Schedule 4'!$F$89:$F$649,'Schedule 4'!$I$89:$I$649,'Well Cal.'!Y$3,'Schedule 4'!$J$89:$J$649,'Well Cal.'!$E157)</f>
        <v>0</v>
      </c>
      <c r="Z157" s="726">
        <f>SUMIFS('Schedule 4'!$F$89:$F$649,'Schedule 4'!$I$89:$I$649,'Well Cal.'!Z$3,'Schedule 4'!$J$89:$J$649,'Well Cal.'!$E157)</f>
        <v>0</v>
      </c>
      <c r="AA157" s="726"/>
      <c r="AB157" s="1714"/>
      <c r="AC157" s="1730"/>
    </row>
    <row r="158" spans="2:31" x14ac:dyDescent="0.3">
      <c r="B158" s="1724"/>
      <c r="C158" s="1727"/>
      <c r="D158" s="1721"/>
      <c r="E158" s="775" t="s">
        <v>3427</v>
      </c>
      <c r="F158" s="727">
        <f>SUMIFS('Schedule 4'!$F$89:$F$649,'Schedule 4'!$I$89:$I$649,'Well Cal.'!F$3,'Schedule 4'!$J$89:$J$649,'Well Cal.'!$E158)</f>
        <v>0</v>
      </c>
      <c r="G158" s="727">
        <f>SUMIFS('Schedule 4'!$F$89:$F$649,'Schedule 4'!$I$89:$I$649,'Well Cal.'!G$3,'Schedule 4'!$J$89:$J$649,'Well Cal.'!$E158)</f>
        <v>0</v>
      </c>
      <c r="H158" s="727">
        <f>SUMIFS('Schedule 4'!$F$89:$F$649,'Schedule 4'!$I$89:$I$649,'Well Cal.'!H$3,'Schedule 4'!$J$89:$J$649,'Well Cal.'!$E158)</f>
        <v>0</v>
      </c>
      <c r="I158" s="727">
        <f>SUMIFS('Schedule 4'!$F$89:$F$649,'Schedule 4'!$I$89:$I$649,'Well Cal.'!I$3,'Schedule 4'!$J$89:$J$649,'Well Cal.'!$E158)</f>
        <v>0</v>
      </c>
      <c r="J158" s="727">
        <f>SUMIFS('Schedule 4'!$F$89:$F$649,'Schedule 4'!$I$89:$I$649,'Well Cal.'!J$3,'Schedule 4'!$J$89:$J$649,'Well Cal.'!$E158)</f>
        <v>0</v>
      </c>
      <c r="K158" s="727">
        <f>SUMIFS('Schedule 4'!$F$89:$F$649,'Schedule 4'!$I$89:$I$649,'Well Cal.'!K$3,'Schedule 4'!$J$89:$J$649,'Well Cal.'!$E158)</f>
        <v>0</v>
      </c>
      <c r="L158" s="727">
        <f>SUMIFS('Schedule 4'!$F$89:$F$649,'Schedule 4'!$I$89:$I$649,'Well Cal.'!L$3,'Schedule 4'!$J$89:$J$649,'Well Cal.'!$E158)</f>
        <v>0</v>
      </c>
      <c r="M158" s="727">
        <f>SUMIFS('Schedule 4'!$F$89:$F$649,'Schedule 4'!$I$89:$I$649,'Well Cal.'!M$3,'Schedule 4'!$J$89:$J$649,'Well Cal.'!$E158)</f>
        <v>0</v>
      </c>
      <c r="N158" s="727">
        <f>SUMIFS('Schedule 4'!$F$89:$F$649,'Schedule 4'!$I$89:$I$649,'Well Cal.'!N$3,'Schedule 4'!$J$89:$J$649,'Well Cal.'!$E158)</f>
        <v>0</v>
      </c>
      <c r="O158" s="727">
        <f>SUMIFS('Schedule 4'!$F$89:$F$649,'Schedule 4'!$I$89:$I$649,'Well Cal.'!O$3,'Schedule 4'!$J$89:$J$649,'Well Cal.'!$E158)</f>
        <v>0</v>
      </c>
      <c r="P158" s="727">
        <f>SUMIFS('Schedule 4'!$F$89:$F$649,'Schedule 4'!$I$89:$I$649,'Well Cal.'!P$3,'Schedule 4'!$J$89:$J$649,'Well Cal.'!$E158)</f>
        <v>0</v>
      </c>
      <c r="Q158" s="727">
        <f>SUMIFS('Schedule 4'!$F$89:$F$649,'Schedule 4'!$I$89:$I$649,'Well Cal.'!Q$3,'Schedule 4'!$J$89:$J$649,'Well Cal.'!$E158)</f>
        <v>0</v>
      </c>
      <c r="R158" s="727">
        <f>SUMIFS('Schedule 4'!$F$89:$F$649,'Schedule 4'!$I$89:$I$649,'Well Cal.'!R$3,'Schedule 4'!$J$89:$J$649,'Well Cal.'!$E158)</f>
        <v>0</v>
      </c>
      <c r="S158" s="727">
        <f>SUMIFS('Schedule 4'!$F$89:$F$649,'Schedule 4'!$I$89:$I$649,'Well Cal.'!S$3,'Schedule 4'!$J$89:$J$649,'Well Cal.'!$E158)</f>
        <v>0</v>
      </c>
      <c r="T158" s="727">
        <f>SUMIFS('Schedule 4'!$F$89:$F$649,'Schedule 4'!$I$89:$I$649,'Well Cal.'!T$3,'Schedule 4'!$J$89:$J$649,'Well Cal.'!$E158)</f>
        <v>0</v>
      </c>
      <c r="U158" s="727">
        <f>SUMIFS('Schedule 4'!$F$89:$F$649,'Schedule 4'!$I$89:$I$649,'Well Cal.'!U$3,'Schedule 4'!$J$89:$J$649,'Well Cal.'!$E158)</f>
        <v>2.5</v>
      </c>
      <c r="V158" s="727">
        <f>SUMIFS('Schedule 4'!$F$89:$F$649,'Schedule 4'!$I$89:$I$649,'Well Cal.'!V$3,'Schedule 4'!$J$89:$J$649,'Well Cal.'!$E158)</f>
        <v>0</v>
      </c>
      <c r="W158" s="727">
        <f>SUMIFS('Schedule 4'!$F$89:$F$649,'Schedule 4'!$I$89:$I$649,'Well Cal.'!W$3,'Schedule 4'!$J$89:$J$649,'Well Cal.'!$E158)</f>
        <v>0</v>
      </c>
      <c r="X158" s="727">
        <f>SUMIFS('Schedule 4'!$F$89:$F$649,'Schedule 4'!$I$89:$I$649,'Well Cal.'!X$3,'Schedule 4'!$J$89:$J$649,'Well Cal.'!$E158)</f>
        <v>0</v>
      </c>
      <c r="Y158" s="727">
        <f>SUMIFS('Schedule 4'!$F$89:$F$649,'Schedule 4'!$I$89:$I$649,'Well Cal.'!Y$3,'Schedule 4'!$J$89:$J$649,'Well Cal.'!$E158)</f>
        <v>0</v>
      </c>
      <c r="Z158" s="727">
        <f>SUMIFS('Schedule 4'!$F$89:$F$649,'Schedule 4'!$I$89:$I$649,'Well Cal.'!Z$3,'Schedule 4'!$J$89:$J$649,'Well Cal.'!$E158)</f>
        <v>0</v>
      </c>
      <c r="AA158" s="727"/>
      <c r="AB158" s="1714"/>
      <c r="AC158" s="1730"/>
    </row>
    <row r="159" spans="2:31" x14ac:dyDescent="0.3">
      <c r="B159" s="1724"/>
      <c r="C159" s="1727"/>
      <c r="D159" s="1721"/>
      <c r="E159" s="775" t="s">
        <v>3505</v>
      </c>
      <c r="F159" s="727">
        <f>SUMIFS('Schedule 4'!$F$89:$F$649,'Schedule 4'!$I$89:$I$649,'Well Cal.'!F$3,'Schedule 4'!$J$89:$J$649,'Well Cal.'!$E159)</f>
        <v>0</v>
      </c>
      <c r="G159" s="727">
        <f>SUMIFS('Schedule 4'!$F$89:$F$649,'Schedule 4'!$I$89:$I$649,'Well Cal.'!G$3,'Schedule 4'!$J$89:$J$649,'Well Cal.'!$E159)</f>
        <v>0</v>
      </c>
      <c r="H159" s="727">
        <f>SUMIFS('Schedule 4'!$F$89:$F$649,'Schedule 4'!$I$89:$I$649,'Well Cal.'!H$3,'Schedule 4'!$J$89:$J$649,'Well Cal.'!$E159)</f>
        <v>0</v>
      </c>
      <c r="I159" s="727">
        <f>SUMIFS('Schedule 4'!$F$89:$F$649,'Schedule 4'!$I$89:$I$649,'Well Cal.'!I$3,'Schedule 4'!$J$89:$J$649,'Well Cal.'!$E159)</f>
        <v>0</v>
      </c>
      <c r="J159" s="727">
        <f>SUMIFS('Schedule 4'!$F$89:$F$649,'Schedule 4'!$I$89:$I$649,'Well Cal.'!J$3,'Schedule 4'!$J$89:$J$649,'Well Cal.'!$E159)</f>
        <v>0</v>
      </c>
      <c r="K159" s="727">
        <f>SUMIFS('Schedule 4'!$F$89:$F$649,'Schedule 4'!$I$89:$I$649,'Well Cal.'!K$3,'Schedule 4'!$J$89:$J$649,'Well Cal.'!$E159)</f>
        <v>0</v>
      </c>
      <c r="L159" s="727">
        <f>SUMIFS('Schedule 4'!$F$89:$F$649,'Schedule 4'!$I$89:$I$649,'Well Cal.'!L$3,'Schedule 4'!$J$89:$J$649,'Well Cal.'!$E159)</f>
        <v>0</v>
      </c>
      <c r="M159" s="727">
        <f>SUMIFS('Schedule 4'!$F$89:$F$649,'Schedule 4'!$I$89:$I$649,'Well Cal.'!M$3,'Schedule 4'!$J$89:$J$649,'Well Cal.'!$E159)</f>
        <v>0</v>
      </c>
      <c r="N159" s="727">
        <f>SUMIFS('Schedule 4'!$F$89:$F$649,'Schedule 4'!$I$89:$I$649,'Well Cal.'!N$3,'Schedule 4'!$J$89:$J$649,'Well Cal.'!$E159)</f>
        <v>0</v>
      </c>
      <c r="O159" s="727">
        <f>SUMIFS('Schedule 4'!$F$89:$F$649,'Schedule 4'!$I$89:$I$649,'Well Cal.'!O$3,'Schedule 4'!$J$89:$J$649,'Well Cal.'!$E159)</f>
        <v>0</v>
      </c>
      <c r="P159" s="727">
        <f>SUMIFS('Schedule 4'!$F$89:$F$649,'Schedule 4'!$I$89:$I$649,'Well Cal.'!P$3,'Schedule 4'!$J$89:$J$649,'Well Cal.'!$E159)</f>
        <v>0</v>
      </c>
      <c r="Q159" s="727">
        <f>SUMIFS('Schedule 4'!$F$89:$F$649,'Schedule 4'!$I$89:$I$649,'Well Cal.'!Q$3,'Schedule 4'!$J$89:$J$649,'Well Cal.'!$E159)</f>
        <v>0</v>
      </c>
      <c r="R159" s="727">
        <f>SUMIFS('Schedule 4'!$F$89:$F$649,'Schedule 4'!$I$89:$I$649,'Well Cal.'!R$3,'Schedule 4'!$J$89:$J$649,'Well Cal.'!$E159)</f>
        <v>0</v>
      </c>
      <c r="S159" s="727">
        <f>SUMIFS('Schedule 4'!$F$89:$F$649,'Schedule 4'!$I$89:$I$649,'Well Cal.'!S$3,'Schedule 4'!$J$89:$J$649,'Well Cal.'!$E159)</f>
        <v>0</v>
      </c>
      <c r="T159" s="727">
        <f>SUMIFS('Schedule 4'!$F$89:$F$649,'Schedule 4'!$I$89:$I$649,'Well Cal.'!T$3,'Schedule 4'!$J$89:$J$649,'Well Cal.'!$E159)</f>
        <v>0</v>
      </c>
      <c r="U159" s="727">
        <f>SUMIFS('Schedule 4'!$F$89:$F$649,'Schedule 4'!$I$89:$I$649,'Well Cal.'!U$3,'Schedule 4'!$J$89:$J$649,'Well Cal.'!$E159)</f>
        <v>2.5</v>
      </c>
      <c r="V159" s="727">
        <f>SUMIFS('Schedule 4'!$F$89:$F$649,'Schedule 4'!$I$89:$I$649,'Well Cal.'!V$3,'Schedule 4'!$J$89:$J$649,'Well Cal.'!$E159)</f>
        <v>0</v>
      </c>
      <c r="W159" s="727">
        <f>SUMIFS('Schedule 4'!$F$89:$F$649,'Schedule 4'!$I$89:$I$649,'Well Cal.'!W$3,'Schedule 4'!$J$89:$J$649,'Well Cal.'!$E159)</f>
        <v>0</v>
      </c>
      <c r="X159" s="727">
        <f>SUMIFS('Schedule 4'!$F$89:$F$649,'Schedule 4'!$I$89:$I$649,'Well Cal.'!X$3,'Schedule 4'!$J$89:$J$649,'Well Cal.'!$E159)</f>
        <v>0</v>
      </c>
      <c r="Y159" s="727">
        <f>SUMIFS('Schedule 4'!$F$89:$F$649,'Schedule 4'!$I$89:$I$649,'Well Cal.'!Y$3,'Schedule 4'!$J$89:$J$649,'Well Cal.'!$E159)</f>
        <v>0</v>
      </c>
      <c r="Z159" s="727">
        <f>SUMIFS('Schedule 4'!$F$89:$F$649,'Schedule 4'!$I$89:$I$649,'Well Cal.'!Z$3,'Schedule 4'!$J$89:$J$649,'Well Cal.'!$E159)</f>
        <v>0</v>
      </c>
      <c r="AA159" s="727"/>
      <c r="AB159" s="1714"/>
      <c r="AC159" s="1730"/>
    </row>
    <row r="160" spans="2:31" x14ac:dyDescent="0.3">
      <c r="B160" s="1724"/>
      <c r="C160" s="1727"/>
      <c r="D160" s="1721"/>
      <c r="E160" s="775" t="s">
        <v>3580</v>
      </c>
      <c r="F160" s="727">
        <f>SUMIFS('Schedule 4'!$F$89:$F$649,'Schedule 4'!$I$89:$I$649,'Well Cal.'!F$3,'Schedule 4'!$J$89:$J$649,'Well Cal.'!$E160)</f>
        <v>0</v>
      </c>
      <c r="G160" s="727">
        <f>SUMIFS('Schedule 4'!$F$89:$F$649,'Schedule 4'!$I$89:$I$649,'Well Cal.'!G$3,'Schedule 4'!$J$89:$J$649,'Well Cal.'!$E160)</f>
        <v>0</v>
      </c>
      <c r="H160" s="727">
        <f>SUMIFS('Schedule 4'!$F$89:$F$649,'Schedule 4'!$I$89:$I$649,'Well Cal.'!H$3,'Schedule 4'!$J$89:$J$649,'Well Cal.'!$E160)</f>
        <v>0</v>
      </c>
      <c r="I160" s="727">
        <f>SUMIFS('Schedule 4'!$F$89:$F$649,'Schedule 4'!$I$89:$I$649,'Well Cal.'!I$3,'Schedule 4'!$J$89:$J$649,'Well Cal.'!$E160)</f>
        <v>0</v>
      </c>
      <c r="J160" s="727">
        <f>SUMIFS('Schedule 4'!$F$89:$F$649,'Schedule 4'!$I$89:$I$649,'Well Cal.'!J$3,'Schedule 4'!$J$89:$J$649,'Well Cal.'!$E160)</f>
        <v>0</v>
      </c>
      <c r="K160" s="727">
        <f>SUMIFS('Schedule 4'!$F$89:$F$649,'Schedule 4'!$I$89:$I$649,'Well Cal.'!K$3,'Schedule 4'!$J$89:$J$649,'Well Cal.'!$E160)</f>
        <v>0</v>
      </c>
      <c r="L160" s="727">
        <f>SUMIFS('Schedule 4'!$F$89:$F$649,'Schedule 4'!$I$89:$I$649,'Well Cal.'!L$3,'Schedule 4'!$J$89:$J$649,'Well Cal.'!$E160)</f>
        <v>0</v>
      </c>
      <c r="M160" s="727">
        <f>SUMIFS('Schedule 4'!$F$89:$F$649,'Schedule 4'!$I$89:$I$649,'Well Cal.'!M$3,'Schedule 4'!$J$89:$J$649,'Well Cal.'!$E160)</f>
        <v>0</v>
      </c>
      <c r="N160" s="727">
        <f>SUMIFS('Schedule 4'!$F$89:$F$649,'Schedule 4'!$I$89:$I$649,'Well Cal.'!N$3,'Schedule 4'!$J$89:$J$649,'Well Cal.'!$E160)</f>
        <v>0</v>
      </c>
      <c r="O160" s="727">
        <f>SUMIFS('Schedule 4'!$F$89:$F$649,'Schedule 4'!$I$89:$I$649,'Well Cal.'!O$3,'Schedule 4'!$J$89:$J$649,'Well Cal.'!$E160)</f>
        <v>0</v>
      </c>
      <c r="P160" s="727">
        <f>SUMIFS('Schedule 4'!$F$89:$F$649,'Schedule 4'!$I$89:$I$649,'Well Cal.'!P$3,'Schedule 4'!$J$89:$J$649,'Well Cal.'!$E160)</f>
        <v>0</v>
      </c>
      <c r="Q160" s="727">
        <f>SUMIFS('Schedule 4'!$F$89:$F$649,'Schedule 4'!$I$89:$I$649,'Well Cal.'!Q$3,'Schedule 4'!$J$89:$J$649,'Well Cal.'!$E160)</f>
        <v>0</v>
      </c>
      <c r="R160" s="727">
        <f>SUMIFS('Schedule 4'!$F$89:$F$649,'Schedule 4'!$I$89:$I$649,'Well Cal.'!R$3,'Schedule 4'!$J$89:$J$649,'Well Cal.'!$E160)</f>
        <v>0</v>
      </c>
      <c r="S160" s="727">
        <f>SUMIFS('Schedule 4'!$F$89:$F$649,'Schedule 4'!$I$89:$I$649,'Well Cal.'!S$3,'Schedule 4'!$J$89:$J$649,'Well Cal.'!$E160)</f>
        <v>0</v>
      </c>
      <c r="T160" s="727">
        <f>SUMIFS('Schedule 4'!$F$89:$F$649,'Schedule 4'!$I$89:$I$649,'Well Cal.'!T$3,'Schedule 4'!$J$89:$J$649,'Well Cal.'!$E160)</f>
        <v>0</v>
      </c>
      <c r="U160" s="727">
        <f>SUMIFS('Schedule 4'!$F$89:$F$649,'Schedule 4'!$I$89:$I$649,'Well Cal.'!U$3,'Schedule 4'!$J$89:$J$649,'Well Cal.'!$E160)</f>
        <v>2.5</v>
      </c>
      <c r="V160" s="727">
        <f>SUMIFS('Schedule 4'!$F$89:$F$649,'Schedule 4'!$I$89:$I$649,'Well Cal.'!V$3,'Schedule 4'!$J$89:$J$649,'Well Cal.'!$E160)</f>
        <v>0</v>
      </c>
      <c r="W160" s="727">
        <f>SUMIFS('Schedule 4'!$F$89:$F$649,'Schedule 4'!$I$89:$I$649,'Well Cal.'!W$3,'Schedule 4'!$J$89:$J$649,'Well Cal.'!$E160)</f>
        <v>0</v>
      </c>
      <c r="X160" s="727">
        <f>SUMIFS('Schedule 4'!$F$89:$F$649,'Schedule 4'!$I$89:$I$649,'Well Cal.'!X$3,'Schedule 4'!$J$89:$J$649,'Well Cal.'!$E160)</f>
        <v>0</v>
      </c>
      <c r="Y160" s="727">
        <f>SUMIFS('Schedule 4'!$F$89:$F$649,'Schedule 4'!$I$89:$I$649,'Well Cal.'!Y$3,'Schedule 4'!$J$89:$J$649,'Well Cal.'!$E160)</f>
        <v>0</v>
      </c>
      <c r="Z160" s="727">
        <f>SUMIFS('Schedule 4'!$F$89:$F$649,'Schedule 4'!$I$89:$I$649,'Well Cal.'!Z$3,'Schedule 4'!$J$89:$J$649,'Well Cal.'!$E160)</f>
        <v>0</v>
      </c>
      <c r="AA160" s="727"/>
      <c r="AB160" s="1714"/>
      <c r="AC160" s="1730"/>
    </row>
    <row r="161" spans="2:41" x14ac:dyDescent="0.3">
      <c r="B161" s="1724"/>
      <c r="C161" s="1727"/>
      <c r="D161" s="1721"/>
      <c r="E161" s="775" t="s">
        <v>3654</v>
      </c>
      <c r="F161" s="727">
        <f>SUMIFS('Schedule 4'!$F$89:$F$649,'Schedule 4'!$I$89:$I$649,'Well Cal.'!F$3,'Schedule 4'!$J$89:$J$649,'Well Cal.'!$E161)</f>
        <v>0</v>
      </c>
      <c r="G161" s="727">
        <f>SUMIFS('Schedule 4'!$F$89:$F$649,'Schedule 4'!$I$89:$I$649,'Well Cal.'!G$3,'Schedule 4'!$J$89:$J$649,'Well Cal.'!$E161)</f>
        <v>0</v>
      </c>
      <c r="H161" s="727">
        <f>SUMIFS('Schedule 4'!$F$89:$F$649,'Schedule 4'!$I$89:$I$649,'Well Cal.'!H$3,'Schedule 4'!$J$89:$J$649,'Well Cal.'!$E161)</f>
        <v>0</v>
      </c>
      <c r="I161" s="727">
        <f>SUMIFS('Schedule 4'!$F$89:$F$649,'Schedule 4'!$I$89:$I$649,'Well Cal.'!I$3,'Schedule 4'!$J$89:$J$649,'Well Cal.'!$E161)</f>
        <v>0</v>
      </c>
      <c r="J161" s="727">
        <f>SUMIFS('Schedule 4'!$F$89:$F$649,'Schedule 4'!$I$89:$I$649,'Well Cal.'!J$3,'Schedule 4'!$J$89:$J$649,'Well Cal.'!$E161)</f>
        <v>0</v>
      </c>
      <c r="K161" s="727">
        <f>SUMIFS('Schedule 4'!$F$89:$F$649,'Schedule 4'!$I$89:$I$649,'Well Cal.'!K$3,'Schedule 4'!$J$89:$J$649,'Well Cal.'!$E161)</f>
        <v>0</v>
      </c>
      <c r="L161" s="727">
        <f>SUMIFS('Schedule 4'!$F$89:$F$649,'Schedule 4'!$I$89:$I$649,'Well Cal.'!L$3,'Schedule 4'!$J$89:$J$649,'Well Cal.'!$E161)</f>
        <v>0</v>
      </c>
      <c r="M161" s="727">
        <f>SUMIFS('Schedule 4'!$F$89:$F$649,'Schedule 4'!$I$89:$I$649,'Well Cal.'!M$3,'Schedule 4'!$J$89:$J$649,'Well Cal.'!$E161)</f>
        <v>0</v>
      </c>
      <c r="N161" s="727">
        <f>SUMIFS('Schedule 4'!$F$89:$F$649,'Schedule 4'!$I$89:$I$649,'Well Cal.'!N$3,'Schedule 4'!$J$89:$J$649,'Well Cal.'!$E161)</f>
        <v>0</v>
      </c>
      <c r="O161" s="727">
        <f>SUMIFS('Schedule 4'!$F$89:$F$649,'Schedule 4'!$I$89:$I$649,'Well Cal.'!O$3,'Schedule 4'!$J$89:$J$649,'Well Cal.'!$E161)</f>
        <v>0</v>
      </c>
      <c r="P161" s="727">
        <f>SUMIFS('Schedule 4'!$F$89:$F$649,'Schedule 4'!$I$89:$I$649,'Well Cal.'!P$3,'Schedule 4'!$J$89:$J$649,'Well Cal.'!$E161)</f>
        <v>0</v>
      </c>
      <c r="Q161" s="727">
        <f>SUMIFS('Schedule 4'!$F$89:$F$649,'Schedule 4'!$I$89:$I$649,'Well Cal.'!Q$3,'Schedule 4'!$J$89:$J$649,'Well Cal.'!$E161)</f>
        <v>0</v>
      </c>
      <c r="R161" s="727">
        <f>SUMIFS('Schedule 4'!$F$89:$F$649,'Schedule 4'!$I$89:$I$649,'Well Cal.'!R$3,'Schedule 4'!$J$89:$J$649,'Well Cal.'!$E161)</f>
        <v>0</v>
      </c>
      <c r="S161" s="727">
        <f>SUMIFS('Schedule 4'!$F$89:$F$649,'Schedule 4'!$I$89:$I$649,'Well Cal.'!S$3,'Schedule 4'!$J$89:$J$649,'Well Cal.'!$E161)</f>
        <v>0</v>
      </c>
      <c r="T161" s="727">
        <f>SUMIFS('Schedule 4'!$F$89:$F$649,'Schedule 4'!$I$89:$I$649,'Well Cal.'!T$3,'Schedule 4'!$J$89:$J$649,'Well Cal.'!$E161)</f>
        <v>0</v>
      </c>
      <c r="U161" s="727">
        <f>SUMIFS('Schedule 4'!$F$89:$F$649,'Schedule 4'!$I$89:$I$649,'Well Cal.'!U$3,'Schedule 4'!$J$89:$J$649,'Well Cal.'!$E161)</f>
        <v>0</v>
      </c>
      <c r="V161" s="727">
        <f>SUMIFS('Schedule 4'!$F$89:$F$649,'Schedule 4'!$I$89:$I$649,'Well Cal.'!V$3,'Schedule 4'!$J$89:$J$649,'Well Cal.'!$E161)</f>
        <v>2.5</v>
      </c>
      <c r="W161" s="727">
        <f>SUMIFS('Schedule 4'!$F$89:$F$649,'Schedule 4'!$I$89:$I$649,'Well Cal.'!W$3,'Schedule 4'!$J$89:$J$649,'Well Cal.'!$E161)</f>
        <v>0</v>
      </c>
      <c r="X161" s="727">
        <f>SUMIFS('Schedule 4'!$F$89:$F$649,'Schedule 4'!$I$89:$I$649,'Well Cal.'!X$3,'Schedule 4'!$J$89:$J$649,'Well Cal.'!$E161)</f>
        <v>0</v>
      </c>
      <c r="Y161" s="727">
        <f>SUMIFS('Schedule 4'!$F$89:$F$649,'Schedule 4'!$I$89:$I$649,'Well Cal.'!Y$3,'Schedule 4'!$J$89:$J$649,'Well Cal.'!$E161)</f>
        <v>0</v>
      </c>
      <c r="Z161" s="727">
        <f>SUMIFS('Schedule 4'!$F$89:$F$649,'Schedule 4'!$I$89:$I$649,'Well Cal.'!Z$3,'Schedule 4'!$J$89:$J$649,'Well Cal.'!$E161)</f>
        <v>0</v>
      </c>
      <c r="AA161" s="727"/>
      <c r="AB161" s="1714"/>
      <c r="AC161" s="1730"/>
    </row>
    <row r="162" spans="2:41" x14ac:dyDescent="0.3">
      <c r="B162" s="1724"/>
      <c r="C162" s="1727"/>
      <c r="D162" s="1721"/>
      <c r="E162" s="775" t="s">
        <v>3666</v>
      </c>
      <c r="F162" s="727">
        <f>SUMIFS('Schedule 4'!$F$89:$F$649,'Schedule 4'!$I$89:$I$649,'Well Cal.'!F$3,'Schedule 4'!$J$89:$J$649,'Well Cal.'!$E162)</f>
        <v>0</v>
      </c>
      <c r="G162" s="727">
        <f>SUMIFS('Schedule 4'!$F$89:$F$649,'Schedule 4'!$I$89:$I$649,'Well Cal.'!G$3,'Schedule 4'!$J$89:$J$649,'Well Cal.'!$E162)</f>
        <v>0</v>
      </c>
      <c r="H162" s="727">
        <f>SUMIFS('Schedule 4'!$F$89:$F$649,'Schedule 4'!$I$89:$I$649,'Well Cal.'!H$3,'Schedule 4'!$J$89:$J$649,'Well Cal.'!$E162)</f>
        <v>0</v>
      </c>
      <c r="I162" s="727">
        <f>SUMIFS('Schedule 4'!$F$89:$F$649,'Schedule 4'!$I$89:$I$649,'Well Cal.'!I$3,'Schedule 4'!$J$89:$J$649,'Well Cal.'!$E162)</f>
        <v>0</v>
      </c>
      <c r="J162" s="727">
        <f>SUMIFS('Schedule 4'!$F$89:$F$649,'Schedule 4'!$I$89:$I$649,'Well Cal.'!J$3,'Schedule 4'!$J$89:$J$649,'Well Cal.'!$E162)</f>
        <v>0</v>
      </c>
      <c r="K162" s="727">
        <f>SUMIFS('Schedule 4'!$F$89:$F$649,'Schedule 4'!$I$89:$I$649,'Well Cal.'!K$3,'Schedule 4'!$J$89:$J$649,'Well Cal.'!$E162)</f>
        <v>0</v>
      </c>
      <c r="L162" s="727">
        <f>SUMIFS('Schedule 4'!$F$89:$F$649,'Schedule 4'!$I$89:$I$649,'Well Cal.'!L$3,'Schedule 4'!$J$89:$J$649,'Well Cal.'!$E162)</f>
        <v>0</v>
      </c>
      <c r="M162" s="727">
        <f>SUMIFS('Schedule 4'!$F$89:$F$649,'Schedule 4'!$I$89:$I$649,'Well Cal.'!M$3,'Schedule 4'!$J$89:$J$649,'Well Cal.'!$E162)</f>
        <v>0</v>
      </c>
      <c r="N162" s="727">
        <f>SUMIFS('Schedule 4'!$F$89:$F$649,'Schedule 4'!$I$89:$I$649,'Well Cal.'!N$3,'Schedule 4'!$J$89:$J$649,'Well Cal.'!$E162)</f>
        <v>0</v>
      </c>
      <c r="O162" s="727">
        <f>SUMIFS('Schedule 4'!$F$89:$F$649,'Schedule 4'!$I$89:$I$649,'Well Cal.'!O$3,'Schedule 4'!$J$89:$J$649,'Well Cal.'!$E162)</f>
        <v>0</v>
      </c>
      <c r="P162" s="727">
        <f>SUMIFS('Schedule 4'!$F$89:$F$649,'Schedule 4'!$I$89:$I$649,'Well Cal.'!P$3,'Schedule 4'!$J$89:$J$649,'Well Cal.'!$E162)</f>
        <v>0</v>
      </c>
      <c r="Q162" s="727">
        <f>SUMIFS('Schedule 4'!$F$89:$F$649,'Schedule 4'!$I$89:$I$649,'Well Cal.'!Q$3,'Schedule 4'!$J$89:$J$649,'Well Cal.'!$E162)</f>
        <v>0</v>
      </c>
      <c r="R162" s="727">
        <f>SUMIFS('Schedule 4'!$F$89:$F$649,'Schedule 4'!$I$89:$I$649,'Well Cal.'!R$3,'Schedule 4'!$J$89:$J$649,'Well Cal.'!$E162)</f>
        <v>0</v>
      </c>
      <c r="S162" s="727">
        <f>SUMIFS('Schedule 4'!$F$89:$F$649,'Schedule 4'!$I$89:$I$649,'Well Cal.'!S$3,'Schedule 4'!$J$89:$J$649,'Well Cal.'!$E162)</f>
        <v>0</v>
      </c>
      <c r="T162" s="727">
        <f>SUMIFS('Schedule 4'!$F$89:$F$649,'Schedule 4'!$I$89:$I$649,'Well Cal.'!T$3,'Schedule 4'!$J$89:$J$649,'Well Cal.'!$E162)</f>
        <v>0</v>
      </c>
      <c r="U162" s="727">
        <f>SUMIFS('Schedule 4'!$F$89:$F$649,'Schedule 4'!$I$89:$I$649,'Well Cal.'!U$3,'Schedule 4'!$J$89:$J$649,'Well Cal.'!$E162)</f>
        <v>0</v>
      </c>
      <c r="V162" s="727">
        <f>SUMIFS('Schedule 4'!$F$89:$F$649,'Schedule 4'!$I$89:$I$649,'Well Cal.'!V$3,'Schedule 4'!$J$89:$J$649,'Well Cal.'!$E162)</f>
        <v>2.5</v>
      </c>
      <c r="W162" s="727">
        <f>SUMIFS('Schedule 4'!$F$89:$F$649,'Schedule 4'!$I$89:$I$649,'Well Cal.'!W$3,'Schedule 4'!$J$89:$J$649,'Well Cal.'!$E162)</f>
        <v>0</v>
      </c>
      <c r="X162" s="727">
        <f>SUMIFS('Schedule 4'!$F$89:$F$649,'Schedule 4'!$I$89:$I$649,'Well Cal.'!X$3,'Schedule 4'!$J$89:$J$649,'Well Cal.'!$E162)</f>
        <v>0</v>
      </c>
      <c r="Y162" s="727">
        <f>SUMIFS('Schedule 4'!$F$89:$F$649,'Schedule 4'!$I$89:$I$649,'Well Cal.'!Y$3,'Schedule 4'!$J$89:$J$649,'Well Cal.'!$E162)</f>
        <v>0</v>
      </c>
      <c r="Z162" s="727">
        <f>SUMIFS('Schedule 4'!$F$89:$F$649,'Schedule 4'!$I$89:$I$649,'Well Cal.'!Z$3,'Schedule 4'!$J$89:$J$649,'Well Cal.'!$E162)</f>
        <v>0</v>
      </c>
      <c r="AA162" s="727"/>
      <c r="AB162" s="1714"/>
      <c r="AC162" s="1731"/>
    </row>
    <row r="163" spans="2:41" x14ac:dyDescent="0.3">
      <c r="B163" s="1724"/>
      <c r="C163" s="1727"/>
      <c r="D163" s="1721"/>
      <c r="E163" s="775" t="s">
        <v>3797</v>
      </c>
      <c r="F163" s="727">
        <f>SUMIFS('Schedule 4'!$F$89:$F$649,'Schedule 4'!$I$89:$I$649,'Well Cal.'!F$3,'Schedule 4'!$J$89:$J$649,'Well Cal.'!$E163)</f>
        <v>0</v>
      </c>
      <c r="G163" s="727">
        <f>SUMIFS('Schedule 4'!$F$89:$F$649,'Schedule 4'!$I$89:$I$649,'Well Cal.'!G$3,'Schedule 4'!$J$89:$J$649,'Well Cal.'!$E163)</f>
        <v>0</v>
      </c>
      <c r="H163" s="727">
        <f>SUMIFS('Schedule 4'!$F$89:$F$649,'Schedule 4'!$I$89:$I$649,'Well Cal.'!H$3,'Schedule 4'!$J$89:$J$649,'Well Cal.'!$E163)</f>
        <v>0</v>
      </c>
      <c r="I163" s="727">
        <f>SUMIFS('Schedule 4'!$F$89:$F$649,'Schedule 4'!$I$89:$I$649,'Well Cal.'!I$3,'Schedule 4'!$J$89:$J$649,'Well Cal.'!$E163)</f>
        <v>0</v>
      </c>
      <c r="J163" s="727">
        <f>SUMIFS('Schedule 4'!$F$89:$F$649,'Schedule 4'!$I$89:$I$649,'Well Cal.'!J$3,'Schedule 4'!$J$89:$J$649,'Well Cal.'!$E163)</f>
        <v>0</v>
      </c>
      <c r="K163" s="727">
        <f>SUMIFS('Schedule 4'!$F$89:$F$649,'Schedule 4'!$I$89:$I$649,'Well Cal.'!K$3,'Schedule 4'!$J$89:$J$649,'Well Cal.'!$E163)</f>
        <v>0</v>
      </c>
      <c r="L163" s="727">
        <f>SUMIFS('Schedule 4'!$F$89:$F$649,'Schedule 4'!$I$89:$I$649,'Well Cal.'!L$3,'Schedule 4'!$J$89:$J$649,'Well Cal.'!$E163)</f>
        <v>0</v>
      </c>
      <c r="M163" s="727">
        <f>SUMIFS('Schedule 4'!$F$89:$F$649,'Schedule 4'!$I$89:$I$649,'Well Cal.'!M$3,'Schedule 4'!$J$89:$J$649,'Well Cal.'!$E163)</f>
        <v>0</v>
      </c>
      <c r="N163" s="727">
        <f>SUMIFS('Schedule 4'!$F$89:$F$649,'Schedule 4'!$I$89:$I$649,'Well Cal.'!N$3,'Schedule 4'!$J$89:$J$649,'Well Cal.'!$E163)</f>
        <v>0</v>
      </c>
      <c r="O163" s="727">
        <f>SUMIFS('Schedule 4'!$F$89:$F$649,'Schedule 4'!$I$89:$I$649,'Well Cal.'!O$3,'Schedule 4'!$J$89:$J$649,'Well Cal.'!$E163)</f>
        <v>0</v>
      </c>
      <c r="P163" s="727">
        <f>SUMIFS('Schedule 4'!$F$89:$F$649,'Schedule 4'!$I$89:$I$649,'Well Cal.'!P$3,'Schedule 4'!$J$89:$J$649,'Well Cal.'!$E163)</f>
        <v>0</v>
      </c>
      <c r="Q163" s="727">
        <f>SUMIFS('Schedule 4'!$F$89:$F$649,'Schedule 4'!$I$89:$I$649,'Well Cal.'!Q$3,'Schedule 4'!$J$89:$J$649,'Well Cal.'!$E163)</f>
        <v>0</v>
      </c>
      <c r="R163" s="727">
        <f>SUMIFS('Schedule 4'!$F$89:$F$649,'Schedule 4'!$I$89:$I$649,'Well Cal.'!R$3,'Schedule 4'!$J$89:$J$649,'Well Cal.'!$E163)</f>
        <v>0</v>
      </c>
      <c r="S163" s="727">
        <f>SUMIFS('Schedule 4'!$F$89:$F$649,'Schedule 4'!$I$89:$I$649,'Well Cal.'!S$3,'Schedule 4'!$J$89:$J$649,'Well Cal.'!$E163)</f>
        <v>0</v>
      </c>
      <c r="T163" s="727">
        <f>SUMIFS('Schedule 4'!$F$89:$F$649,'Schedule 4'!$I$89:$I$649,'Well Cal.'!T$3,'Schedule 4'!$J$89:$J$649,'Well Cal.'!$E163)</f>
        <v>0</v>
      </c>
      <c r="U163" s="727">
        <f>SUMIFS('Schedule 4'!$F$89:$F$649,'Schedule 4'!$I$89:$I$649,'Well Cal.'!U$3,'Schedule 4'!$J$89:$J$649,'Well Cal.'!$E163)</f>
        <v>0</v>
      </c>
      <c r="V163" s="727">
        <f>SUMIFS('Schedule 4'!$F$89:$F$649,'Schedule 4'!$I$89:$I$649,'Well Cal.'!V$3,'Schedule 4'!$J$89:$J$649,'Well Cal.'!$E163)</f>
        <v>2.5</v>
      </c>
      <c r="W163" s="727">
        <f>SUMIFS('Schedule 4'!$F$89:$F$649,'Schedule 4'!$I$89:$I$649,'Well Cal.'!W$3,'Schedule 4'!$J$89:$J$649,'Well Cal.'!$E163)</f>
        <v>0</v>
      </c>
      <c r="X163" s="727">
        <f>SUMIFS('Schedule 4'!$F$89:$F$649,'Schedule 4'!$I$89:$I$649,'Well Cal.'!X$3,'Schedule 4'!$J$89:$J$649,'Well Cal.'!$E163)</f>
        <v>0</v>
      </c>
      <c r="Y163" s="727">
        <f>SUMIFS('Schedule 4'!$F$89:$F$649,'Schedule 4'!$I$89:$I$649,'Well Cal.'!Y$3,'Schedule 4'!$J$89:$J$649,'Well Cal.'!$E163)</f>
        <v>0</v>
      </c>
      <c r="Z163" s="727">
        <f>SUMIFS('Schedule 4'!$F$89:$F$649,'Schedule 4'!$I$89:$I$649,'Well Cal.'!Z$3,'Schedule 4'!$J$89:$J$649,'Well Cal.'!$E163)</f>
        <v>0</v>
      </c>
      <c r="AA163" s="727"/>
      <c r="AB163" s="1714"/>
      <c r="AC163" s="1731"/>
    </row>
    <row r="164" spans="2:41" x14ac:dyDescent="0.3">
      <c r="B164" s="1724"/>
      <c r="C164" s="1727"/>
      <c r="D164" s="1721"/>
      <c r="E164" s="775" t="s">
        <v>3867</v>
      </c>
      <c r="F164" s="727">
        <f>SUMIFS('Schedule 4'!$F$89:$F$649,'Schedule 4'!$I$89:$I$649,'Well Cal.'!F$3,'Schedule 4'!$J$89:$J$649,'Well Cal.'!$E164)</f>
        <v>0</v>
      </c>
      <c r="G164" s="727">
        <f>SUMIFS('Schedule 4'!$F$89:$F$649,'Schedule 4'!$I$89:$I$649,'Well Cal.'!G$3,'Schedule 4'!$J$89:$J$649,'Well Cal.'!$E164)</f>
        <v>0</v>
      </c>
      <c r="H164" s="727">
        <f>SUMIFS('Schedule 4'!$F$89:$F$649,'Schedule 4'!$I$89:$I$649,'Well Cal.'!H$3,'Schedule 4'!$J$89:$J$649,'Well Cal.'!$E164)</f>
        <v>0</v>
      </c>
      <c r="I164" s="727">
        <f>SUMIFS('Schedule 4'!$F$89:$F$649,'Schedule 4'!$I$89:$I$649,'Well Cal.'!I$3,'Schedule 4'!$J$89:$J$649,'Well Cal.'!$E164)</f>
        <v>0</v>
      </c>
      <c r="J164" s="727">
        <f>SUMIFS('Schedule 4'!$F$89:$F$649,'Schedule 4'!$I$89:$I$649,'Well Cal.'!J$3,'Schedule 4'!$J$89:$J$649,'Well Cal.'!$E164)</f>
        <v>0</v>
      </c>
      <c r="K164" s="727">
        <f>SUMIFS('Schedule 4'!$F$89:$F$649,'Schedule 4'!$I$89:$I$649,'Well Cal.'!K$3,'Schedule 4'!$J$89:$J$649,'Well Cal.'!$E164)</f>
        <v>0</v>
      </c>
      <c r="L164" s="727">
        <f>SUMIFS('Schedule 4'!$F$89:$F$649,'Schedule 4'!$I$89:$I$649,'Well Cal.'!L$3,'Schedule 4'!$J$89:$J$649,'Well Cal.'!$E164)</f>
        <v>0</v>
      </c>
      <c r="M164" s="727">
        <f>SUMIFS('Schedule 4'!$F$89:$F$649,'Schedule 4'!$I$89:$I$649,'Well Cal.'!M$3,'Schedule 4'!$J$89:$J$649,'Well Cal.'!$E164)</f>
        <v>0</v>
      </c>
      <c r="N164" s="727">
        <f>SUMIFS('Schedule 4'!$F$89:$F$649,'Schedule 4'!$I$89:$I$649,'Well Cal.'!N$3,'Schedule 4'!$J$89:$J$649,'Well Cal.'!$E164)</f>
        <v>0</v>
      </c>
      <c r="O164" s="727">
        <f>SUMIFS('Schedule 4'!$F$89:$F$649,'Schedule 4'!$I$89:$I$649,'Well Cal.'!O$3,'Schedule 4'!$J$89:$J$649,'Well Cal.'!$E164)</f>
        <v>0</v>
      </c>
      <c r="P164" s="727">
        <f>SUMIFS('Schedule 4'!$F$89:$F$649,'Schedule 4'!$I$89:$I$649,'Well Cal.'!P$3,'Schedule 4'!$J$89:$J$649,'Well Cal.'!$E164)</f>
        <v>0</v>
      </c>
      <c r="Q164" s="727">
        <f>SUMIFS('Schedule 4'!$F$89:$F$649,'Schedule 4'!$I$89:$I$649,'Well Cal.'!Q$3,'Schedule 4'!$J$89:$J$649,'Well Cal.'!$E164)</f>
        <v>0</v>
      </c>
      <c r="R164" s="727">
        <f>SUMIFS('Schedule 4'!$F$89:$F$649,'Schedule 4'!$I$89:$I$649,'Well Cal.'!R$3,'Schedule 4'!$J$89:$J$649,'Well Cal.'!$E164)</f>
        <v>0</v>
      </c>
      <c r="S164" s="727">
        <f>SUMIFS('Schedule 4'!$F$89:$F$649,'Schedule 4'!$I$89:$I$649,'Well Cal.'!S$3,'Schedule 4'!$J$89:$J$649,'Well Cal.'!$E164)</f>
        <v>0</v>
      </c>
      <c r="T164" s="727">
        <f>SUMIFS('Schedule 4'!$F$89:$F$649,'Schedule 4'!$I$89:$I$649,'Well Cal.'!T$3,'Schedule 4'!$J$89:$J$649,'Well Cal.'!$E164)</f>
        <v>0</v>
      </c>
      <c r="U164" s="727">
        <f>SUMIFS('Schedule 4'!$F$89:$F$649,'Schedule 4'!$I$89:$I$649,'Well Cal.'!U$3,'Schedule 4'!$J$89:$J$649,'Well Cal.'!$E164)</f>
        <v>0</v>
      </c>
      <c r="V164" s="727">
        <f>SUMIFS('Schedule 4'!$F$89:$F$649,'Schedule 4'!$I$89:$I$649,'Well Cal.'!V$3,'Schedule 4'!$J$89:$J$649,'Well Cal.'!$E164)</f>
        <v>0</v>
      </c>
      <c r="W164" s="727">
        <f>SUMIFS('Schedule 4'!$F$89:$F$649,'Schedule 4'!$I$89:$I$649,'Well Cal.'!W$3,'Schedule 4'!$J$89:$J$649,'Well Cal.'!$E164)</f>
        <v>2.7</v>
      </c>
      <c r="X164" s="727">
        <f>SUMIFS('Schedule 4'!$F$89:$F$649,'Schedule 4'!$I$89:$I$649,'Well Cal.'!X$3,'Schedule 4'!$J$89:$J$649,'Well Cal.'!$E164)</f>
        <v>0</v>
      </c>
      <c r="Y164" s="727">
        <f>SUMIFS('Schedule 4'!$F$89:$F$649,'Schedule 4'!$I$89:$I$649,'Well Cal.'!Y$3,'Schedule 4'!$J$89:$J$649,'Well Cal.'!$E164)</f>
        <v>0</v>
      </c>
      <c r="Z164" s="727">
        <f>SUMIFS('Schedule 4'!$F$89:$F$649,'Schedule 4'!$I$89:$I$649,'Well Cal.'!Z$3,'Schedule 4'!$J$89:$J$649,'Well Cal.'!$E164)</f>
        <v>0</v>
      </c>
      <c r="AA164" s="727"/>
      <c r="AB164" s="1714"/>
      <c r="AC164" s="1731"/>
    </row>
    <row r="165" spans="2:41" x14ac:dyDescent="0.3">
      <c r="B165" s="1724"/>
      <c r="C165" s="1727"/>
      <c r="D165" s="1721"/>
      <c r="E165" s="775" t="s">
        <v>3935</v>
      </c>
      <c r="F165" s="727">
        <f>SUMIFS('Schedule 4'!$F$89:$F$649,'Schedule 4'!$I$89:$I$649,'Well Cal.'!F$3,'Schedule 4'!$J$89:$J$649,'Well Cal.'!$E165)</f>
        <v>0</v>
      </c>
      <c r="G165" s="727">
        <f>SUMIFS('Schedule 4'!$F$89:$F$649,'Schedule 4'!$I$89:$I$649,'Well Cal.'!G$3,'Schedule 4'!$J$89:$J$649,'Well Cal.'!$E165)</f>
        <v>0</v>
      </c>
      <c r="H165" s="727">
        <f>SUMIFS('Schedule 4'!$F$89:$F$649,'Schedule 4'!$I$89:$I$649,'Well Cal.'!H$3,'Schedule 4'!$J$89:$J$649,'Well Cal.'!$E165)</f>
        <v>0</v>
      </c>
      <c r="I165" s="727">
        <f>SUMIFS('Schedule 4'!$F$89:$F$649,'Schedule 4'!$I$89:$I$649,'Well Cal.'!I$3,'Schedule 4'!$J$89:$J$649,'Well Cal.'!$E165)</f>
        <v>0</v>
      </c>
      <c r="J165" s="727">
        <f>SUMIFS('Schedule 4'!$F$89:$F$649,'Schedule 4'!$I$89:$I$649,'Well Cal.'!J$3,'Schedule 4'!$J$89:$J$649,'Well Cal.'!$E165)</f>
        <v>0</v>
      </c>
      <c r="K165" s="727">
        <f>SUMIFS('Schedule 4'!$F$89:$F$649,'Schedule 4'!$I$89:$I$649,'Well Cal.'!K$3,'Schedule 4'!$J$89:$J$649,'Well Cal.'!$E165)</f>
        <v>0</v>
      </c>
      <c r="L165" s="727">
        <f>SUMIFS('Schedule 4'!$F$89:$F$649,'Schedule 4'!$I$89:$I$649,'Well Cal.'!L$3,'Schedule 4'!$J$89:$J$649,'Well Cal.'!$E165)</f>
        <v>0</v>
      </c>
      <c r="M165" s="727">
        <f>SUMIFS('Schedule 4'!$F$89:$F$649,'Schedule 4'!$I$89:$I$649,'Well Cal.'!M$3,'Schedule 4'!$J$89:$J$649,'Well Cal.'!$E165)</f>
        <v>0</v>
      </c>
      <c r="N165" s="727">
        <f>SUMIFS('Schedule 4'!$F$89:$F$649,'Schedule 4'!$I$89:$I$649,'Well Cal.'!N$3,'Schedule 4'!$J$89:$J$649,'Well Cal.'!$E165)</f>
        <v>0</v>
      </c>
      <c r="O165" s="727">
        <f>SUMIFS('Schedule 4'!$F$89:$F$649,'Schedule 4'!$I$89:$I$649,'Well Cal.'!O$3,'Schedule 4'!$J$89:$J$649,'Well Cal.'!$E165)</f>
        <v>0</v>
      </c>
      <c r="P165" s="727">
        <f>SUMIFS('Schedule 4'!$F$89:$F$649,'Schedule 4'!$I$89:$I$649,'Well Cal.'!P$3,'Schedule 4'!$J$89:$J$649,'Well Cal.'!$E165)</f>
        <v>0</v>
      </c>
      <c r="Q165" s="727">
        <f>SUMIFS('Schedule 4'!$F$89:$F$649,'Schedule 4'!$I$89:$I$649,'Well Cal.'!Q$3,'Schedule 4'!$J$89:$J$649,'Well Cal.'!$E165)</f>
        <v>0</v>
      </c>
      <c r="R165" s="727">
        <f>SUMIFS('Schedule 4'!$F$89:$F$649,'Schedule 4'!$I$89:$I$649,'Well Cal.'!R$3,'Schedule 4'!$J$89:$J$649,'Well Cal.'!$E165)</f>
        <v>0</v>
      </c>
      <c r="S165" s="727">
        <f>SUMIFS('Schedule 4'!$F$89:$F$649,'Schedule 4'!$I$89:$I$649,'Well Cal.'!S$3,'Schedule 4'!$J$89:$J$649,'Well Cal.'!$E165)</f>
        <v>0</v>
      </c>
      <c r="T165" s="727">
        <f>SUMIFS('Schedule 4'!$F$89:$F$649,'Schedule 4'!$I$89:$I$649,'Well Cal.'!T$3,'Schedule 4'!$J$89:$J$649,'Well Cal.'!$E165)</f>
        <v>0</v>
      </c>
      <c r="U165" s="727">
        <f>SUMIFS('Schedule 4'!$F$89:$F$649,'Schedule 4'!$I$89:$I$649,'Well Cal.'!U$3,'Schedule 4'!$J$89:$J$649,'Well Cal.'!$E165)</f>
        <v>0</v>
      </c>
      <c r="V165" s="727">
        <f>SUMIFS('Schedule 4'!$F$89:$F$649,'Schedule 4'!$I$89:$I$649,'Well Cal.'!V$3,'Schedule 4'!$J$89:$J$649,'Well Cal.'!$E165)</f>
        <v>0</v>
      </c>
      <c r="W165" s="727">
        <f>SUMIFS('Schedule 4'!$F$89:$F$649,'Schedule 4'!$I$89:$I$649,'Well Cal.'!W$3,'Schedule 4'!$J$89:$J$649,'Well Cal.'!$E165)</f>
        <v>2.8</v>
      </c>
      <c r="X165" s="727">
        <f>SUMIFS('Schedule 4'!$F$89:$F$649,'Schedule 4'!$I$89:$I$649,'Well Cal.'!X$3,'Schedule 4'!$J$89:$J$649,'Well Cal.'!$E165)</f>
        <v>0</v>
      </c>
      <c r="Y165" s="727">
        <f>SUMIFS('Schedule 4'!$F$89:$F$649,'Schedule 4'!$I$89:$I$649,'Well Cal.'!Y$3,'Schedule 4'!$J$89:$J$649,'Well Cal.'!$E165)</f>
        <v>0</v>
      </c>
      <c r="Z165" s="727">
        <f>SUMIFS('Schedule 4'!$F$89:$F$649,'Schedule 4'!$I$89:$I$649,'Well Cal.'!Z$3,'Schedule 4'!$J$89:$J$649,'Well Cal.'!$E165)</f>
        <v>0</v>
      </c>
      <c r="AA165" s="727"/>
      <c r="AB165" s="1714"/>
      <c r="AC165" s="1731"/>
    </row>
    <row r="166" spans="2:41" x14ac:dyDescent="0.3">
      <c r="B166" s="1724"/>
      <c r="C166" s="1727"/>
      <c r="D166" s="1721"/>
      <c r="E166" s="775" t="s">
        <v>4005</v>
      </c>
      <c r="F166" s="727">
        <f>SUMIFS('Schedule 4'!$F$89:$F$649,'Schedule 4'!$I$89:$I$649,'Well Cal.'!F$3,'Schedule 4'!$J$89:$J$649,'Well Cal.'!$E166)</f>
        <v>0</v>
      </c>
      <c r="G166" s="727">
        <f>SUMIFS('Schedule 4'!$F$89:$F$649,'Schedule 4'!$I$89:$I$649,'Well Cal.'!G$3,'Schedule 4'!$J$89:$J$649,'Well Cal.'!$E166)</f>
        <v>0</v>
      </c>
      <c r="H166" s="727">
        <f>SUMIFS('Schedule 4'!$F$89:$F$649,'Schedule 4'!$I$89:$I$649,'Well Cal.'!H$3,'Schedule 4'!$J$89:$J$649,'Well Cal.'!$E166)</f>
        <v>0</v>
      </c>
      <c r="I166" s="727">
        <f>SUMIFS('Schedule 4'!$F$89:$F$649,'Schedule 4'!$I$89:$I$649,'Well Cal.'!I$3,'Schedule 4'!$J$89:$J$649,'Well Cal.'!$E166)</f>
        <v>0</v>
      </c>
      <c r="J166" s="727">
        <f>SUMIFS('Schedule 4'!$F$89:$F$649,'Schedule 4'!$I$89:$I$649,'Well Cal.'!J$3,'Schedule 4'!$J$89:$J$649,'Well Cal.'!$E166)</f>
        <v>0</v>
      </c>
      <c r="K166" s="727">
        <f>SUMIFS('Schedule 4'!$F$89:$F$649,'Schedule 4'!$I$89:$I$649,'Well Cal.'!K$3,'Schedule 4'!$J$89:$J$649,'Well Cal.'!$E166)</f>
        <v>0</v>
      </c>
      <c r="L166" s="727">
        <f>SUMIFS('Schedule 4'!$F$89:$F$649,'Schedule 4'!$I$89:$I$649,'Well Cal.'!L$3,'Schedule 4'!$J$89:$J$649,'Well Cal.'!$E166)</f>
        <v>0</v>
      </c>
      <c r="M166" s="727">
        <f>SUMIFS('Schedule 4'!$F$89:$F$649,'Schedule 4'!$I$89:$I$649,'Well Cal.'!M$3,'Schedule 4'!$J$89:$J$649,'Well Cal.'!$E166)</f>
        <v>0</v>
      </c>
      <c r="N166" s="727">
        <f>SUMIFS('Schedule 4'!$F$89:$F$649,'Schedule 4'!$I$89:$I$649,'Well Cal.'!N$3,'Schedule 4'!$J$89:$J$649,'Well Cal.'!$E166)</f>
        <v>0</v>
      </c>
      <c r="O166" s="727">
        <f>SUMIFS('Schedule 4'!$F$89:$F$649,'Schedule 4'!$I$89:$I$649,'Well Cal.'!O$3,'Schedule 4'!$J$89:$J$649,'Well Cal.'!$E166)</f>
        <v>0</v>
      </c>
      <c r="P166" s="727">
        <f>SUMIFS('Schedule 4'!$F$89:$F$649,'Schedule 4'!$I$89:$I$649,'Well Cal.'!P$3,'Schedule 4'!$J$89:$J$649,'Well Cal.'!$E166)</f>
        <v>0</v>
      </c>
      <c r="Q166" s="727">
        <f>SUMIFS('Schedule 4'!$F$89:$F$649,'Schedule 4'!$I$89:$I$649,'Well Cal.'!Q$3,'Schedule 4'!$J$89:$J$649,'Well Cal.'!$E166)</f>
        <v>0</v>
      </c>
      <c r="R166" s="727">
        <f>SUMIFS('Schedule 4'!$F$89:$F$649,'Schedule 4'!$I$89:$I$649,'Well Cal.'!R$3,'Schedule 4'!$J$89:$J$649,'Well Cal.'!$E166)</f>
        <v>0</v>
      </c>
      <c r="S166" s="727">
        <f>SUMIFS('Schedule 4'!$F$89:$F$649,'Schedule 4'!$I$89:$I$649,'Well Cal.'!S$3,'Schedule 4'!$J$89:$J$649,'Well Cal.'!$E166)</f>
        <v>0</v>
      </c>
      <c r="T166" s="727">
        <f>SUMIFS('Schedule 4'!$F$89:$F$649,'Schedule 4'!$I$89:$I$649,'Well Cal.'!T$3,'Schedule 4'!$J$89:$J$649,'Well Cal.'!$E166)</f>
        <v>0</v>
      </c>
      <c r="U166" s="727">
        <f>SUMIFS('Schedule 4'!$F$89:$F$649,'Schedule 4'!$I$89:$I$649,'Well Cal.'!U$3,'Schedule 4'!$J$89:$J$649,'Well Cal.'!$E166)</f>
        <v>0</v>
      </c>
      <c r="V166" s="727">
        <f>SUMIFS('Schedule 4'!$F$89:$F$649,'Schedule 4'!$I$89:$I$649,'Well Cal.'!V$3,'Schedule 4'!$J$89:$J$649,'Well Cal.'!$E166)</f>
        <v>0</v>
      </c>
      <c r="W166" s="727">
        <f>SUMIFS('Schedule 4'!$F$89:$F$649,'Schedule 4'!$I$89:$I$649,'Well Cal.'!W$3,'Schedule 4'!$J$89:$J$649,'Well Cal.'!$E166)</f>
        <v>2.5</v>
      </c>
      <c r="X166" s="727">
        <f>SUMIFS('Schedule 4'!$F$89:$F$649,'Schedule 4'!$I$89:$I$649,'Well Cal.'!X$3,'Schedule 4'!$J$89:$J$649,'Well Cal.'!$E166)</f>
        <v>0</v>
      </c>
      <c r="Y166" s="727">
        <f>SUMIFS('Schedule 4'!$F$89:$F$649,'Schedule 4'!$I$89:$I$649,'Well Cal.'!Y$3,'Schedule 4'!$J$89:$J$649,'Well Cal.'!$E166)</f>
        <v>0</v>
      </c>
      <c r="Z166" s="727">
        <f>SUMIFS('Schedule 4'!$F$89:$F$649,'Schedule 4'!$I$89:$I$649,'Well Cal.'!Z$3,'Schedule 4'!$J$89:$J$649,'Well Cal.'!$E166)</f>
        <v>0</v>
      </c>
      <c r="AA166" s="727"/>
      <c r="AB166" s="1714"/>
      <c r="AC166" s="1731"/>
    </row>
    <row r="167" spans="2:41" x14ac:dyDescent="0.3">
      <c r="B167" s="1724"/>
      <c r="C167" s="1727"/>
      <c r="D167" s="1721"/>
      <c r="E167" s="775" t="s">
        <v>4081</v>
      </c>
      <c r="F167" s="727">
        <f>SUMIFS('Schedule 4'!$F$89:$F$649,'Schedule 4'!$I$89:$I$649,'Well Cal.'!F$3,'Schedule 4'!$J$89:$J$649,'Well Cal.'!$E167)</f>
        <v>0</v>
      </c>
      <c r="G167" s="727">
        <f>SUMIFS('Schedule 4'!$F$89:$F$649,'Schedule 4'!$I$89:$I$649,'Well Cal.'!G$3,'Schedule 4'!$J$89:$J$649,'Well Cal.'!$E167)</f>
        <v>0</v>
      </c>
      <c r="H167" s="727">
        <f>SUMIFS('Schedule 4'!$F$89:$F$649,'Schedule 4'!$I$89:$I$649,'Well Cal.'!H$3,'Schedule 4'!$J$89:$J$649,'Well Cal.'!$E167)</f>
        <v>0</v>
      </c>
      <c r="I167" s="727">
        <f>SUMIFS('Schedule 4'!$F$89:$F$649,'Schedule 4'!$I$89:$I$649,'Well Cal.'!I$3,'Schedule 4'!$J$89:$J$649,'Well Cal.'!$E167)</f>
        <v>0</v>
      </c>
      <c r="J167" s="727">
        <f>SUMIFS('Schedule 4'!$F$89:$F$649,'Schedule 4'!$I$89:$I$649,'Well Cal.'!J$3,'Schedule 4'!$J$89:$J$649,'Well Cal.'!$E167)</f>
        <v>0</v>
      </c>
      <c r="K167" s="727">
        <f>SUMIFS('Schedule 4'!$F$89:$F$649,'Schedule 4'!$I$89:$I$649,'Well Cal.'!K$3,'Schedule 4'!$J$89:$J$649,'Well Cal.'!$E167)</f>
        <v>0</v>
      </c>
      <c r="L167" s="727">
        <f>SUMIFS('Schedule 4'!$F$89:$F$649,'Schedule 4'!$I$89:$I$649,'Well Cal.'!L$3,'Schedule 4'!$J$89:$J$649,'Well Cal.'!$E167)</f>
        <v>0</v>
      </c>
      <c r="M167" s="727">
        <f>SUMIFS('Schedule 4'!$F$89:$F$649,'Schedule 4'!$I$89:$I$649,'Well Cal.'!M$3,'Schedule 4'!$J$89:$J$649,'Well Cal.'!$E167)</f>
        <v>0</v>
      </c>
      <c r="N167" s="727">
        <f>SUMIFS('Schedule 4'!$F$89:$F$649,'Schedule 4'!$I$89:$I$649,'Well Cal.'!N$3,'Schedule 4'!$J$89:$J$649,'Well Cal.'!$E167)</f>
        <v>0</v>
      </c>
      <c r="O167" s="727">
        <f>SUMIFS('Schedule 4'!$F$89:$F$649,'Schedule 4'!$I$89:$I$649,'Well Cal.'!O$3,'Schedule 4'!$J$89:$J$649,'Well Cal.'!$E167)</f>
        <v>0</v>
      </c>
      <c r="P167" s="727">
        <f>SUMIFS('Schedule 4'!$F$89:$F$649,'Schedule 4'!$I$89:$I$649,'Well Cal.'!P$3,'Schedule 4'!$J$89:$J$649,'Well Cal.'!$E167)</f>
        <v>0</v>
      </c>
      <c r="Q167" s="727">
        <f>SUMIFS('Schedule 4'!$F$89:$F$649,'Schedule 4'!$I$89:$I$649,'Well Cal.'!Q$3,'Schedule 4'!$J$89:$J$649,'Well Cal.'!$E167)</f>
        <v>0</v>
      </c>
      <c r="R167" s="727">
        <f>SUMIFS('Schedule 4'!$F$89:$F$649,'Schedule 4'!$I$89:$I$649,'Well Cal.'!R$3,'Schedule 4'!$J$89:$J$649,'Well Cal.'!$E167)</f>
        <v>0</v>
      </c>
      <c r="S167" s="727">
        <f>SUMIFS('Schedule 4'!$F$89:$F$649,'Schedule 4'!$I$89:$I$649,'Well Cal.'!S$3,'Schedule 4'!$J$89:$J$649,'Well Cal.'!$E167)</f>
        <v>0</v>
      </c>
      <c r="T167" s="727">
        <f>SUMIFS('Schedule 4'!$F$89:$F$649,'Schedule 4'!$I$89:$I$649,'Well Cal.'!T$3,'Schedule 4'!$J$89:$J$649,'Well Cal.'!$E167)</f>
        <v>0</v>
      </c>
      <c r="U167" s="727">
        <f>SUMIFS('Schedule 4'!$F$89:$F$649,'Schedule 4'!$I$89:$I$649,'Well Cal.'!U$3,'Schedule 4'!$J$89:$J$649,'Well Cal.'!$E167)</f>
        <v>0</v>
      </c>
      <c r="V167" s="727">
        <f>SUMIFS('Schedule 4'!$F$89:$F$649,'Schedule 4'!$I$89:$I$649,'Well Cal.'!V$3,'Schedule 4'!$J$89:$J$649,'Well Cal.'!$E167)</f>
        <v>0</v>
      </c>
      <c r="W167" s="727">
        <f>SUMIFS('Schedule 4'!$F$89:$F$649,'Schedule 4'!$I$89:$I$649,'Well Cal.'!W$3,'Schedule 4'!$J$89:$J$649,'Well Cal.'!$E167)</f>
        <v>0</v>
      </c>
      <c r="X167" s="727">
        <f>SUMIFS('Schedule 4'!$F$89:$F$649,'Schedule 4'!$I$89:$I$649,'Well Cal.'!X$3,'Schedule 4'!$J$89:$J$649,'Well Cal.'!$E167)</f>
        <v>2.5</v>
      </c>
      <c r="Y167" s="727">
        <f>SUMIFS('Schedule 4'!$F$89:$F$649,'Schedule 4'!$I$89:$I$649,'Well Cal.'!Y$3,'Schedule 4'!$J$89:$J$649,'Well Cal.'!$E167)</f>
        <v>0</v>
      </c>
      <c r="Z167" s="727">
        <f>SUMIFS('Schedule 4'!$F$89:$F$649,'Schedule 4'!$I$89:$I$649,'Well Cal.'!Z$3,'Schedule 4'!$J$89:$J$649,'Well Cal.'!$E167)</f>
        <v>0</v>
      </c>
      <c r="AA167" s="727"/>
      <c r="AB167" s="1714"/>
      <c r="AC167" s="1731"/>
    </row>
    <row r="168" spans="2:41" x14ac:dyDescent="0.3">
      <c r="B168" s="1724"/>
      <c r="C168" s="1727"/>
      <c r="D168" s="1721"/>
      <c r="E168" s="775" t="s">
        <v>4151</v>
      </c>
      <c r="F168" s="727">
        <f>SUMIFS('Schedule 4'!$F$89:$F$649,'Schedule 4'!$I$89:$I$649,'Well Cal.'!F$3,'Schedule 4'!$J$89:$J$649,'Well Cal.'!$E168)</f>
        <v>0</v>
      </c>
      <c r="G168" s="727">
        <f>SUMIFS('Schedule 4'!$F$89:$F$649,'Schedule 4'!$I$89:$I$649,'Well Cal.'!G$3,'Schedule 4'!$J$89:$J$649,'Well Cal.'!$E168)</f>
        <v>0</v>
      </c>
      <c r="H168" s="727">
        <f>SUMIFS('Schedule 4'!$F$89:$F$649,'Schedule 4'!$I$89:$I$649,'Well Cal.'!H$3,'Schedule 4'!$J$89:$J$649,'Well Cal.'!$E168)</f>
        <v>0</v>
      </c>
      <c r="I168" s="727">
        <f>SUMIFS('Schedule 4'!$F$89:$F$649,'Schedule 4'!$I$89:$I$649,'Well Cal.'!I$3,'Schedule 4'!$J$89:$J$649,'Well Cal.'!$E168)</f>
        <v>0</v>
      </c>
      <c r="J168" s="727">
        <f>SUMIFS('Schedule 4'!$F$89:$F$649,'Schedule 4'!$I$89:$I$649,'Well Cal.'!J$3,'Schedule 4'!$J$89:$J$649,'Well Cal.'!$E168)</f>
        <v>0</v>
      </c>
      <c r="K168" s="727">
        <f>SUMIFS('Schedule 4'!$F$89:$F$649,'Schedule 4'!$I$89:$I$649,'Well Cal.'!K$3,'Schedule 4'!$J$89:$J$649,'Well Cal.'!$E168)</f>
        <v>0</v>
      </c>
      <c r="L168" s="727">
        <f>SUMIFS('Schedule 4'!$F$89:$F$649,'Schedule 4'!$I$89:$I$649,'Well Cal.'!L$3,'Schedule 4'!$J$89:$J$649,'Well Cal.'!$E168)</f>
        <v>0</v>
      </c>
      <c r="M168" s="727">
        <f>SUMIFS('Schedule 4'!$F$89:$F$649,'Schedule 4'!$I$89:$I$649,'Well Cal.'!M$3,'Schedule 4'!$J$89:$J$649,'Well Cal.'!$E168)</f>
        <v>0</v>
      </c>
      <c r="N168" s="727">
        <f>SUMIFS('Schedule 4'!$F$89:$F$649,'Schedule 4'!$I$89:$I$649,'Well Cal.'!N$3,'Schedule 4'!$J$89:$J$649,'Well Cal.'!$E168)</f>
        <v>0</v>
      </c>
      <c r="O168" s="727">
        <f>SUMIFS('Schedule 4'!$F$89:$F$649,'Schedule 4'!$I$89:$I$649,'Well Cal.'!O$3,'Schedule 4'!$J$89:$J$649,'Well Cal.'!$E168)</f>
        <v>0</v>
      </c>
      <c r="P168" s="727">
        <f>SUMIFS('Schedule 4'!$F$89:$F$649,'Schedule 4'!$I$89:$I$649,'Well Cal.'!P$3,'Schedule 4'!$J$89:$J$649,'Well Cal.'!$E168)</f>
        <v>0</v>
      </c>
      <c r="Q168" s="727">
        <f>SUMIFS('Schedule 4'!$F$89:$F$649,'Schedule 4'!$I$89:$I$649,'Well Cal.'!Q$3,'Schedule 4'!$J$89:$J$649,'Well Cal.'!$E168)</f>
        <v>0</v>
      </c>
      <c r="R168" s="727">
        <f>SUMIFS('Schedule 4'!$F$89:$F$649,'Schedule 4'!$I$89:$I$649,'Well Cal.'!R$3,'Schedule 4'!$J$89:$J$649,'Well Cal.'!$E168)</f>
        <v>0</v>
      </c>
      <c r="S168" s="727">
        <f>SUMIFS('Schedule 4'!$F$89:$F$649,'Schedule 4'!$I$89:$I$649,'Well Cal.'!S$3,'Schedule 4'!$J$89:$J$649,'Well Cal.'!$E168)</f>
        <v>0</v>
      </c>
      <c r="T168" s="727">
        <f>SUMIFS('Schedule 4'!$F$89:$F$649,'Schedule 4'!$I$89:$I$649,'Well Cal.'!T$3,'Schedule 4'!$J$89:$J$649,'Well Cal.'!$E168)</f>
        <v>0</v>
      </c>
      <c r="U168" s="727">
        <f>SUMIFS('Schedule 4'!$F$89:$F$649,'Schedule 4'!$I$89:$I$649,'Well Cal.'!U$3,'Schedule 4'!$J$89:$J$649,'Well Cal.'!$E168)</f>
        <v>0</v>
      </c>
      <c r="V168" s="727">
        <f>SUMIFS('Schedule 4'!$F$89:$F$649,'Schedule 4'!$I$89:$I$649,'Well Cal.'!V$3,'Schedule 4'!$J$89:$J$649,'Well Cal.'!$E168)</f>
        <v>0</v>
      </c>
      <c r="W168" s="727">
        <f>SUMIFS('Schedule 4'!$F$89:$F$649,'Schedule 4'!$I$89:$I$649,'Well Cal.'!W$3,'Schedule 4'!$J$89:$J$649,'Well Cal.'!$E168)</f>
        <v>0</v>
      </c>
      <c r="X168" s="727">
        <f>SUMIFS('Schedule 4'!$F$89:$F$649,'Schedule 4'!$I$89:$I$649,'Well Cal.'!X$3,'Schedule 4'!$J$89:$J$649,'Well Cal.'!$E168)</f>
        <v>2.5</v>
      </c>
      <c r="Y168" s="727">
        <f>SUMIFS('Schedule 4'!$F$89:$F$649,'Schedule 4'!$I$89:$I$649,'Well Cal.'!Y$3,'Schedule 4'!$J$89:$J$649,'Well Cal.'!$E168)</f>
        <v>0</v>
      </c>
      <c r="Z168" s="727">
        <f>SUMIFS('Schedule 4'!$F$89:$F$649,'Schedule 4'!$I$89:$I$649,'Well Cal.'!Z$3,'Schedule 4'!$J$89:$J$649,'Well Cal.'!$E168)</f>
        <v>0</v>
      </c>
      <c r="AA168" s="727"/>
      <c r="AB168" s="1714"/>
      <c r="AC168" s="1731"/>
    </row>
    <row r="169" spans="2:41" x14ac:dyDescent="0.3">
      <c r="B169" s="1724"/>
      <c r="C169" s="1727"/>
      <c r="D169" s="1721"/>
      <c r="E169" s="775" t="s">
        <v>4226</v>
      </c>
      <c r="F169" s="727">
        <f>SUMIFS('Schedule 4'!$F$89:$F$649,'Schedule 4'!$I$89:$I$649,'Well Cal.'!F$3,'Schedule 4'!$J$89:$J$649,'Well Cal.'!$E169)</f>
        <v>0</v>
      </c>
      <c r="G169" s="727">
        <f>SUMIFS('Schedule 4'!$F$89:$F$649,'Schedule 4'!$I$89:$I$649,'Well Cal.'!G$3,'Schedule 4'!$J$89:$J$649,'Well Cal.'!$E169)</f>
        <v>0</v>
      </c>
      <c r="H169" s="727">
        <f>SUMIFS('Schedule 4'!$F$89:$F$649,'Schedule 4'!$I$89:$I$649,'Well Cal.'!H$3,'Schedule 4'!$J$89:$J$649,'Well Cal.'!$E169)</f>
        <v>0</v>
      </c>
      <c r="I169" s="727">
        <f>SUMIFS('Schedule 4'!$F$89:$F$649,'Schedule 4'!$I$89:$I$649,'Well Cal.'!I$3,'Schedule 4'!$J$89:$J$649,'Well Cal.'!$E169)</f>
        <v>0</v>
      </c>
      <c r="J169" s="727">
        <f>SUMIFS('Schedule 4'!$F$89:$F$649,'Schedule 4'!$I$89:$I$649,'Well Cal.'!J$3,'Schedule 4'!$J$89:$J$649,'Well Cal.'!$E169)</f>
        <v>0</v>
      </c>
      <c r="K169" s="727">
        <f>SUMIFS('Schedule 4'!$F$89:$F$649,'Schedule 4'!$I$89:$I$649,'Well Cal.'!K$3,'Schedule 4'!$J$89:$J$649,'Well Cal.'!$E169)</f>
        <v>0</v>
      </c>
      <c r="L169" s="727">
        <f>SUMIFS('Schedule 4'!$F$89:$F$649,'Schedule 4'!$I$89:$I$649,'Well Cal.'!L$3,'Schedule 4'!$J$89:$J$649,'Well Cal.'!$E169)</f>
        <v>0</v>
      </c>
      <c r="M169" s="727">
        <f>SUMIFS('Schedule 4'!$F$89:$F$649,'Schedule 4'!$I$89:$I$649,'Well Cal.'!M$3,'Schedule 4'!$J$89:$J$649,'Well Cal.'!$E169)</f>
        <v>0</v>
      </c>
      <c r="N169" s="727">
        <f>SUMIFS('Schedule 4'!$F$89:$F$649,'Schedule 4'!$I$89:$I$649,'Well Cal.'!N$3,'Schedule 4'!$J$89:$J$649,'Well Cal.'!$E169)</f>
        <v>0</v>
      </c>
      <c r="O169" s="727">
        <f>SUMIFS('Schedule 4'!$F$89:$F$649,'Schedule 4'!$I$89:$I$649,'Well Cal.'!O$3,'Schedule 4'!$J$89:$J$649,'Well Cal.'!$E169)</f>
        <v>0</v>
      </c>
      <c r="P169" s="727">
        <f>SUMIFS('Schedule 4'!$F$89:$F$649,'Schedule 4'!$I$89:$I$649,'Well Cal.'!P$3,'Schedule 4'!$J$89:$J$649,'Well Cal.'!$E169)</f>
        <v>0</v>
      </c>
      <c r="Q169" s="727">
        <f>SUMIFS('Schedule 4'!$F$89:$F$649,'Schedule 4'!$I$89:$I$649,'Well Cal.'!Q$3,'Schedule 4'!$J$89:$J$649,'Well Cal.'!$E169)</f>
        <v>0</v>
      </c>
      <c r="R169" s="727">
        <f>SUMIFS('Schedule 4'!$F$89:$F$649,'Schedule 4'!$I$89:$I$649,'Well Cal.'!R$3,'Schedule 4'!$J$89:$J$649,'Well Cal.'!$E169)</f>
        <v>0</v>
      </c>
      <c r="S169" s="727">
        <f>SUMIFS('Schedule 4'!$F$89:$F$649,'Schedule 4'!$I$89:$I$649,'Well Cal.'!S$3,'Schedule 4'!$J$89:$J$649,'Well Cal.'!$E169)</f>
        <v>0</v>
      </c>
      <c r="T169" s="727">
        <f>SUMIFS('Schedule 4'!$F$89:$F$649,'Schedule 4'!$I$89:$I$649,'Well Cal.'!T$3,'Schedule 4'!$J$89:$J$649,'Well Cal.'!$E169)</f>
        <v>0</v>
      </c>
      <c r="U169" s="727">
        <f>SUMIFS('Schedule 4'!$F$89:$F$649,'Schedule 4'!$I$89:$I$649,'Well Cal.'!U$3,'Schedule 4'!$J$89:$J$649,'Well Cal.'!$E169)</f>
        <v>0</v>
      </c>
      <c r="V169" s="727">
        <f>SUMIFS('Schedule 4'!$F$89:$F$649,'Schedule 4'!$I$89:$I$649,'Well Cal.'!V$3,'Schedule 4'!$J$89:$J$649,'Well Cal.'!$E169)</f>
        <v>0</v>
      </c>
      <c r="W169" s="727">
        <f>SUMIFS('Schedule 4'!$F$89:$F$649,'Schedule 4'!$I$89:$I$649,'Well Cal.'!W$3,'Schedule 4'!$J$89:$J$649,'Well Cal.'!$E169)</f>
        <v>0</v>
      </c>
      <c r="X169" s="727">
        <f>SUMIFS('Schedule 4'!$F$89:$F$649,'Schedule 4'!$I$89:$I$649,'Well Cal.'!X$3,'Schedule 4'!$J$89:$J$649,'Well Cal.'!$E169)</f>
        <v>0</v>
      </c>
      <c r="Y169" s="727">
        <f>SUMIFS('Schedule 4'!$F$89:$F$649,'Schedule 4'!$I$89:$I$649,'Well Cal.'!Y$3,'Schedule 4'!$J$89:$J$649,'Well Cal.'!$E169)</f>
        <v>2.5</v>
      </c>
      <c r="Z169" s="727">
        <f>SUMIFS('Schedule 4'!$F$89:$F$649,'Schedule 4'!$I$89:$I$649,'Well Cal.'!Z$3,'Schedule 4'!$J$89:$J$649,'Well Cal.'!$E169)</f>
        <v>0</v>
      </c>
      <c r="AA169" s="727"/>
      <c r="AB169" s="1714"/>
      <c r="AC169" s="1731"/>
    </row>
    <row r="170" spans="2:41" x14ac:dyDescent="0.3">
      <c r="B170" s="1724"/>
      <c r="C170" s="1727"/>
      <c r="D170" s="1721"/>
      <c r="E170" s="775" t="s">
        <v>4296</v>
      </c>
      <c r="F170" s="727">
        <f>SUMIFS('Schedule 4'!$F$89:$F$649,'Schedule 4'!$I$89:$I$649,'Well Cal.'!F$3,'Schedule 4'!$J$89:$J$649,'Well Cal.'!$E170)</f>
        <v>0</v>
      </c>
      <c r="G170" s="727">
        <f>SUMIFS('Schedule 4'!$F$89:$F$649,'Schedule 4'!$I$89:$I$649,'Well Cal.'!G$3,'Schedule 4'!$J$89:$J$649,'Well Cal.'!$E170)</f>
        <v>0</v>
      </c>
      <c r="H170" s="727">
        <f>SUMIFS('Schedule 4'!$F$89:$F$649,'Schedule 4'!$I$89:$I$649,'Well Cal.'!H$3,'Schedule 4'!$J$89:$J$649,'Well Cal.'!$E170)</f>
        <v>0</v>
      </c>
      <c r="I170" s="727">
        <f>SUMIFS('Schedule 4'!$F$89:$F$649,'Schedule 4'!$I$89:$I$649,'Well Cal.'!I$3,'Schedule 4'!$J$89:$J$649,'Well Cal.'!$E170)</f>
        <v>0</v>
      </c>
      <c r="J170" s="727">
        <f>SUMIFS('Schedule 4'!$F$89:$F$649,'Schedule 4'!$I$89:$I$649,'Well Cal.'!J$3,'Schedule 4'!$J$89:$J$649,'Well Cal.'!$E170)</f>
        <v>0</v>
      </c>
      <c r="K170" s="727">
        <f>SUMIFS('Schedule 4'!$F$89:$F$649,'Schedule 4'!$I$89:$I$649,'Well Cal.'!K$3,'Schedule 4'!$J$89:$J$649,'Well Cal.'!$E170)</f>
        <v>0</v>
      </c>
      <c r="L170" s="727">
        <f>SUMIFS('Schedule 4'!$F$89:$F$649,'Schedule 4'!$I$89:$I$649,'Well Cal.'!L$3,'Schedule 4'!$J$89:$J$649,'Well Cal.'!$E170)</f>
        <v>0</v>
      </c>
      <c r="M170" s="727">
        <f>SUMIFS('Schedule 4'!$F$89:$F$649,'Schedule 4'!$I$89:$I$649,'Well Cal.'!M$3,'Schedule 4'!$J$89:$J$649,'Well Cal.'!$E170)</f>
        <v>0</v>
      </c>
      <c r="N170" s="727">
        <f>SUMIFS('Schedule 4'!$F$89:$F$649,'Schedule 4'!$I$89:$I$649,'Well Cal.'!N$3,'Schedule 4'!$J$89:$J$649,'Well Cal.'!$E170)</f>
        <v>0</v>
      </c>
      <c r="O170" s="727">
        <f>SUMIFS('Schedule 4'!$F$89:$F$649,'Schedule 4'!$I$89:$I$649,'Well Cal.'!O$3,'Schedule 4'!$J$89:$J$649,'Well Cal.'!$E170)</f>
        <v>0</v>
      </c>
      <c r="P170" s="727">
        <f>SUMIFS('Schedule 4'!$F$89:$F$649,'Schedule 4'!$I$89:$I$649,'Well Cal.'!P$3,'Schedule 4'!$J$89:$J$649,'Well Cal.'!$E170)</f>
        <v>0</v>
      </c>
      <c r="Q170" s="727">
        <f>SUMIFS('Schedule 4'!$F$89:$F$649,'Schedule 4'!$I$89:$I$649,'Well Cal.'!Q$3,'Schedule 4'!$J$89:$J$649,'Well Cal.'!$E170)</f>
        <v>0</v>
      </c>
      <c r="R170" s="727">
        <f>SUMIFS('Schedule 4'!$F$89:$F$649,'Schedule 4'!$I$89:$I$649,'Well Cal.'!R$3,'Schedule 4'!$J$89:$J$649,'Well Cal.'!$E170)</f>
        <v>0</v>
      </c>
      <c r="S170" s="727">
        <f>SUMIFS('Schedule 4'!$F$89:$F$649,'Schedule 4'!$I$89:$I$649,'Well Cal.'!S$3,'Schedule 4'!$J$89:$J$649,'Well Cal.'!$E170)</f>
        <v>0</v>
      </c>
      <c r="T170" s="727">
        <f>SUMIFS('Schedule 4'!$F$89:$F$649,'Schedule 4'!$I$89:$I$649,'Well Cal.'!T$3,'Schedule 4'!$J$89:$J$649,'Well Cal.'!$E170)</f>
        <v>0</v>
      </c>
      <c r="U170" s="727">
        <f>SUMIFS('Schedule 4'!$F$89:$F$649,'Schedule 4'!$I$89:$I$649,'Well Cal.'!U$3,'Schedule 4'!$J$89:$J$649,'Well Cal.'!$E170)</f>
        <v>0</v>
      </c>
      <c r="V170" s="727">
        <f>SUMIFS('Schedule 4'!$F$89:$F$649,'Schedule 4'!$I$89:$I$649,'Well Cal.'!V$3,'Schedule 4'!$J$89:$J$649,'Well Cal.'!$E170)</f>
        <v>0</v>
      </c>
      <c r="W170" s="727">
        <f>SUMIFS('Schedule 4'!$F$89:$F$649,'Schedule 4'!$I$89:$I$649,'Well Cal.'!W$3,'Schedule 4'!$J$89:$J$649,'Well Cal.'!$E170)</f>
        <v>0</v>
      </c>
      <c r="X170" s="727">
        <f>SUMIFS('Schedule 4'!$F$89:$F$649,'Schedule 4'!$I$89:$I$649,'Well Cal.'!X$3,'Schedule 4'!$J$89:$J$649,'Well Cal.'!$E170)</f>
        <v>0</v>
      </c>
      <c r="Y170" s="727">
        <f>SUMIFS('Schedule 4'!$F$89:$F$649,'Schedule 4'!$I$89:$I$649,'Well Cal.'!Y$3,'Schedule 4'!$J$89:$J$649,'Well Cal.'!$E170)</f>
        <v>2.5</v>
      </c>
      <c r="Z170" s="727">
        <f>SUMIFS('Schedule 4'!$F$89:$F$649,'Schedule 4'!$I$89:$I$649,'Well Cal.'!Z$3,'Schedule 4'!$J$89:$J$649,'Well Cal.'!$E170)</f>
        <v>0</v>
      </c>
      <c r="AA170" s="727"/>
      <c r="AB170" s="1714"/>
      <c r="AC170" s="1731"/>
    </row>
    <row r="171" spans="2:41" x14ac:dyDescent="0.3">
      <c r="B171" s="1725"/>
      <c r="C171" s="1728"/>
      <c r="D171" s="1722"/>
      <c r="E171" s="776"/>
      <c r="F171" s="777"/>
      <c r="G171" s="777"/>
      <c r="H171" s="777"/>
      <c r="I171" s="777"/>
      <c r="J171" s="777"/>
      <c r="K171" s="777"/>
      <c r="L171" s="777"/>
      <c r="M171" s="777"/>
      <c r="N171" s="777"/>
      <c r="O171" s="777"/>
      <c r="P171" s="777"/>
      <c r="Q171" s="777"/>
      <c r="R171" s="777"/>
      <c r="S171" s="777"/>
      <c r="T171" s="777"/>
      <c r="U171" s="777"/>
      <c r="V171" s="777"/>
      <c r="W171" s="777"/>
      <c r="X171" s="777"/>
      <c r="Y171" s="777"/>
      <c r="Z171" s="777"/>
      <c r="AA171" s="777"/>
      <c r="AB171" s="1715"/>
      <c r="AC171" s="1732"/>
    </row>
    <row r="172" spans="2:41" s="481" customFormat="1" x14ac:dyDescent="0.3">
      <c r="B172" s="1707" t="s">
        <v>1903</v>
      </c>
      <c r="C172" s="1710"/>
      <c r="D172" s="1713">
        <f>SUMIFS('Schedule 4'!$F$89:$F$649,'Schedule 4'!$K$89:$K$649,'Well Cal.'!$B172)</f>
        <v>11.575000000000001</v>
      </c>
      <c r="E172" s="1097" t="s">
        <v>3165</v>
      </c>
      <c r="F172" s="1098">
        <f>SUMIFS('Schedule 4'!$F$89:$F$649,'Schedule 4'!$I$89:$I$649,'Well Cal.'!F$3,'Schedule 4'!$J$89:$J$649,'Well Cal.'!$E172)</f>
        <v>0</v>
      </c>
      <c r="G172" s="1098">
        <f>SUMIFS('Schedule 4'!$F$89:$F$649,'Schedule 4'!$I$89:$I$649,'Well Cal.'!G$3,'Schedule 4'!$J$89:$J$649,'Well Cal.'!$E172)</f>
        <v>0</v>
      </c>
      <c r="H172" s="1098">
        <f>SUMIFS('Schedule 4'!$F$89:$F$649,'Schedule 4'!$I$89:$I$649,'Well Cal.'!H$3,'Schedule 4'!$J$89:$J$649,'Well Cal.'!$E172)</f>
        <v>0</v>
      </c>
      <c r="I172" s="1098">
        <f>SUMIFS('Schedule 4'!$F$89:$F$649,'Schedule 4'!$I$89:$I$649,'Well Cal.'!I$3,'Schedule 4'!$J$89:$J$649,'Well Cal.'!$E172)</f>
        <v>4.4800000000000004</v>
      </c>
      <c r="J172" s="1098">
        <f>SUMIFS('Schedule 4'!$F$89:$F$649,'Schedule 4'!$I$89:$I$649,'Well Cal.'!J$3,'Schedule 4'!$J$89:$J$649,'Well Cal.'!$E172)</f>
        <v>0</v>
      </c>
      <c r="K172" s="1098">
        <f>SUMIFS('Schedule 4'!$F$89:$F$649,'Schedule 4'!$I$89:$I$649,'Well Cal.'!K$3,'Schedule 4'!$J$89:$J$649,'Well Cal.'!$E172)</f>
        <v>0</v>
      </c>
      <c r="L172" s="1098">
        <f>SUMIFS('Schedule 4'!$F$89:$F$649,'Schedule 4'!$I$89:$I$649,'Well Cal.'!L$3,'Schedule 4'!$J$89:$J$649,'Well Cal.'!$E172)</f>
        <v>0</v>
      </c>
      <c r="M172" s="1098">
        <f>SUMIFS('Schedule 4'!$F$89:$F$649,'Schedule 4'!$I$89:$I$649,'Well Cal.'!M$3,'Schedule 4'!$J$89:$J$649,'Well Cal.'!$E172)</f>
        <v>0</v>
      </c>
      <c r="N172" s="1098">
        <f>SUMIFS('Schedule 4'!$F$89:$F$649,'Schedule 4'!$I$89:$I$649,'Well Cal.'!N$3,'Schedule 4'!$J$89:$J$649,'Well Cal.'!$E172)</f>
        <v>0</v>
      </c>
      <c r="O172" s="1098">
        <f>SUMIFS('Schedule 4'!$F$89:$F$649,'Schedule 4'!$I$89:$I$649,'Well Cal.'!O$3,'Schedule 4'!$J$89:$J$649,'Well Cal.'!$E172)</f>
        <v>0</v>
      </c>
      <c r="P172" s="1098">
        <f>SUMIFS('Schedule 4'!$F$89:$F$649,'Schedule 4'!$I$89:$I$649,'Well Cal.'!P$3,'Schedule 4'!$J$89:$J$649,'Well Cal.'!$E172)</f>
        <v>0</v>
      </c>
      <c r="Q172" s="1098">
        <f>SUMIFS('Schedule 4'!$F$89:$F$649,'Schedule 4'!$I$89:$I$649,'Well Cal.'!Q$3,'Schedule 4'!$J$89:$J$649,'Well Cal.'!$E172)</f>
        <v>0</v>
      </c>
      <c r="R172" s="1098">
        <f>SUMIFS('Schedule 4'!$F$89:$F$649,'Schedule 4'!$I$89:$I$649,'Well Cal.'!R$3,'Schedule 4'!$J$89:$J$649,'Well Cal.'!$E172)</f>
        <v>0</v>
      </c>
      <c r="S172" s="1098">
        <f>SUMIFS('Schedule 4'!$F$89:$F$649,'Schedule 4'!$I$89:$I$649,'Well Cal.'!S$3,'Schedule 4'!$J$89:$J$649,'Well Cal.'!$E172)</f>
        <v>0</v>
      </c>
      <c r="T172" s="1107">
        <f>SUMIFS('Schedule 4'!$F$89:$F$649,'Schedule 4'!$I$89:$I$649,'Well Cal.'!T$3,'Schedule 4'!$J$89:$J$649,'Well Cal.'!$E172)</f>
        <v>-2.7</v>
      </c>
      <c r="U172" s="1107">
        <f>SUMIFS('Schedule 4'!$F$89:$F$649,'Schedule 4'!$I$89:$I$649,'Well Cal.'!U$3,'Schedule 4'!$J$89:$J$649,'Well Cal.'!$E172)</f>
        <v>0</v>
      </c>
      <c r="V172" s="1107">
        <f>SUMIFS('Schedule 4'!$F$89:$F$649,'Schedule 4'!$I$89:$I$649,'Well Cal.'!V$3,'Schedule 4'!$J$89:$J$649,'Well Cal.'!$E172)</f>
        <v>0</v>
      </c>
      <c r="W172" s="1107">
        <f>SUMIFS('Schedule 4'!$F$89:$F$649,'Schedule 4'!$I$89:$I$649,'Well Cal.'!W$3,'Schedule 4'!$J$89:$J$649,'Well Cal.'!$E172)</f>
        <v>0</v>
      </c>
      <c r="X172" s="1107">
        <f>SUMIFS('Schedule 4'!$F$89:$F$649,'Schedule 4'!$I$89:$I$649,'Well Cal.'!X$3,'Schedule 4'!$J$89:$J$649,'Well Cal.'!$E172)</f>
        <v>0</v>
      </c>
      <c r="Y172" s="1107">
        <f>SUMIFS('Schedule 4'!$F$89:$F$649,'Schedule 4'!$I$89:$I$649,'Well Cal.'!Y$3,'Schedule 4'!$J$89:$J$649,'Well Cal.'!$E172)</f>
        <v>0</v>
      </c>
      <c r="Z172" s="1107">
        <f>SUMIFS('Schedule 4'!$F$89:$F$649,'Schedule 4'!$I$89:$I$649,'Well Cal.'!Z$3,'Schedule 4'!$J$89:$J$649,'Well Cal.'!$E172)</f>
        <v>0</v>
      </c>
      <c r="AA172" s="1107"/>
      <c r="AB172" s="1716">
        <f>SUM(F172:AA180)</f>
        <v>9.5750000000000011</v>
      </c>
      <c r="AC172" s="1716">
        <f>D172-AB172</f>
        <v>2</v>
      </c>
      <c r="AE172" s="132"/>
      <c r="AF172" s="62"/>
      <c r="AG172" s="62"/>
      <c r="AH172" s="62"/>
      <c r="AI172" s="1099"/>
      <c r="AJ172" s="1099"/>
      <c r="AK172" s="1099"/>
      <c r="AL172" s="1099"/>
      <c r="AN172" s="1099"/>
      <c r="AO172" s="1099"/>
    </row>
    <row r="173" spans="2:41" s="481" customFormat="1" x14ac:dyDescent="0.3">
      <c r="B173" s="1708"/>
      <c r="C173" s="1711"/>
      <c r="D173" s="1714"/>
      <c r="E173" s="1100" t="s">
        <v>3255</v>
      </c>
      <c r="F173" s="1101">
        <f>SUMIFS('Schedule 4'!$F$89:$F$649,'Schedule 4'!$I$89:$I$649,'Well Cal.'!F$3,'Schedule 4'!$J$89:$J$649,'Well Cal.'!$E173)</f>
        <v>0</v>
      </c>
      <c r="G173" s="1101">
        <f>SUMIFS('Schedule 4'!$F$89:$F$649,'Schedule 4'!$I$89:$I$649,'Well Cal.'!G$3,'Schedule 4'!$J$89:$J$649,'Well Cal.'!$E173)</f>
        <v>0</v>
      </c>
      <c r="H173" s="1101">
        <f>SUMIFS('Schedule 4'!$F$89:$F$649,'Schedule 4'!$I$89:$I$649,'Well Cal.'!H$3,'Schedule 4'!$J$89:$J$649,'Well Cal.'!$E173)</f>
        <v>0</v>
      </c>
      <c r="I173" s="1101">
        <f>SUMIFS('Schedule 4'!$F$89:$F$649,'Schedule 4'!$I$89:$I$649,'Well Cal.'!I$3,'Schedule 4'!$J$89:$J$649,'Well Cal.'!$E173)</f>
        <v>0</v>
      </c>
      <c r="J173" s="1101">
        <f>SUMIFS('Schedule 4'!$F$89:$F$649,'Schedule 4'!$I$89:$I$649,'Well Cal.'!J$3,'Schedule 4'!$J$89:$J$649,'Well Cal.'!$E173)</f>
        <v>2.4750000000000001</v>
      </c>
      <c r="K173" s="1101">
        <f>SUMIFS('Schedule 4'!$F$89:$F$649,'Schedule 4'!$I$89:$I$649,'Well Cal.'!K$3,'Schedule 4'!$J$89:$J$649,'Well Cal.'!$E173)</f>
        <v>0</v>
      </c>
      <c r="L173" s="1101">
        <f>SUMIFS('Schedule 4'!$F$89:$F$649,'Schedule 4'!$I$89:$I$649,'Well Cal.'!L$3,'Schedule 4'!$J$89:$J$649,'Well Cal.'!$E173)</f>
        <v>0</v>
      </c>
      <c r="M173" s="1101">
        <f>SUMIFS('Schedule 4'!$F$89:$F$649,'Schedule 4'!$I$89:$I$649,'Well Cal.'!M$3,'Schedule 4'!$J$89:$J$649,'Well Cal.'!$E173)</f>
        <v>0</v>
      </c>
      <c r="N173" s="1101">
        <f>SUMIFS('Schedule 4'!$F$89:$F$649,'Schedule 4'!$I$89:$I$649,'Well Cal.'!N$3,'Schedule 4'!$J$89:$J$649,'Well Cal.'!$E173)</f>
        <v>0</v>
      </c>
      <c r="O173" s="1101">
        <f>SUMIFS('Schedule 4'!$F$89:$F$649,'Schedule 4'!$I$89:$I$649,'Well Cal.'!O$3,'Schedule 4'!$J$89:$J$649,'Well Cal.'!$E173)</f>
        <v>0</v>
      </c>
      <c r="P173" s="1101">
        <f>SUMIFS('Schedule 4'!$F$89:$F$649,'Schedule 4'!$I$89:$I$649,'Well Cal.'!P$3,'Schedule 4'!$J$89:$J$649,'Well Cal.'!$E173)</f>
        <v>0</v>
      </c>
      <c r="Q173" s="1101">
        <f>SUMIFS('Schedule 4'!$F$89:$F$649,'Schedule 4'!$I$89:$I$649,'Well Cal.'!Q$3,'Schedule 4'!$J$89:$J$649,'Well Cal.'!$E173)</f>
        <v>0</v>
      </c>
      <c r="R173" s="1101">
        <f>SUMIFS('Schedule 4'!$F$89:$F$649,'Schedule 4'!$I$89:$I$649,'Well Cal.'!R$3,'Schedule 4'!$J$89:$J$649,'Well Cal.'!$E173)</f>
        <v>0</v>
      </c>
      <c r="S173" s="1101">
        <f>SUMIFS('Schedule 4'!$F$89:$F$649,'Schedule 4'!$I$89:$I$649,'Well Cal.'!S$3,'Schedule 4'!$J$89:$J$649,'Well Cal.'!$E173)</f>
        <v>0</v>
      </c>
      <c r="T173" s="1107">
        <f>SUMIFS('Schedule 4'!$F$89:$F$649,'Schedule 4'!$I$89:$I$649,'Well Cal.'!T$3,'Schedule 4'!$J$89:$J$649,'Well Cal.'!$E173)</f>
        <v>-2.5</v>
      </c>
      <c r="U173" s="1107">
        <f>SUMIFS('Schedule 4'!$F$89:$F$649,'Schedule 4'!$I$89:$I$649,'Well Cal.'!U$3,'Schedule 4'!$J$89:$J$649,'Well Cal.'!$E173)</f>
        <v>0</v>
      </c>
      <c r="V173" s="1107">
        <f>SUMIFS('Schedule 4'!$F$89:$F$649,'Schedule 4'!$I$89:$I$649,'Well Cal.'!V$3,'Schedule 4'!$J$89:$J$649,'Well Cal.'!$E173)</f>
        <v>0</v>
      </c>
      <c r="W173" s="1107">
        <f>SUMIFS('Schedule 4'!$F$89:$F$649,'Schedule 4'!$I$89:$I$649,'Well Cal.'!W$3,'Schedule 4'!$J$89:$J$649,'Well Cal.'!$E173)</f>
        <v>0</v>
      </c>
      <c r="X173" s="1107">
        <f>SUMIFS('Schedule 4'!$F$89:$F$649,'Schedule 4'!$I$89:$I$649,'Well Cal.'!X$3,'Schedule 4'!$J$89:$J$649,'Well Cal.'!$E173)</f>
        <v>0</v>
      </c>
      <c r="Y173" s="1107">
        <f>SUMIFS('Schedule 4'!$F$89:$F$649,'Schedule 4'!$I$89:$I$649,'Well Cal.'!Y$3,'Schedule 4'!$J$89:$J$649,'Well Cal.'!$E173)</f>
        <v>0</v>
      </c>
      <c r="Z173" s="1107">
        <f>SUMIFS('Schedule 4'!$F$89:$F$649,'Schedule 4'!$I$89:$I$649,'Well Cal.'!Z$3,'Schedule 4'!$J$89:$J$649,'Well Cal.'!$E173)</f>
        <v>0</v>
      </c>
      <c r="AA173" s="1107"/>
      <c r="AB173" s="1717"/>
      <c r="AC173" s="1717"/>
      <c r="AF173" s="1099"/>
      <c r="AG173" s="1099"/>
      <c r="AH173" s="1099"/>
      <c r="AI173" s="1099"/>
      <c r="AJ173" s="1099"/>
      <c r="AK173" s="1099"/>
      <c r="AL173" s="1099"/>
      <c r="AN173" s="1099"/>
      <c r="AO173" s="1099"/>
    </row>
    <row r="174" spans="2:41" s="481" customFormat="1" x14ac:dyDescent="0.3">
      <c r="B174" s="1708"/>
      <c r="C174" s="1711"/>
      <c r="D174" s="1714"/>
      <c r="E174" s="1100" t="s">
        <v>3326</v>
      </c>
      <c r="F174" s="1101">
        <f>SUMIFS('Schedule 4'!$F$89:$F$649,'Schedule 4'!$I$89:$I$649,'Well Cal.'!F$3,'Schedule 4'!$J$89:$J$649,'Well Cal.'!$E174)</f>
        <v>0</v>
      </c>
      <c r="G174" s="1101">
        <f>SUMIFS('Schedule 4'!$F$89:$F$649,'Schedule 4'!$I$89:$I$649,'Well Cal.'!G$3,'Schedule 4'!$J$89:$J$649,'Well Cal.'!$E174)</f>
        <v>0</v>
      </c>
      <c r="H174" s="1101">
        <f>SUMIFS('Schedule 4'!$F$89:$F$649,'Schedule 4'!$I$89:$I$649,'Well Cal.'!H$3,'Schedule 4'!$J$89:$J$649,'Well Cal.'!$E174)</f>
        <v>0</v>
      </c>
      <c r="I174" s="1101">
        <f>SUMIFS('Schedule 4'!$F$89:$F$649,'Schedule 4'!$I$89:$I$649,'Well Cal.'!I$3,'Schedule 4'!$J$89:$J$649,'Well Cal.'!$E174)</f>
        <v>0</v>
      </c>
      <c r="J174" s="1101">
        <f>SUMIFS('Schedule 4'!$F$89:$F$649,'Schedule 4'!$I$89:$I$649,'Well Cal.'!J$3,'Schedule 4'!$J$89:$J$649,'Well Cal.'!$E174)</f>
        <v>2.5</v>
      </c>
      <c r="K174" s="1101">
        <f>SUMIFS('Schedule 4'!$F$89:$F$649,'Schedule 4'!$I$89:$I$649,'Well Cal.'!K$3,'Schedule 4'!$J$89:$J$649,'Well Cal.'!$E174)</f>
        <v>0</v>
      </c>
      <c r="L174" s="1101">
        <f>SUMIFS('Schedule 4'!$F$89:$F$649,'Schedule 4'!$I$89:$I$649,'Well Cal.'!L$3,'Schedule 4'!$J$89:$J$649,'Well Cal.'!$E174)</f>
        <v>0</v>
      </c>
      <c r="M174" s="1101">
        <f>SUMIFS('Schedule 4'!$F$89:$F$649,'Schedule 4'!$I$89:$I$649,'Well Cal.'!M$3,'Schedule 4'!$J$89:$J$649,'Well Cal.'!$E174)</f>
        <v>0</v>
      </c>
      <c r="N174" s="1101">
        <f>SUMIFS('Schedule 4'!$F$89:$F$649,'Schedule 4'!$I$89:$I$649,'Well Cal.'!N$3,'Schedule 4'!$J$89:$J$649,'Well Cal.'!$E174)</f>
        <v>0</v>
      </c>
      <c r="O174" s="1101">
        <f>SUMIFS('Schedule 4'!$F$89:$F$649,'Schedule 4'!$I$89:$I$649,'Well Cal.'!O$3,'Schedule 4'!$J$89:$J$649,'Well Cal.'!$E174)</f>
        <v>0</v>
      </c>
      <c r="P174" s="1101">
        <f>SUMIFS('Schedule 4'!$F$89:$F$649,'Schedule 4'!$I$89:$I$649,'Well Cal.'!P$3,'Schedule 4'!$J$89:$J$649,'Well Cal.'!$E174)</f>
        <v>0</v>
      </c>
      <c r="Q174" s="1101">
        <f>SUMIFS('Schedule 4'!$F$89:$F$649,'Schedule 4'!$I$89:$I$649,'Well Cal.'!Q$3,'Schedule 4'!$J$89:$J$649,'Well Cal.'!$E174)</f>
        <v>0</v>
      </c>
      <c r="R174" s="1101">
        <f>SUMIFS('Schedule 4'!$F$89:$F$649,'Schedule 4'!$I$89:$I$649,'Well Cal.'!R$3,'Schedule 4'!$J$89:$J$649,'Well Cal.'!$E174)</f>
        <v>0</v>
      </c>
      <c r="S174" s="1101">
        <f>SUMIFS('Schedule 4'!$F$89:$F$649,'Schedule 4'!$I$89:$I$649,'Well Cal.'!S$3,'Schedule 4'!$J$89:$J$649,'Well Cal.'!$E174)</f>
        <v>0</v>
      </c>
      <c r="T174" s="1107">
        <f>SUMIFS('Schedule 4'!$F$89:$F$649,'Schedule 4'!$I$89:$I$649,'Well Cal.'!T$3,'Schedule 4'!$J$89:$J$649,'Well Cal.'!$E174)</f>
        <v>-1</v>
      </c>
      <c r="U174" s="1107">
        <f>SUMIFS('Schedule 4'!$F$89:$F$649,'Schedule 4'!$I$89:$I$649,'Well Cal.'!U$3,'Schedule 4'!$J$89:$J$649,'Well Cal.'!$E174)</f>
        <v>0</v>
      </c>
      <c r="V174" s="1107">
        <f>SUMIFS('Schedule 4'!$F$89:$F$649,'Schedule 4'!$I$89:$I$649,'Well Cal.'!V$3,'Schedule 4'!$J$89:$J$649,'Well Cal.'!$E174)</f>
        <v>0</v>
      </c>
      <c r="W174" s="1107">
        <f>SUMIFS('Schedule 4'!$F$89:$F$649,'Schedule 4'!$I$89:$I$649,'Well Cal.'!W$3,'Schedule 4'!$J$89:$J$649,'Well Cal.'!$E174)</f>
        <v>0</v>
      </c>
      <c r="X174" s="1107">
        <f>SUMIFS('Schedule 4'!$F$89:$F$649,'Schedule 4'!$I$89:$I$649,'Well Cal.'!X$3,'Schedule 4'!$J$89:$J$649,'Well Cal.'!$E174)</f>
        <v>0</v>
      </c>
      <c r="Y174" s="1107">
        <f>SUMIFS('Schedule 4'!$F$89:$F$649,'Schedule 4'!$I$89:$I$649,'Well Cal.'!Y$3,'Schedule 4'!$J$89:$J$649,'Well Cal.'!$E174)</f>
        <v>0</v>
      </c>
      <c r="Z174" s="1107">
        <f>SUMIFS('Schedule 4'!$F$89:$F$649,'Schedule 4'!$I$89:$I$649,'Well Cal.'!Z$3,'Schedule 4'!$J$89:$J$649,'Well Cal.'!$E174)</f>
        <v>0</v>
      </c>
      <c r="AA174" s="1107"/>
      <c r="AB174" s="1717"/>
      <c r="AC174" s="1717"/>
      <c r="AF174" s="1099"/>
      <c r="AG174" s="1099"/>
      <c r="AH174" s="1099"/>
      <c r="AI174" s="1099"/>
      <c r="AJ174" s="1099"/>
      <c r="AK174" s="1099"/>
      <c r="AL174" s="1099"/>
      <c r="AN174" s="1099"/>
      <c r="AO174" s="1099"/>
    </row>
    <row r="175" spans="2:41" s="481" customFormat="1" x14ac:dyDescent="0.3">
      <c r="B175" s="1708"/>
      <c r="C175" s="1711"/>
      <c r="D175" s="1714"/>
      <c r="E175" s="1102" t="s">
        <v>3397</v>
      </c>
      <c r="F175" s="1103">
        <f>SUMIFS('Schedule 4'!$F$89:$F$649,'Schedule 4'!$I$89:$I$649,'Well Cal.'!F$3,'Schedule 4'!$J$89:$J$649,'Well Cal.'!$E175)</f>
        <v>0</v>
      </c>
      <c r="G175" s="1103">
        <f>SUMIFS('Schedule 4'!$F$89:$F$649,'Schedule 4'!$I$89:$I$649,'Well Cal.'!G$3,'Schedule 4'!$J$89:$J$649,'Well Cal.'!$E175)</f>
        <v>0</v>
      </c>
      <c r="H175" s="1103">
        <f>SUMIFS('Schedule 4'!$F$89:$F$649,'Schedule 4'!$I$89:$I$649,'Well Cal.'!H$3,'Schedule 4'!$J$89:$J$649,'Well Cal.'!$E175)</f>
        <v>0</v>
      </c>
      <c r="I175" s="1103">
        <f>SUMIFS('Schedule 4'!$F$89:$F$649,'Schedule 4'!$I$89:$I$649,'Well Cal.'!I$3,'Schedule 4'!$J$89:$J$649,'Well Cal.'!$E175)</f>
        <v>0</v>
      </c>
      <c r="J175" s="1103">
        <f>SUMIFS('Schedule 4'!$F$89:$F$649,'Schedule 4'!$I$89:$I$649,'Well Cal.'!J$3,'Schedule 4'!$J$89:$J$649,'Well Cal.'!$E175)</f>
        <v>2.3199999999999998</v>
      </c>
      <c r="K175" s="1103">
        <f>SUMIFS('Schedule 4'!$F$89:$F$649,'Schedule 4'!$I$89:$I$649,'Well Cal.'!K$3,'Schedule 4'!$J$89:$J$649,'Well Cal.'!$E175)</f>
        <v>0</v>
      </c>
      <c r="L175" s="1103">
        <f>SUMIFS('Schedule 4'!$F$89:$F$649,'Schedule 4'!$I$89:$I$649,'Well Cal.'!L$3,'Schedule 4'!$J$89:$J$649,'Well Cal.'!$E175)</f>
        <v>0</v>
      </c>
      <c r="M175" s="1103">
        <f>SUMIFS('Schedule 4'!$F$89:$F$649,'Schedule 4'!$I$89:$I$649,'Well Cal.'!M$3,'Schedule 4'!$J$89:$J$649,'Well Cal.'!$E175)</f>
        <v>0</v>
      </c>
      <c r="N175" s="1103">
        <f>SUMIFS('Schedule 4'!$F$89:$F$649,'Schedule 4'!$I$89:$I$649,'Well Cal.'!N$3,'Schedule 4'!$J$89:$J$649,'Well Cal.'!$E175)</f>
        <v>0</v>
      </c>
      <c r="O175" s="1103">
        <f>SUMIFS('Schedule 4'!$F$89:$F$649,'Schedule 4'!$I$89:$I$649,'Well Cal.'!O$3,'Schedule 4'!$J$89:$J$649,'Well Cal.'!$E175)</f>
        <v>0</v>
      </c>
      <c r="P175" s="1103">
        <f>SUMIFS('Schedule 4'!$F$89:$F$649,'Schedule 4'!$I$89:$I$649,'Well Cal.'!P$3,'Schedule 4'!$J$89:$J$649,'Well Cal.'!$E175)</f>
        <v>0</v>
      </c>
      <c r="Q175" s="1103">
        <f>SUMIFS('Schedule 4'!$F$89:$F$649,'Schedule 4'!$I$89:$I$649,'Well Cal.'!Q$3,'Schedule 4'!$J$89:$J$649,'Well Cal.'!$E175)</f>
        <v>0</v>
      </c>
      <c r="R175" s="1103">
        <f>SUMIFS('Schedule 4'!$F$89:$F$649,'Schedule 4'!$I$89:$I$649,'Well Cal.'!R$3,'Schedule 4'!$J$89:$J$649,'Well Cal.'!$E175)</f>
        <v>0</v>
      </c>
      <c r="S175" s="1103">
        <f>SUMIFS('Schedule 4'!$F$89:$F$649,'Schedule 4'!$I$89:$I$649,'Well Cal.'!S$3,'Schedule 4'!$J$89:$J$649,'Well Cal.'!$E175)</f>
        <v>0</v>
      </c>
      <c r="T175" s="1107">
        <f>SUMIFS('Schedule 4'!$F$89:$F$649,'Schedule 4'!$I$89:$I$649,'Well Cal.'!T$3,'Schedule 4'!$J$89:$J$649,'Well Cal.'!$E175)</f>
        <v>-1</v>
      </c>
      <c r="U175" s="1107">
        <f>SUMIFS('Schedule 4'!$F$89:$F$649,'Schedule 4'!$I$89:$I$649,'Well Cal.'!U$3,'Schedule 4'!$J$89:$J$649,'Well Cal.'!$E175)</f>
        <v>0</v>
      </c>
      <c r="V175" s="1107">
        <f>SUMIFS('Schedule 4'!$F$89:$F$649,'Schedule 4'!$I$89:$I$649,'Well Cal.'!V$3,'Schedule 4'!$J$89:$J$649,'Well Cal.'!$E175)</f>
        <v>0</v>
      </c>
      <c r="W175" s="1107">
        <f>SUMIFS('Schedule 4'!$F$89:$F$649,'Schedule 4'!$I$89:$I$649,'Well Cal.'!W$3,'Schedule 4'!$J$89:$J$649,'Well Cal.'!$E175)</f>
        <v>0</v>
      </c>
      <c r="X175" s="1107">
        <f>SUMIFS('Schedule 4'!$F$89:$F$649,'Schedule 4'!$I$89:$I$649,'Well Cal.'!X$3,'Schedule 4'!$J$89:$J$649,'Well Cal.'!$E175)</f>
        <v>0</v>
      </c>
      <c r="Y175" s="1107">
        <f>SUMIFS('Schedule 4'!$F$89:$F$649,'Schedule 4'!$I$89:$I$649,'Well Cal.'!Y$3,'Schedule 4'!$J$89:$J$649,'Well Cal.'!$E175)</f>
        <v>0</v>
      </c>
      <c r="Z175" s="1107">
        <f>SUMIFS('Schedule 4'!$F$89:$F$649,'Schedule 4'!$I$89:$I$649,'Well Cal.'!Z$3,'Schedule 4'!$J$89:$J$649,'Well Cal.'!$E175)</f>
        <v>0</v>
      </c>
      <c r="AA175" s="1107"/>
      <c r="AB175" s="1717"/>
      <c r="AC175" s="1717"/>
      <c r="AF175" s="1099"/>
      <c r="AG175" s="1099"/>
      <c r="AH175" s="1099"/>
      <c r="AI175" s="1099"/>
      <c r="AJ175" s="1099"/>
      <c r="AK175" s="1099"/>
      <c r="AL175" s="1099"/>
      <c r="AN175" s="1099"/>
      <c r="AO175" s="1099"/>
    </row>
    <row r="176" spans="2:41" s="481" customFormat="1" x14ac:dyDescent="0.3">
      <c r="B176" s="1708"/>
      <c r="C176" s="1711"/>
      <c r="D176" s="1714"/>
      <c r="E176" s="1102" t="s">
        <v>3474</v>
      </c>
      <c r="F176" s="1103">
        <f>SUMIFS('Schedule 4'!$F$89:$F$649,'Schedule 4'!$I$89:$I$649,'Well Cal.'!F$3,'Schedule 4'!$J$89:$J$649,'Well Cal.'!$E176)</f>
        <v>0</v>
      </c>
      <c r="G176" s="1103">
        <f>SUMIFS('Schedule 4'!$F$89:$F$649,'Schedule 4'!$I$89:$I$649,'Well Cal.'!G$3,'Schedule 4'!$J$89:$J$649,'Well Cal.'!$E176)</f>
        <v>0</v>
      </c>
      <c r="H176" s="1103">
        <f>SUMIFS('Schedule 4'!$F$89:$F$649,'Schedule 4'!$I$89:$I$649,'Well Cal.'!H$3,'Schedule 4'!$J$89:$J$649,'Well Cal.'!$E176)</f>
        <v>0</v>
      </c>
      <c r="I176" s="1103">
        <f>SUMIFS('Schedule 4'!$F$89:$F$649,'Schedule 4'!$I$89:$I$649,'Well Cal.'!I$3,'Schedule 4'!$J$89:$J$649,'Well Cal.'!$E176)</f>
        <v>0</v>
      </c>
      <c r="J176" s="1103">
        <f>SUMIFS('Schedule 4'!$F$89:$F$649,'Schedule 4'!$I$89:$I$649,'Well Cal.'!J$3,'Schedule 4'!$J$89:$J$649,'Well Cal.'!$E176)</f>
        <v>2.5</v>
      </c>
      <c r="K176" s="1103">
        <f>SUMIFS('Schedule 4'!$F$89:$F$649,'Schedule 4'!$I$89:$I$649,'Well Cal.'!K$3,'Schedule 4'!$J$89:$J$649,'Well Cal.'!$E176)</f>
        <v>0</v>
      </c>
      <c r="L176" s="1103">
        <f>SUMIFS('Schedule 4'!$F$89:$F$649,'Schedule 4'!$I$89:$I$649,'Well Cal.'!L$3,'Schedule 4'!$J$89:$J$649,'Well Cal.'!$E176)</f>
        <v>0</v>
      </c>
      <c r="M176" s="1103">
        <f>SUMIFS('Schedule 4'!$F$89:$F$649,'Schedule 4'!$I$89:$I$649,'Well Cal.'!M$3,'Schedule 4'!$J$89:$J$649,'Well Cal.'!$E176)</f>
        <v>0</v>
      </c>
      <c r="N176" s="1103">
        <f>SUMIFS('Schedule 4'!$F$89:$F$649,'Schedule 4'!$I$89:$I$649,'Well Cal.'!N$3,'Schedule 4'!$J$89:$J$649,'Well Cal.'!$E176)</f>
        <v>0</v>
      </c>
      <c r="O176" s="1103">
        <f>SUMIFS('Schedule 4'!$F$89:$F$649,'Schedule 4'!$I$89:$I$649,'Well Cal.'!O$3,'Schedule 4'!$J$89:$J$649,'Well Cal.'!$E176)</f>
        <v>0</v>
      </c>
      <c r="P176" s="1103">
        <f>SUMIFS('Schedule 4'!$F$89:$F$649,'Schedule 4'!$I$89:$I$649,'Well Cal.'!P$3,'Schedule 4'!$J$89:$J$649,'Well Cal.'!$E176)</f>
        <v>0</v>
      </c>
      <c r="Q176" s="1103">
        <f>SUMIFS('Schedule 4'!$F$89:$F$649,'Schedule 4'!$I$89:$I$649,'Well Cal.'!Q$3,'Schedule 4'!$J$89:$J$649,'Well Cal.'!$E176)</f>
        <v>0</v>
      </c>
      <c r="R176" s="1103">
        <f>SUMIFS('Schedule 4'!$F$89:$F$649,'Schedule 4'!$I$89:$I$649,'Well Cal.'!R$3,'Schedule 4'!$J$89:$J$649,'Well Cal.'!$E176)</f>
        <v>0</v>
      </c>
      <c r="S176" s="1103">
        <f>SUMIFS('Schedule 4'!$F$89:$F$649,'Schedule 4'!$I$89:$I$649,'Well Cal.'!S$3,'Schedule 4'!$J$89:$J$649,'Well Cal.'!$E176)</f>
        <v>0</v>
      </c>
      <c r="T176" s="1107">
        <f>SUMIFS('Schedule 4'!$F$89:$F$649,'Schedule 4'!$I$89:$I$649,'Well Cal.'!T$3,'Schedule 4'!$J$89:$J$649,'Well Cal.'!$E176)</f>
        <v>-1</v>
      </c>
      <c r="U176" s="1107">
        <f>SUMIFS('Schedule 4'!$F$89:$F$649,'Schedule 4'!$I$89:$I$649,'Well Cal.'!U$3,'Schedule 4'!$J$89:$J$649,'Well Cal.'!$E176)</f>
        <v>0</v>
      </c>
      <c r="V176" s="1107">
        <f>SUMIFS('Schedule 4'!$F$89:$F$649,'Schedule 4'!$I$89:$I$649,'Well Cal.'!V$3,'Schedule 4'!$J$89:$J$649,'Well Cal.'!$E176)</f>
        <v>0</v>
      </c>
      <c r="W176" s="1107">
        <f>SUMIFS('Schedule 4'!$F$89:$F$649,'Schedule 4'!$I$89:$I$649,'Well Cal.'!W$3,'Schedule 4'!$J$89:$J$649,'Well Cal.'!$E176)</f>
        <v>0</v>
      </c>
      <c r="X176" s="1107">
        <f>SUMIFS('Schedule 4'!$F$89:$F$649,'Schedule 4'!$I$89:$I$649,'Well Cal.'!X$3,'Schedule 4'!$J$89:$J$649,'Well Cal.'!$E176)</f>
        <v>0</v>
      </c>
      <c r="Y176" s="1107">
        <f>SUMIFS('Schedule 4'!$F$89:$F$649,'Schedule 4'!$I$89:$I$649,'Well Cal.'!Y$3,'Schedule 4'!$J$89:$J$649,'Well Cal.'!$E176)</f>
        <v>0</v>
      </c>
      <c r="Z176" s="1107">
        <f>SUMIFS('Schedule 4'!$F$89:$F$649,'Schedule 4'!$I$89:$I$649,'Well Cal.'!Z$3,'Schedule 4'!$J$89:$J$649,'Well Cal.'!$E176)</f>
        <v>0</v>
      </c>
      <c r="AA176" s="1107"/>
      <c r="AB176" s="1717"/>
      <c r="AC176" s="1717"/>
      <c r="AF176" s="1099"/>
      <c r="AG176" s="1099"/>
      <c r="AH176" s="1099"/>
      <c r="AI176" s="1099"/>
      <c r="AJ176" s="1099"/>
      <c r="AK176" s="1099"/>
      <c r="AL176" s="1099"/>
      <c r="AN176" s="1099"/>
      <c r="AO176" s="1099"/>
    </row>
    <row r="177" spans="2:41" s="481" customFormat="1" x14ac:dyDescent="0.3">
      <c r="B177" s="1708"/>
      <c r="C177" s="1711"/>
      <c r="D177" s="1714"/>
      <c r="E177" s="1102" t="s">
        <v>3560</v>
      </c>
      <c r="F177" s="1103">
        <f>SUMIFS('Schedule 4'!$F$89:$F$649,'Schedule 4'!$I$89:$I$649,'Well Cal.'!F$3,'Schedule 4'!$J$89:$J$649,'Well Cal.'!$E177)</f>
        <v>0</v>
      </c>
      <c r="G177" s="1103">
        <f>SUMIFS('Schedule 4'!$F$89:$F$649,'Schedule 4'!$I$89:$I$649,'Well Cal.'!G$3,'Schedule 4'!$J$89:$J$649,'Well Cal.'!$E177)</f>
        <v>0</v>
      </c>
      <c r="H177" s="1103">
        <f>SUMIFS('Schedule 4'!$F$89:$F$649,'Schedule 4'!$I$89:$I$649,'Well Cal.'!H$3,'Schedule 4'!$J$89:$J$649,'Well Cal.'!$E177)</f>
        <v>0</v>
      </c>
      <c r="I177" s="1103">
        <f>SUMIFS('Schedule 4'!$F$89:$F$649,'Schedule 4'!$I$89:$I$649,'Well Cal.'!I$3,'Schedule 4'!$J$89:$J$649,'Well Cal.'!$E177)</f>
        <v>0</v>
      </c>
      <c r="J177" s="1103">
        <f>SUMIFS('Schedule 4'!$F$89:$F$649,'Schedule 4'!$I$89:$I$649,'Well Cal.'!J$3,'Schedule 4'!$J$89:$J$649,'Well Cal.'!$E177)</f>
        <v>0</v>
      </c>
      <c r="K177" s="1103">
        <f>SUMIFS('Schedule 4'!$F$89:$F$649,'Schedule 4'!$I$89:$I$649,'Well Cal.'!K$3,'Schedule 4'!$J$89:$J$649,'Well Cal.'!$E177)</f>
        <v>2.4</v>
      </c>
      <c r="L177" s="1103">
        <f>SUMIFS('Schedule 4'!$F$89:$F$649,'Schedule 4'!$I$89:$I$649,'Well Cal.'!L$3,'Schedule 4'!$J$89:$J$649,'Well Cal.'!$E177)</f>
        <v>0</v>
      </c>
      <c r="M177" s="1103">
        <f>SUMIFS('Schedule 4'!$F$89:$F$649,'Schedule 4'!$I$89:$I$649,'Well Cal.'!M$3,'Schedule 4'!$J$89:$J$649,'Well Cal.'!$E177)</f>
        <v>0</v>
      </c>
      <c r="N177" s="1103">
        <f>SUMIFS('Schedule 4'!$F$89:$F$649,'Schedule 4'!$I$89:$I$649,'Well Cal.'!N$3,'Schedule 4'!$J$89:$J$649,'Well Cal.'!$E177)</f>
        <v>0</v>
      </c>
      <c r="O177" s="1103">
        <f>SUMIFS('Schedule 4'!$F$89:$F$649,'Schedule 4'!$I$89:$I$649,'Well Cal.'!O$3,'Schedule 4'!$J$89:$J$649,'Well Cal.'!$E177)</f>
        <v>0</v>
      </c>
      <c r="P177" s="1103">
        <f>SUMIFS('Schedule 4'!$F$89:$F$649,'Schedule 4'!$I$89:$I$649,'Well Cal.'!P$3,'Schedule 4'!$J$89:$J$649,'Well Cal.'!$E177)</f>
        <v>0</v>
      </c>
      <c r="Q177" s="1103">
        <f>SUMIFS('Schedule 4'!$F$89:$F$649,'Schedule 4'!$I$89:$I$649,'Well Cal.'!Q$3,'Schedule 4'!$J$89:$J$649,'Well Cal.'!$E177)</f>
        <v>0</v>
      </c>
      <c r="R177" s="1103">
        <f>SUMIFS('Schedule 4'!$F$89:$F$649,'Schedule 4'!$I$89:$I$649,'Well Cal.'!R$3,'Schedule 4'!$J$89:$J$649,'Well Cal.'!$E177)</f>
        <v>0</v>
      </c>
      <c r="S177" s="1103">
        <f>SUMIFS('Schedule 4'!$F$89:$F$649,'Schedule 4'!$I$89:$I$649,'Well Cal.'!S$3,'Schedule 4'!$J$89:$J$649,'Well Cal.'!$E177)</f>
        <v>0</v>
      </c>
      <c r="T177" s="1107">
        <f>SUMIFS('Schedule 4'!$F$89:$F$649,'Schedule 4'!$I$89:$I$649,'Well Cal.'!T$3,'Schedule 4'!$J$89:$J$649,'Well Cal.'!$E177)</f>
        <v>1</v>
      </c>
      <c r="U177" s="1107">
        <f>SUMIFS('Schedule 4'!$F$89:$F$649,'Schedule 4'!$I$89:$I$649,'Well Cal.'!U$3,'Schedule 4'!$J$89:$J$649,'Well Cal.'!$E177)</f>
        <v>0</v>
      </c>
      <c r="V177" s="1107">
        <f>SUMIFS('Schedule 4'!$F$89:$F$649,'Schedule 4'!$I$89:$I$649,'Well Cal.'!V$3,'Schedule 4'!$J$89:$J$649,'Well Cal.'!$E177)</f>
        <v>0</v>
      </c>
      <c r="W177" s="1107">
        <f>SUMIFS('Schedule 4'!$F$89:$F$649,'Schedule 4'!$I$89:$I$649,'Well Cal.'!W$3,'Schedule 4'!$J$89:$J$649,'Well Cal.'!$E177)</f>
        <v>0</v>
      </c>
      <c r="X177" s="1107">
        <f>SUMIFS('Schedule 4'!$F$89:$F$649,'Schedule 4'!$I$89:$I$649,'Well Cal.'!X$3,'Schedule 4'!$J$89:$J$649,'Well Cal.'!$E177)</f>
        <v>0</v>
      </c>
      <c r="Y177" s="1107">
        <f>SUMIFS('Schedule 4'!$F$89:$F$649,'Schedule 4'!$I$89:$I$649,'Well Cal.'!Y$3,'Schedule 4'!$J$89:$J$649,'Well Cal.'!$E177)</f>
        <v>0</v>
      </c>
      <c r="Z177" s="1107">
        <f>SUMIFS('Schedule 4'!$F$89:$F$649,'Schedule 4'!$I$89:$I$649,'Well Cal.'!Z$3,'Schedule 4'!$J$89:$J$649,'Well Cal.'!$E177)</f>
        <v>0</v>
      </c>
      <c r="AA177" s="1107"/>
      <c r="AB177" s="1717"/>
      <c r="AC177" s="1717"/>
      <c r="AF177" s="1099"/>
      <c r="AG177" s="1099"/>
      <c r="AH177" s="1099"/>
      <c r="AI177" s="1099"/>
      <c r="AJ177" s="1099"/>
      <c r="AK177" s="1099"/>
      <c r="AL177" s="1099"/>
      <c r="AN177" s="1099"/>
      <c r="AO177" s="1099"/>
    </row>
    <row r="178" spans="2:41" s="481" customFormat="1" x14ac:dyDescent="0.3">
      <c r="B178" s="1708"/>
      <c r="C178" s="1711"/>
      <c r="D178" s="1714"/>
      <c r="E178" s="1102" t="s">
        <v>3625</v>
      </c>
      <c r="F178" s="1103">
        <f>SUMIFS('Schedule 4'!$F$89:$F$649,'Schedule 4'!$I$89:$I$649,'Well Cal.'!F$3,'Schedule 4'!$J$89:$J$649,'Well Cal.'!$E178)</f>
        <v>0</v>
      </c>
      <c r="G178" s="1103">
        <f>SUMIFS('Schedule 4'!$F$89:$F$649,'Schedule 4'!$I$89:$I$649,'Well Cal.'!G$3,'Schedule 4'!$J$89:$J$649,'Well Cal.'!$E178)</f>
        <v>0</v>
      </c>
      <c r="H178" s="1103">
        <f>SUMIFS('Schedule 4'!$F$89:$F$649,'Schedule 4'!$I$89:$I$649,'Well Cal.'!H$3,'Schedule 4'!$J$89:$J$649,'Well Cal.'!$E178)</f>
        <v>0</v>
      </c>
      <c r="I178" s="1103">
        <f>SUMIFS('Schedule 4'!$F$89:$F$649,'Schedule 4'!$I$89:$I$649,'Well Cal.'!I$3,'Schedule 4'!$J$89:$J$649,'Well Cal.'!$E178)</f>
        <v>0</v>
      </c>
      <c r="J178" s="1103">
        <f>SUMIFS('Schedule 4'!$F$89:$F$649,'Schedule 4'!$I$89:$I$649,'Well Cal.'!J$3,'Schedule 4'!$J$89:$J$649,'Well Cal.'!$E178)</f>
        <v>0</v>
      </c>
      <c r="K178" s="1103">
        <f>SUMIFS('Schedule 4'!$F$89:$F$649,'Schedule 4'!$I$89:$I$649,'Well Cal.'!K$3,'Schedule 4'!$J$89:$J$649,'Well Cal.'!$E178)</f>
        <v>2.6</v>
      </c>
      <c r="L178" s="1103">
        <f>SUMIFS('Schedule 4'!$F$89:$F$649,'Schedule 4'!$I$89:$I$649,'Well Cal.'!L$3,'Schedule 4'!$J$89:$J$649,'Well Cal.'!$E178)</f>
        <v>0</v>
      </c>
      <c r="M178" s="1103">
        <f>SUMIFS('Schedule 4'!$F$89:$F$649,'Schedule 4'!$I$89:$I$649,'Well Cal.'!M$3,'Schedule 4'!$J$89:$J$649,'Well Cal.'!$E178)</f>
        <v>0</v>
      </c>
      <c r="N178" s="1103">
        <f>SUMIFS('Schedule 4'!$F$89:$F$649,'Schedule 4'!$I$89:$I$649,'Well Cal.'!N$3,'Schedule 4'!$J$89:$J$649,'Well Cal.'!$E178)</f>
        <v>0</v>
      </c>
      <c r="O178" s="1103">
        <f>SUMIFS('Schedule 4'!$F$89:$F$649,'Schedule 4'!$I$89:$I$649,'Well Cal.'!O$3,'Schedule 4'!$J$89:$J$649,'Well Cal.'!$E178)</f>
        <v>0</v>
      </c>
      <c r="P178" s="1103">
        <f>SUMIFS('Schedule 4'!$F$89:$F$649,'Schedule 4'!$I$89:$I$649,'Well Cal.'!P$3,'Schedule 4'!$J$89:$J$649,'Well Cal.'!$E178)</f>
        <v>0</v>
      </c>
      <c r="Q178" s="1103">
        <f>SUMIFS('Schedule 4'!$F$89:$F$649,'Schedule 4'!$I$89:$I$649,'Well Cal.'!Q$3,'Schedule 4'!$J$89:$J$649,'Well Cal.'!$E178)</f>
        <v>0</v>
      </c>
      <c r="R178" s="1103">
        <f>SUMIFS('Schedule 4'!$F$89:$F$649,'Schedule 4'!$I$89:$I$649,'Well Cal.'!R$3,'Schedule 4'!$J$89:$J$649,'Well Cal.'!$E178)</f>
        <v>0</v>
      </c>
      <c r="S178" s="1103">
        <f>SUMIFS('Schedule 4'!$F$89:$F$649,'Schedule 4'!$I$89:$I$649,'Well Cal.'!S$3,'Schedule 4'!$J$89:$J$649,'Well Cal.'!$E178)</f>
        <v>0</v>
      </c>
      <c r="T178" s="1107">
        <f>SUMIFS('Schedule 4'!$F$89:$F$649,'Schedule 4'!$I$89:$I$649,'Well Cal.'!T$3,'Schedule 4'!$J$89:$J$649,'Well Cal.'!$E178)</f>
        <v>-2.5</v>
      </c>
      <c r="U178" s="1107">
        <f>SUMIFS('Schedule 4'!$F$89:$F$649,'Schedule 4'!$I$89:$I$649,'Well Cal.'!U$3,'Schedule 4'!$J$89:$J$649,'Well Cal.'!$E178)</f>
        <v>0</v>
      </c>
      <c r="V178" s="1107">
        <f>SUMIFS('Schedule 4'!$F$89:$F$649,'Schedule 4'!$I$89:$I$649,'Well Cal.'!V$3,'Schedule 4'!$J$89:$J$649,'Well Cal.'!$E178)</f>
        <v>0</v>
      </c>
      <c r="W178" s="1107">
        <f>SUMIFS('Schedule 4'!$F$89:$F$649,'Schedule 4'!$I$89:$I$649,'Well Cal.'!W$3,'Schedule 4'!$J$89:$J$649,'Well Cal.'!$E178)</f>
        <v>0</v>
      </c>
      <c r="X178" s="1107">
        <f>SUMIFS('Schedule 4'!$F$89:$F$649,'Schedule 4'!$I$89:$I$649,'Well Cal.'!X$3,'Schedule 4'!$J$89:$J$649,'Well Cal.'!$E178)</f>
        <v>0</v>
      </c>
      <c r="Y178" s="1107">
        <f>SUMIFS('Schedule 4'!$F$89:$F$649,'Schedule 4'!$I$89:$I$649,'Well Cal.'!Y$3,'Schedule 4'!$J$89:$J$649,'Well Cal.'!$E178)</f>
        <v>0</v>
      </c>
      <c r="Z178" s="1107">
        <f>SUMIFS('Schedule 4'!$F$89:$F$649,'Schedule 4'!$I$89:$I$649,'Well Cal.'!Z$3,'Schedule 4'!$J$89:$J$649,'Well Cal.'!$E178)</f>
        <v>0</v>
      </c>
      <c r="AA178" s="1107"/>
      <c r="AB178" s="1717"/>
      <c r="AC178" s="1717"/>
      <c r="AF178" s="1099"/>
      <c r="AG178" s="1099"/>
      <c r="AH178" s="1099"/>
      <c r="AI178" s="1099"/>
      <c r="AJ178" s="1099"/>
      <c r="AK178" s="1099"/>
      <c r="AL178" s="1099"/>
      <c r="AN178" s="1099"/>
      <c r="AO178" s="1099"/>
    </row>
    <row r="179" spans="2:41" s="481" customFormat="1" x14ac:dyDescent="0.3">
      <c r="B179" s="1708"/>
      <c r="C179" s="1711"/>
      <c r="D179" s="1714"/>
      <c r="E179" s="1102" t="s">
        <v>3669</v>
      </c>
      <c r="F179" s="1103">
        <f>SUMIFS('Schedule 4'!$F$89:$F$649,'Schedule 4'!$I$89:$I$649,'Well Cal.'!F$3,'Schedule 4'!$J$89:$J$649,'Well Cal.'!$E179)</f>
        <v>0</v>
      </c>
      <c r="G179" s="1103">
        <f>SUMIFS('Schedule 4'!$F$89:$F$649,'Schedule 4'!$I$89:$I$649,'Well Cal.'!G$3,'Schedule 4'!$J$89:$J$649,'Well Cal.'!$E179)</f>
        <v>0</v>
      </c>
      <c r="H179" s="1103">
        <f>SUMIFS('Schedule 4'!$F$89:$F$649,'Schedule 4'!$I$89:$I$649,'Well Cal.'!H$3,'Schedule 4'!$J$89:$J$649,'Well Cal.'!$E179)</f>
        <v>0</v>
      </c>
      <c r="I179" s="1103">
        <f>SUMIFS('Schedule 4'!$F$89:$F$649,'Schedule 4'!$I$89:$I$649,'Well Cal.'!I$3,'Schedule 4'!$J$89:$J$649,'Well Cal.'!$E179)</f>
        <v>0</v>
      </c>
      <c r="J179" s="1103">
        <f>SUMIFS('Schedule 4'!$F$89:$F$649,'Schedule 4'!$I$89:$I$649,'Well Cal.'!J$3,'Schedule 4'!$J$89:$J$649,'Well Cal.'!$E179)</f>
        <v>0</v>
      </c>
      <c r="K179" s="1103">
        <f>SUMIFS('Schedule 4'!$F$89:$F$649,'Schedule 4'!$I$89:$I$649,'Well Cal.'!K$3,'Schedule 4'!$J$89:$J$649,'Well Cal.'!$E179)</f>
        <v>2.5</v>
      </c>
      <c r="L179" s="1103">
        <f>SUMIFS('Schedule 4'!$F$89:$F$649,'Schedule 4'!$I$89:$I$649,'Well Cal.'!L$3,'Schedule 4'!$J$89:$J$649,'Well Cal.'!$E179)</f>
        <v>0</v>
      </c>
      <c r="M179" s="1103">
        <f>SUMIFS('Schedule 4'!$F$89:$F$649,'Schedule 4'!$I$89:$I$649,'Well Cal.'!M$3,'Schedule 4'!$J$89:$J$649,'Well Cal.'!$E179)</f>
        <v>0</v>
      </c>
      <c r="N179" s="1103">
        <f>SUMIFS('Schedule 4'!$F$89:$F$649,'Schedule 4'!$I$89:$I$649,'Well Cal.'!N$3,'Schedule 4'!$J$89:$J$649,'Well Cal.'!$E179)</f>
        <v>0</v>
      </c>
      <c r="O179" s="1103">
        <f>SUMIFS('Schedule 4'!$F$89:$F$649,'Schedule 4'!$I$89:$I$649,'Well Cal.'!O$3,'Schedule 4'!$J$89:$J$649,'Well Cal.'!$E179)</f>
        <v>0</v>
      </c>
      <c r="P179" s="1103">
        <f>SUMIFS('Schedule 4'!$F$89:$F$649,'Schedule 4'!$I$89:$I$649,'Well Cal.'!P$3,'Schedule 4'!$J$89:$J$649,'Well Cal.'!$E179)</f>
        <v>0</v>
      </c>
      <c r="Q179" s="1103">
        <f>SUMIFS('Schedule 4'!$F$89:$F$649,'Schedule 4'!$I$89:$I$649,'Well Cal.'!Q$3,'Schedule 4'!$J$89:$J$649,'Well Cal.'!$E179)</f>
        <v>0</v>
      </c>
      <c r="R179" s="1103">
        <f>SUMIFS('Schedule 4'!$F$89:$F$649,'Schedule 4'!$I$89:$I$649,'Well Cal.'!R$3,'Schedule 4'!$J$89:$J$649,'Well Cal.'!$E179)</f>
        <v>0</v>
      </c>
      <c r="S179" s="1103">
        <f>SUMIFS('Schedule 4'!$F$89:$F$649,'Schedule 4'!$I$89:$I$649,'Well Cal.'!S$3,'Schedule 4'!$J$89:$J$649,'Well Cal.'!$E179)</f>
        <v>0</v>
      </c>
      <c r="T179" s="1107">
        <f>SUMIFS('Schedule 4'!$F$89:$F$649,'Schedule 4'!$I$89:$I$649,'Well Cal.'!T$3,'Schedule 4'!$J$89:$J$649,'Well Cal.'!$E179)</f>
        <v>-2.5</v>
      </c>
      <c r="U179" s="1107">
        <f>SUMIFS('Schedule 4'!$F$89:$F$649,'Schedule 4'!$I$89:$I$649,'Well Cal.'!U$3,'Schedule 4'!$J$89:$J$649,'Well Cal.'!$E179)</f>
        <v>0</v>
      </c>
      <c r="V179" s="1107">
        <f>SUMIFS('Schedule 4'!$F$89:$F$649,'Schedule 4'!$I$89:$I$649,'Well Cal.'!V$3,'Schedule 4'!$J$89:$J$649,'Well Cal.'!$E179)</f>
        <v>0</v>
      </c>
      <c r="W179" s="1107">
        <f>SUMIFS('Schedule 4'!$F$89:$F$649,'Schedule 4'!$I$89:$I$649,'Well Cal.'!W$3,'Schedule 4'!$J$89:$J$649,'Well Cal.'!$E179)</f>
        <v>0</v>
      </c>
      <c r="X179" s="1107">
        <f>SUMIFS('Schedule 4'!$F$89:$F$649,'Schedule 4'!$I$89:$I$649,'Well Cal.'!X$3,'Schedule 4'!$J$89:$J$649,'Well Cal.'!$E179)</f>
        <v>0</v>
      </c>
      <c r="Y179" s="1107">
        <f>SUMIFS('Schedule 4'!$F$89:$F$649,'Schedule 4'!$I$89:$I$649,'Well Cal.'!Y$3,'Schedule 4'!$J$89:$J$649,'Well Cal.'!$E179)</f>
        <v>0</v>
      </c>
      <c r="Z179" s="1107">
        <f>SUMIFS('Schedule 4'!$F$89:$F$649,'Schedule 4'!$I$89:$I$649,'Well Cal.'!Z$3,'Schedule 4'!$J$89:$J$649,'Well Cal.'!$E179)</f>
        <v>0</v>
      </c>
      <c r="AA179" s="1107"/>
      <c r="AB179" s="1718"/>
      <c r="AC179" s="1718"/>
      <c r="AE179" s="1104"/>
      <c r="AF179" s="1099"/>
      <c r="AG179" s="1099"/>
      <c r="AH179" s="1099"/>
      <c r="AI179" s="1099"/>
      <c r="AJ179" s="1099"/>
      <c r="AK179" s="1099"/>
      <c r="AL179" s="1099"/>
      <c r="AN179" s="1099"/>
      <c r="AO179" s="1099"/>
    </row>
    <row r="180" spans="2:41" s="481" customFormat="1" x14ac:dyDescent="0.3">
      <c r="B180" s="1709"/>
      <c r="C180" s="1712"/>
      <c r="D180" s="1715"/>
      <c r="E180" s="1105"/>
      <c r="F180" s="1106"/>
      <c r="G180" s="1106"/>
      <c r="H180" s="1106"/>
      <c r="I180" s="1106"/>
      <c r="J180" s="1106"/>
      <c r="K180" s="1106"/>
      <c r="L180" s="1106"/>
      <c r="M180" s="1106"/>
      <c r="N180" s="1106"/>
      <c r="O180" s="1106"/>
      <c r="P180" s="1106"/>
      <c r="Q180" s="1106"/>
      <c r="R180" s="1106"/>
      <c r="S180" s="1106"/>
      <c r="T180" s="1106"/>
      <c r="U180" s="1106"/>
      <c r="V180" s="1106"/>
      <c r="W180" s="1106"/>
      <c r="X180" s="1106"/>
      <c r="Y180" s="1106"/>
      <c r="Z180" s="1106"/>
      <c r="AA180" s="1106"/>
      <c r="AB180" s="1719"/>
      <c r="AC180" s="1719"/>
      <c r="AF180" s="1099"/>
      <c r="AG180" s="1099"/>
      <c r="AH180" s="1099"/>
      <c r="AI180" s="1099"/>
      <c r="AJ180" s="1099"/>
      <c r="AK180" s="1099"/>
      <c r="AL180" s="1099"/>
      <c r="AN180" s="1099"/>
      <c r="AO180" s="1099"/>
    </row>
    <row r="181" spans="2:41" s="481" customFormat="1" x14ac:dyDescent="0.3">
      <c r="B181" s="1707" t="s">
        <v>6109</v>
      </c>
      <c r="C181" s="1710">
        <v>54.05</v>
      </c>
      <c r="D181" s="1713">
        <f>SUMIFS('Schedule 4'!$F$89:$F$649,'Schedule 4'!$K$89:$K$649,'Well Cal.'!$B181)</f>
        <v>0</v>
      </c>
      <c r="E181" s="1097" t="s">
        <v>6115</v>
      </c>
      <c r="F181" s="1098">
        <f>SUMIFS('Schedule 4'!$F$89:$F$649,'Schedule 4'!$I$89:$I$649,'Well Cal.'!F$3,'Schedule 4'!$J$89:$J$649,'Well Cal.'!$E181)</f>
        <v>0</v>
      </c>
      <c r="G181" s="1098">
        <f>SUMIFS('Schedule 4'!$F$89:$F$649,'Schedule 4'!$I$89:$I$649,'Well Cal.'!G$3,'Schedule 4'!$J$89:$J$649,'Well Cal.'!$E181)</f>
        <v>0</v>
      </c>
      <c r="H181" s="1098">
        <f>SUMIFS('Schedule 4'!$F$89:$F$649,'Schedule 4'!$I$89:$I$649,'Well Cal.'!H$3,'Schedule 4'!$J$89:$J$649,'Well Cal.'!$E181)</f>
        <v>0</v>
      </c>
      <c r="I181" s="1098">
        <f>SUMIFS('Schedule 4'!$F$89:$F$649,'Schedule 4'!$I$89:$I$649,'Well Cal.'!I$3,'Schedule 4'!$J$89:$J$649,'Well Cal.'!$E181)</f>
        <v>0</v>
      </c>
      <c r="J181" s="1098">
        <f>SUMIFS('Schedule 4'!$F$89:$F$649,'Schedule 4'!$I$89:$I$649,'Well Cal.'!J$3,'Schedule 4'!$J$89:$J$649,'Well Cal.'!$E181)</f>
        <v>0</v>
      </c>
      <c r="K181" s="1098">
        <f>SUMIFS('Schedule 4'!$F$89:$F$649,'Schedule 4'!$I$89:$I$649,'Well Cal.'!K$3,'Schedule 4'!$J$89:$J$649,'Well Cal.'!$E181)</f>
        <v>0</v>
      </c>
      <c r="L181" s="1098">
        <f>SUMIFS('Schedule 4'!$F$89:$F$649,'Schedule 4'!$I$89:$I$649,'Well Cal.'!L$3,'Schedule 4'!$J$89:$J$649,'Well Cal.'!$E181)</f>
        <v>0</v>
      </c>
      <c r="M181" s="1098">
        <f>SUMIFS('Schedule 4'!$F$89:$F$649,'Schedule 4'!$I$89:$I$649,'Well Cal.'!M$3,'Schedule 4'!$J$89:$J$649,'Well Cal.'!$E181)</f>
        <v>0</v>
      </c>
      <c r="N181" s="1098">
        <f>SUMIFS('Schedule 4'!$F$89:$F$649,'Schedule 4'!$I$89:$I$649,'Well Cal.'!N$3,'Schedule 4'!$J$89:$J$649,'Well Cal.'!$E181)</f>
        <v>0</v>
      </c>
      <c r="O181" s="1098">
        <f>SUMIFS('Schedule 4'!$F$89:$F$649,'Schedule 4'!$I$89:$I$649,'Well Cal.'!O$3,'Schedule 4'!$J$89:$J$649,'Well Cal.'!$E181)</f>
        <v>0</v>
      </c>
      <c r="P181" s="1098">
        <f>SUMIFS('Schedule 4'!$F$89:$F$649,'Schedule 4'!$I$89:$I$649,'Well Cal.'!P$3,'Schedule 4'!$J$89:$J$649,'Well Cal.'!$E181)</f>
        <v>0</v>
      </c>
      <c r="Q181" s="1098">
        <f>SUMIFS('Schedule 4'!$F$89:$F$649,'Schedule 4'!$I$89:$I$649,'Well Cal.'!Q$3,'Schedule 4'!$J$89:$J$649,'Well Cal.'!$E181)</f>
        <v>0</v>
      </c>
      <c r="R181" s="1098">
        <f>SUMIFS('Schedule 4'!$F$89:$F$649,'Schedule 4'!$I$89:$I$649,'Well Cal.'!R$3,'Schedule 4'!$J$89:$J$649,'Well Cal.'!$E181)</f>
        <v>0</v>
      </c>
      <c r="S181" s="1098">
        <f>SUMIFS('Schedule 4'!$F$89:$F$649,'Schedule 4'!$I$89:$I$649,'Well Cal.'!S$3,'Schedule 4'!$J$89:$J$649,'Well Cal.'!$E181)</f>
        <v>0</v>
      </c>
      <c r="T181" s="1098">
        <f>SUMIFS('Schedule 4'!$F$89:$F$649,'Schedule 4'!$I$89:$I$649,'Well Cal.'!T$3,'Schedule 4'!$J$89:$J$649,'Well Cal.'!$E181)</f>
        <v>0</v>
      </c>
      <c r="U181" s="1098">
        <f>SUMIFS('Schedule 4'!$F$89:$F$649,'Schedule 4'!$I$89:$I$649,'Well Cal.'!U$3,'Schedule 4'!$J$89:$J$649,'Well Cal.'!$E181)</f>
        <v>0</v>
      </c>
      <c r="V181" s="1098">
        <f>SUMIFS('Schedule 4'!$F$89:$F$649,'Schedule 4'!$I$89:$I$649,'Well Cal.'!V$3,'Schedule 4'!$J$89:$J$649,'Well Cal.'!$E181)</f>
        <v>0</v>
      </c>
      <c r="W181" s="1098">
        <f>SUMIFS('Schedule 4'!$F$89:$F$649,'Schedule 4'!$I$89:$I$649,'Well Cal.'!W$3,'Schedule 4'!$J$89:$J$649,'Well Cal.'!$E181)</f>
        <v>0</v>
      </c>
      <c r="X181" s="1098">
        <f>SUMIFS('Schedule 4'!$F$89:$F$649,'Schedule 4'!$I$89:$I$649,'Well Cal.'!X$3,'Schedule 4'!$J$89:$J$649,'Well Cal.'!$E181)</f>
        <v>0</v>
      </c>
      <c r="Y181" s="1098">
        <f>SUMIFS('Schedule 4'!$F$89:$F$649,'Schedule 4'!$I$89:$I$649,'Well Cal.'!Y$3,'Schedule 4'!$J$89:$J$649,'Well Cal.'!$E181)</f>
        <v>0</v>
      </c>
      <c r="Z181" s="1098">
        <f>SUMIFS('Schedule 4'!$F$89:$F$649,'Schedule 4'!$I$89:$I$649,'Well Cal.'!Z$3,'Schedule 4'!$J$89:$J$649,'Well Cal.'!$E181)</f>
        <v>0</v>
      </c>
      <c r="AA181" s="1098"/>
      <c r="AB181" s="1716">
        <f>SUM(F181:AA189)</f>
        <v>0</v>
      </c>
      <c r="AC181" s="1716">
        <f>D181-AB181</f>
        <v>0</v>
      </c>
      <c r="AF181" s="1099"/>
      <c r="AG181" s="1099"/>
      <c r="AH181" s="1099"/>
      <c r="AI181" s="1099"/>
      <c r="AJ181" s="1099"/>
      <c r="AK181" s="1099"/>
      <c r="AL181" s="1099"/>
      <c r="AN181" s="1099"/>
      <c r="AO181" s="1099"/>
    </row>
    <row r="182" spans="2:41" s="481" customFormat="1" x14ac:dyDescent="0.3">
      <c r="B182" s="1708"/>
      <c r="C182" s="1711"/>
      <c r="D182" s="1714"/>
      <c r="E182" s="1100" t="s">
        <v>6116</v>
      </c>
      <c r="F182" s="1101">
        <f>SUMIFS('Schedule 4'!$F$89:$F$649,'Schedule 4'!$I$89:$I$649,'Well Cal.'!F$3,'Schedule 4'!$J$89:$J$649,'Well Cal.'!$E182)</f>
        <v>0</v>
      </c>
      <c r="G182" s="1101">
        <f>SUMIFS('Schedule 4'!$F$89:$F$649,'Schedule 4'!$I$89:$I$649,'Well Cal.'!G$3,'Schedule 4'!$J$89:$J$649,'Well Cal.'!$E182)</f>
        <v>0</v>
      </c>
      <c r="H182" s="1101">
        <f>SUMIFS('Schedule 4'!$F$89:$F$649,'Schedule 4'!$I$89:$I$649,'Well Cal.'!H$3,'Schedule 4'!$J$89:$J$649,'Well Cal.'!$E182)</f>
        <v>0</v>
      </c>
      <c r="I182" s="1101">
        <f>SUMIFS('Schedule 4'!$F$89:$F$649,'Schedule 4'!$I$89:$I$649,'Well Cal.'!I$3,'Schedule 4'!$J$89:$J$649,'Well Cal.'!$E182)</f>
        <v>0</v>
      </c>
      <c r="J182" s="1101">
        <f>SUMIFS('Schedule 4'!$F$89:$F$649,'Schedule 4'!$I$89:$I$649,'Well Cal.'!J$3,'Schedule 4'!$J$89:$J$649,'Well Cal.'!$E182)</f>
        <v>0</v>
      </c>
      <c r="K182" s="1101">
        <f>SUMIFS('Schedule 4'!$F$89:$F$649,'Schedule 4'!$I$89:$I$649,'Well Cal.'!K$3,'Schedule 4'!$J$89:$J$649,'Well Cal.'!$E182)</f>
        <v>0</v>
      </c>
      <c r="L182" s="1101">
        <f>SUMIFS('Schedule 4'!$F$89:$F$649,'Schedule 4'!$I$89:$I$649,'Well Cal.'!L$3,'Schedule 4'!$J$89:$J$649,'Well Cal.'!$E182)</f>
        <v>0</v>
      </c>
      <c r="M182" s="1101">
        <f>SUMIFS('Schedule 4'!$F$89:$F$649,'Schedule 4'!$I$89:$I$649,'Well Cal.'!M$3,'Schedule 4'!$J$89:$J$649,'Well Cal.'!$E182)</f>
        <v>0</v>
      </c>
      <c r="N182" s="1101">
        <f>SUMIFS('Schedule 4'!$F$89:$F$649,'Schedule 4'!$I$89:$I$649,'Well Cal.'!N$3,'Schedule 4'!$J$89:$J$649,'Well Cal.'!$E182)</f>
        <v>0</v>
      </c>
      <c r="O182" s="1101">
        <f>SUMIFS('Schedule 4'!$F$89:$F$649,'Schedule 4'!$I$89:$I$649,'Well Cal.'!O$3,'Schedule 4'!$J$89:$J$649,'Well Cal.'!$E182)</f>
        <v>0</v>
      </c>
      <c r="P182" s="1101">
        <f>SUMIFS('Schedule 4'!$F$89:$F$649,'Schedule 4'!$I$89:$I$649,'Well Cal.'!P$3,'Schedule 4'!$J$89:$J$649,'Well Cal.'!$E182)</f>
        <v>0</v>
      </c>
      <c r="Q182" s="1101">
        <f>SUMIFS('Schedule 4'!$F$89:$F$649,'Schedule 4'!$I$89:$I$649,'Well Cal.'!Q$3,'Schedule 4'!$J$89:$J$649,'Well Cal.'!$E182)</f>
        <v>0</v>
      </c>
      <c r="R182" s="1101">
        <f>SUMIFS('Schedule 4'!$F$89:$F$649,'Schedule 4'!$I$89:$I$649,'Well Cal.'!R$3,'Schedule 4'!$J$89:$J$649,'Well Cal.'!$E182)</f>
        <v>0</v>
      </c>
      <c r="S182" s="1101">
        <f>SUMIFS('Schedule 4'!$F$89:$F$649,'Schedule 4'!$I$89:$I$649,'Well Cal.'!S$3,'Schedule 4'!$J$89:$J$649,'Well Cal.'!$E182)</f>
        <v>0</v>
      </c>
      <c r="T182" s="1101">
        <f>SUMIFS('Schedule 4'!$F$89:$F$649,'Schedule 4'!$I$89:$I$649,'Well Cal.'!T$3,'Schedule 4'!$J$89:$J$649,'Well Cal.'!$E182)</f>
        <v>0</v>
      </c>
      <c r="U182" s="1101">
        <f>SUMIFS('Schedule 4'!$F$89:$F$649,'Schedule 4'!$I$89:$I$649,'Well Cal.'!U$3,'Schedule 4'!$J$89:$J$649,'Well Cal.'!$E182)</f>
        <v>0</v>
      </c>
      <c r="V182" s="1101">
        <f>SUMIFS('Schedule 4'!$F$89:$F$649,'Schedule 4'!$I$89:$I$649,'Well Cal.'!V$3,'Schedule 4'!$J$89:$J$649,'Well Cal.'!$E182)</f>
        <v>0</v>
      </c>
      <c r="W182" s="1101">
        <f>SUMIFS('Schedule 4'!$F$89:$F$649,'Schedule 4'!$I$89:$I$649,'Well Cal.'!W$3,'Schedule 4'!$J$89:$J$649,'Well Cal.'!$E182)</f>
        <v>0</v>
      </c>
      <c r="X182" s="1101">
        <f>SUMIFS('Schedule 4'!$F$89:$F$649,'Schedule 4'!$I$89:$I$649,'Well Cal.'!X$3,'Schedule 4'!$J$89:$J$649,'Well Cal.'!$E182)</f>
        <v>0</v>
      </c>
      <c r="Y182" s="1101">
        <f>SUMIFS('Schedule 4'!$F$89:$F$649,'Schedule 4'!$I$89:$I$649,'Well Cal.'!Y$3,'Schedule 4'!$J$89:$J$649,'Well Cal.'!$E182)</f>
        <v>0</v>
      </c>
      <c r="Z182" s="1101">
        <f>SUMIFS('Schedule 4'!$F$89:$F$649,'Schedule 4'!$I$89:$I$649,'Well Cal.'!Z$3,'Schedule 4'!$J$89:$J$649,'Well Cal.'!$E182)</f>
        <v>0</v>
      </c>
      <c r="AA182" s="1101"/>
      <c r="AB182" s="1717"/>
      <c r="AC182" s="1717"/>
      <c r="AF182" s="1099"/>
      <c r="AG182" s="1099"/>
      <c r="AH182" s="1099"/>
      <c r="AI182" s="1099"/>
      <c r="AJ182" s="1099"/>
      <c r="AK182" s="1099"/>
      <c r="AL182" s="1099"/>
      <c r="AN182" s="1099"/>
      <c r="AO182" s="1099"/>
    </row>
    <row r="183" spans="2:41" s="481" customFormat="1" x14ac:dyDescent="0.3">
      <c r="B183" s="1708"/>
      <c r="C183" s="1711"/>
      <c r="D183" s="1714"/>
      <c r="E183" s="1100" t="s">
        <v>6117</v>
      </c>
      <c r="F183" s="1101">
        <f>SUMIFS('Schedule 4'!$F$89:$F$649,'Schedule 4'!$I$89:$I$649,'Well Cal.'!F$3,'Schedule 4'!$J$89:$J$649,'Well Cal.'!$E183)</f>
        <v>0</v>
      </c>
      <c r="G183" s="1101">
        <f>SUMIFS('Schedule 4'!$F$89:$F$649,'Schedule 4'!$I$89:$I$649,'Well Cal.'!G$3,'Schedule 4'!$J$89:$J$649,'Well Cal.'!$E183)</f>
        <v>0</v>
      </c>
      <c r="H183" s="1101">
        <f>SUMIFS('Schedule 4'!$F$89:$F$649,'Schedule 4'!$I$89:$I$649,'Well Cal.'!H$3,'Schedule 4'!$J$89:$J$649,'Well Cal.'!$E183)</f>
        <v>0</v>
      </c>
      <c r="I183" s="1101">
        <f>SUMIFS('Schedule 4'!$F$89:$F$649,'Schedule 4'!$I$89:$I$649,'Well Cal.'!I$3,'Schedule 4'!$J$89:$J$649,'Well Cal.'!$E183)</f>
        <v>0</v>
      </c>
      <c r="J183" s="1101">
        <f>SUMIFS('Schedule 4'!$F$89:$F$649,'Schedule 4'!$I$89:$I$649,'Well Cal.'!J$3,'Schedule 4'!$J$89:$J$649,'Well Cal.'!$E183)</f>
        <v>0</v>
      </c>
      <c r="K183" s="1101">
        <f>SUMIFS('Schedule 4'!$F$89:$F$649,'Schedule 4'!$I$89:$I$649,'Well Cal.'!K$3,'Schedule 4'!$J$89:$J$649,'Well Cal.'!$E183)</f>
        <v>0</v>
      </c>
      <c r="L183" s="1101">
        <f>SUMIFS('Schedule 4'!$F$89:$F$649,'Schedule 4'!$I$89:$I$649,'Well Cal.'!L$3,'Schedule 4'!$J$89:$J$649,'Well Cal.'!$E183)</f>
        <v>0</v>
      </c>
      <c r="M183" s="1101">
        <f>SUMIFS('Schedule 4'!$F$89:$F$649,'Schedule 4'!$I$89:$I$649,'Well Cal.'!M$3,'Schedule 4'!$J$89:$J$649,'Well Cal.'!$E183)</f>
        <v>0</v>
      </c>
      <c r="N183" s="1101">
        <f>SUMIFS('Schedule 4'!$F$89:$F$649,'Schedule 4'!$I$89:$I$649,'Well Cal.'!N$3,'Schedule 4'!$J$89:$J$649,'Well Cal.'!$E183)</f>
        <v>0</v>
      </c>
      <c r="O183" s="1101">
        <f>SUMIFS('Schedule 4'!$F$89:$F$649,'Schedule 4'!$I$89:$I$649,'Well Cal.'!O$3,'Schedule 4'!$J$89:$J$649,'Well Cal.'!$E183)</f>
        <v>0</v>
      </c>
      <c r="P183" s="1101">
        <f>SUMIFS('Schedule 4'!$F$89:$F$649,'Schedule 4'!$I$89:$I$649,'Well Cal.'!P$3,'Schedule 4'!$J$89:$J$649,'Well Cal.'!$E183)</f>
        <v>0</v>
      </c>
      <c r="Q183" s="1101">
        <f>SUMIFS('Schedule 4'!$F$89:$F$649,'Schedule 4'!$I$89:$I$649,'Well Cal.'!Q$3,'Schedule 4'!$J$89:$J$649,'Well Cal.'!$E183)</f>
        <v>0</v>
      </c>
      <c r="R183" s="1101">
        <f>SUMIFS('Schedule 4'!$F$89:$F$649,'Schedule 4'!$I$89:$I$649,'Well Cal.'!R$3,'Schedule 4'!$J$89:$J$649,'Well Cal.'!$E183)</f>
        <v>0</v>
      </c>
      <c r="S183" s="1101">
        <f>SUMIFS('Schedule 4'!$F$89:$F$649,'Schedule 4'!$I$89:$I$649,'Well Cal.'!S$3,'Schedule 4'!$J$89:$J$649,'Well Cal.'!$E183)</f>
        <v>0</v>
      </c>
      <c r="T183" s="1101">
        <f>SUMIFS('Schedule 4'!$F$89:$F$649,'Schedule 4'!$I$89:$I$649,'Well Cal.'!T$3,'Schedule 4'!$J$89:$J$649,'Well Cal.'!$E183)</f>
        <v>0</v>
      </c>
      <c r="U183" s="1101">
        <f>SUMIFS('Schedule 4'!$F$89:$F$649,'Schedule 4'!$I$89:$I$649,'Well Cal.'!U$3,'Schedule 4'!$J$89:$J$649,'Well Cal.'!$E183)</f>
        <v>0</v>
      </c>
      <c r="V183" s="1101">
        <f>SUMIFS('Schedule 4'!$F$89:$F$649,'Schedule 4'!$I$89:$I$649,'Well Cal.'!V$3,'Schedule 4'!$J$89:$J$649,'Well Cal.'!$E183)</f>
        <v>0</v>
      </c>
      <c r="W183" s="1101">
        <f>SUMIFS('Schedule 4'!$F$89:$F$649,'Schedule 4'!$I$89:$I$649,'Well Cal.'!W$3,'Schedule 4'!$J$89:$J$649,'Well Cal.'!$E183)</f>
        <v>0</v>
      </c>
      <c r="X183" s="1101">
        <f>SUMIFS('Schedule 4'!$F$89:$F$649,'Schedule 4'!$I$89:$I$649,'Well Cal.'!X$3,'Schedule 4'!$J$89:$J$649,'Well Cal.'!$E183)</f>
        <v>0</v>
      </c>
      <c r="Y183" s="1101">
        <f>SUMIFS('Schedule 4'!$F$89:$F$649,'Schedule 4'!$I$89:$I$649,'Well Cal.'!Y$3,'Schedule 4'!$J$89:$J$649,'Well Cal.'!$E183)</f>
        <v>0</v>
      </c>
      <c r="Z183" s="1101">
        <f>SUMIFS('Schedule 4'!$F$89:$F$649,'Schedule 4'!$I$89:$I$649,'Well Cal.'!Z$3,'Schedule 4'!$J$89:$J$649,'Well Cal.'!$E183)</f>
        <v>0</v>
      </c>
      <c r="AA183" s="1101"/>
      <c r="AB183" s="1717"/>
      <c r="AC183" s="1717"/>
      <c r="AF183" s="1099"/>
      <c r="AG183" s="1099"/>
      <c r="AH183" s="1099"/>
      <c r="AI183" s="1099"/>
      <c r="AJ183" s="1099"/>
      <c r="AK183" s="1099"/>
      <c r="AL183" s="1099"/>
      <c r="AN183" s="1099"/>
      <c r="AO183" s="1099"/>
    </row>
    <row r="184" spans="2:41" s="481" customFormat="1" x14ac:dyDescent="0.3">
      <c r="B184" s="1708"/>
      <c r="C184" s="1711"/>
      <c r="D184" s="1714"/>
      <c r="E184" s="1102" t="s">
        <v>6118</v>
      </c>
      <c r="F184" s="1103">
        <f>SUMIFS('Schedule 4'!$F$89:$F$649,'Schedule 4'!$I$89:$I$649,'Well Cal.'!F$3,'Schedule 4'!$J$89:$J$649,'Well Cal.'!$E184)</f>
        <v>0</v>
      </c>
      <c r="G184" s="1103">
        <f>SUMIFS('Schedule 4'!$F$89:$F$649,'Schedule 4'!$I$89:$I$649,'Well Cal.'!G$3,'Schedule 4'!$J$89:$J$649,'Well Cal.'!$E184)</f>
        <v>0</v>
      </c>
      <c r="H184" s="1103">
        <f>SUMIFS('Schedule 4'!$F$89:$F$649,'Schedule 4'!$I$89:$I$649,'Well Cal.'!H$3,'Schedule 4'!$J$89:$J$649,'Well Cal.'!$E184)</f>
        <v>0</v>
      </c>
      <c r="I184" s="1103">
        <f>SUMIFS('Schedule 4'!$F$89:$F$649,'Schedule 4'!$I$89:$I$649,'Well Cal.'!I$3,'Schedule 4'!$J$89:$J$649,'Well Cal.'!$E184)</f>
        <v>0</v>
      </c>
      <c r="J184" s="1103">
        <f>SUMIFS('Schedule 4'!$F$89:$F$649,'Schedule 4'!$I$89:$I$649,'Well Cal.'!J$3,'Schedule 4'!$J$89:$J$649,'Well Cal.'!$E184)</f>
        <v>0</v>
      </c>
      <c r="K184" s="1103">
        <f>SUMIFS('Schedule 4'!$F$89:$F$649,'Schedule 4'!$I$89:$I$649,'Well Cal.'!K$3,'Schedule 4'!$J$89:$J$649,'Well Cal.'!$E184)</f>
        <v>0</v>
      </c>
      <c r="L184" s="1103">
        <f>SUMIFS('Schedule 4'!$F$89:$F$649,'Schedule 4'!$I$89:$I$649,'Well Cal.'!L$3,'Schedule 4'!$J$89:$J$649,'Well Cal.'!$E184)</f>
        <v>0</v>
      </c>
      <c r="M184" s="1103">
        <f>SUMIFS('Schedule 4'!$F$89:$F$649,'Schedule 4'!$I$89:$I$649,'Well Cal.'!M$3,'Schedule 4'!$J$89:$J$649,'Well Cal.'!$E184)</f>
        <v>0</v>
      </c>
      <c r="N184" s="1103">
        <f>SUMIFS('Schedule 4'!$F$89:$F$649,'Schedule 4'!$I$89:$I$649,'Well Cal.'!N$3,'Schedule 4'!$J$89:$J$649,'Well Cal.'!$E184)</f>
        <v>0</v>
      </c>
      <c r="O184" s="1103">
        <f>SUMIFS('Schedule 4'!$F$89:$F$649,'Schedule 4'!$I$89:$I$649,'Well Cal.'!O$3,'Schedule 4'!$J$89:$J$649,'Well Cal.'!$E184)</f>
        <v>0</v>
      </c>
      <c r="P184" s="1103">
        <f>SUMIFS('Schedule 4'!$F$89:$F$649,'Schedule 4'!$I$89:$I$649,'Well Cal.'!P$3,'Schedule 4'!$J$89:$J$649,'Well Cal.'!$E184)</f>
        <v>0</v>
      </c>
      <c r="Q184" s="1103">
        <f>SUMIFS('Schedule 4'!$F$89:$F$649,'Schedule 4'!$I$89:$I$649,'Well Cal.'!Q$3,'Schedule 4'!$J$89:$J$649,'Well Cal.'!$E184)</f>
        <v>0</v>
      </c>
      <c r="R184" s="1103">
        <f>SUMIFS('Schedule 4'!$F$89:$F$649,'Schedule 4'!$I$89:$I$649,'Well Cal.'!R$3,'Schedule 4'!$J$89:$J$649,'Well Cal.'!$E184)</f>
        <v>0</v>
      </c>
      <c r="S184" s="1103">
        <f>SUMIFS('Schedule 4'!$F$89:$F$649,'Schedule 4'!$I$89:$I$649,'Well Cal.'!S$3,'Schedule 4'!$J$89:$J$649,'Well Cal.'!$E184)</f>
        <v>0</v>
      </c>
      <c r="T184" s="1103">
        <f>SUMIFS('Schedule 4'!$F$89:$F$649,'Schedule 4'!$I$89:$I$649,'Well Cal.'!T$3,'Schedule 4'!$J$89:$J$649,'Well Cal.'!$E184)</f>
        <v>0</v>
      </c>
      <c r="U184" s="1103">
        <f>SUMIFS('Schedule 4'!$F$89:$F$649,'Schedule 4'!$I$89:$I$649,'Well Cal.'!U$3,'Schedule 4'!$J$89:$J$649,'Well Cal.'!$E184)</f>
        <v>0</v>
      </c>
      <c r="V184" s="1103">
        <f>SUMIFS('Schedule 4'!$F$89:$F$649,'Schedule 4'!$I$89:$I$649,'Well Cal.'!V$3,'Schedule 4'!$J$89:$J$649,'Well Cal.'!$E184)</f>
        <v>0</v>
      </c>
      <c r="W184" s="1103">
        <f>SUMIFS('Schedule 4'!$F$89:$F$649,'Schedule 4'!$I$89:$I$649,'Well Cal.'!W$3,'Schedule 4'!$J$89:$J$649,'Well Cal.'!$E184)</f>
        <v>0</v>
      </c>
      <c r="X184" s="1103">
        <f>SUMIFS('Schedule 4'!$F$89:$F$649,'Schedule 4'!$I$89:$I$649,'Well Cal.'!X$3,'Schedule 4'!$J$89:$J$649,'Well Cal.'!$E184)</f>
        <v>0</v>
      </c>
      <c r="Y184" s="1103">
        <f>SUMIFS('Schedule 4'!$F$89:$F$649,'Schedule 4'!$I$89:$I$649,'Well Cal.'!Y$3,'Schedule 4'!$J$89:$J$649,'Well Cal.'!$E184)</f>
        <v>0</v>
      </c>
      <c r="Z184" s="1103">
        <f>SUMIFS('Schedule 4'!$F$89:$F$649,'Schedule 4'!$I$89:$I$649,'Well Cal.'!Z$3,'Schedule 4'!$J$89:$J$649,'Well Cal.'!$E184)</f>
        <v>0</v>
      </c>
      <c r="AA184" s="1103"/>
      <c r="AB184" s="1717"/>
      <c r="AC184" s="1717"/>
      <c r="AF184" s="1099"/>
      <c r="AG184" s="1099"/>
      <c r="AH184" s="1099"/>
      <c r="AI184" s="1099"/>
      <c r="AJ184" s="1099"/>
      <c r="AK184" s="1099"/>
      <c r="AL184" s="1099"/>
      <c r="AN184" s="1099"/>
      <c r="AO184" s="1099"/>
    </row>
    <row r="185" spans="2:41" s="481" customFormat="1" x14ac:dyDescent="0.3">
      <c r="B185" s="1708"/>
      <c r="C185" s="1711"/>
      <c r="D185" s="1714"/>
      <c r="E185" s="1102" t="s">
        <v>6119</v>
      </c>
      <c r="F185" s="1103">
        <f>SUMIFS('Schedule 4'!$F$89:$F$649,'Schedule 4'!$I$89:$I$649,'Well Cal.'!F$3,'Schedule 4'!$J$89:$J$649,'Well Cal.'!$E185)</f>
        <v>0</v>
      </c>
      <c r="G185" s="1103">
        <f>SUMIFS('Schedule 4'!$F$89:$F$649,'Schedule 4'!$I$89:$I$649,'Well Cal.'!G$3,'Schedule 4'!$J$89:$J$649,'Well Cal.'!$E185)</f>
        <v>0</v>
      </c>
      <c r="H185" s="1103">
        <f>SUMIFS('Schedule 4'!$F$89:$F$649,'Schedule 4'!$I$89:$I$649,'Well Cal.'!H$3,'Schedule 4'!$J$89:$J$649,'Well Cal.'!$E185)</f>
        <v>0</v>
      </c>
      <c r="I185" s="1103">
        <f>SUMIFS('Schedule 4'!$F$89:$F$649,'Schedule 4'!$I$89:$I$649,'Well Cal.'!I$3,'Schedule 4'!$J$89:$J$649,'Well Cal.'!$E185)</f>
        <v>0</v>
      </c>
      <c r="J185" s="1103">
        <f>SUMIFS('Schedule 4'!$F$89:$F$649,'Schedule 4'!$I$89:$I$649,'Well Cal.'!J$3,'Schedule 4'!$J$89:$J$649,'Well Cal.'!$E185)</f>
        <v>0</v>
      </c>
      <c r="K185" s="1103">
        <f>SUMIFS('Schedule 4'!$F$89:$F$649,'Schedule 4'!$I$89:$I$649,'Well Cal.'!K$3,'Schedule 4'!$J$89:$J$649,'Well Cal.'!$E185)</f>
        <v>0</v>
      </c>
      <c r="L185" s="1103">
        <f>SUMIFS('Schedule 4'!$F$89:$F$649,'Schedule 4'!$I$89:$I$649,'Well Cal.'!L$3,'Schedule 4'!$J$89:$J$649,'Well Cal.'!$E185)</f>
        <v>0</v>
      </c>
      <c r="M185" s="1103">
        <f>SUMIFS('Schedule 4'!$F$89:$F$649,'Schedule 4'!$I$89:$I$649,'Well Cal.'!M$3,'Schedule 4'!$J$89:$J$649,'Well Cal.'!$E185)</f>
        <v>0</v>
      </c>
      <c r="N185" s="1103">
        <f>SUMIFS('Schedule 4'!$F$89:$F$649,'Schedule 4'!$I$89:$I$649,'Well Cal.'!N$3,'Schedule 4'!$J$89:$J$649,'Well Cal.'!$E185)</f>
        <v>0</v>
      </c>
      <c r="O185" s="1103">
        <f>SUMIFS('Schedule 4'!$F$89:$F$649,'Schedule 4'!$I$89:$I$649,'Well Cal.'!O$3,'Schedule 4'!$J$89:$J$649,'Well Cal.'!$E185)</f>
        <v>0</v>
      </c>
      <c r="P185" s="1103">
        <f>SUMIFS('Schedule 4'!$F$89:$F$649,'Schedule 4'!$I$89:$I$649,'Well Cal.'!P$3,'Schedule 4'!$J$89:$J$649,'Well Cal.'!$E185)</f>
        <v>0</v>
      </c>
      <c r="Q185" s="1103">
        <f>SUMIFS('Schedule 4'!$F$89:$F$649,'Schedule 4'!$I$89:$I$649,'Well Cal.'!Q$3,'Schedule 4'!$J$89:$J$649,'Well Cal.'!$E185)</f>
        <v>0</v>
      </c>
      <c r="R185" s="1103">
        <f>SUMIFS('Schedule 4'!$F$89:$F$649,'Schedule 4'!$I$89:$I$649,'Well Cal.'!R$3,'Schedule 4'!$J$89:$J$649,'Well Cal.'!$E185)</f>
        <v>0</v>
      </c>
      <c r="S185" s="1103">
        <f>SUMIFS('Schedule 4'!$F$89:$F$649,'Schedule 4'!$I$89:$I$649,'Well Cal.'!S$3,'Schedule 4'!$J$89:$J$649,'Well Cal.'!$E185)</f>
        <v>0</v>
      </c>
      <c r="T185" s="1103">
        <f>SUMIFS('Schedule 4'!$F$89:$F$649,'Schedule 4'!$I$89:$I$649,'Well Cal.'!T$3,'Schedule 4'!$J$89:$J$649,'Well Cal.'!$E185)</f>
        <v>0</v>
      </c>
      <c r="U185" s="1103">
        <f>SUMIFS('Schedule 4'!$F$89:$F$649,'Schedule 4'!$I$89:$I$649,'Well Cal.'!U$3,'Schedule 4'!$J$89:$J$649,'Well Cal.'!$E185)</f>
        <v>0</v>
      </c>
      <c r="V185" s="1103">
        <f>SUMIFS('Schedule 4'!$F$89:$F$649,'Schedule 4'!$I$89:$I$649,'Well Cal.'!V$3,'Schedule 4'!$J$89:$J$649,'Well Cal.'!$E185)</f>
        <v>0</v>
      </c>
      <c r="W185" s="1103">
        <f>SUMIFS('Schedule 4'!$F$89:$F$649,'Schedule 4'!$I$89:$I$649,'Well Cal.'!W$3,'Schedule 4'!$J$89:$J$649,'Well Cal.'!$E185)</f>
        <v>0</v>
      </c>
      <c r="X185" s="1103">
        <f>SUMIFS('Schedule 4'!$F$89:$F$649,'Schedule 4'!$I$89:$I$649,'Well Cal.'!X$3,'Schedule 4'!$J$89:$J$649,'Well Cal.'!$E185)</f>
        <v>0</v>
      </c>
      <c r="Y185" s="1103">
        <f>SUMIFS('Schedule 4'!$F$89:$F$649,'Schedule 4'!$I$89:$I$649,'Well Cal.'!Y$3,'Schedule 4'!$J$89:$J$649,'Well Cal.'!$E185)</f>
        <v>0</v>
      </c>
      <c r="Z185" s="1103">
        <f>SUMIFS('Schedule 4'!$F$89:$F$649,'Schedule 4'!$I$89:$I$649,'Well Cal.'!Z$3,'Schedule 4'!$J$89:$J$649,'Well Cal.'!$E185)</f>
        <v>0</v>
      </c>
      <c r="AA185" s="1103"/>
      <c r="AB185" s="1717"/>
      <c r="AC185" s="1717"/>
      <c r="AF185" s="1099"/>
      <c r="AG185" s="1099"/>
      <c r="AH185" s="1099"/>
      <c r="AI185" s="1099"/>
      <c r="AJ185" s="1099"/>
      <c r="AK185" s="1099"/>
      <c r="AL185" s="1099"/>
      <c r="AN185" s="1099"/>
      <c r="AO185" s="1099"/>
    </row>
    <row r="186" spans="2:41" s="481" customFormat="1" x14ac:dyDescent="0.3">
      <c r="B186" s="1708"/>
      <c r="C186" s="1711"/>
      <c r="D186" s="1714"/>
      <c r="E186" s="1102" t="s">
        <v>6120</v>
      </c>
      <c r="F186" s="1103">
        <f>SUMIFS('Schedule 4'!$F$89:$F$649,'Schedule 4'!$I$89:$I$649,'Well Cal.'!F$3,'Schedule 4'!$J$89:$J$649,'Well Cal.'!$E186)</f>
        <v>0</v>
      </c>
      <c r="G186" s="1103">
        <f>SUMIFS('Schedule 4'!$F$89:$F$649,'Schedule 4'!$I$89:$I$649,'Well Cal.'!G$3,'Schedule 4'!$J$89:$J$649,'Well Cal.'!$E186)</f>
        <v>0</v>
      </c>
      <c r="H186" s="1103">
        <f>SUMIFS('Schedule 4'!$F$89:$F$649,'Schedule 4'!$I$89:$I$649,'Well Cal.'!H$3,'Schedule 4'!$J$89:$J$649,'Well Cal.'!$E186)</f>
        <v>0</v>
      </c>
      <c r="I186" s="1103">
        <f>SUMIFS('Schedule 4'!$F$89:$F$649,'Schedule 4'!$I$89:$I$649,'Well Cal.'!I$3,'Schedule 4'!$J$89:$J$649,'Well Cal.'!$E186)</f>
        <v>0</v>
      </c>
      <c r="J186" s="1103">
        <f>SUMIFS('Schedule 4'!$F$89:$F$649,'Schedule 4'!$I$89:$I$649,'Well Cal.'!J$3,'Schedule 4'!$J$89:$J$649,'Well Cal.'!$E186)</f>
        <v>0</v>
      </c>
      <c r="K186" s="1103">
        <f>SUMIFS('Schedule 4'!$F$89:$F$649,'Schedule 4'!$I$89:$I$649,'Well Cal.'!K$3,'Schedule 4'!$J$89:$J$649,'Well Cal.'!$E186)</f>
        <v>0</v>
      </c>
      <c r="L186" s="1103">
        <f>SUMIFS('Schedule 4'!$F$89:$F$649,'Schedule 4'!$I$89:$I$649,'Well Cal.'!L$3,'Schedule 4'!$J$89:$J$649,'Well Cal.'!$E186)</f>
        <v>0</v>
      </c>
      <c r="M186" s="1103">
        <f>SUMIFS('Schedule 4'!$F$89:$F$649,'Schedule 4'!$I$89:$I$649,'Well Cal.'!M$3,'Schedule 4'!$J$89:$J$649,'Well Cal.'!$E186)</f>
        <v>0</v>
      </c>
      <c r="N186" s="1103">
        <f>SUMIFS('Schedule 4'!$F$89:$F$649,'Schedule 4'!$I$89:$I$649,'Well Cal.'!N$3,'Schedule 4'!$J$89:$J$649,'Well Cal.'!$E186)</f>
        <v>0</v>
      </c>
      <c r="O186" s="1103">
        <f>SUMIFS('Schedule 4'!$F$89:$F$649,'Schedule 4'!$I$89:$I$649,'Well Cal.'!O$3,'Schedule 4'!$J$89:$J$649,'Well Cal.'!$E186)</f>
        <v>0</v>
      </c>
      <c r="P186" s="1103">
        <f>SUMIFS('Schedule 4'!$F$89:$F$649,'Schedule 4'!$I$89:$I$649,'Well Cal.'!P$3,'Schedule 4'!$J$89:$J$649,'Well Cal.'!$E186)</f>
        <v>0</v>
      </c>
      <c r="Q186" s="1103">
        <f>SUMIFS('Schedule 4'!$F$89:$F$649,'Schedule 4'!$I$89:$I$649,'Well Cal.'!Q$3,'Schedule 4'!$J$89:$J$649,'Well Cal.'!$E186)</f>
        <v>0</v>
      </c>
      <c r="R186" s="1103">
        <f>SUMIFS('Schedule 4'!$F$89:$F$649,'Schedule 4'!$I$89:$I$649,'Well Cal.'!R$3,'Schedule 4'!$J$89:$J$649,'Well Cal.'!$E186)</f>
        <v>0</v>
      </c>
      <c r="S186" s="1103">
        <f>SUMIFS('Schedule 4'!$F$89:$F$649,'Schedule 4'!$I$89:$I$649,'Well Cal.'!S$3,'Schedule 4'!$J$89:$J$649,'Well Cal.'!$E186)</f>
        <v>0</v>
      </c>
      <c r="T186" s="1103">
        <f>SUMIFS('Schedule 4'!$F$89:$F$649,'Schedule 4'!$I$89:$I$649,'Well Cal.'!T$3,'Schedule 4'!$J$89:$J$649,'Well Cal.'!$E186)</f>
        <v>0</v>
      </c>
      <c r="U186" s="1103">
        <f>SUMIFS('Schedule 4'!$F$89:$F$649,'Schedule 4'!$I$89:$I$649,'Well Cal.'!U$3,'Schedule 4'!$J$89:$J$649,'Well Cal.'!$E186)</f>
        <v>0</v>
      </c>
      <c r="V186" s="1103">
        <f>SUMIFS('Schedule 4'!$F$89:$F$649,'Schedule 4'!$I$89:$I$649,'Well Cal.'!V$3,'Schedule 4'!$J$89:$J$649,'Well Cal.'!$E186)</f>
        <v>0</v>
      </c>
      <c r="W186" s="1103">
        <f>SUMIFS('Schedule 4'!$F$89:$F$649,'Schedule 4'!$I$89:$I$649,'Well Cal.'!W$3,'Schedule 4'!$J$89:$J$649,'Well Cal.'!$E186)</f>
        <v>0</v>
      </c>
      <c r="X186" s="1103">
        <f>SUMIFS('Schedule 4'!$F$89:$F$649,'Schedule 4'!$I$89:$I$649,'Well Cal.'!X$3,'Schedule 4'!$J$89:$J$649,'Well Cal.'!$E186)</f>
        <v>0</v>
      </c>
      <c r="Y186" s="1103">
        <f>SUMIFS('Schedule 4'!$F$89:$F$649,'Schedule 4'!$I$89:$I$649,'Well Cal.'!Y$3,'Schedule 4'!$J$89:$J$649,'Well Cal.'!$E186)</f>
        <v>0</v>
      </c>
      <c r="Z186" s="1103">
        <f>SUMIFS('Schedule 4'!$F$89:$F$649,'Schedule 4'!$I$89:$I$649,'Well Cal.'!Z$3,'Schedule 4'!$J$89:$J$649,'Well Cal.'!$E186)</f>
        <v>0</v>
      </c>
      <c r="AA186" s="1103"/>
      <c r="AB186" s="1717"/>
      <c r="AC186" s="1717"/>
      <c r="AF186" s="1099"/>
      <c r="AG186" s="1099"/>
      <c r="AH186" s="1099"/>
      <c r="AI186" s="1099"/>
      <c r="AJ186" s="1099"/>
      <c r="AK186" s="1099"/>
      <c r="AL186" s="1099"/>
      <c r="AN186" s="1099"/>
      <c r="AO186" s="1099"/>
    </row>
    <row r="187" spans="2:41" s="481" customFormat="1" x14ac:dyDescent="0.3">
      <c r="B187" s="1708"/>
      <c r="C187" s="1711"/>
      <c r="D187" s="1714"/>
      <c r="E187" s="1102" t="s">
        <v>6121</v>
      </c>
      <c r="F187" s="1103">
        <f>SUMIFS('Schedule 4'!$F$89:$F$649,'Schedule 4'!$I$89:$I$649,'Well Cal.'!F$3,'Schedule 4'!$J$89:$J$649,'Well Cal.'!$E187)</f>
        <v>0</v>
      </c>
      <c r="G187" s="1103">
        <f>SUMIFS('Schedule 4'!$F$89:$F$649,'Schedule 4'!$I$89:$I$649,'Well Cal.'!G$3,'Schedule 4'!$J$89:$J$649,'Well Cal.'!$E187)</f>
        <v>0</v>
      </c>
      <c r="H187" s="1103">
        <f>SUMIFS('Schedule 4'!$F$89:$F$649,'Schedule 4'!$I$89:$I$649,'Well Cal.'!H$3,'Schedule 4'!$J$89:$J$649,'Well Cal.'!$E187)</f>
        <v>0</v>
      </c>
      <c r="I187" s="1103">
        <f>SUMIFS('Schedule 4'!$F$89:$F$649,'Schedule 4'!$I$89:$I$649,'Well Cal.'!I$3,'Schedule 4'!$J$89:$J$649,'Well Cal.'!$E187)</f>
        <v>0</v>
      </c>
      <c r="J187" s="1103">
        <f>SUMIFS('Schedule 4'!$F$89:$F$649,'Schedule 4'!$I$89:$I$649,'Well Cal.'!J$3,'Schedule 4'!$J$89:$J$649,'Well Cal.'!$E187)</f>
        <v>0</v>
      </c>
      <c r="K187" s="1103">
        <f>SUMIFS('Schedule 4'!$F$89:$F$649,'Schedule 4'!$I$89:$I$649,'Well Cal.'!K$3,'Schedule 4'!$J$89:$J$649,'Well Cal.'!$E187)</f>
        <v>0</v>
      </c>
      <c r="L187" s="1103">
        <f>SUMIFS('Schedule 4'!$F$89:$F$649,'Schedule 4'!$I$89:$I$649,'Well Cal.'!L$3,'Schedule 4'!$J$89:$J$649,'Well Cal.'!$E187)</f>
        <v>0</v>
      </c>
      <c r="M187" s="1103">
        <f>SUMIFS('Schedule 4'!$F$89:$F$649,'Schedule 4'!$I$89:$I$649,'Well Cal.'!M$3,'Schedule 4'!$J$89:$J$649,'Well Cal.'!$E187)</f>
        <v>0</v>
      </c>
      <c r="N187" s="1103">
        <f>SUMIFS('Schedule 4'!$F$89:$F$649,'Schedule 4'!$I$89:$I$649,'Well Cal.'!N$3,'Schedule 4'!$J$89:$J$649,'Well Cal.'!$E187)</f>
        <v>0</v>
      </c>
      <c r="O187" s="1103">
        <f>SUMIFS('Schedule 4'!$F$89:$F$649,'Schedule 4'!$I$89:$I$649,'Well Cal.'!O$3,'Schedule 4'!$J$89:$J$649,'Well Cal.'!$E187)</f>
        <v>0</v>
      </c>
      <c r="P187" s="1103">
        <f>SUMIFS('Schedule 4'!$F$89:$F$649,'Schedule 4'!$I$89:$I$649,'Well Cal.'!P$3,'Schedule 4'!$J$89:$J$649,'Well Cal.'!$E187)</f>
        <v>0</v>
      </c>
      <c r="Q187" s="1103">
        <f>SUMIFS('Schedule 4'!$F$89:$F$649,'Schedule 4'!$I$89:$I$649,'Well Cal.'!Q$3,'Schedule 4'!$J$89:$J$649,'Well Cal.'!$E187)</f>
        <v>0</v>
      </c>
      <c r="R187" s="1103">
        <f>SUMIFS('Schedule 4'!$F$89:$F$649,'Schedule 4'!$I$89:$I$649,'Well Cal.'!R$3,'Schedule 4'!$J$89:$J$649,'Well Cal.'!$E187)</f>
        <v>0</v>
      </c>
      <c r="S187" s="1103">
        <f>SUMIFS('Schedule 4'!$F$89:$F$649,'Schedule 4'!$I$89:$I$649,'Well Cal.'!S$3,'Schedule 4'!$J$89:$J$649,'Well Cal.'!$E187)</f>
        <v>0</v>
      </c>
      <c r="T187" s="1103">
        <f>SUMIFS('Schedule 4'!$F$89:$F$649,'Schedule 4'!$I$89:$I$649,'Well Cal.'!T$3,'Schedule 4'!$J$89:$J$649,'Well Cal.'!$E187)</f>
        <v>0</v>
      </c>
      <c r="U187" s="1103">
        <f>SUMIFS('Schedule 4'!$F$89:$F$649,'Schedule 4'!$I$89:$I$649,'Well Cal.'!U$3,'Schedule 4'!$J$89:$J$649,'Well Cal.'!$E187)</f>
        <v>0</v>
      </c>
      <c r="V187" s="1103">
        <f>SUMIFS('Schedule 4'!$F$89:$F$649,'Schedule 4'!$I$89:$I$649,'Well Cal.'!V$3,'Schedule 4'!$J$89:$J$649,'Well Cal.'!$E187)</f>
        <v>0</v>
      </c>
      <c r="W187" s="1103">
        <f>SUMIFS('Schedule 4'!$F$89:$F$649,'Schedule 4'!$I$89:$I$649,'Well Cal.'!W$3,'Schedule 4'!$J$89:$J$649,'Well Cal.'!$E187)</f>
        <v>0</v>
      </c>
      <c r="X187" s="1103">
        <f>SUMIFS('Schedule 4'!$F$89:$F$649,'Schedule 4'!$I$89:$I$649,'Well Cal.'!X$3,'Schedule 4'!$J$89:$J$649,'Well Cal.'!$E187)</f>
        <v>0</v>
      </c>
      <c r="Y187" s="1103">
        <f>SUMIFS('Schedule 4'!$F$89:$F$649,'Schedule 4'!$I$89:$I$649,'Well Cal.'!Y$3,'Schedule 4'!$J$89:$J$649,'Well Cal.'!$E187)</f>
        <v>0</v>
      </c>
      <c r="Z187" s="1103">
        <f>SUMIFS('Schedule 4'!$F$89:$F$649,'Schedule 4'!$I$89:$I$649,'Well Cal.'!Z$3,'Schedule 4'!$J$89:$J$649,'Well Cal.'!$E187)</f>
        <v>0</v>
      </c>
      <c r="AA187" s="1103"/>
      <c r="AB187" s="1717"/>
      <c r="AC187" s="1717"/>
      <c r="AF187" s="1099"/>
      <c r="AG187" s="1099"/>
      <c r="AH187" s="1099"/>
      <c r="AI187" s="1099"/>
      <c r="AJ187" s="1099"/>
      <c r="AK187" s="1099"/>
      <c r="AL187" s="1099"/>
      <c r="AN187" s="1099"/>
      <c r="AO187" s="1099"/>
    </row>
    <row r="188" spans="2:41" s="481" customFormat="1" x14ac:dyDescent="0.3">
      <c r="B188" s="1708"/>
      <c r="C188" s="1711"/>
      <c r="D188" s="1714"/>
      <c r="E188" s="1102" t="s">
        <v>6122</v>
      </c>
      <c r="F188" s="1103">
        <f>SUMIFS('Schedule 4'!$F$89:$F$649,'Schedule 4'!$I$89:$I$649,'Well Cal.'!F$3,'Schedule 4'!$J$89:$J$649,'Well Cal.'!$E188)</f>
        <v>0</v>
      </c>
      <c r="G188" s="1103">
        <f>SUMIFS('Schedule 4'!$F$89:$F$649,'Schedule 4'!$I$89:$I$649,'Well Cal.'!G$3,'Schedule 4'!$J$89:$J$649,'Well Cal.'!$E188)</f>
        <v>0</v>
      </c>
      <c r="H188" s="1103">
        <f>SUMIFS('Schedule 4'!$F$89:$F$649,'Schedule 4'!$I$89:$I$649,'Well Cal.'!H$3,'Schedule 4'!$J$89:$J$649,'Well Cal.'!$E188)</f>
        <v>0</v>
      </c>
      <c r="I188" s="1103">
        <f>SUMIFS('Schedule 4'!$F$89:$F$649,'Schedule 4'!$I$89:$I$649,'Well Cal.'!I$3,'Schedule 4'!$J$89:$J$649,'Well Cal.'!$E188)</f>
        <v>0</v>
      </c>
      <c r="J188" s="1103">
        <f>SUMIFS('Schedule 4'!$F$89:$F$649,'Schedule 4'!$I$89:$I$649,'Well Cal.'!J$3,'Schedule 4'!$J$89:$J$649,'Well Cal.'!$E188)</f>
        <v>0</v>
      </c>
      <c r="K188" s="1103">
        <f>SUMIFS('Schedule 4'!$F$89:$F$649,'Schedule 4'!$I$89:$I$649,'Well Cal.'!K$3,'Schedule 4'!$J$89:$J$649,'Well Cal.'!$E188)</f>
        <v>0</v>
      </c>
      <c r="L188" s="1103">
        <f>SUMIFS('Schedule 4'!$F$89:$F$649,'Schedule 4'!$I$89:$I$649,'Well Cal.'!L$3,'Schedule 4'!$J$89:$J$649,'Well Cal.'!$E188)</f>
        <v>0</v>
      </c>
      <c r="M188" s="1103">
        <f>SUMIFS('Schedule 4'!$F$89:$F$649,'Schedule 4'!$I$89:$I$649,'Well Cal.'!M$3,'Schedule 4'!$J$89:$J$649,'Well Cal.'!$E188)</f>
        <v>0</v>
      </c>
      <c r="N188" s="1103">
        <f>SUMIFS('Schedule 4'!$F$89:$F$649,'Schedule 4'!$I$89:$I$649,'Well Cal.'!N$3,'Schedule 4'!$J$89:$J$649,'Well Cal.'!$E188)</f>
        <v>0</v>
      </c>
      <c r="O188" s="1103">
        <f>SUMIFS('Schedule 4'!$F$89:$F$649,'Schedule 4'!$I$89:$I$649,'Well Cal.'!O$3,'Schedule 4'!$J$89:$J$649,'Well Cal.'!$E188)</f>
        <v>0</v>
      </c>
      <c r="P188" s="1103">
        <f>SUMIFS('Schedule 4'!$F$89:$F$649,'Schedule 4'!$I$89:$I$649,'Well Cal.'!P$3,'Schedule 4'!$J$89:$J$649,'Well Cal.'!$E188)</f>
        <v>0</v>
      </c>
      <c r="Q188" s="1103">
        <f>SUMIFS('Schedule 4'!$F$89:$F$649,'Schedule 4'!$I$89:$I$649,'Well Cal.'!Q$3,'Schedule 4'!$J$89:$J$649,'Well Cal.'!$E188)</f>
        <v>0</v>
      </c>
      <c r="R188" s="1103">
        <f>SUMIFS('Schedule 4'!$F$89:$F$649,'Schedule 4'!$I$89:$I$649,'Well Cal.'!R$3,'Schedule 4'!$J$89:$J$649,'Well Cal.'!$E188)</f>
        <v>0</v>
      </c>
      <c r="S188" s="1103">
        <f>SUMIFS('Schedule 4'!$F$89:$F$649,'Schedule 4'!$I$89:$I$649,'Well Cal.'!S$3,'Schedule 4'!$J$89:$J$649,'Well Cal.'!$E188)</f>
        <v>0</v>
      </c>
      <c r="T188" s="1103">
        <f>SUMIFS('Schedule 4'!$F$89:$F$649,'Schedule 4'!$I$89:$I$649,'Well Cal.'!T$3,'Schedule 4'!$J$89:$J$649,'Well Cal.'!$E188)</f>
        <v>0</v>
      </c>
      <c r="U188" s="1103">
        <f>SUMIFS('Schedule 4'!$F$89:$F$649,'Schedule 4'!$I$89:$I$649,'Well Cal.'!U$3,'Schedule 4'!$J$89:$J$649,'Well Cal.'!$E188)</f>
        <v>0</v>
      </c>
      <c r="V188" s="1103">
        <f>SUMIFS('Schedule 4'!$F$89:$F$649,'Schedule 4'!$I$89:$I$649,'Well Cal.'!V$3,'Schedule 4'!$J$89:$J$649,'Well Cal.'!$E188)</f>
        <v>0</v>
      </c>
      <c r="W188" s="1103">
        <f>SUMIFS('Schedule 4'!$F$89:$F$649,'Schedule 4'!$I$89:$I$649,'Well Cal.'!W$3,'Schedule 4'!$J$89:$J$649,'Well Cal.'!$E188)</f>
        <v>0</v>
      </c>
      <c r="X188" s="1103">
        <f>SUMIFS('Schedule 4'!$F$89:$F$649,'Schedule 4'!$I$89:$I$649,'Well Cal.'!X$3,'Schedule 4'!$J$89:$J$649,'Well Cal.'!$E188)</f>
        <v>0</v>
      </c>
      <c r="Y188" s="1103">
        <f>SUMIFS('Schedule 4'!$F$89:$F$649,'Schedule 4'!$I$89:$I$649,'Well Cal.'!Y$3,'Schedule 4'!$J$89:$J$649,'Well Cal.'!$E188)</f>
        <v>0</v>
      </c>
      <c r="Z188" s="1103">
        <f>SUMIFS('Schedule 4'!$F$89:$F$649,'Schedule 4'!$I$89:$I$649,'Well Cal.'!Z$3,'Schedule 4'!$J$89:$J$649,'Well Cal.'!$E188)</f>
        <v>0</v>
      </c>
      <c r="AA188" s="1103"/>
      <c r="AB188" s="1718"/>
      <c r="AC188" s="1718"/>
      <c r="AE188" s="1104"/>
      <c r="AF188" s="1099"/>
      <c r="AG188" s="1099"/>
      <c r="AH188" s="1099"/>
      <c r="AI188" s="1099"/>
      <c r="AJ188" s="1099"/>
      <c r="AK188" s="1099"/>
      <c r="AL188" s="1099"/>
      <c r="AN188" s="1099"/>
      <c r="AO188" s="1099"/>
    </row>
    <row r="189" spans="2:41" s="481" customFormat="1" x14ac:dyDescent="0.3">
      <c r="B189" s="1709"/>
      <c r="C189" s="1712"/>
      <c r="D189" s="1715"/>
      <c r="E189" s="1105"/>
      <c r="F189" s="1106"/>
      <c r="G189" s="1106"/>
      <c r="H189" s="1106"/>
      <c r="I189" s="1106"/>
      <c r="J189" s="1106"/>
      <c r="K189" s="1106"/>
      <c r="L189" s="1106"/>
      <c r="M189" s="1106"/>
      <c r="N189" s="1106"/>
      <c r="O189" s="1106"/>
      <c r="P189" s="1106"/>
      <c r="Q189" s="1106"/>
      <c r="R189" s="1106"/>
      <c r="S189" s="1106"/>
      <c r="T189" s="1106"/>
      <c r="U189" s="1106"/>
      <c r="V189" s="1106"/>
      <c r="W189" s="1106"/>
      <c r="X189" s="1106"/>
      <c r="Y189" s="1106"/>
      <c r="Z189" s="1106"/>
      <c r="AA189" s="1106"/>
      <c r="AB189" s="1719"/>
      <c r="AC189" s="1719"/>
      <c r="AF189" s="1099"/>
      <c r="AG189" s="1099"/>
      <c r="AH189" s="1099"/>
      <c r="AI189" s="1099"/>
      <c r="AJ189" s="1099"/>
      <c r="AK189" s="1099"/>
      <c r="AL189" s="1099"/>
      <c r="AN189" s="1099"/>
      <c r="AO189" s="1099"/>
    </row>
    <row r="190" spans="2:41" x14ac:dyDescent="0.3">
      <c r="B190" s="1723" t="s">
        <v>3056</v>
      </c>
      <c r="C190" s="1726">
        <v>54.05</v>
      </c>
      <c r="D190" s="1720">
        <f>SUMIFS('Schedule 4'!$F$89:$F$649,'Schedule 4'!$K$89:$K$649,'Well Cal.'!$B190)</f>
        <v>49.129999999999988</v>
      </c>
      <c r="E190" s="754" t="s">
        <v>3198</v>
      </c>
      <c r="F190" s="728">
        <f>SUMIFS('Schedule 4'!$F$89:$F$649,'Schedule 4'!$I$89:$I$649,'Well Cal.'!F$3,'Schedule 4'!$J$89:$J$649,'Well Cal.'!$E190)</f>
        <v>0</v>
      </c>
      <c r="G190" s="728">
        <f>SUMIFS('Schedule 4'!$F$89:$F$649,'Schedule 4'!$I$89:$I$649,'Well Cal.'!G$3,'Schedule 4'!$J$89:$J$649,'Well Cal.'!$E190)</f>
        <v>0</v>
      </c>
      <c r="H190" s="728">
        <f>SUMIFS('Schedule 4'!$F$89:$F$649,'Schedule 4'!$I$89:$I$649,'Well Cal.'!H$3,'Schedule 4'!$J$89:$J$649,'Well Cal.'!$E190)</f>
        <v>0</v>
      </c>
      <c r="I190" s="728">
        <f>SUMIFS('Schedule 4'!$F$89:$F$649,'Schedule 4'!$I$89:$I$649,'Well Cal.'!I$3,'Schedule 4'!$J$89:$J$649,'Well Cal.'!$E190)</f>
        <v>0</v>
      </c>
      <c r="J190" s="728">
        <f>SUMIFS('Schedule 4'!$F$89:$F$649,'Schedule 4'!$I$89:$I$649,'Well Cal.'!J$3,'Schedule 4'!$J$89:$J$649,'Well Cal.'!$E190)</f>
        <v>0</v>
      </c>
      <c r="K190" s="728">
        <f>SUMIFS('Schedule 4'!$F$89:$F$649,'Schedule 4'!$I$89:$I$649,'Well Cal.'!K$3,'Schedule 4'!$J$89:$J$649,'Well Cal.'!$E190)</f>
        <v>0</v>
      </c>
      <c r="L190" s="728">
        <f>SUMIFS('Schedule 4'!$F$89:$F$649,'Schedule 4'!$I$89:$I$649,'Well Cal.'!L$3,'Schedule 4'!$J$89:$J$649,'Well Cal.'!$E190)</f>
        <v>0</v>
      </c>
      <c r="M190" s="728">
        <f>SUMIFS('Schedule 4'!$F$89:$F$649,'Schedule 4'!$I$89:$I$649,'Well Cal.'!M$3,'Schedule 4'!$J$89:$J$649,'Well Cal.'!$E190)</f>
        <v>0</v>
      </c>
      <c r="N190" s="728">
        <f>SUMIFS('Schedule 4'!$F$89:$F$649,'Schedule 4'!$I$89:$I$649,'Well Cal.'!N$3,'Schedule 4'!$J$89:$J$649,'Well Cal.'!$E190)</f>
        <v>0</v>
      </c>
      <c r="O190" s="728">
        <f>SUMIFS('Schedule 4'!$F$89:$F$649,'Schedule 4'!$I$89:$I$649,'Well Cal.'!O$3,'Schedule 4'!$J$89:$J$649,'Well Cal.'!$E190)</f>
        <v>0</v>
      </c>
      <c r="P190" s="728">
        <f>SUMIFS('Schedule 4'!$F$89:$F$649,'Schedule 4'!$I$89:$I$649,'Well Cal.'!P$3,'Schedule 4'!$J$89:$J$649,'Well Cal.'!$E190)</f>
        <v>0</v>
      </c>
      <c r="Q190" s="728">
        <f>SUMIFS('Schedule 4'!$F$89:$F$649,'Schedule 4'!$I$89:$I$649,'Well Cal.'!Q$3,'Schedule 4'!$J$89:$J$649,'Well Cal.'!$E190)</f>
        <v>0</v>
      </c>
      <c r="R190" s="728">
        <f>SUMIFS('Schedule 4'!$F$89:$F$649,'Schedule 4'!$I$89:$I$649,'Well Cal.'!R$3,'Schedule 4'!$J$89:$J$649,'Well Cal.'!$E190)</f>
        <v>0</v>
      </c>
      <c r="S190" s="728">
        <f>SUMIFS('Schedule 4'!$F$89:$F$649,'Schedule 4'!$I$89:$I$649,'Well Cal.'!S$3,'Schedule 4'!$J$89:$J$649,'Well Cal.'!$E190)</f>
        <v>0</v>
      </c>
      <c r="T190" s="728">
        <f>SUMIFS('Schedule 4'!$F$89:$F$649,'Schedule 4'!$I$89:$I$649,'Well Cal.'!T$3,'Schedule 4'!$J$89:$J$649,'Well Cal.'!$E190)</f>
        <v>0</v>
      </c>
      <c r="U190" s="728">
        <f>SUMIFS('Schedule 4'!$F$89:$F$649,'Schedule 4'!$I$89:$I$649,'Well Cal.'!U$3,'Schedule 4'!$J$89:$J$649,'Well Cal.'!$E190)</f>
        <v>0</v>
      </c>
      <c r="V190" s="728">
        <f>SUMIFS('Schedule 4'!$F$89:$F$649,'Schedule 4'!$I$89:$I$649,'Well Cal.'!V$3,'Schedule 4'!$J$89:$J$649,'Well Cal.'!$E190)</f>
        <v>0</v>
      </c>
      <c r="W190" s="728">
        <f>SUMIFS('Schedule 4'!$F$89:$F$649,'Schedule 4'!$I$89:$I$649,'Well Cal.'!W$3,'Schedule 4'!$J$89:$J$649,'Well Cal.'!$E190)</f>
        <v>0</v>
      </c>
      <c r="X190" s="728">
        <f>SUMIFS('Schedule 4'!$F$89:$F$649,'Schedule 4'!$I$89:$I$649,'Well Cal.'!X$3,'Schedule 4'!$J$89:$J$649,'Well Cal.'!$E190)</f>
        <v>0</v>
      </c>
      <c r="Y190" s="728">
        <f>SUMIFS('Schedule 4'!$F$89:$F$649,'Schedule 4'!$I$89:$I$649,'Well Cal.'!Y$3,'Schedule 4'!$J$89:$J$649,'Well Cal.'!$E190)</f>
        <v>4.4800000000000004</v>
      </c>
      <c r="Z190" s="728">
        <f>SUMIFS('Schedule 4'!$F$89:$F$649,'Schedule 4'!$I$89:$I$649,'Well Cal.'!Z$3,'Schedule 4'!$J$89:$J$649,'Well Cal.'!$E190)</f>
        <v>0</v>
      </c>
      <c r="AA190" s="728"/>
      <c r="AB190" s="1729">
        <f>SUM(F190:AA206)</f>
        <v>47.129999999999988</v>
      </c>
      <c r="AC190" s="1729">
        <f>D190-AB190</f>
        <v>2</v>
      </c>
      <c r="AE190" s="481"/>
      <c r="AF190" s="1099"/>
      <c r="AG190" s="1099"/>
      <c r="AH190" s="1099"/>
    </row>
    <row r="191" spans="2:41" x14ac:dyDescent="0.3">
      <c r="B191" s="1724"/>
      <c r="C191" s="1727"/>
      <c r="D191" s="1721"/>
      <c r="E191" s="761" t="s">
        <v>3279</v>
      </c>
      <c r="F191" s="726">
        <f>SUMIFS('Schedule 4'!$F$89:$F$649,'Schedule 4'!$I$89:$I$649,'Well Cal.'!F$3,'Schedule 4'!$J$89:$J$649,'Well Cal.'!$E191)</f>
        <v>0</v>
      </c>
      <c r="G191" s="726">
        <f>SUMIFS('Schedule 4'!$F$89:$F$649,'Schedule 4'!$I$89:$I$649,'Well Cal.'!G$3,'Schedule 4'!$J$89:$J$649,'Well Cal.'!$E191)</f>
        <v>0</v>
      </c>
      <c r="H191" s="726">
        <f>SUMIFS('Schedule 4'!$F$89:$F$649,'Schedule 4'!$I$89:$I$649,'Well Cal.'!H$3,'Schedule 4'!$J$89:$J$649,'Well Cal.'!$E191)</f>
        <v>0</v>
      </c>
      <c r="I191" s="726">
        <f>SUMIFS('Schedule 4'!$F$89:$F$649,'Schedule 4'!$I$89:$I$649,'Well Cal.'!I$3,'Schedule 4'!$J$89:$J$649,'Well Cal.'!$E191)</f>
        <v>0</v>
      </c>
      <c r="J191" s="726">
        <f>SUMIFS('Schedule 4'!$F$89:$F$649,'Schedule 4'!$I$89:$I$649,'Well Cal.'!J$3,'Schedule 4'!$J$89:$J$649,'Well Cal.'!$E191)</f>
        <v>0</v>
      </c>
      <c r="K191" s="726">
        <f>SUMIFS('Schedule 4'!$F$89:$F$649,'Schedule 4'!$I$89:$I$649,'Well Cal.'!K$3,'Schedule 4'!$J$89:$J$649,'Well Cal.'!$E191)</f>
        <v>0</v>
      </c>
      <c r="L191" s="726">
        <f>SUMIFS('Schedule 4'!$F$89:$F$649,'Schedule 4'!$I$89:$I$649,'Well Cal.'!L$3,'Schedule 4'!$J$89:$J$649,'Well Cal.'!$E191)</f>
        <v>0</v>
      </c>
      <c r="M191" s="726">
        <f>SUMIFS('Schedule 4'!$F$89:$F$649,'Schedule 4'!$I$89:$I$649,'Well Cal.'!M$3,'Schedule 4'!$J$89:$J$649,'Well Cal.'!$E191)</f>
        <v>0</v>
      </c>
      <c r="N191" s="726">
        <f>SUMIFS('Schedule 4'!$F$89:$F$649,'Schedule 4'!$I$89:$I$649,'Well Cal.'!N$3,'Schedule 4'!$J$89:$J$649,'Well Cal.'!$E191)</f>
        <v>0</v>
      </c>
      <c r="O191" s="726">
        <f>SUMIFS('Schedule 4'!$F$89:$F$649,'Schedule 4'!$I$89:$I$649,'Well Cal.'!O$3,'Schedule 4'!$J$89:$J$649,'Well Cal.'!$E191)</f>
        <v>0</v>
      </c>
      <c r="P191" s="726">
        <f>SUMIFS('Schedule 4'!$F$89:$F$649,'Schedule 4'!$I$89:$I$649,'Well Cal.'!P$3,'Schedule 4'!$J$89:$J$649,'Well Cal.'!$E191)</f>
        <v>0</v>
      </c>
      <c r="Q191" s="726">
        <f>SUMIFS('Schedule 4'!$F$89:$F$649,'Schedule 4'!$I$89:$I$649,'Well Cal.'!Q$3,'Schedule 4'!$J$89:$J$649,'Well Cal.'!$E191)</f>
        <v>0</v>
      </c>
      <c r="R191" s="726">
        <f>SUMIFS('Schedule 4'!$F$89:$F$649,'Schedule 4'!$I$89:$I$649,'Well Cal.'!R$3,'Schedule 4'!$J$89:$J$649,'Well Cal.'!$E191)</f>
        <v>0</v>
      </c>
      <c r="S191" s="726">
        <f>SUMIFS('Schedule 4'!$F$89:$F$649,'Schedule 4'!$I$89:$I$649,'Well Cal.'!S$3,'Schedule 4'!$J$89:$J$649,'Well Cal.'!$E191)</f>
        <v>0</v>
      </c>
      <c r="T191" s="726">
        <f>SUMIFS('Schedule 4'!$F$89:$F$649,'Schedule 4'!$I$89:$I$649,'Well Cal.'!T$3,'Schedule 4'!$J$89:$J$649,'Well Cal.'!$E191)</f>
        <v>0</v>
      </c>
      <c r="U191" s="726">
        <f>SUMIFS('Schedule 4'!$F$89:$F$649,'Schedule 4'!$I$89:$I$649,'Well Cal.'!U$3,'Schedule 4'!$J$89:$J$649,'Well Cal.'!$E191)</f>
        <v>0</v>
      </c>
      <c r="V191" s="726">
        <f>SUMIFS('Schedule 4'!$F$89:$F$649,'Schedule 4'!$I$89:$I$649,'Well Cal.'!V$3,'Schedule 4'!$J$89:$J$649,'Well Cal.'!$E191)</f>
        <v>0</v>
      </c>
      <c r="W191" s="726">
        <f>SUMIFS('Schedule 4'!$F$89:$F$649,'Schedule 4'!$I$89:$I$649,'Well Cal.'!W$3,'Schedule 4'!$J$89:$J$649,'Well Cal.'!$E191)</f>
        <v>0</v>
      </c>
      <c r="X191" s="726">
        <f>SUMIFS('Schedule 4'!$F$89:$F$649,'Schedule 4'!$I$89:$I$649,'Well Cal.'!X$3,'Schedule 4'!$J$89:$J$649,'Well Cal.'!$E191)</f>
        <v>0</v>
      </c>
      <c r="Y191" s="726">
        <f>SUMIFS('Schedule 4'!$F$89:$F$649,'Schedule 4'!$I$89:$I$649,'Well Cal.'!Y$3,'Schedule 4'!$J$89:$J$649,'Well Cal.'!$E191)</f>
        <v>2.8</v>
      </c>
      <c r="Z191" s="726">
        <f>SUMIFS('Schedule 4'!$F$89:$F$649,'Schedule 4'!$I$89:$I$649,'Well Cal.'!Z$3,'Schedule 4'!$J$89:$J$649,'Well Cal.'!$E191)</f>
        <v>0</v>
      </c>
      <c r="AA191" s="726"/>
      <c r="AB191" s="1730"/>
      <c r="AC191" s="1730"/>
    </row>
    <row r="192" spans="2:41" x14ac:dyDescent="0.3">
      <c r="B192" s="1724"/>
      <c r="C192" s="1727"/>
      <c r="D192" s="1721"/>
      <c r="E192" s="761" t="s">
        <v>3355</v>
      </c>
      <c r="F192" s="726">
        <f>SUMIFS('Schedule 4'!$F$89:$F$649,'Schedule 4'!$I$89:$I$649,'Well Cal.'!F$3,'Schedule 4'!$J$89:$J$649,'Well Cal.'!$E192)</f>
        <v>0</v>
      </c>
      <c r="G192" s="726">
        <f>SUMIFS('Schedule 4'!$F$89:$F$649,'Schedule 4'!$I$89:$I$649,'Well Cal.'!G$3,'Schedule 4'!$J$89:$J$649,'Well Cal.'!$E192)</f>
        <v>0</v>
      </c>
      <c r="H192" s="726">
        <f>SUMIFS('Schedule 4'!$F$89:$F$649,'Schedule 4'!$I$89:$I$649,'Well Cal.'!H$3,'Schedule 4'!$J$89:$J$649,'Well Cal.'!$E192)</f>
        <v>0</v>
      </c>
      <c r="I192" s="726">
        <f>SUMIFS('Schedule 4'!$F$89:$F$649,'Schedule 4'!$I$89:$I$649,'Well Cal.'!I$3,'Schedule 4'!$J$89:$J$649,'Well Cal.'!$E192)</f>
        <v>0</v>
      </c>
      <c r="J192" s="726">
        <f>SUMIFS('Schedule 4'!$F$89:$F$649,'Schedule 4'!$I$89:$I$649,'Well Cal.'!J$3,'Schedule 4'!$J$89:$J$649,'Well Cal.'!$E192)</f>
        <v>0</v>
      </c>
      <c r="K192" s="726">
        <f>SUMIFS('Schedule 4'!$F$89:$F$649,'Schedule 4'!$I$89:$I$649,'Well Cal.'!K$3,'Schedule 4'!$J$89:$J$649,'Well Cal.'!$E192)</f>
        <v>0</v>
      </c>
      <c r="L192" s="726">
        <f>SUMIFS('Schedule 4'!$F$89:$F$649,'Schedule 4'!$I$89:$I$649,'Well Cal.'!L$3,'Schedule 4'!$J$89:$J$649,'Well Cal.'!$E192)</f>
        <v>0</v>
      </c>
      <c r="M192" s="726">
        <f>SUMIFS('Schedule 4'!$F$89:$F$649,'Schedule 4'!$I$89:$I$649,'Well Cal.'!M$3,'Schedule 4'!$J$89:$J$649,'Well Cal.'!$E192)</f>
        <v>0</v>
      </c>
      <c r="N192" s="726">
        <f>SUMIFS('Schedule 4'!$F$89:$F$649,'Schedule 4'!$I$89:$I$649,'Well Cal.'!N$3,'Schedule 4'!$J$89:$J$649,'Well Cal.'!$E192)</f>
        <v>0</v>
      </c>
      <c r="O192" s="726">
        <f>SUMIFS('Schedule 4'!$F$89:$F$649,'Schedule 4'!$I$89:$I$649,'Well Cal.'!O$3,'Schedule 4'!$J$89:$J$649,'Well Cal.'!$E192)</f>
        <v>0</v>
      </c>
      <c r="P192" s="726">
        <f>SUMIFS('Schedule 4'!$F$89:$F$649,'Schedule 4'!$I$89:$I$649,'Well Cal.'!P$3,'Schedule 4'!$J$89:$J$649,'Well Cal.'!$E192)</f>
        <v>0</v>
      </c>
      <c r="Q192" s="726">
        <f>SUMIFS('Schedule 4'!$F$89:$F$649,'Schedule 4'!$I$89:$I$649,'Well Cal.'!Q$3,'Schedule 4'!$J$89:$J$649,'Well Cal.'!$E192)</f>
        <v>0</v>
      </c>
      <c r="R192" s="726">
        <f>SUMIFS('Schedule 4'!$F$89:$F$649,'Schedule 4'!$I$89:$I$649,'Well Cal.'!R$3,'Schedule 4'!$J$89:$J$649,'Well Cal.'!$E192)</f>
        <v>0</v>
      </c>
      <c r="S192" s="726">
        <f>SUMIFS('Schedule 4'!$F$89:$F$649,'Schedule 4'!$I$89:$I$649,'Well Cal.'!S$3,'Schedule 4'!$J$89:$J$649,'Well Cal.'!$E192)</f>
        <v>0</v>
      </c>
      <c r="T192" s="726">
        <f>SUMIFS('Schedule 4'!$F$89:$F$649,'Schedule 4'!$I$89:$I$649,'Well Cal.'!T$3,'Schedule 4'!$J$89:$J$649,'Well Cal.'!$E192)</f>
        <v>0</v>
      </c>
      <c r="U192" s="726">
        <f>SUMIFS('Schedule 4'!$F$89:$F$649,'Schedule 4'!$I$89:$I$649,'Well Cal.'!U$3,'Schedule 4'!$J$89:$J$649,'Well Cal.'!$E192)</f>
        <v>0</v>
      </c>
      <c r="V192" s="726">
        <f>SUMIFS('Schedule 4'!$F$89:$F$649,'Schedule 4'!$I$89:$I$649,'Well Cal.'!V$3,'Schedule 4'!$J$89:$J$649,'Well Cal.'!$E192)</f>
        <v>0</v>
      </c>
      <c r="W192" s="726">
        <f>SUMIFS('Schedule 4'!$F$89:$F$649,'Schedule 4'!$I$89:$I$649,'Well Cal.'!W$3,'Schedule 4'!$J$89:$J$649,'Well Cal.'!$E192)</f>
        <v>0</v>
      </c>
      <c r="X192" s="726">
        <f>SUMIFS('Schedule 4'!$F$89:$F$649,'Schedule 4'!$I$89:$I$649,'Well Cal.'!X$3,'Schedule 4'!$J$89:$J$649,'Well Cal.'!$E192)</f>
        <v>0</v>
      </c>
      <c r="Y192" s="726">
        <f>SUMIFS('Schedule 4'!$F$89:$F$649,'Schedule 4'!$I$89:$I$649,'Well Cal.'!Y$3,'Schedule 4'!$J$89:$J$649,'Well Cal.'!$E192)</f>
        <v>2.8</v>
      </c>
      <c r="Z192" s="726">
        <f>SUMIFS('Schedule 4'!$F$89:$F$649,'Schedule 4'!$I$89:$I$649,'Well Cal.'!Z$3,'Schedule 4'!$J$89:$J$649,'Well Cal.'!$E192)</f>
        <v>0</v>
      </c>
      <c r="AA192" s="726"/>
      <c r="AB192" s="1730"/>
      <c r="AC192" s="1730"/>
    </row>
    <row r="193" spans="2:29" x14ac:dyDescent="0.3">
      <c r="B193" s="1724"/>
      <c r="C193" s="1727"/>
      <c r="D193" s="1721"/>
      <c r="E193" s="775" t="s">
        <v>3433</v>
      </c>
      <c r="F193" s="727">
        <f>SUMIFS('Schedule 4'!$F$89:$F$649,'Schedule 4'!$I$89:$I$649,'Well Cal.'!F$3,'Schedule 4'!$J$89:$J$649,'Well Cal.'!$E193)</f>
        <v>0</v>
      </c>
      <c r="G193" s="727">
        <f>SUMIFS('Schedule 4'!$F$89:$F$649,'Schedule 4'!$I$89:$I$649,'Well Cal.'!G$3,'Schedule 4'!$J$89:$J$649,'Well Cal.'!$E193)</f>
        <v>0</v>
      </c>
      <c r="H193" s="727">
        <f>SUMIFS('Schedule 4'!$F$89:$F$649,'Schedule 4'!$I$89:$I$649,'Well Cal.'!H$3,'Schedule 4'!$J$89:$J$649,'Well Cal.'!$E193)</f>
        <v>0</v>
      </c>
      <c r="I193" s="727">
        <f>SUMIFS('Schedule 4'!$F$89:$F$649,'Schedule 4'!$I$89:$I$649,'Well Cal.'!I$3,'Schedule 4'!$J$89:$J$649,'Well Cal.'!$E193)</f>
        <v>0</v>
      </c>
      <c r="J193" s="727">
        <f>SUMIFS('Schedule 4'!$F$89:$F$649,'Schedule 4'!$I$89:$I$649,'Well Cal.'!J$3,'Schedule 4'!$J$89:$J$649,'Well Cal.'!$E193)</f>
        <v>0</v>
      </c>
      <c r="K193" s="727">
        <f>SUMIFS('Schedule 4'!$F$89:$F$649,'Schedule 4'!$I$89:$I$649,'Well Cal.'!K$3,'Schedule 4'!$J$89:$J$649,'Well Cal.'!$E193)</f>
        <v>0</v>
      </c>
      <c r="L193" s="727">
        <f>SUMIFS('Schedule 4'!$F$89:$F$649,'Schedule 4'!$I$89:$I$649,'Well Cal.'!L$3,'Schedule 4'!$J$89:$J$649,'Well Cal.'!$E193)</f>
        <v>0</v>
      </c>
      <c r="M193" s="727">
        <f>SUMIFS('Schedule 4'!$F$89:$F$649,'Schedule 4'!$I$89:$I$649,'Well Cal.'!M$3,'Schedule 4'!$J$89:$J$649,'Well Cal.'!$E193)</f>
        <v>0</v>
      </c>
      <c r="N193" s="727">
        <f>SUMIFS('Schedule 4'!$F$89:$F$649,'Schedule 4'!$I$89:$I$649,'Well Cal.'!N$3,'Schedule 4'!$J$89:$J$649,'Well Cal.'!$E193)</f>
        <v>0</v>
      </c>
      <c r="O193" s="727">
        <f>SUMIFS('Schedule 4'!$F$89:$F$649,'Schedule 4'!$I$89:$I$649,'Well Cal.'!O$3,'Schedule 4'!$J$89:$J$649,'Well Cal.'!$E193)</f>
        <v>0</v>
      </c>
      <c r="P193" s="727">
        <f>SUMIFS('Schedule 4'!$F$89:$F$649,'Schedule 4'!$I$89:$I$649,'Well Cal.'!P$3,'Schedule 4'!$J$89:$J$649,'Well Cal.'!$E193)</f>
        <v>0</v>
      </c>
      <c r="Q193" s="727">
        <f>SUMIFS('Schedule 4'!$F$89:$F$649,'Schedule 4'!$I$89:$I$649,'Well Cal.'!Q$3,'Schedule 4'!$J$89:$J$649,'Well Cal.'!$E193)</f>
        <v>0</v>
      </c>
      <c r="R193" s="727">
        <f>SUMIFS('Schedule 4'!$F$89:$F$649,'Schedule 4'!$I$89:$I$649,'Well Cal.'!R$3,'Schedule 4'!$J$89:$J$649,'Well Cal.'!$E193)</f>
        <v>0</v>
      </c>
      <c r="S193" s="727">
        <f>SUMIFS('Schedule 4'!$F$89:$F$649,'Schedule 4'!$I$89:$I$649,'Well Cal.'!S$3,'Schedule 4'!$J$89:$J$649,'Well Cal.'!$E193)</f>
        <v>0</v>
      </c>
      <c r="T193" s="727">
        <f>SUMIFS('Schedule 4'!$F$89:$F$649,'Schedule 4'!$I$89:$I$649,'Well Cal.'!T$3,'Schedule 4'!$J$89:$J$649,'Well Cal.'!$E193)</f>
        <v>0</v>
      </c>
      <c r="U193" s="727">
        <f>SUMIFS('Schedule 4'!$F$89:$F$649,'Schedule 4'!$I$89:$I$649,'Well Cal.'!U$3,'Schedule 4'!$J$89:$J$649,'Well Cal.'!$E193)</f>
        <v>0</v>
      </c>
      <c r="V193" s="727">
        <f>SUMIFS('Schedule 4'!$F$89:$F$649,'Schedule 4'!$I$89:$I$649,'Well Cal.'!V$3,'Schedule 4'!$J$89:$J$649,'Well Cal.'!$E193)</f>
        <v>0</v>
      </c>
      <c r="W193" s="727">
        <f>SUMIFS('Schedule 4'!$F$89:$F$649,'Schedule 4'!$I$89:$I$649,'Well Cal.'!W$3,'Schedule 4'!$J$89:$J$649,'Well Cal.'!$E193)</f>
        <v>0</v>
      </c>
      <c r="X193" s="727">
        <f>SUMIFS('Schedule 4'!$F$89:$F$649,'Schedule 4'!$I$89:$I$649,'Well Cal.'!X$3,'Schedule 4'!$J$89:$J$649,'Well Cal.'!$E193)</f>
        <v>0</v>
      </c>
      <c r="Y193" s="727">
        <f>SUMIFS('Schedule 4'!$F$89:$F$649,'Schedule 4'!$I$89:$I$649,'Well Cal.'!Y$3,'Schedule 4'!$J$89:$J$649,'Well Cal.'!$E193)</f>
        <v>2.8</v>
      </c>
      <c r="Z193" s="727">
        <f>SUMIFS('Schedule 4'!$F$89:$F$649,'Schedule 4'!$I$89:$I$649,'Well Cal.'!Z$3,'Schedule 4'!$J$89:$J$649,'Well Cal.'!$E193)</f>
        <v>0</v>
      </c>
      <c r="AA193" s="727"/>
      <c r="AB193" s="1730"/>
      <c r="AC193" s="1730"/>
    </row>
    <row r="194" spans="2:29" x14ac:dyDescent="0.3">
      <c r="B194" s="1724"/>
      <c r="C194" s="1727"/>
      <c r="D194" s="1721"/>
      <c r="E194" s="775" t="s">
        <v>3511</v>
      </c>
      <c r="F194" s="727">
        <f>SUMIFS('Schedule 4'!$F$89:$F$649,'Schedule 4'!$I$89:$I$649,'Well Cal.'!F$3,'Schedule 4'!$J$89:$J$649,'Well Cal.'!$E194)</f>
        <v>0</v>
      </c>
      <c r="G194" s="727">
        <f>SUMIFS('Schedule 4'!$F$89:$F$649,'Schedule 4'!$I$89:$I$649,'Well Cal.'!G$3,'Schedule 4'!$J$89:$J$649,'Well Cal.'!$E194)</f>
        <v>0</v>
      </c>
      <c r="H194" s="727">
        <f>SUMIFS('Schedule 4'!$F$89:$F$649,'Schedule 4'!$I$89:$I$649,'Well Cal.'!H$3,'Schedule 4'!$J$89:$J$649,'Well Cal.'!$E194)</f>
        <v>0</v>
      </c>
      <c r="I194" s="727">
        <f>SUMIFS('Schedule 4'!$F$89:$F$649,'Schedule 4'!$I$89:$I$649,'Well Cal.'!I$3,'Schedule 4'!$J$89:$J$649,'Well Cal.'!$E194)</f>
        <v>0</v>
      </c>
      <c r="J194" s="727">
        <f>SUMIFS('Schedule 4'!$F$89:$F$649,'Schedule 4'!$I$89:$I$649,'Well Cal.'!J$3,'Schedule 4'!$J$89:$J$649,'Well Cal.'!$E194)</f>
        <v>0</v>
      </c>
      <c r="K194" s="727">
        <f>SUMIFS('Schedule 4'!$F$89:$F$649,'Schedule 4'!$I$89:$I$649,'Well Cal.'!K$3,'Schedule 4'!$J$89:$J$649,'Well Cal.'!$E194)</f>
        <v>0</v>
      </c>
      <c r="L194" s="727">
        <f>SUMIFS('Schedule 4'!$F$89:$F$649,'Schedule 4'!$I$89:$I$649,'Well Cal.'!L$3,'Schedule 4'!$J$89:$J$649,'Well Cal.'!$E194)</f>
        <v>0</v>
      </c>
      <c r="M194" s="727">
        <f>SUMIFS('Schedule 4'!$F$89:$F$649,'Schedule 4'!$I$89:$I$649,'Well Cal.'!M$3,'Schedule 4'!$J$89:$J$649,'Well Cal.'!$E194)</f>
        <v>0</v>
      </c>
      <c r="N194" s="727">
        <f>SUMIFS('Schedule 4'!$F$89:$F$649,'Schedule 4'!$I$89:$I$649,'Well Cal.'!N$3,'Schedule 4'!$J$89:$J$649,'Well Cal.'!$E194)</f>
        <v>0</v>
      </c>
      <c r="O194" s="727">
        <f>SUMIFS('Schedule 4'!$F$89:$F$649,'Schedule 4'!$I$89:$I$649,'Well Cal.'!O$3,'Schedule 4'!$J$89:$J$649,'Well Cal.'!$E194)</f>
        <v>0</v>
      </c>
      <c r="P194" s="727">
        <f>SUMIFS('Schedule 4'!$F$89:$F$649,'Schedule 4'!$I$89:$I$649,'Well Cal.'!P$3,'Schedule 4'!$J$89:$J$649,'Well Cal.'!$E194)</f>
        <v>0</v>
      </c>
      <c r="Q194" s="727">
        <f>SUMIFS('Schedule 4'!$F$89:$F$649,'Schedule 4'!$I$89:$I$649,'Well Cal.'!Q$3,'Schedule 4'!$J$89:$J$649,'Well Cal.'!$E194)</f>
        <v>0</v>
      </c>
      <c r="R194" s="727">
        <f>SUMIFS('Schedule 4'!$F$89:$F$649,'Schedule 4'!$I$89:$I$649,'Well Cal.'!R$3,'Schedule 4'!$J$89:$J$649,'Well Cal.'!$E194)</f>
        <v>0</v>
      </c>
      <c r="S194" s="727">
        <f>SUMIFS('Schedule 4'!$F$89:$F$649,'Schedule 4'!$I$89:$I$649,'Well Cal.'!S$3,'Schedule 4'!$J$89:$J$649,'Well Cal.'!$E194)</f>
        <v>0</v>
      </c>
      <c r="T194" s="727">
        <f>SUMIFS('Schedule 4'!$F$89:$F$649,'Schedule 4'!$I$89:$I$649,'Well Cal.'!T$3,'Schedule 4'!$J$89:$J$649,'Well Cal.'!$E194)</f>
        <v>0</v>
      </c>
      <c r="U194" s="727">
        <f>SUMIFS('Schedule 4'!$F$89:$F$649,'Schedule 4'!$I$89:$I$649,'Well Cal.'!U$3,'Schedule 4'!$J$89:$J$649,'Well Cal.'!$E194)</f>
        <v>0</v>
      </c>
      <c r="V194" s="727">
        <f>SUMIFS('Schedule 4'!$F$89:$F$649,'Schedule 4'!$I$89:$I$649,'Well Cal.'!V$3,'Schedule 4'!$J$89:$J$649,'Well Cal.'!$E194)</f>
        <v>0</v>
      </c>
      <c r="W194" s="727">
        <f>SUMIFS('Schedule 4'!$F$89:$F$649,'Schedule 4'!$I$89:$I$649,'Well Cal.'!W$3,'Schedule 4'!$J$89:$J$649,'Well Cal.'!$E194)</f>
        <v>0</v>
      </c>
      <c r="X194" s="727">
        <f>SUMIFS('Schedule 4'!$F$89:$F$649,'Schedule 4'!$I$89:$I$649,'Well Cal.'!X$3,'Schedule 4'!$J$89:$J$649,'Well Cal.'!$E194)</f>
        <v>0</v>
      </c>
      <c r="Y194" s="727">
        <f>SUMIFS('Schedule 4'!$F$89:$F$649,'Schedule 4'!$I$89:$I$649,'Well Cal.'!Y$3,'Schedule 4'!$J$89:$J$649,'Well Cal.'!$E194)</f>
        <v>2.8</v>
      </c>
      <c r="Z194" s="727">
        <f>SUMIFS('Schedule 4'!$F$89:$F$649,'Schedule 4'!$I$89:$I$649,'Well Cal.'!Z$3,'Schedule 4'!$J$89:$J$649,'Well Cal.'!$E194)</f>
        <v>0</v>
      </c>
      <c r="AA194" s="727"/>
      <c r="AB194" s="1730"/>
      <c r="AC194" s="1730"/>
    </row>
    <row r="195" spans="2:29" x14ac:dyDescent="0.3">
      <c r="B195" s="1724"/>
      <c r="C195" s="1727"/>
      <c r="D195" s="1721"/>
      <c r="E195" s="775" t="s">
        <v>3586</v>
      </c>
      <c r="F195" s="727">
        <f>SUMIFS('Schedule 4'!$F$89:$F$649,'Schedule 4'!$I$89:$I$649,'Well Cal.'!F$3,'Schedule 4'!$J$89:$J$649,'Well Cal.'!$E195)</f>
        <v>0</v>
      </c>
      <c r="G195" s="727">
        <f>SUMIFS('Schedule 4'!$F$89:$F$649,'Schedule 4'!$I$89:$I$649,'Well Cal.'!G$3,'Schedule 4'!$J$89:$J$649,'Well Cal.'!$E195)</f>
        <v>0</v>
      </c>
      <c r="H195" s="727">
        <f>SUMIFS('Schedule 4'!$F$89:$F$649,'Schedule 4'!$I$89:$I$649,'Well Cal.'!H$3,'Schedule 4'!$J$89:$J$649,'Well Cal.'!$E195)</f>
        <v>0</v>
      </c>
      <c r="I195" s="727">
        <f>SUMIFS('Schedule 4'!$F$89:$F$649,'Schedule 4'!$I$89:$I$649,'Well Cal.'!I$3,'Schedule 4'!$J$89:$J$649,'Well Cal.'!$E195)</f>
        <v>0</v>
      </c>
      <c r="J195" s="727">
        <f>SUMIFS('Schedule 4'!$F$89:$F$649,'Schedule 4'!$I$89:$I$649,'Well Cal.'!J$3,'Schedule 4'!$J$89:$J$649,'Well Cal.'!$E195)</f>
        <v>0</v>
      </c>
      <c r="K195" s="727">
        <f>SUMIFS('Schedule 4'!$F$89:$F$649,'Schedule 4'!$I$89:$I$649,'Well Cal.'!K$3,'Schedule 4'!$J$89:$J$649,'Well Cal.'!$E195)</f>
        <v>0</v>
      </c>
      <c r="L195" s="727">
        <f>SUMIFS('Schedule 4'!$F$89:$F$649,'Schedule 4'!$I$89:$I$649,'Well Cal.'!L$3,'Schedule 4'!$J$89:$J$649,'Well Cal.'!$E195)</f>
        <v>0</v>
      </c>
      <c r="M195" s="727">
        <f>SUMIFS('Schedule 4'!$F$89:$F$649,'Schedule 4'!$I$89:$I$649,'Well Cal.'!M$3,'Schedule 4'!$J$89:$J$649,'Well Cal.'!$E195)</f>
        <v>0</v>
      </c>
      <c r="N195" s="727">
        <f>SUMIFS('Schedule 4'!$F$89:$F$649,'Schedule 4'!$I$89:$I$649,'Well Cal.'!N$3,'Schedule 4'!$J$89:$J$649,'Well Cal.'!$E195)</f>
        <v>0</v>
      </c>
      <c r="O195" s="727">
        <f>SUMIFS('Schedule 4'!$F$89:$F$649,'Schedule 4'!$I$89:$I$649,'Well Cal.'!O$3,'Schedule 4'!$J$89:$J$649,'Well Cal.'!$E195)</f>
        <v>0</v>
      </c>
      <c r="P195" s="727">
        <f>SUMIFS('Schedule 4'!$F$89:$F$649,'Schedule 4'!$I$89:$I$649,'Well Cal.'!P$3,'Schedule 4'!$J$89:$J$649,'Well Cal.'!$E195)</f>
        <v>0</v>
      </c>
      <c r="Q195" s="727">
        <f>SUMIFS('Schedule 4'!$F$89:$F$649,'Schedule 4'!$I$89:$I$649,'Well Cal.'!Q$3,'Schedule 4'!$J$89:$J$649,'Well Cal.'!$E195)</f>
        <v>0</v>
      </c>
      <c r="R195" s="727">
        <f>SUMIFS('Schedule 4'!$F$89:$F$649,'Schedule 4'!$I$89:$I$649,'Well Cal.'!R$3,'Schedule 4'!$J$89:$J$649,'Well Cal.'!$E195)</f>
        <v>0</v>
      </c>
      <c r="S195" s="727">
        <f>SUMIFS('Schedule 4'!$F$89:$F$649,'Schedule 4'!$I$89:$I$649,'Well Cal.'!S$3,'Schedule 4'!$J$89:$J$649,'Well Cal.'!$E195)</f>
        <v>0</v>
      </c>
      <c r="T195" s="727">
        <f>SUMIFS('Schedule 4'!$F$89:$F$649,'Schedule 4'!$I$89:$I$649,'Well Cal.'!T$3,'Schedule 4'!$J$89:$J$649,'Well Cal.'!$E195)</f>
        <v>0</v>
      </c>
      <c r="U195" s="727">
        <f>SUMIFS('Schedule 4'!$F$89:$F$649,'Schedule 4'!$I$89:$I$649,'Well Cal.'!U$3,'Schedule 4'!$J$89:$J$649,'Well Cal.'!$E195)</f>
        <v>0</v>
      </c>
      <c r="V195" s="727">
        <f>SUMIFS('Schedule 4'!$F$89:$F$649,'Schedule 4'!$I$89:$I$649,'Well Cal.'!V$3,'Schedule 4'!$J$89:$J$649,'Well Cal.'!$E195)</f>
        <v>0</v>
      </c>
      <c r="W195" s="727">
        <f>SUMIFS('Schedule 4'!$F$89:$F$649,'Schedule 4'!$I$89:$I$649,'Well Cal.'!W$3,'Schedule 4'!$J$89:$J$649,'Well Cal.'!$E195)</f>
        <v>0</v>
      </c>
      <c r="X195" s="727">
        <f>SUMIFS('Schedule 4'!$F$89:$F$649,'Schedule 4'!$I$89:$I$649,'Well Cal.'!X$3,'Schedule 4'!$J$89:$J$649,'Well Cal.'!$E195)</f>
        <v>0</v>
      </c>
      <c r="Y195" s="727">
        <f>SUMIFS('Schedule 4'!$F$89:$F$649,'Schedule 4'!$I$89:$I$649,'Well Cal.'!Y$3,'Schedule 4'!$J$89:$J$649,'Well Cal.'!$E195)</f>
        <v>2.8</v>
      </c>
      <c r="Z195" s="727">
        <f>SUMIFS('Schedule 4'!$F$89:$F$649,'Schedule 4'!$I$89:$I$649,'Well Cal.'!Z$3,'Schedule 4'!$J$89:$J$649,'Well Cal.'!$E195)</f>
        <v>0</v>
      </c>
      <c r="AA195" s="727"/>
      <c r="AB195" s="1730"/>
      <c r="AC195" s="1730"/>
    </row>
    <row r="196" spans="2:29" x14ac:dyDescent="0.3">
      <c r="B196" s="1724"/>
      <c r="C196" s="1727"/>
      <c r="D196" s="1721"/>
      <c r="E196" s="775" t="s">
        <v>3660</v>
      </c>
      <c r="F196" s="727">
        <f>SUMIFS('Schedule 4'!$F$89:$F$649,'Schedule 4'!$I$89:$I$649,'Well Cal.'!F$3,'Schedule 4'!$J$89:$J$649,'Well Cal.'!$E196)</f>
        <v>0</v>
      </c>
      <c r="G196" s="727">
        <f>SUMIFS('Schedule 4'!$F$89:$F$649,'Schedule 4'!$I$89:$I$649,'Well Cal.'!G$3,'Schedule 4'!$J$89:$J$649,'Well Cal.'!$E196)</f>
        <v>0</v>
      </c>
      <c r="H196" s="727">
        <f>SUMIFS('Schedule 4'!$F$89:$F$649,'Schedule 4'!$I$89:$I$649,'Well Cal.'!H$3,'Schedule 4'!$J$89:$J$649,'Well Cal.'!$E196)</f>
        <v>0</v>
      </c>
      <c r="I196" s="727">
        <f>SUMIFS('Schedule 4'!$F$89:$F$649,'Schedule 4'!$I$89:$I$649,'Well Cal.'!I$3,'Schedule 4'!$J$89:$J$649,'Well Cal.'!$E196)</f>
        <v>0</v>
      </c>
      <c r="J196" s="727">
        <f>SUMIFS('Schedule 4'!$F$89:$F$649,'Schedule 4'!$I$89:$I$649,'Well Cal.'!J$3,'Schedule 4'!$J$89:$J$649,'Well Cal.'!$E196)</f>
        <v>0</v>
      </c>
      <c r="K196" s="727">
        <f>SUMIFS('Schedule 4'!$F$89:$F$649,'Schedule 4'!$I$89:$I$649,'Well Cal.'!K$3,'Schedule 4'!$J$89:$J$649,'Well Cal.'!$E196)</f>
        <v>0</v>
      </c>
      <c r="L196" s="727">
        <f>SUMIFS('Schedule 4'!$F$89:$F$649,'Schedule 4'!$I$89:$I$649,'Well Cal.'!L$3,'Schedule 4'!$J$89:$J$649,'Well Cal.'!$E196)</f>
        <v>0</v>
      </c>
      <c r="M196" s="727">
        <f>SUMIFS('Schedule 4'!$F$89:$F$649,'Schedule 4'!$I$89:$I$649,'Well Cal.'!M$3,'Schedule 4'!$J$89:$J$649,'Well Cal.'!$E196)</f>
        <v>0</v>
      </c>
      <c r="N196" s="727">
        <f>SUMIFS('Schedule 4'!$F$89:$F$649,'Schedule 4'!$I$89:$I$649,'Well Cal.'!N$3,'Schedule 4'!$J$89:$J$649,'Well Cal.'!$E196)</f>
        <v>0</v>
      </c>
      <c r="O196" s="727">
        <f>SUMIFS('Schedule 4'!$F$89:$F$649,'Schedule 4'!$I$89:$I$649,'Well Cal.'!O$3,'Schedule 4'!$J$89:$J$649,'Well Cal.'!$E196)</f>
        <v>0</v>
      </c>
      <c r="P196" s="727">
        <f>SUMIFS('Schedule 4'!$F$89:$F$649,'Schedule 4'!$I$89:$I$649,'Well Cal.'!P$3,'Schedule 4'!$J$89:$J$649,'Well Cal.'!$E196)</f>
        <v>0</v>
      </c>
      <c r="Q196" s="727">
        <f>SUMIFS('Schedule 4'!$F$89:$F$649,'Schedule 4'!$I$89:$I$649,'Well Cal.'!Q$3,'Schedule 4'!$J$89:$J$649,'Well Cal.'!$E196)</f>
        <v>0</v>
      </c>
      <c r="R196" s="727">
        <f>SUMIFS('Schedule 4'!$F$89:$F$649,'Schedule 4'!$I$89:$I$649,'Well Cal.'!R$3,'Schedule 4'!$J$89:$J$649,'Well Cal.'!$E196)</f>
        <v>0</v>
      </c>
      <c r="S196" s="727">
        <f>SUMIFS('Schedule 4'!$F$89:$F$649,'Schedule 4'!$I$89:$I$649,'Well Cal.'!S$3,'Schedule 4'!$J$89:$J$649,'Well Cal.'!$E196)</f>
        <v>0</v>
      </c>
      <c r="T196" s="727">
        <f>SUMIFS('Schedule 4'!$F$89:$F$649,'Schedule 4'!$I$89:$I$649,'Well Cal.'!T$3,'Schedule 4'!$J$89:$J$649,'Well Cal.'!$E196)</f>
        <v>0</v>
      </c>
      <c r="U196" s="727">
        <f>SUMIFS('Schedule 4'!$F$89:$F$649,'Schedule 4'!$I$89:$I$649,'Well Cal.'!U$3,'Schedule 4'!$J$89:$J$649,'Well Cal.'!$E196)</f>
        <v>0</v>
      </c>
      <c r="V196" s="727">
        <f>SUMIFS('Schedule 4'!$F$89:$F$649,'Schedule 4'!$I$89:$I$649,'Well Cal.'!V$3,'Schedule 4'!$J$89:$J$649,'Well Cal.'!$E196)</f>
        <v>0</v>
      </c>
      <c r="W196" s="727">
        <f>SUMIFS('Schedule 4'!$F$89:$F$649,'Schedule 4'!$I$89:$I$649,'Well Cal.'!W$3,'Schedule 4'!$J$89:$J$649,'Well Cal.'!$E196)</f>
        <v>0</v>
      </c>
      <c r="X196" s="727">
        <f>SUMIFS('Schedule 4'!$F$89:$F$649,'Schedule 4'!$I$89:$I$649,'Well Cal.'!X$3,'Schedule 4'!$J$89:$J$649,'Well Cal.'!$E196)</f>
        <v>0</v>
      </c>
      <c r="Y196" s="727">
        <f>SUMIFS('Schedule 4'!$F$89:$F$649,'Schedule 4'!$I$89:$I$649,'Well Cal.'!Y$3,'Schedule 4'!$J$89:$J$649,'Well Cal.'!$E196)</f>
        <v>2.8</v>
      </c>
      <c r="Z196" s="727">
        <f>SUMIFS('Schedule 4'!$F$89:$F$649,'Schedule 4'!$I$89:$I$649,'Well Cal.'!Z$3,'Schedule 4'!$J$89:$J$649,'Well Cal.'!$E196)</f>
        <v>0</v>
      </c>
      <c r="AA196" s="727"/>
      <c r="AB196" s="1730"/>
      <c r="AC196" s="1730"/>
    </row>
    <row r="197" spans="2:29" x14ac:dyDescent="0.3">
      <c r="B197" s="1724"/>
      <c r="C197" s="1727"/>
      <c r="D197" s="1721"/>
      <c r="E197" s="775" t="s">
        <v>3672</v>
      </c>
      <c r="F197" s="727">
        <f>SUMIFS('Schedule 4'!$F$89:$F$649,'Schedule 4'!$I$89:$I$649,'Well Cal.'!F$3,'Schedule 4'!$J$89:$J$649,'Well Cal.'!$E197)</f>
        <v>0</v>
      </c>
      <c r="G197" s="727">
        <f>SUMIFS('Schedule 4'!$F$89:$F$649,'Schedule 4'!$I$89:$I$649,'Well Cal.'!G$3,'Schedule 4'!$J$89:$J$649,'Well Cal.'!$E197)</f>
        <v>0</v>
      </c>
      <c r="H197" s="727">
        <f>SUMIFS('Schedule 4'!$F$89:$F$649,'Schedule 4'!$I$89:$I$649,'Well Cal.'!H$3,'Schedule 4'!$J$89:$J$649,'Well Cal.'!$E197)</f>
        <v>0</v>
      </c>
      <c r="I197" s="727">
        <f>SUMIFS('Schedule 4'!$F$89:$F$649,'Schedule 4'!$I$89:$I$649,'Well Cal.'!I$3,'Schedule 4'!$J$89:$J$649,'Well Cal.'!$E197)</f>
        <v>0</v>
      </c>
      <c r="J197" s="727">
        <f>SUMIFS('Schedule 4'!$F$89:$F$649,'Schedule 4'!$I$89:$I$649,'Well Cal.'!J$3,'Schedule 4'!$J$89:$J$649,'Well Cal.'!$E197)</f>
        <v>0</v>
      </c>
      <c r="K197" s="727">
        <f>SUMIFS('Schedule 4'!$F$89:$F$649,'Schedule 4'!$I$89:$I$649,'Well Cal.'!K$3,'Schedule 4'!$J$89:$J$649,'Well Cal.'!$E197)</f>
        <v>0</v>
      </c>
      <c r="L197" s="727">
        <f>SUMIFS('Schedule 4'!$F$89:$F$649,'Schedule 4'!$I$89:$I$649,'Well Cal.'!L$3,'Schedule 4'!$J$89:$J$649,'Well Cal.'!$E197)</f>
        <v>0</v>
      </c>
      <c r="M197" s="727">
        <f>SUMIFS('Schedule 4'!$F$89:$F$649,'Schedule 4'!$I$89:$I$649,'Well Cal.'!M$3,'Schedule 4'!$J$89:$J$649,'Well Cal.'!$E197)</f>
        <v>0</v>
      </c>
      <c r="N197" s="727">
        <f>SUMIFS('Schedule 4'!$F$89:$F$649,'Schedule 4'!$I$89:$I$649,'Well Cal.'!N$3,'Schedule 4'!$J$89:$J$649,'Well Cal.'!$E197)</f>
        <v>0</v>
      </c>
      <c r="O197" s="727">
        <f>SUMIFS('Schedule 4'!$F$89:$F$649,'Schedule 4'!$I$89:$I$649,'Well Cal.'!O$3,'Schedule 4'!$J$89:$J$649,'Well Cal.'!$E197)</f>
        <v>0</v>
      </c>
      <c r="P197" s="727">
        <f>SUMIFS('Schedule 4'!$F$89:$F$649,'Schedule 4'!$I$89:$I$649,'Well Cal.'!P$3,'Schedule 4'!$J$89:$J$649,'Well Cal.'!$E197)</f>
        <v>0</v>
      </c>
      <c r="Q197" s="727">
        <f>SUMIFS('Schedule 4'!$F$89:$F$649,'Schedule 4'!$I$89:$I$649,'Well Cal.'!Q$3,'Schedule 4'!$J$89:$J$649,'Well Cal.'!$E197)</f>
        <v>0</v>
      </c>
      <c r="R197" s="727">
        <f>SUMIFS('Schedule 4'!$F$89:$F$649,'Schedule 4'!$I$89:$I$649,'Well Cal.'!R$3,'Schedule 4'!$J$89:$J$649,'Well Cal.'!$E197)</f>
        <v>0</v>
      </c>
      <c r="S197" s="727">
        <f>SUMIFS('Schedule 4'!$F$89:$F$649,'Schedule 4'!$I$89:$I$649,'Well Cal.'!S$3,'Schedule 4'!$J$89:$J$649,'Well Cal.'!$E197)</f>
        <v>0</v>
      </c>
      <c r="T197" s="727">
        <f>SUMIFS('Schedule 4'!$F$89:$F$649,'Schedule 4'!$I$89:$I$649,'Well Cal.'!T$3,'Schedule 4'!$J$89:$J$649,'Well Cal.'!$E197)</f>
        <v>0</v>
      </c>
      <c r="U197" s="727">
        <f>SUMIFS('Schedule 4'!$F$89:$F$649,'Schedule 4'!$I$89:$I$649,'Well Cal.'!U$3,'Schedule 4'!$J$89:$J$649,'Well Cal.'!$E197)</f>
        <v>0</v>
      </c>
      <c r="V197" s="727">
        <f>SUMIFS('Schedule 4'!$F$89:$F$649,'Schedule 4'!$I$89:$I$649,'Well Cal.'!V$3,'Schedule 4'!$J$89:$J$649,'Well Cal.'!$E197)</f>
        <v>0</v>
      </c>
      <c r="W197" s="727">
        <f>SUMIFS('Schedule 4'!$F$89:$F$649,'Schedule 4'!$I$89:$I$649,'Well Cal.'!W$3,'Schedule 4'!$J$89:$J$649,'Well Cal.'!$E197)</f>
        <v>0</v>
      </c>
      <c r="X197" s="727">
        <f>SUMIFS('Schedule 4'!$F$89:$F$649,'Schedule 4'!$I$89:$I$649,'Well Cal.'!X$3,'Schedule 4'!$J$89:$J$649,'Well Cal.'!$E197)</f>
        <v>0</v>
      </c>
      <c r="Y197" s="727">
        <f>SUMIFS('Schedule 4'!$F$89:$F$649,'Schedule 4'!$I$89:$I$649,'Well Cal.'!Y$3,'Schedule 4'!$J$89:$J$649,'Well Cal.'!$E197)</f>
        <v>2.8</v>
      </c>
      <c r="Z197" s="727">
        <f>SUMIFS('Schedule 4'!$F$89:$F$649,'Schedule 4'!$I$89:$I$649,'Well Cal.'!Z$3,'Schedule 4'!$J$89:$J$649,'Well Cal.'!$E197)</f>
        <v>0</v>
      </c>
      <c r="AA197" s="727"/>
      <c r="AB197" s="1731"/>
      <c r="AC197" s="1731"/>
    </row>
    <row r="198" spans="2:29" x14ac:dyDescent="0.3">
      <c r="B198" s="1724"/>
      <c r="C198" s="1727"/>
      <c r="D198" s="1721"/>
      <c r="E198" s="775" t="s">
        <v>3803</v>
      </c>
      <c r="F198" s="727">
        <f>SUMIFS('Schedule 4'!$F$89:$F$649,'Schedule 4'!$I$89:$I$649,'Well Cal.'!F$3,'Schedule 4'!$J$89:$J$649,'Well Cal.'!$E198)</f>
        <v>0</v>
      </c>
      <c r="G198" s="727">
        <f>SUMIFS('Schedule 4'!$F$89:$F$649,'Schedule 4'!$I$89:$I$649,'Well Cal.'!G$3,'Schedule 4'!$J$89:$J$649,'Well Cal.'!$E198)</f>
        <v>0</v>
      </c>
      <c r="H198" s="727">
        <f>SUMIFS('Schedule 4'!$F$89:$F$649,'Schedule 4'!$I$89:$I$649,'Well Cal.'!H$3,'Schedule 4'!$J$89:$J$649,'Well Cal.'!$E198)</f>
        <v>0</v>
      </c>
      <c r="I198" s="727">
        <f>SUMIFS('Schedule 4'!$F$89:$F$649,'Schedule 4'!$I$89:$I$649,'Well Cal.'!I$3,'Schedule 4'!$J$89:$J$649,'Well Cal.'!$E198)</f>
        <v>0</v>
      </c>
      <c r="J198" s="727">
        <f>SUMIFS('Schedule 4'!$F$89:$F$649,'Schedule 4'!$I$89:$I$649,'Well Cal.'!J$3,'Schedule 4'!$J$89:$J$649,'Well Cal.'!$E198)</f>
        <v>0</v>
      </c>
      <c r="K198" s="727">
        <f>SUMIFS('Schedule 4'!$F$89:$F$649,'Schedule 4'!$I$89:$I$649,'Well Cal.'!K$3,'Schedule 4'!$J$89:$J$649,'Well Cal.'!$E198)</f>
        <v>0</v>
      </c>
      <c r="L198" s="727">
        <f>SUMIFS('Schedule 4'!$F$89:$F$649,'Schedule 4'!$I$89:$I$649,'Well Cal.'!L$3,'Schedule 4'!$J$89:$J$649,'Well Cal.'!$E198)</f>
        <v>0</v>
      </c>
      <c r="M198" s="727">
        <f>SUMIFS('Schedule 4'!$F$89:$F$649,'Schedule 4'!$I$89:$I$649,'Well Cal.'!M$3,'Schedule 4'!$J$89:$J$649,'Well Cal.'!$E198)</f>
        <v>0</v>
      </c>
      <c r="N198" s="727">
        <f>SUMIFS('Schedule 4'!$F$89:$F$649,'Schedule 4'!$I$89:$I$649,'Well Cal.'!N$3,'Schedule 4'!$J$89:$J$649,'Well Cal.'!$E198)</f>
        <v>0</v>
      </c>
      <c r="O198" s="727">
        <f>SUMIFS('Schedule 4'!$F$89:$F$649,'Schedule 4'!$I$89:$I$649,'Well Cal.'!O$3,'Schedule 4'!$J$89:$J$649,'Well Cal.'!$E198)</f>
        <v>0</v>
      </c>
      <c r="P198" s="727">
        <f>SUMIFS('Schedule 4'!$F$89:$F$649,'Schedule 4'!$I$89:$I$649,'Well Cal.'!P$3,'Schedule 4'!$J$89:$J$649,'Well Cal.'!$E198)</f>
        <v>0</v>
      </c>
      <c r="Q198" s="727">
        <f>SUMIFS('Schedule 4'!$F$89:$F$649,'Schedule 4'!$I$89:$I$649,'Well Cal.'!Q$3,'Schedule 4'!$J$89:$J$649,'Well Cal.'!$E198)</f>
        <v>0</v>
      </c>
      <c r="R198" s="727">
        <f>SUMIFS('Schedule 4'!$F$89:$F$649,'Schedule 4'!$I$89:$I$649,'Well Cal.'!R$3,'Schedule 4'!$J$89:$J$649,'Well Cal.'!$E198)</f>
        <v>0</v>
      </c>
      <c r="S198" s="727">
        <f>SUMIFS('Schedule 4'!$F$89:$F$649,'Schedule 4'!$I$89:$I$649,'Well Cal.'!S$3,'Schedule 4'!$J$89:$J$649,'Well Cal.'!$E198)</f>
        <v>0</v>
      </c>
      <c r="T198" s="727">
        <f>SUMIFS('Schedule 4'!$F$89:$F$649,'Schedule 4'!$I$89:$I$649,'Well Cal.'!T$3,'Schedule 4'!$J$89:$J$649,'Well Cal.'!$E198)</f>
        <v>0</v>
      </c>
      <c r="U198" s="727">
        <f>SUMIFS('Schedule 4'!$F$89:$F$649,'Schedule 4'!$I$89:$I$649,'Well Cal.'!U$3,'Schedule 4'!$J$89:$J$649,'Well Cal.'!$E198)</f>
        <v>0</v>
      </c>
      <c r="V198" s="727">
        <f>SUMIFS('Schedule 4'!$F$89:$F$649,'Schedule 4'!$I$89:$I$649,'Well Cal.'!V$3,'Schedule 4'!$J$89:$J$649,'Well Cal.'!$E198)</f>
        <v>0</v>
      </c>
      <c r="W198" s="727">
        <f>SUMIFS('Schedule 4'!$F$89:$F$649,'Schedule 4'!$I$89:$I$649,'Well Cal.'!W$3,'Schedule 4'!$J$89:$J$649,'Well Cal.'!$E198)</f>
        <v>0</v>
      </c>
      <c r="X198" s="727">
        <f>SUMIFS('Schedule 4'!$F$89:$F$649,'Schedule 4'!$I$89:$I$649,'Well Cal.'!X$3,'Schedule 4'!$J$89:$J$649,'Well Cal.'!$E198)</f>
        <v>0</v>
      </c>
      <c r="Y198" s="727">
        <f>SUMIFS('Schedule 4'!$F$89:$F$649,'Schedule 4'!$I$89:$I$649,'Well Cal.'!Y$3,'Schedule 4'!$J$89:$J$649,'Well Cal.'!$E198)</f>
        <v>3.45</v>
      </c>
      <c r="Z198" s="727">
        <f>SUMIFS('Schedule 4'!$F$89:$F$649,'Schedule 4'!$I$89:$I$649,'Well Cal.'!Z$3,'Schedule 4'!$J$89:$J$649,'Well Cal.'!$E198)</f>
        <v>0</v>
      </c>
      <c r="AA198" s="727"/>
      <c r="AB198" s="1731"/>
      <c r="AC198" s="1731"/>
    </row>
    <row r="199" spans="2:29" x14ac:dyDescent="0.3">
      <c r="B199" s="1724"/>
      <c r="C199" s="1727"/>
      <c r="D199" s="1721"/>
      <c r="E199" s="775" t="s">
        <v>3873</v>
      </c>
      <c r="F199" s="727">
        <f>SUMIFS('Schedule 4'!$F$89:$F$649,'Schedule 4'!$I$89:$I$649,'Well Cal.'!F$3,'Schedule 4'!$J$89:$J$649,'Well Cal.'!$E199)</f>
        <v>0</v>
      </c>
      <c r="G199" s="727">
        <f>SUMIFS('Schedule 4'!$F$89:$F$649,'Schedule 4'!$I$89:$I$649,'Well Cal.'!G$3,'Schedule 4'!$J$89:$J$649,'Well Cal.'!$E199)</f>
        <v>0</v>
      </c>
      <c r="H199" s="727">
        <f>SUMIFS('Schedule 4'!$F$89:$F$649,'Schedule 4'!$I$89:$I$649,'Well Cal.'!H$3,'Schedule 4'!$J$89:$J$649,'Well Cal.'!$E199)</f>
        <v>0</v>
      </c>
      <c r="I199" s="727">
        <f>SUMIFS('Schedule 4'!$F$89:$F$649,'Schedule 4'!$I$89:$I$649,'Well Cal.'!I$3,'Schedule 4'!$J$89:$J$649,'Well Cal.'!$E199)</f>
        <v>0</v>
      </c>
      <c r="J199" s="727">
        <f>SUMIFS('Schedule 4'!$F$89:$F$649,'Schedule 4'!$I$89:$I$649,'Well Cal.'!J$3,'Schedule 4'!$J$89:$J$649,'Well Cal.'!$E199)</f>
        <v>0</v>
      </c>
      <c r="K199" s="727">
        <f>SUMIFS('Schedule 4'!$F$89:$F$649,'Schedule 4'!$I$89:$I$649,'Well Cal.'!K$3,'Schedule 4'!$J$89:$J$649,'Well Cal.'!$E199)</f>
        <v>0</v>
      </c>
      <c r="L199" s="727">
        <f>SUMIFS('Schedule 4'!$F$89:$F$649,'Schedule 4'!$I$89:$I$649,'Well Cal.'!L$3,'Schedule 4'!$J$89:$J$649,'Well Cal.'!$E199)</f>
        <v>0</v>
      </c>
      <c r="M199" s="727">
        <f>SUMIFS('Schedule 4'!$F$89:$F$649,'Schedule 4'!$I$89:$I$649,'Well Cal.'!M$3,'Schedule 4'!$J$89:$J$649,'Well Cal.'!$E199)</f>
        <v>0</v>
      </c>
      <c r="N199" s="727">
        <f>SUMIFS('Schedule 4'!$F$89:$F$649,'Schedule 4'!$I$89:$I$649,'Well Cal.'!N$3,'Schedule 4'!$J$89:$J$649,'Well Cal.'!$E199)</f>
        <v>0</v>
      </c>
      <c r="O199" s="727">
        <f>SUMIFS('Schedule 4'!$F$89:$F$649,'Schedule 4'!$I$89:$I$649,'Well Cal.'!O$3,'Schedule 4'!$J$89:$J$649,'Well Cal.'!$E199)</f>
        <v>0</v>
      </c>
      <c r="P199" s="727">
        <f>SUMIFS('Schedule 4'!$F$89:$F$649,'Schedule 4'!$I$89:$I$649,'Well Cal.'!P$3,'Schedule 4'!$J$89:$J$649,'Well Cal.'!$E199)</f>
        <v>0</v>
      </c>
      <c r="Q199" s="727">
        <f>SUMIFS('Schedule 4'!$F$89:$F$649,'Schedule 4'!$I$89:$I$649,'Well Cal.'!Q$3,'Schedule 4'!$J$89:$J$649,'Well Cal.'!$E199)</f>
        <v>0</v>
      </c>
      <c r="R199" s="727">
        <f>SUMIFS('Schedule 4'!$F$89:$F$649,'Schedule 4'!$I$89:$I$649,'Well Cal.'!R$3,'Schedule 4'!$J$89:$J$649,'Well Cal.'!$E199)</f>
        <v>0</v>
      </c>
      <c r="S199" s="727">
        <f>SUMIFS('Schedule 4'!$F$89:$F$649,'Schedule 4'!$I$89:$I$649,'Well Cal.'!S$3,'Schedule 4'!$J$89:$J$649,'Well Cal.'!$E199)</f>
        <v>0</v>
      </c>
      <c r="T199" s="727">
        <f>SUMIFS('Schedule 4'!$F$89:$F$649,'Schedule 4'!$I$89:$I$649,'Well Cal.'!T$3,'Schedule 4'!$J$89:$J$649,'Well Cal.'!$E199)</f>
        <v>0</v>
      </c>
      <c r="U199" s="727">
        <f>SUMIFS('Schedule 4'!$F$89:$F$649,'Schedule 4'!$I$89:$I$649,'Well Cal.'!U$3,'Schedule 4'!$J$89:$J$649,'Well Cal.'!$E199)</f>
        <v>0</v>
      </c>
      <c r="V199" s="727">
        <f>SUMIFS('Schedule 4'!$F$89:$F$649,'Schedule 4'!$I$89:$I$649,'Well Cal.'!V$3,'Schedule 4'!$J$89:$J$649,'Well Cal.'!$E199)</f>
        <v>0</v>
      </c>
      <c r="W199" s="727">
        <f>SUMIFS('Schedule 4'!$F$89:$F$649,'Schedule 4'!$I$89:$I$649,'Well Cal.'!W$3,'Schedule 4'!$J$89:$J$649,'Well Cal.'!$E199)</f>
        <v>0</v>
      </c>
      <c r="X199" s="727">
        <f>SUMIFS('Schedule 4'!$F$89:$F$649,'Schedule 4'!$I$89:$I$649,'Well Cal.'!X$3,'Schedule 4'!$J$89:$J$649,'Well Cal.'!$E199)</f>
        <v>0</v>
      </c>
      <c r="Y199" s="727">
        <f>SUMIFS('Schedule 4'!$F$89:$F$649,'Schedule 4'!$I$89:$I$649,'Well Cal.'!Y$3,'Schedule 4'!$J$89:$J$649,'Well Cal.'!$E199)</f>
        <v>2.8</v>
      </c>
      <c r="Z199" s="727">
        <f>SUMIFS('Schedule 4'!$F$89:$F$649,'Schedule 4'!$I$89:$I$649,'Well Cal.'!Z$3,'Schedule 4'!$J$89:$J$649,'Well Cal.'!$E199)</f>
        <v>0</v>
      </c>
      <c r="AA199" s="727"/>
      <c r="AB199" s="1731"/>
      <c r="AC199" s="1731"/>
    </row>
    <row r="200" spans="2:29" x14ac:dyDescent="0.3">
      <c r="B200" s="1724"/>
      <c r="C200" s="1727"/>
      <c r="D200" s="1721"/>
      <c r="E200" s="775" t="s">
        <v>3941</v>
      </c>
      <c r="F200" s="727">
        <f>SUMIFS('Schedule 4'!$F$89:$F$649,'Schedule 4'!$I$89:$I$649,'Well Cal.'!F$3,'Schedule 4'!$J$89:$J$649,'Well Cal.'!$E200)</f>
        <v>0</v>
      </c>
      <c r="G200" s="727">
        <f>SUMIFS('Schedule 4'!$F$89:$F$649,'Schedule 4'!$I$89:$I$649,'Well Cal.'!G$3,'Schedule 4'!$J$89:$J$649,'Well Cal.'!$E200)</f>
        <v>0</v>
      </c>
      <c r="H200" s="727">
        <f>SUMIFS('Schedule 4'!$F$89:$F$649,'Schedule 4'!$I$89:$I$649,'Well Cal.'!H$3,'Schedule 4'!$J$89:$J$649,'Well Cal.'!$E200)</f>
        <v>0</v>
      </c>
      <c r="I200" s="727">
        <f>SUMIFS('Schedule 4'!$F$89:$F$649,'Schedule 4'!$I$89:$I$649,'Well Cal.'!I$3,'Schedule 4'!$J$89:$J$649,'Well Cal.'!$E200)</f>
        <v>0</v>
      </c>
      <c r="J200" s="727">
        <f>SUMIFS('Schedule 4'!$F$89:$F$649,'Schedule 4'!$I$89:$I$649,'Well Cal.'!J$3,'Schedule 4'!$J$89:$J$649,'Well Cal.'!$E200)</f>
        <v>0</v>
      </c>
      <c r="K200" s="727">
        <f>SUMIFS('Schedule 4'!$F$89:$F$649,'Schedule 4'!$I$89:$I$649,'Well Cal.'!K$3,'Schedule 4'!$J$89:$J$649,'Well Cal.'!$E200)</f>
        <v>0</v>
      </c>
      <c r="L200" s="727">
        <f>SUMIFS('Schedule 4'!$F$89:$F$649,'Schedule 4'!$I$89:$I$649,'Well Cal.'!L$3,'Schedule 4'!$J$89:$J$649,'Well Cal.'!$E200)</f>
        <v>0</v>
      </c>
      <c r="M200" s="727">
        <f>SUMIFS('Schedule 4'!$F$89:$F$649,'Schedule 4'!$I$89:$I$649,'Well Cal.'!M$3,'Schedule 4'!$J$89:$J$649,'Well Cal.'!$E200)</f>
        <v>0</v>
      </c>
      <c r="N200" s="727">
        <f>SUMIFS('Schedule 4'!$F$89:$F$649,'Schedule 4'!$I$89:$I$649,'Well Cal.'!N$3,'Schedule 4'!$J$89:$J$649,'Well Cal.'!$E200)</f>
        <v>0</v>
      </c>
      <c r="O200" s="727">
        <f>SUMIFS('Schedule 4'!$F$89:$F$649,'Schedule 4'!$I$89:$I$649,'Well Cal.'!O$3,'Schedule 4'!$J$89:$J$649,'Well Cal.'!$E200)</f>
        <v>0</v>
      </c>
      <c r="P200" s="727">
        <f>SUMIFS('Schedule 4'!$F$89:$F$649,'Schedule 4'!$I$89:$I$649,'Well Cal.'!P$3,'Schedule 4'!$J$89:$J$649,'Well Cal.'!$E200)</f>
        <v>0</v>
      </c>
      <c r="Q200" s="727">
        <f>SUMIFS('Schedule 4'!$F$89:$F$649,'Schedule 4'!$I$89:$I$649,'Well Cal.'!Q$3,'Schedule 4'!$J$89:$J$649,'Well Cal.'!$E200)</f>
        <v>0</v>
      </c>
      <c r="R200" s="727">
        <f>SUMIFS('Schedule 4'!$F$89:$F$649,'Schedule 4'!$I$89:$I$649,'Well Cal.'!R$3,'Schedule 4'!$J$89:$J$649,'Well Cal.'!$E200)</f>
        <v>0</v>
      </c>
      <c r="S200" s="727">
        <f>SUMIFS('Schedule 4'!$F$89:$F$649,'Schedule 4'!$I$89:$I$649,'Well Cal.'!S$3,'Schedule 4'!$J$89:$J$649,'Well Cal.'!$E200)</f>
        <v>0</v>
      </c>
      <c r="T200" s="727">
        <f>SUMIFS('Schedule 4'!$F$89:$F$649,'Schedule 4'!$I$89:$I$649,'Well Cal.'!T$3,'Schedule 4'!$J$89:$J$649,'Well Cal.'!$E200)</f>
        <v>0</v>
      </c>
      <c r="U200" s="727">
        <f>SUMIFS('Schedule 4'!$F$89:$F$649,'Schedule 4'!$I$89:$I$649,'Well Cal.'!U$3,'Schedule 4'!$J$89:$J$649,'Well Cal.'!$E200)</f>
        <v>0</v>
      </c>
      <c r="V200" s="727">
        <f>SUMIFS('Schedule 4'!$F$89:$F$649,'Schedule 4'!$I$89:$I$649,'Well Cal.'!V$3,'Schedule 4'!$J$89:$J$649,'Well Cal.'!$E200)</f>
        <v>0</v>
      </c>
      <c r="W200" s="727">
        <f>SUMIFS('Schedule 4'!$F$89:$F$649,'Schedule 4'!$I$89:$I$649,'Well Cal.'!W$3,'Schedule 4'!$J$89:$J$649,'Well Cal.'!$E200)</f>
        <v>0</v>
      </c>
      <c r="X200" s="727">
        <f>SUMIFS('Schedule 4'!$F$89:$F$649,'Schedule 4'!$I$89:$I$649,'Well Cal.'!X$3,'Schedule 4'!$J$89:$J$649,'Well Cal.'!$E200)</f>
        <v>0</v>
      </c>
      <c r="Y200" s="727">
        <f>SUMIFS('Schedule 4'!$F$89:$F$649,'Schedule 4'!$I$89:$I$649,'Well Cal.'!Y$3,'Schedule 4'!$J$89:$J$649,'Well Cal.'!$E200)</f>
        <v>2.8</v>
      </c>
      <c r="Z200" s="727">
        <f>SUMIFS('Schedule 4'!$F$89:$F$649,'Schedule 4'!$I$89:$I$649,'Well Cal.'!Z$3,'Schedule 4'!$J$89:$J$649,'Well Cal.'!$E200)</f>
        <v>0</v>
      </c>
      <c r="AA200" s="727"/>
      <c r="AB200" s="1731"/>
      <c r="AC200" s="1731"/>
    </row>
    <row r="201" spans="2:29" x14ac:dyDescent="0.3">
      <c r="B201" s="1724"/>
      <c r="C201" s="1727"/>
      <c r="D201" s="1721"/>
      <c r="E201" s="775" t="s">
        <v>4011</v>
      </c>
      <c r="F201" s="727">
        <f>SUMIFS('Schedule 4'!$F$89:$F$649,'Schedule 4'!$I$89:$I$649,'Well Cal.'!F$3,'Schedule 4'!$J$89:$J$649,'Well Cal.'!$E201)</f>
        <v>0</v>
      </c>
      <c r="G201" s="727">
        <f>SUMIFS('Schedule 4'!$F$89:$F$649,'Schedule 4'!$I$89:$I$649,'Well Cal.'!G$3,'Schedule 4'!$J$89:$J$649,'Well Cal.'!$E201)</f>
        <v>0</v>
      </c>
      <c r="H201" s="727">
        <f>SUMIFS('Schedule 4'!$F$89:$F$649,'Schedule 4'!$I$89:$I$649,'Well Cal.'!H$3,'Schedule 4'!$J$89:$J$649,'Well Cal.'!$E201)</f>
        <v>0</v>
      </c>
      <c r="I201" s="727">
        <f>SUMIFS('Schedule 4'!$F$89:$F$649,'Schedule 4'!$I$89:$I$649,'Well Cal.'!I$3,'Schedule 4'!$J$89:$J$649,'Well Cal.'!$E201)</f>
        <v>0</v>
      </c>
      <c r="J201" s="727">
        <f>SUMIFS('Schedule 4'!$F$89:$F$649,'Schedule 4'!$I$89:$I$649,'Well Cal.'!J$3,'Schedule 4'!$J$89:$J$649,'Well Cal.'!$E201)</f>
        <v>0</v>
      </c>
      <c r="K201" s="727">
        <f>SUMIFS('Schedule 4'!$F$89:$F$649,'Schedule 4'!$I$89:$I$649,'Well Cal.'!K$3,'Schedule 4'!$J$89:$J$649,'Well Cal.'!$E201)</f>
        <v>0</v>
      </c>
      <c r="L201" s="727">
        <f>SUMIFS('Schedule 4'!$F$89:$F$649,'Schedule 4'!$I$89:$I$649,'Well Cal.'!L$3,'Schedule 4'!$J$89:$J$649,'Well Cal.'!$E201)</f>
        <v>0</v>
      </c>
      <c r="M201" s="727">
        <f>SUMIFS('Schedule 4'!$F$89:$F$649,'Schedule 4'!$I$89:$I$649,'Well Cal.'!M$3,'Schedule 4'!$J$89:$J$649,'Well Cal.'!$E201)</f>
        <v>0</v>
      </c>
      <c r="N201" s="727">
        <f>SUMIFS('Schedule 4'!$F$89:$F$649,'Schedule 4'!$I$89:$I$649,'Well Cal.'!N$3,'Schedule 4'!$J$89:$J$649,'Well Cal.'!$E201)</f>
        <v>0</v>
      </c>
      <c r="O201" s="727">
        <f>SUMIFS('Schedule 4'!$F$89:$F$649,'Schedule 4'!$I$89:$I$649,'Well Cal.'!O$3,'Schedule 4'!$J$89:$J$649,'Well Cal.'!$E201)</f>
        <v>0</v>
      </c>
      <c r="P201" s="727">
        <f>SUMIFS('Schedule 4'!$F$89:$F$649,'Schedule 4'!$I$89:$I$649,'Well Cal.'!P$3,'Schedule 4'!$J$89:$J$649,'Well Cal.'!$E201)</f>
        <v>0</v>
      </c>
      <c r="Q201" s="727">
        <f>SUMIFS('Schedule 4'!$F$89:$F$649,'Schedule 4'!$I$89:$I$649,'Well Cal.'!Q$3,'Schedule 4'!$J$89:$J$649,'Well Cal.'!$E201)</f>
        <v>0</v>
      </c>
      <c r="R201" s="727">
        <f>SUMIFS('Schedule 4'!$F$89:$F$649,'Schedule 4'!$I$89:$I$649,'Well Cal.'!R$3,'Schedule 4'!$J$89:$J$649,'Well Cal.'!$E201)</f>
        <v>0</v>
      </c>
      <c r="S201" s="727">
        <f>SUMIFS('Schedule 4'!$F$89:$F$649,'Schedule 4'!$I$89:$I$649,'Well Cal.'!S$3,'Schedule 4'!$J$89:$J$649,'Well Cal.'!$E201)</f>
        <v>0</v>
      </c>
      <c r="T201" s="727">
        <f>SUMIFS('Schedule 4'!$F$89:$F$649,'Schedule 4'!$I$89:$I$649,'Well Cal.'!T$3,'Schedule 4'!$J$89:$J$649,'Well Cal.'!$E201)</f>
        <v>0</v>
      </c>
      <c r="U201" s="727">
        <f>SUMIFS('Schedule 4'!$F$89:$F$649,'Schedule 4'!$I$89:$I$649,'Well Cal.'!U$3,'Schedule 4'!$J$89:$J$649,'Well Cal.'!$E201)</f>
        <v>0</v>
      </c>
      <c r="V201" s="727">
        <f>SUMIFS('Schedule 4'!$F$89:$F$649,'Schedule 4'!$I$89:$I$649,'Well Cal.'!V$3,'Schedule 4'!$J$89:$J$649,'Well Cal.'!$E201)</f>
        <v>0</v>
      </c>
      <c r="W201" s="727">
        <f>SUMIFS('Schedule 4'!$F$89:$F$649,'Schedule 4'!$I$89:$I$649,'Well Cal.'!W$3,'Schedule 4'!$J$89:$J$649,'Well Cal.'!$E201)</f>
        <v>0</v>
      </c>
      <c r="X201" s="727">
        <f>SUMIFS('Schedule 4'!$F$89:$F$649,'Schedule 4'!$I$89:$I$649,'Well Cal.'!X$3,'Schedule 4'!$J$89:$J$649,'Well Cal.'!$E201)</f>
        <v>0</v>
      </c>
      <c r="Y201" s="727">
        <f>SUMIFS('Schedule 4'!$F$89:$F$649,'Schedule 4'!$I$89:$I$649,'Well Cal.'!Y$3,'Schedule 4'!$J$89:$J$649,'Well Cal.'!$E201)</f>
        <v>2.8</v>
      </c>
      <c r="Z201" s="727">
        <f>SUMIFS('Schedule 4'!$F$89:$F$649,'Schedule 4'!$I$89:$I$649,'Well Cal.'!Z$3,'Schedule 4'!$J$89:$J$649,'Well Cal.'!$E201)</f>
        <v>0</v>
      </c>
      <c r="AA201" s="727"/>
      <c r="AB201" s="1731"/>
      <c r="AC201" s="1731"/>
    </row>
    <row r="202" spans="2:29" x14ac:dyDescent="0.3">
      <c r="B202" s="1724"/>
      <c r="C202" s="1727"/>
      <c r="D202" s="1721"/>
      <c r="E202" s="775" t="s">
        <v>4084</v>
      </c>
      <c r="F202" s="727">
        <f>SUMIFS('Schedule 4'!$F$89:$F$649,'Schedule 4'!$I$89:$I$649,'Well Cal.'!F$3,'Schedule 4'!$J$89:$J$649,'Well Cal.'!$E202)</f>
        <v>0</v>
      </c>
      <c r="G202" s="727">
        <f>SUMIFS('Schedule 4'!$F$89:$F$649,'Schedule 4'!$I$89:$I$649,'Well Cal.'!G$3,'Schedule 4'!$J$89:$J$649,'Well Cal.'!$E202)</f>
        <v>0</v>
      </c>
      <c r="H202" s="727">
        <f>SUMIFS('Schedule 4'!$F$89:$F$649,'Schedule 4'!$I$89:$I$649,'Well Cal.'!H$3,'Schedule 4'!$J$89:$J$649,'Well Cal.'!$E202)</f>
        <v>0</v>
      </c>
      <c r="I202" s="727">
        <f>SUMIFS('Schedule 4'!$F$89:$F$649,'Schedule 4'!$I$89:$I$649,'Well Cal.'!I$3,'Schedule 4'!$J$89:$J$649,'Well Cal.'!$E202)</f>
        <v>0</v>
      </c>
      <c r="J202" s="727">
        <f>SUMIFS('Schedule 4'!$F$89:$F$649,'Schedule 4'!$I$89:$I$649,'Well Cal.'!J$3,'Schedule 4'!$J$89:$J$649,'Well Cal.'!$E202)</f>
        <v>0</v>
      </c>
      <c r="K202" s="727">
        <f>SUMIFS('Schedule 4'!$F$89:$F$649,'Schedule 4'!$I$89:$I$649,'Well Cal.'!K$3,'Schedule 4'!$J$89:$J$649,'Well Cal.'!$E202)</f>
        <v>0</v>
      </c>
      <c r="L202" s="727">
        <f>SUMIFS('Schedule 4'!$F$89:$F$649,'Schedule 4'!$I$89:$I$649,'Well Cal.'!L$3,'Schedule 4'!$J$89:$J$649,'Well Cal.'!$E202)</f>
        <v>0</v>
      </c>
      <c r="M202" s="727">
        <f>SUMIFS('Schedule 4'!$F$89:$F$649,'Schedule 4'!$I$89:$I$649,'Well Cal.'!M$3,'Schedule 4'!$J$89:$J$649,'Well Cal.'!$E202)</f>
        <v>0</v>
      </c>
      <c r="N202" s="727">
        <f>SUMIFS('Schedule 4'!$F$89:$F$649,'Schedule 4'!$I$89:$I$649,'Well Cal.'!N$3,'Schedule 4'!$J$89:$J$649,'Well Cal.'!$E202)</f>
        <v>0</v>
      </c>
      <c r="O202" s="727">
        <f>SUMIFS('Schedule 4'!$F$89:$F$649,'Schedule 4'!$I$89:$I$649,'Well Cal.'!O$3,'Schedule 4'!$J$89:$J$649,'Well Cal.'!$E202)</f>
        <v>0</v>
      </c>
      <c r="P202" s="727">
        <f>SUMIFS('Schedule 4'!$F$89:$F$649,'Schedule 4'!$I$89:$I$649,'Well Cal.'!P$3,'Schedule 4'!$J$89:$J$649,'Well Cal.'!$E202)</f>
        <v>0</v>
      </c>
      <c r="Q202" s="727">
        <f>SUMIFS('Schedule 4'!$F$89:$F$649,'Schedule 4'!$I$89:$I$649,'Well Cal.'!Q$3,'Schedule 4'!$J$89:$J$649,'Well Cal.'!$E202)</f>
        <v>0</v>
      </c>
      <c r="R202" s="727">
        <f>SUMIFS('Schedule 4'!$F$89:$F$649,'Schedule 4'!$I$89:$I$649,'Well Cal.'!R$3,'Schedule 4'!$J$89:$J$649,'Well Cal.'!$E202)</f>
        <v>0</v>
      </c>
      <c r="S202" s="727">
        <f>SUMIFS('Schedule 4'!$F$89:$F$649,'Schedule 4'!$I$89:$I$649,'Well Cal.'!S$3,'Schedule 4'!$J$89:$J$649,'Well Cal.'!$E202)</f>
        <v>0</v>
      </c>
      <c r="T202" s="727">
        <f>SUMIFS('Schedule 4'!$F$89:$F$649,'Schedule 4'!$I$89:$I$649,'Well Cal.'!T$3,'Schedule 4'!$J$89:$J$649,'Well Cal.'!$E202)</f>
        <v>0</v>
      </c>
      <c r="U202" s="727">
        <f>SUMIFS('Schedule 4'!$F$89:$F$649,'Schedule 4'!$I$89:$I$649,'Well Cal.'!U$3,'Schedule 4'!$J$89:$J$649,'Well Cal.'!$E202)</f>
        <v>0</v>
      </c>
      <c r="V202" s="727">
        <f>SUMIFS('Schedule 4'!$F$89:$F$649,'Schedule 4'!$I$89:$I$649,'Well Cal.'!V$3,'Schedule 4'!$J$89:$J$649,'Well Cal.'!$E202)</f>
        <v>0</v>
      </c>
      <c r="W202" s="727">
        <f>SUMIFS('Schedule 4'!$F$89:$F$649,'Schedule 4'!$I$89:$I$649,'Well Cal.'!W$3,'Schedule 4'!$J$89:$J$649,'Well Cal.'!$E202)</f>
        <v>0</v>
      </c>
      <c r="X202" s="727">
        <f>SUMIFS('Schedule 4'!$F$89:$F$649,'Schedule 4'!$I$89:$I$649,'Well Cal.'!X$3,'Schedule 4'!$J$89:$J$649,'Well Cal.'!$E202)</f>
        <v>0</v>
      </c>
      <c r="Y202" s="727">
        <f>SUMIFS('Schedule 4'!$F$89:$F$649,'Schedule 4'!$I$89:$I$649,'Well Cal.'!Y$3,'Schedule 4'!$J$89:$J$649,'Well Cal.'!$E202)</f>
        <v>2.8</v>
      </c>
      <c r="Z202" s="727">
        <f>SUMIFS('Schedule 4'!$F$89:$F$649,'Schedule 4'!$I$89:$I$649,'Well Cal.'!Z$3,'Schedule 4'!$J$89:$J$649,'Well Cal.'!$E202)</f>
        <v>0</v>
      </c>
      <c r="AA202" s="727"/>
      <c r="AB202" s="1731"/>
      <c r="AC202" s="1731"/>
    </row>
    <row r="203" spans="2:29" x14ac:dyDescent="0.3">
      <c r="B203" s="1724"/>
      <c r="C203" s="1727"/>
      <c r="D203" s="1721"/>
      <c r="E203" s="775" t="s">
        <v>4157</v>
      </c>
      <c r="F203" s="727">
        <f>SUMIFS('Schedule 4'!$F$89:$F$649,'Schedule 4'!$I$89:$I$649,'Well Cal.'!F$3,'Schedule 4'!$J$89:$J$649,'Well Cal.'!$E203)</f>
        <v>0</v>
      </c>
      <c r="G203" s="727">
        <f>SUMIFS('Schedule 4'!$F$89:$F$649,'Schedule 4'!$I$89:$I$649,'Well Cal.'!G$3,'Schedule 4'!$J$89:$J$649,'Well Cal.'!$E203)</f>
        <v>0</v>
      </c>
      <c r="H203" s="727">
        <f>SUMIFS('Schedule 4'!$F$89:$F$649,'Schedule 4'!$I$89:$I$649,'Well Cal.'!H$3,'Schedule 4'!$J$89:$J$649,'Well Cal.'!$E203)</f>
        <v>0</v>
      </c>
      <c r="I203" s="727">
        <f>SUMIFS('Schedule 4'!$F$89:$F$649,'Schedule 4'!$I$89:$I$649,'Well Cal.'!I$3,'Schedule 4'!$J$89:$J$649,'Well Cal.'!$E203)</f>
        <v>0</v>
      </c>
      <c r="J203" s="727">
        <f>SUMIFS('Schedule 4'!$F$89:$F$649,'Schedule 4'!$I$89:$I$649,'Well Cal.'!J$3,'Schedule 4'!$J$89:$J$649,'Well Cal.'!$E203)</f>
        <v>0</v>
      </c>
      <c r="K203" s="727">
        <f>SUMIFS('Schedule 4'!$F$89:$F$649,'Schedule 4'!$I$89:$I$649,'Well Cal.'!K$3,'Schedule 4'!$J$89:$J$649,'Well Cal.'!$E203)</f>
        <v>0</v>
      </c>
      <c r="L203" s="727">
        <f>SUMIFS('Schedule 4'!$F$89:$F$649,'Schedule 4'!$I$89:$I$649,'Well Cal.'!L$3,'Schedule 4'!$J$89:$J$649,'Well Cal.'!$E203)</f>
        <v>0</v>
      </c>
      <c r="M203" s="727">
        <f>SUMIFS('Schedule 4'!$F$89:$F$649,'Schedule 4'!$I$89:$I$649,'Well Cal.'!M$3,'Schedule 4'!$J$89:$J$649,'Well Cal.'!$E203)</f>
        <v>0</v>
      </c>
      <c r="N203" s="727">
        <f>SUMIFS('Schedule 4'!$F$89:$F$649,'Schedule 4'!$I$89:$I$649,'Well Cal.'!N$3,'Schedule 4'!$J$89:$J$649,'Well Cal.'!$E203)</f>
        <v>0</v>
      </c>
      <c r="O203" s="727">
        <f>SUMIFS('Schedule 4'!$F$89:$F$649,'Schedule 4'!$I$89:$I$649,'Well Cal.'!O$3,'Schedule 4'!$J$89:$J$649,'Well Cal.'!$E203)</f>
        <v>0</v>
      </c>
      <c r="P203" s="727">
        <f>SUMIFS('Schedule 4'!$F$89:$F$649,'Schedule 4'!$I$89:$I$649,'Well Cal.'!P$3,'Schedule 4'!$J$89:$J$649,'Well Cal.'!$E203)</f>
        <v>0</v>
      </c>
      <c r="Q203" s="727">
        <f>SUMIFS('Schedule 4'!$F$89:$F$649,'Schedule 4'!$I$89:$I$649,'Well Cal.'!Q$3,'Schedule 4'!$J$89:$J$649,'Well Cal.'!$E203)</f>
        <v>0</v>
      </c>
      <c r="R203" s="727">
        <f>SUMIFS('Schedule 4'!$F$89:$F$649,'Schedule 4'!$I$89:$I$649,'Well Cal.'!R$3,'Schedule 4'!$J$89:$J$649,'Well Cal.'!$E203)</f>
        <v>0</v>
      </c>
      <c r="S203" s="727">
        <f>SUMIFS('Schedule 4'!$F$89:$F$649,'Schedule 4'!$I$89:$I$649,'Well Cal.'!S$3,'Schedule 4'!$J$89:$J$649,'Well Cal.'!$E203)</f>
        <v>0</v>
      </c>
      <c r="T203" s="727">
        <f>SUMIFS('Schedule 4'!$F$89:$F$649,'Schedule 4'!$I$89:$I$649,'Well Cal.'!T$3,'Schedule 4'!$J$89:$J$649,'Well Cal.'!$E203)</f>
        <v>0</v>
      </c>
      <c r="U203" s="727">
        <f>SUMIFS('Schedule 4'!$F$89:$F$649,'Schedule 4'!$I$89:$I$649,'Well Cal.'!U$3,'Schedule 4'!$J$89:$J$649,'Well Cal.'!$E203)</f>
        <v>0</v>
      </c>
      <c r="V203" s="727">
        <f>SUMIFS('Schedule 4'!$F$89:$F$649,'Schedule 4'!$I$89:$I$649,'Well Cal.'!V$3,'Schedule 4'!$J$89:$J$649,'Well Cal.'!$E203)</f>
        <v>0</v>
      </c>
      <c r="W203" s="727">
        <f>SUMIFS('Schedule 4'!$F$89:$F$649,'Schedule 4'!$I$89:$I$649,'Well Cal.'!W$3,'Schedule 4'!$J$89:$J$649,'Well Cal.'!$E203)</f>
        <v>0</v>
      </c>
      <c r="X203" s="727">
        <f>SUMIFS('Schedule 4'!$F$89:$F$649,'Schedule 4'!$I$89:$I$649,'Well Cal.'!X$3,'Schedule 4'!$J$89:$J$649,'Well Cal.'!$E203)</f>
        <v>0</v>
      </c>
      <c r="Y203" s="727">
        <f>SUMIFS('Schedule 4'!$F$89:$F$649,'Schedule 4'!$I$89:$I$649,'Well Cal.'!Y$3,'Schedule 4'!$J$89:$J$649,'Well Cal.'!$E203)</f>
        <v>2.8</v>
      </c>
      <c r="Z203" s="727">
        <f>SUMIFS('Schedule 4'!$F$89:$F$649,'Schedule 4'!$I$89:$I$649,'Well Cal.'!Z$3,'Schedule 4'!$J$89:$J$649,'Well Cal.'!$E203)</f>
        <v>0</v>
      </c>
      <c r="AA203" s="727"/>
      <c r="AB203" s="1731"/>
      <c r="AC203" s="1731"/>
    </row>
    <row r="204" spans="2:29" x14ac:dyDescent="0.3">
      <c r="B204" s="1724"/>
      <c r="C204" s="1727"/>
      <c r="D204" s="1721"/>
      <c r="E204" s="775" t="s">
        <v>4223</v>
      </c>
      <c r="F204" s="727">
        <f>SUMIFS('Schedule 4'!$F$89:$F$649,'Schedule 4'!$I$89:$I$649,'Well Cal.'!F$3,'Schedule 4'!$J$89:$J$649,'Well Cal.'!$E204)</f>
        <v>0</v>
      </c>
      <c r="G204" s="727">
        <f>SUMIFS('Schedule 4'!$F$89:$F$649,'Schedule 4'!$I$89:$I$649,'Well Cal.'!G$3,'Schedule 4'!$J$89:$J$649,'Well Cal.'!$E204)</f>
        <v>0</v>
      </c>
      <c r="H204" s="727">
        <f>SUMIFS('Schedule 4'!$F$89:$F$649,'Schedule 4'!$I$89:$I$649,'Well Cal.'!H$3,'Schedule 4'!$J$89:$J$649,'Well Cal.'!$E204)</f>
        <v>0</v>
      </c>
      <c r="I204" s="727">
        <f>SUMIFS('Schedule 4'!$F$89:$F$649,'Schedule 4'!$I$89:$I$649,'Well Cal.'!I$3,'Schedule 4'!$J$89:$J$649,'Well Cal.'!$E204)</f>
        <v>0</v>
      </c>
      <c r="J204" s="727">
        <f>SUMIFS('Schedule 4'!$F$89:$F$649,'Schedule 4'!$I$89:$I$649,'Well Cal.'!J$3,'Schedule 4'!$J$89:$J$649,'Well Cal.'!$E204)</f>
        <v>0</v>
      </c>
      <c r="K204" s="727">
        <f>SUMIFS('Schedule 4'!$F$89:$F$649,'Schedule 4'!$I$89:$I$649,'Well Cal.'!K$3,'Schedule 4'!$J$89:$J$649,'Well Cal.'!$E204)</f>
        <v>0</v>
      </c>
      <c r="L204" s="727">
        <f>SUMIFS('Schedule 4'!$F$89:$F$649,'Schedule 4'!$I$89:$I$649,'Well Cal.'!L$3,'Schedule 4'!$J$89:$J$649,'Well Cal.'!$E204)</f>
        <v>0</v>
      </c>
      <c r="M204" s="727">
        <f>SUMIFS('Schedule 4'!$F$89:$F$649,'Schedule 4'!$I$89:$I$649,'Well Cal.'!M$3,'Schedule 4'!$J$89:$J$649,'Well Cal.'!$E204)</f>
        <v>0</v>
      </c>
      <c r="N204" s="727">
        <f>SUMIFS('Schedule 4'!$F$89:$F$649,'Schedule 4'!$I$89:$I$649,'Well Cal.'!N$3,'Schedule 4'!$J$89:$J$649,'Well Cal.'!$E204)</f>
        <v>0</v>
      </c>
      <c r="O204" s="727">
        <f>SUMIFS('Schedule 4'!$F$89:$F$649,'Schedule 4'!$I$89:$I$649,'Well Cal.'!O$3,'Schedule 4'!$J$89:$J$649,'Well Cal.'!$E204)</f>
        <v>0</v>
      </c>
      <c r="P204" s="727">
        <f>SUMIFS('Schedule 4'!$F$89:$F$649,'Schedule 4'!$I$89:$I$649,'Well Cal.'!P$3,'Schedule 4'!$J$89:$J$649,'Well Cal.'!$E204)</f>
        <v>0</v>
      </c>
      <c r="Q204" s="727">
        <f>SUMIFS('Schedule 4'!$F$89:$F$649,'Schedule 4'!$I$89:$I$649,'Well Cal.'!Q$3,'Schedule 4'!$J$89:$J$649,'Well Cal.'!$E204)</f>
        <v>0</v>
      </c>
      <c r="R204" s="727">
        <f>SUMIFS('Schedule 4'!$F$89:$F$649,'Schedule 4'!$I$89:$I$649,'Well Cal.'!R$3,'Schedule 4'!$J$89:$J$649,'Well Cal.'!$E204)</f>
        <v>0</v>
      </c>
      <c r="S204" s="727">
        <f>SUMIFS('Schedule 4'!$F$89:$F$649,'Schedule 4'!$I$89:$I$649,'Well Cal.'!S$3,'Schedule 4'!$J$89:$J$649,'Well Cal.'!$E204)</f>
        <v>0</v>
      </c>
      <c r="T204" s="727">
        <f>SUMIFS('Schedule 4'!$F$89:$F$649,'Schedule 4'!$I$89:$I$649,'Well Cal.'!T$3,'Schedule 4'!$J$89:$J$649,'Well Cal.'!$E204)</f>
        <v>0</v>
      </c>
      <c r="U204" s="727">
        <f>SUMIFS('Schedule 4'!$F$89:$F$649,'Schedule 4'!$I$89:$I$649,'Well Cal.'!U$3,'Schedule 4'!$J$89:$J$649,'Well Cal.'!$E204)</f>
        <v>0</v>
      </c>
      <c r="V204" s="727">
        <f>SUMIFS('Schedule 4'!$F$89:$F$649,'Schedule 4'!$I$89:$I$649,'Well Cal.'!V$3,'Schedule 4'!$J$89:$J$649,'Well Cal.'!$E204)</f>
        <v>0</v>
      </c>
      <c r="W204" s="727">
        <f>SUMIFS('Schedule 4'!$F$89:$F$649,'Schedule 4'!$I$89:$I$649,'Well Cal.'!W$3,'Schedule 4'!$J$89:$J$649,'Well Cal.'!$E204)</f>
        <v>0</v>
      </c>
      <c r="X204" s="727">
        <f>SUMIFS('Schedule 4'!$F$89:$F$649,'Schedule 4'!$I$89:$I$649,'Well Cal.'!X$3,'Schedule 4'!$J$89:$J$649,'Well Cal.'!$E204)</f>
        <v>0</v>
      </c>
      <c r="Y204" s="727">
        <f>SUMIFS('Schedule 4'!$F$89:$F$649,'Schedule 4'!$I$89:$I$649,'Well Cal.'!Y$3,'Schedule 4'!$J$89:$J$649,'Well Cal.'!$E204)</f>
        <v>2.8</v>
      </c>
      <c r="Z204" s="727">
        <f>SUMIFS('Schedule 4'!$F$89:$F$649,'Schedule 4'!$I$89:$I$649,'Well Cal.'!Z$3,'Schedule 4'!$J$89:$J$649,'Well Cal.'!$E204)</f>
        <v>0</v>
      </c>
      <c r="AA204" s="727"/>
      <c r="AB204" s="1731"/>
      <c r="AC204" s="1731"/>
    </row>
    <row r="205" spans="2:29" x14ac:dyDescent="0.3">
      <c r="B205" s="1724"/>
      <c r="C205" s="1727"/>
      <c r="D205" s="1721"/>
      <c r="E205" s="775" t="s">
        <v>4293</v>
      </c>
      <c r="F205" s="727">
        <f>SUMIFS('Schedule 4'!$F$89:$F$649,'Schedule 4'!$I$89:$I$649,'Well Cal.'!F$3,'Schedule 4'!$J$89:$J$649,'Well Cal.'!$E205)</f>
        <v>0</v>
      </c>
      <c r="G205" s="727">
        <f>SUMIFS('Schedule 4'!$F$89:$F$649,'Schedule 4'!$I$89:$I$649,'Well Cal.'!G$3,'Schedule 4'!$J$89:$J$649,'Well Cal.'!$E205)</f>
        <v>0</v>
      </c>
      <c r="H205" s="727">
        <f>SUMIFS('Schedule 4'!$F$89:$F$649,'Schedule 4'!$I$89:$I$649,'Well Cal.'!H$3,'Schedule 4'!$J$89:$J$649,'Well Cal.'!$E205)</f>
        <v>0</v>
      </c>
      <c r="I205" s="727">
        <f>SUMIFS('Schedule 4'!$F$89:$F$649,'Schedule 4'!$I$89:$I$649,'Well Cal.'!I$3,'Schedule 4'!$J$89:$J$649,'Well Cal.'!$E205)</f>
        <v>0</v>
      </c>
      <c r="J205" s="727">
        <f>SUMIFS('Schedule 4'!$F$89:$F$649,'Schedule 4'!$I$89:$I$649,'Well Cal.'!J$3,'Schedule 4'!$J$89:$J$649,'Well Cal.'!$E205)</f>
        <v>0</v>
      </c>
      <c r="K205" s="727">
        <f>SUMIFS('Schedule 4'!$F$89:$F$649,'Schedule 4'!$I$89:$I$649,'Well Cal.'!K$3,'Schedule 4'!$J$89:$J$649,'Well Cal.'!$E205)</f>
        <v>0</v>
      </c>
      <c r="L205" s="727">
        <f>SUMIFS('Schedule 4'!$F$89:$F$649,'Schedule 4'!$I$89:$I$649,'Well Cal.'!L$3,'Schedule 4'!$J$89:$J$649,'Well Cal.'!$E205)</f>
        <v>0</v>
      </c>
      <c r="M205" s="727">
        <f>SUMIFS('Schedule 4'!$F$89:$F$649,'Schedule 4'!$I$89:$I$649,'Well Cal.'!M$3,'Schedule 4'!$J$89:$J$649,'Well Cal.'!$E205)</f>
        <v>0</v>
      </c>
      <c r="N205" s="727">
        <f>SUMIFS('Schedule 4'!$F$89:$F$649,'Schedule 4'!$I$89:$I$649,'Well Cal.'!N$3,'Schedule 4'!$J$89:$J$649,'Well Cal.'!$E205)</f>
        <v>0</v>
      </c>
      <c r="O205" s="727">
        <f>SUMIFS('Schedule 4'!$F$89:$F$649,'Schedule 4'!$I$89:$I$649,'Well Cal.'!O$3,'Schedule 4'!$J$89:$J$649,'Well Cal.'!$E205)</f>
        <v>0</v>
      </c>
      <c r="P205" s="727">
        <f>SUMIFS('Schedule 4'!$F$89:$F$649,'Schedule 4'!$I$89:$I$649,'Well Cal.'!P$3,'Schedule 4'!$J$89:$J$649,'Well Cal.'!$E205)</f>
        <v>0</v>
      </c>
      <c r="Q205" s="727">
        <f>SUMIFS('Schedule 4'!$F$89:$F$649,'Schedule 4'!$I$89:$I$649,'Well Cal.'!Q$3,'Schedule 4'!$J$89:$J$649,'Well Cal.'!$E205)</f>
        <v>0</v>
      </c>
      <c r="R205" s="727">
        <f>SUMIFS('Schedule 4'!$F$89:$F$649,'Schedule 4'!$I$89:$I$649,'Well Cal.'!R$3,'Schedule 4'!$J$89:$J$649,'Well Cal.'!$E205)</f>
        <v>0</v>
      </c>
      <c r="S205" s="727">
        <f>SUMIFS('Schedule 4'!$F$89:$F$649,'Schedule 4'!$I$89:$I$649,'Well Cal.'!S$3,'Schedule 4'!$J$89:$J$649,'Well Cal.'!$E205)</f>
        <v>0</v>
      </c>
      <c r="T205" s="727">
        <f>SUMIFS('Schedule 4'!$F$89:$F$649,'Schedule 4'!$I$89:$I$649,'Well Cal.'!T$3,'Schedule 4'!$J$89:$J$649,'Well Cal.'!$E205)</f>
        <v>0</v>
      </c>
      <c r="U205" s="727">
        <f>SUMIFS('Schedule 4'!$F$89:$F$649,'Schedule 4'!$I$89:$I$649,'Well Cal.'!U$3,'Schedule 4'!$J$89:$J$649,'Well Cal.'!$E205)</f>
        <v>0</v>
      </c>
      <c r="V205" s="727">
        <f>SUMIFS('Schedule 4'!$F$89:$F$649,'Schedule 4'!$I$89:$I$649,'Well Cal.'!V$3,'Schedule 4'!$J$89:$J$649,'Well Cal.'!$E205)</f>
        <v>0</v>
      </c>
      <c r="W205" s="727">
        <f>SUMIFS('Schedule 4'!$F$89:$F$649,'Schedule 4'!$I$89:$I$649,'Well Cal.'!W$3,'Schedule 4'!$J$89:$J$649,'Well Cal.'!$E205)</f>
        <v>0</v>
      </c>
      <c r="X205" s="727">
        <f>SUMIFS('Schedule 4'!$F$89:$F$649,'Schedule 4'!$I$89:$I$649,'Well Cal.'!X$3,'Schedule 4'!$J$89:$J$649,'Well Cal.'!$E205)</f>
        <v>0</v>
      </c>
      <c r="Y205" s="727">
        <f>SUMIFS('Schedule 4'!$F$89:$F$649,'Schedule 4'!$I$89:$I$649,'Well Cal.'!Y$3,'Schedule 4'!$J$89:$J$649,'Well Cal.'!$E205)</f>
        <v>2.8</v>
      </c>
      <c r="Z205" s="727">
        <f>SUMIFS('Schedule 4'!$F$89:$F$649,'Schedule 4'!$I$89:$I$649,'Well Cal.'!Z$3,'Schedule 4'!$J$89:$J$649,'Well Cal.'!$E205)</f>
        <v>0</v>
      </c>
      <c r="AA205" s="727"/>
      <c r="AB205" s="1731"/>
      <c r="AC205" s="1731"/>
    </row>
    <row r="206" spans="2:29" x14ac:dyDescent="0.3">
      <c r="B206" s="1725"/>
      <c r="C206" s="1728"/>
      <c r="D206" s="1722"/>
      <c r="E206" s="776"/>
      <c r="F206" s="777"/>
      <c r="G206" s="777"/>
      <c r="H206" s="777"/>
      <c r="I206" s="777"/>
      <c r="J206" s="777"/>
      <c r="K206" s="777"/>
      <c r="L206" s="777"/>
      <c r="M206" s="777"/>
      <c r="N206" s="777"/>
      <c r="O206" s="777"/>
      <c r="P206" s="777"/>
      <c r="Q206" s="777"/>
      <c r="R206" s="777"/>
      <c r="S206" s="777"/>
      <c r="T206" s="777"/>
      <c r="U206" s="777"/>
      <c r="V206" s="777"/>
      <c r="W206" s="777"/>
      <c r="X206" s="777"/>
      <c r="Y206" s="777"/>
      <c r="Z206" s="777"/>
      <c r="AA206" s="777"/>
      <c r="AB206" s="1732"/>
      <c r="AC206" s="1732"/>
    </row>
    <row r="207" spans="2:29" x14ac:dyDescent="0.3">
      <c r="B207" s="1723" t="s">
        <v>1904</v>
      </c>
      <c r="C207" s="1726">
        <v>54.05</v>
      </c>
      <c r="D207" s="1720">
        <f>SUMIFS('Schedule 4'!$F$89:$F$649,'Schedule 4'!$K$89:$K$649,'Well Cal.'!$B207)</f>
        <v>43.400000000000006</v>
      </c>
      <c r="E207" s="754" t="s">
        <v>3192</v>
      </c>
      <c r="F207" s="728">
        <f>SUMIFS('Schedule 4'!$F$89:$F$649,'Schedule 4'!$I$89:$I$649,'Well Cal.'!F$3,'Schedule 4'!$J$89:$J$649,'Well Cal.'!$E207)</f>
        <v>0</v>
      </c>
      <c r="G207" s="728">
        <f>SUMIFS('Schedule 4'!$F$89:$F$649,'Schedule 4'!$I$89:$I$649,'Well Cal.'!G$3,'Schedule 4'!$J$89:$J$649,'Well Cal.'!$E207)</f>
        <v>0</v>
      </c>
      <c r="H207" s="728">
        <f>SUMIFS('Schedule 4'!$F$89:$F$649,'Schedule 4'!$I$89:$I$649,'Well Cal.'!H$3,'Schedule 4'!$J$89:$J$649,'Well Cal.'!$E207)</f>
        <v>0</v>
      </c>
      <c r="I207" s="728">
        <f>SUMIFS('Schedule 4'!$F$89:$F$649,'Schedule 4'!$I$89:$I$649,'Well Cal.'!I$3,'Schedule 4'!$J$89:$J$649,'Well Cal.'!$E207)</f>
        <v>0</v>
      </c>
      <c r="J207" s="728">
        <f>SUMIFS('Schedule 4'!$F$89:$F$649,'Schedule 4'!$I$89:$I$649,'Well Cal.'!J$3,'Schedule 4'!$J$89:$J$649,'Well Cal.'!$E207)</f>
        <v>0</v>
      </c>
      <c r="K207" s="728">
        <f>SUMIFS('Schedule 4'!$F$89:$F$649,'Schedule 4'!$I$89:$I$649,'Well Cal.'!K$3,'Schedule 4'!$J$89:$J$649,'Well Cal.'!$E207)</f>
        <v>0</v>
      </c>
      <c r="L207" s="728">
        <f>SUMIFS('Schedule 4'!$F$89:$F$649,'Schedule 4'!$I$89:$I$649,'Well Cal.'!L$3,'Schedule 4'!$J$89:$J$649,'Well Cal.'!$E207)</f>
        <v>0</v>
      </c>
      <c r="M207" s="728">
        <f>SUMIFS('Schedule 4'!$F$89:$F$649,'Schedule 4'!$I$89:$I$649,'Well Cal.'!M$3,'Schedule 4'!$J$89:$J$649,'Well Cal.'!$E207)</f>
        <v>0</v>
      </c>
      <c r="N207" s="728">
        <f>SUMIFS('Schedule 4'!$F$89:$F$649,'Schedule 4'!$I$89:$I$649,'Well Cal.'!N$3,'Schedule 4'!$J$89:$J$649,'Well Cal.'!$E207)</f>
        <v>0</v>
      </c>
      <c r="O207" s="728">
        <f>SUMIFS('Schedule 4'!$F$89:$F$649,'Schedule 4'!$I$89:$I$649,'Well Cal.'!O$3,'Schedule 4'!$J$89:$J$649,'Well Cal.'!$E207)</f>
        <v>0</v>
      </c>
      <c r="P207" s="728">
        <f>SUMIFS('Schedule 4'!$F$89:$F$649,'Schedule 4'!$I$89:$I$649,'Well Cal.'!P$3,'Schedule 4'!$J$89:$J$649,'Well Cal.'!$E207)</f>
        <v>0</v>
      </c>
      <c r="Q207" s="728">
        <f>SUMIFS('Schedule 4'!$F$89:$F$649,'Schedule 4'!$I$89:$I$649,'Well Cal.'!Q$3,'Schedule 4'!$J$89:$J$649,'Well Cal.'!$E207)</f>
        <v>0</v>
      </c>
      <c r="R207" s="728">
        <f>SUMIFS('Schedule 4'!$F$89:$F$649,'Schedule 4'!$I$89:$I$649,'Well Cal.'!R$3,'Schedule 4'!$J$89:$J$649,'Well Cal.'!$E207)</f>
        <v>0</v>
      </c>
      <c r="S207" s="728">
        <f>SUMIFS('Schedule 4'!$F$89:$F$649,'Schedule 4'!$I$89:$I$649,'Well Cal.'!S$3,'Schedule 4'!$J$89:$J$649,'Well Cal.'!$E207)</f>
        <v>0</v>
      </c>
      <c r="T207" s="728">
        <f>SUMIFS('Schedule 4'!$F$89:$F$649,'Schedule 4'!$I$89:$I$649,'Well Cal.'!T$3,'Schedule 4'!$J$89:$J$649,'Well Cal.'!$E207)</f>
        <v>6.2</v>
      </c>
      <c r="U207" s="728">
        <f>SUMIFS('Schedule 4'!$F$89:$F$649,'Schedule 4'!$I$89:$I$649,'Well Cal.'!U$3,'Schedule 4'!$J$89:$J$649,'Well Cal.'!$E207)</f>
        <v>0</v>
      </c>
      <c r="V207" s="728">
        <f>SUMIFS('Schedule 4'!$F$89:$F$649,'Schedule 4'!$I$89:$I$649,'Well Cal.'!V$3,'Schedule 4'!$J$89:$J$649,'Well Cal.'!$E207)</f>
        <v>0</v>
      </c>
      <c r="W207" s="728">
        <f>SUMIFS('Schedule 4'!$F$89:$F$649,'Schedule 4'!$I$89:$I$649,'Well Cal.'!W$3,'Schedule 4'!$J$89:$J$649,'Well Cal.'!$E207)</f>
        <v>0</v>
      </c>
      <c r="X207" s="728">
        <f>SUMIFS('Schedule 4'!$F$89:$F$649,'Schedule 4'!$I$89:$I$649,'Well Cal.'!X$3,'Schedule 4'!$J$89:$J$649,'Well Cal.'!$E207)</f>
        <v>0</v>
      </c>
      <c r="Y207" s="728">
        <f>SUMIFS('Schedule 4'!$F$89:$F$649,'Schedule 4'!$I$89:$I$649,'Well Cal.'!Y$3,'Schedule 4'!$J$89:$J$649,'Well Cal.'!$E207)</f>
        <v>0</v>
      </c>
      <c r="Z207" s="728">
        <f>SUMIFS('Schedule 4'!$F$89:$F$649,'Schedule 4'!$I$89:$I$649,'Well Cal.'!Z$3,'Schedule 4'!$J$89:$J$649,'Well Cal.'!$E207)</f>
        <v>0</v>
      </c>
      <c r="AA207" s="728"/>
      <c r="AB207" s="1729">
        <f>SUM(F207:AA222)</f>
        <v>41.4</v>
      </c>
      <c r="AC207" s="1729">
        <f>D207-AB207</f>
        <v>2.0000000000000071</v>
      </c>
    </row>
    <row r="208" spans="2:29" x14ac:dyDescent="0.3">
      <c r="B208" s="1724"/>
      <c r="C208" s="1727"/>
      <c r="D208" s="1721"/>
      <c r="E208" s="761" t="s">
        <v>3276</v>
      </c>
      <c r="F208" s="726">
        <f>SUMIFS('Schedule 4'!$F$89:$F$649,'Schedule 4'!$I$89:$I$649,'Well Cal.'!F$3,'Schedule 4'!$J$89:$J$649,'Well Cal.'!$E208)</f>
        <v>0</v>
      </c>
      <c r="G208" s="726">
        <f>SUMIFS('Schedule 4'!$F$89:$F$649,'Schedule 4'!$I$89:$I$649,'Well Cal.'!G$3,'Schedule 4'!$J$89:$J$649,'Well Cal.'!$E208)</f>
        <v>0</v>
      </c>
      <c r="H208" s="726">
        <f>SUMIFS('Schedule 4'!$F$89:$F$649,'Schedule 4'!$I$89:$I$649,'Well Cal.'!H$3,'Schedule 4'!$J$89:$J$649,'Well Cal.'!$E208)</f>
        <v>0</v>
      </c>
      <c r="I208" s="726">
        <f>SUMIFS('Schedule 4'!$F$89:$F$649,'Schedule 4'!$I$89:$I$649,'Well Cal.'!I$3,'Schedule 4'!$J$89:$J$649,'Well Cal.'!$E208)</f>
        <v>0</v>
      </c>
      <c r="J208" s="726">
        <f>SUMIFS('Schedule 4'!$F$89:$F$649,'Schedule 4'!$I$89:$I$649,'Well Cal.'!J$3,'Schedule 4'!$J$89:$J$649,'Well Cal.'!$E208)</f>
        <v>0</v>
      </c>
      <c r="K208" s="726">
        <f>SUMIFS('Schedule 4'!$F$89:$F$649,'Schedule 4'!$I$89:$I$649,'Well Cal.'!K$3,'Schedule 4'!$J$89:$J$649,'Well Cal.'!$E208)</f>
        <v>0</v>
      </c>
      <c r="L208" s="726">
        <f>SUMIFS('Schedule 4'!$F$89:$F$649,'Schedule 4'!$I$89:$I$649,'Well Cal.'!L$3,'Schedule 4'!$J$89:$J$649,'Well Cal.'!$E208)</f>
        <v>0</v>
      </c>
      <c r="M208" s="726">
        <f>SUMIFS('Schedule 4'!$F$89:$F$649,'Schedule 4'!$I$89:$I$649,'Well Cal.'!M$3,'Schedule 4'!$J$89:$J$649,'Well Cal.'!$E208)</f>
        <v>0</v>
      </c>
      <c r="N208" s="726">
        <f>SUMIFS('Schedule 4'!$F$89:$F$649,'Schedule 4'!$I$89:$I$649,'Well Cal.'!N$3,'Schedule 4'!$J$89:$J$649,'Well Cal.'!$E208)</f>
        <v>0</v>
      </c>
      <c r="O208" s="726">
        <f>SUMIFS('Schedule 4'!$F$89:$F$649,'Schedule 4'!$I$89:$I$649,'Well Cal.'!O$3,'Schedule 4'!$J$89:$J$649,'Well Cal.'!$E208)</f>
        <v>0</v>
      </c>
      <c r="P208" s="726">
        <f>SUMIFS('Schedule 4'!$F$89:$F$649,'Schedule 4'!$I$89:$I$649,'Well Cal.'!P$3,'Schedule 4'!$J$89:$J$649,'Well Cal.'!$E208)</f>
        <v>0</v>
      </c>
      <c r="Q208" s="726">
        <f>SUMIFS('Schedule 4'!$F$89:$F$649,'Schedule 4'!$I$89:$I$649,'Well Cal.'!Q$3,'Schedule 4'!$J$89:$J$649,'Well Cal.'!$E208)</f>
        <v>0</v>
      </c>
      <c r="R208" s="726">
        <f>SUMIFS('Schedule 4'!$F$89:$F$649,'Schedule 4'!$I$89:$I$649,'Well Cal.'!R$3,'Schedule 4'!$J$89:$J$649,'Well Cal.'!$E208)</f>
        <v>0</v>
      </c>
      <c r="S208" s="726">
        <f>SUMIFS('Schedule 4'!$F$89:$F$649,'Schedule 4'!$I$89:$I$649,'Well Cal.'!S$3,'Schedule 4'!$J$89:$J$649,'Well Cal.'!$E208)</f>
        <v>0</v>
      </c>
      <c r="T208" s="726">
        <f>SUMIFS('Schedule 4'!$F$89:$F$649,'Schedule 4'!$I$89:$I$649,'Well Cal.'!T$3,'Schedule 4'!$J$89:$J$649,'Well Cal.'!$E208)</f>
        <v>0</v>
      </c>
      <c r="U208" s="726">
        <f>SUMIFS('Schedule 4'!$F$89:$F$649,'Schedule 4'!$I$89:$I$649,'Well Cal.'!U$3,'Schedule 4'!$J$89:$J$649,'Well Cal.'!$E208)</f>
        <v>2.5</v>
      </c>
      <c r="V208" s="726">
        <f>SUMIFS('Schedule 4'!$F$89:$F$649,'Schedule 4'!$I$89:$I$649,'Well Cal.'!V$3,'Schedule 4'!$J$89:$J$649,'Well Cal.'!$E208)</f>
        <v>0</v>
      </c>
      <c r="W208" s="726">
        <f>SUMIFS('Schedule 4'!$F$89:$F$649,'Schedule 4'!$I$89:$I$649,'Well Cal.'!W$3,'Schedule 4'!$J$89:$J$649,'Well Cal.'!$E208)</f>
        <v>0</v>
      </c>
      <c r="X208" s="726">
        <f>SUMIFS('Schedule 4'!$F$89:$F$649,'Schedule 4'!$I$89:$I$649,'Well Cal.'!X$3,'Schedule 4'!$J$89:$J$649,'Well Cal.'!$E208)</f>
        <v>0</v>
      </c>
      <c r="Y208" s="726">
        <f>SUMIFS('Schedule 4'!$F$89:$F$649,'Schedule 4'!$I$89:$I$649,'Well Cal.'!Y$3,'Schedule 4'!$J$89:$J$649,'Well Cal.'!$E208)</f>
        <v>0</v>
      </c>
      <c r="Z208" s="726">
        <f>SUMIFS('Schedule 4'!$F$89:$F$649,'Schedule 4'!$I$89:$I$649,'Well Cal.'!Z$3,'Schedule 4'!$J$89:$J$649,'Well Cal.'!$E208)</f>
        <v>0</v>
      </c>
      <c r="AA208" s="726"/>
      <c r="AB208" s="1730"/>
      <c r="AC208" s="1730"/>
    </row>
    <row r="209" spans="2:41" x14ac:dyDescent="0.3">
      <c r="B209" s="1724"/>
      <c r="C209" s="1727"/>
      <c r="D209" s="1721"/>
      <c r="E209" s="761" t="s">
        <v>3352</v>
      </c>
      <c r="F209" s="726">
        <f>SUMIFS('Schedule 4'!$F$89:$F$649,'Schedule 4'!$I$89:$I$649,'Well Cal.'!F$3,'Schedule 4'!$J$89:$J$649,'Well Cal.'!$E209)</f>
        <v>0</v>
      </c>
      <c r="G209" s="726">
        <f>SUMIFS('Schedule 4'!$F$89:$F$649,'Schedule 4'!$I$89:$I$649,'Well Cal.'!G$3,'Schedule 4'!$J$89:$J$649,'Well Cal.'!$E209)</f>
        <v>0</v>
      </c>
      <c r="H209" s="726">
        <f>SUMIFS('Schedule 4'!$F$89:$F$649,'Schedule 4'!$I$89:$I$649,'Well Cal.'!H$3,'Schedule 4'!$J$89:$J$649,'Well Cal.'!$E209)</f>
        <v>0</v>
      </c>
      <c r="I209" s="726">
        <f>SUMIFS('Schedule 4'!$F$89:$F$649,'Schedule 4'!$I$89:$I$649,'Well Cal.'!I$3,'Schedule 4'!$J$89:$J$649,'Well Cal.'!$E209)</f>
        <v>0</v>
      </c>
      <c r="J209" s="726">
        <f>SUMIFS('Schedule 4'!$F$89:$F$649,'Schedule 4'!$I$89:$I$649,'Well Cal.'!J$3,'Schedule 4'!$J$89:$J$649,'Well Cal.'!$E209)</f>
        <v>0</v>
      </c>
      <c r="K209" s="726">
        <f>SUMIFS('Schedule 4'!$F$89:$F$649,'Schedule 4'!$I$89:$I$649,'Well Cal.'!K$3,'Schedule 4'!$J$89:$J$649,'Well Cal.'!$E209)</f>
        <v>0</v>
      </c>
      <c r="L209" s="726">
        <f>SUMIFS('Schedule 4'!$F$89:$F$649,'Schedule 4'!$I$89:$I$649,'Well Cal.'!L$3,'Schedule 4'!$J$89:$J$649,'Well Cal.'!$E209)</f>
        <v>0</v>
      </c>
      <c r="M209" s="726">
        <f>SUMIFS('Schedule 4'!$F$89:$F$649,'Schedule 4'!$I$89:$I$649,'Well Cal.'!M$3,'Schedule 4'!$J$89:$J$649,'Well Cal.'!$E209)</f>
        <v>0</v>
      </c>
      <c r="N209" s="726">
        <f>SUMIFS('Schedule 4'!$F$89:$F$649,'Schedule 4'!$I$89:$I$649,'Well Cal.'!N$3,'Schedule 4'!$J$89:$J$649,'Well Cal.'!$E209)</f>
        <v>0</v>
      </c>
      <c r="O209" s="726">
        <f>SUMIFS('Schedule 4'!$F$89:$F$649,'Schedule 4'!$I$89:$I$649,'Well Cal.'!O$3,'Schedule 4'!$J$89:$J$649,'Well Cal.'!$E209)</f>
        <v>0</v>
      </c>
      <c r="P209" s="726">
        <f>SUMIFS('Schedule 4'!$F$89:$F$649,'Schedule 4'!$I$89:$I$649,'Well Cal.'!P$3,'Schedule 4'!$J$89:$J$649,'Well Cal.'!$E209)</f>
        <v>0</v>
      </c>
      <c r="Q209" s="726">
        <f>SUMIFS('Schedule 4'!$F$89:$F$649,'Schedule 4'!$I$89:$I$649,'Well Cal.'!Q$3,'Schedule 4'!$J$89:$J$649,'Well Cal.'!$E209)</f>
        <v>0</v>
      </c>
      <c r="R209" s="726">
        <f>SUMIFS('Schedule 4'!$F$89:$F$649,'Schedule 4'!$I$89:$I$649,'Well Cal.'!R$3,'Schedule 4'!$J$89:$J$649,'Well Cal.'!$E209)</f>
        <v>0</v>
      </c>
      <c r="S209" s="726">
        <f>SUMIFS('Schedule 4'!$F$89:$F$649,'Schedule 4'!$I$89:$I$649,'Well Cal.'!S$3,'Schedule 4'!$J$89:$J$649,'Well Cal.'!$E209)</f>
        <v>0</v>
      </c>
      <c r="T209" s="726">
        <f>SUMIFS('Schedule 4'!$F$89:$F$649,'Schedule 4'!$I$89:$I$649,'Well Cal.'!T$3,'Schedule 4'!$J$89:$J$649,'Well Cal.'!$E209)</f>
        <v>0</v>
      </c>
      <c r="U209" s="726">
        <f>SUMIFS('Schedule 4'!$F$89:$F$649,'Schedule 4'!$I$89:$I$649,'Well Cal.'!U$3,'Schedule 4'!$J$89:$J$649,'Well Cal.'!$E209)</f>
        <v>2.5</v>
      </c>
      <c r="V209" s="726">
        <f>SUMIFS('Schedule 4'!$F$89:$F$649,'Schedule 4'!$I$89:$I$649,'Well Cal.'!V$3,'Schedule 4'!$J$89:$J$649,'Well Cal.'!$E209)</f>
        <v>0</v>
      </c>
      <c r="W209" s="726">
        <f>SUMIFS('Schedule 4'!$F$89:$F$649,'Schedule 4'!$I$89:$I$649,'Well Cal.'!W$3,'Schedule 4'!$J$89:$J$649,'Well Cal.'!$E209)</f>
        <v>0</v>
      </c>
      <c r="X209" s="726">
        <f>SUMIFS('Schedule 4'!$F$89:$F$649,'Schedule 4'!$I$89:$I$649,'Well Cal.'!X$3,'Schedule 4'!$J$89:$J$649,'Well Cal.'!$E209)</f>
        <v>0</v>
      </c>
      <c r="Y209" s="726">
        <f>SUMIFS('Schedule 4'!$F$89:$F$649,'Schedule 4'!$I$89:$I$649,'Well Cal.'!Y$3,'Schedule 4'!$J$89:$J$649,'Well Cal.'!$E209)</f>
        <v>0</v>
      </c>
      <c r="Z209" s="726">
        <f>SUMIFS('Schedule 4'!$F$89:$F$649,'Schedule 4'!$I$89:$I$649,'Well Cal.'!Z$3,'Schedule 4'!$J$89:$J$649,'Well Cal.'!$E209)</f>
        <v>0</v>
      </c>
      <c r="AA209" s="726"/>
      <c r="AB209" s="1730"/>
      <c r="AC209" s="1730"/>
    </row>
    <row r="210" spans="2:41" x14ac:dyDescent="0.3">
      <c r="B210" s="1724"/>
      <c r="C210" s="1727"/>
      <c r="D210" s="1721"/>
      <c r="E210" s="775" t="s">
        <v>3430</v>
      </c>
      <c r="F210" s="727">
        <f>SUMIFS('Schedule 4'!$F$89:$F$649,'Schedule 4'!$I$89:$I$649,'Well Cal.'!F$3,'Schedule 4'!$J$89:$J$649,'Well Cal.'!$E210)</f>
        <v>0</v>
      </c>
      <c r="G210" s="727">
        <f>SUMIFS('Schedule 4'!$F$89:$F$649,'Schedule 4'!$I$89:$I$649,'Well Cal.'!G$3,'Schedule 4'!$J$89:$J$649,'Well Cal.'!$E210)</f>
        <v>0</v>
      </c>
      <c r="H210" s="727">
        <f>SUMIFS('Schedule 4'!$F$89:$F$649,'Schedule 4'!$I$89:$I$649,'Well Cal.'!H$3,'Schedule 4'!$J$89:$J$649,'Well Cal.'!$E210)</f>
        <v>0</v>
      </c>
      <c r="I210" s="727">
        <f>SUMIFS('Schedule 4'!$F$89:$F$649,'Schedule 4'!$I$89:$I$649,'Well Cal.'!I$3,'Schedule 4'!$J$89:$J$649,'Well Cal.'!$E210)</f>
        <v>0</v>
      </c>
      <c r="J210" s="727">
        <f>SUMIFS('Schedule 4'!$F$89:$F$649,'Schedule 4'!$I$89:$I$649,'Well Cal.'!J$3,'Schedule 4'!$J$89:$J$649,'Well Cal.'!$E210)</f>
        <v>0</v>
      </c>
      <c r="K210" s="727">
        <f>SUMIFS('Schedule 4'!$F$89:$F$649,'Schedule 4'!$I$89:$I$649,'Well Cal.'!K$3,'Schedule 4'!$J$89:$J$649,'Well Cal.'!$E210)</f>
        <v>0</v>
      </c>
      <c r="L210" s="727">
        <f>SUMIFS('Schedule 4'!$F$89:$F$649,'Schedule 4'!$I$89:$I$649,'Well Cal.'!L$3,'Schedule 4'!$J$89:$J$649,'Well Cal.'!$E210)</f>
        <v>0</v>
      </c>
      <c r="M210" s="727">
        <f>SUMIFS('Schedule 4'!$F$89:$F$649,'Schedule 4'!$I$89:$I$649,'Well Cal.'!M$3,'Schedule 4'!$J$89:$J$649,'Well Cal.'!$E210)</f>
        <v>0</v>
      </c>
      <c r="N210" s="727">
        <f>SUMIFS('Schedule 4'!$F$89:$F$649,'Schedule 4'!$I$89:$I$649,'Well Cal.'!N$3,'Schedule 4'!$J$89:$J$649,'Well Cal.'!$E210)</f>
        <v>0</v>
      </c>
      <c r="O210" s="727">
        <f>SUMIFS('Schedule 4'!$F$89:$F$649,'Schedule 4'!$I$89:$I$649,'Well Cal.'!O$3,'Schedule 4'!$J$89:$J$649,'Well Cal.'!$E210)</f>
        <v>0</v>
      </c>
      <c r="P210" s="727">
        <f>SUMIFS('Schedule 4'!$F$89:$F$649,'Schedule 4'!$I$89:$I$649,'Well Cal.'!P$3,'Schedule 4'!$J$89:$J$649,'Well Cal.'!$E210)</f>
        <v>0</v>
      </c>
      <c r="Q210" s="727">
        <f>SUMIFS('Schedule 4'!$F$89:$F$649,'Schedule 4'!$I$89:$I$649,'Well Cal.'!Q$3,'Schedule 4'!$J$89:$J$649,'Well Cal.'!$E210)</f>
        <v>0</v>
      </c>
      <c r="R210" s="727">
        <f>SUMIFS('Schedule 4'!$F$89:$F$649,'Schedule 4'!$I$89:$I$649,'Well Cal.'!R$3,'Schedule 4'!$J$89:$J$649,'Well Cal.'!$E210)</f>
        <v>0</v>
      </c>
      <c r="S210" s="727">
        <f>SUMIFS('Schedule 4'!$F$89:$F$649,'Schedule 4'!$I$89:$I$649,'Well Cal.'!S$3,'Schedule 4'!$J$89:$J$649,'Well Cal.'!$E210)</f>
        <v>0</v>
      </c>
      <c r="T210" s="727">
        <f>SUMIFS('Schedule 4'!$F$89:$F$649,'Schedule 4'!$I$89:$I$649,'Well Cal.'!T$3,'Schedule 4'!$J$89:$J$649,'Well Cal.'!$E210)</f>
        <v>0</v>
      </c>
      <c r="U210" s="727">
        <f>SUMIFS('Schedule 4'!$F$89:$F$649,'Schedule 4'!$I$89:$I$649,'Well Cal.'!U$3,'Schedule 4'!$J$89:$J$649,'Well Cal.'!$E210)</f>
        <v>2.5</v>
      </c>
      <c r="V210" s="727">
        <f>SUMIFS('Schedule 4'!$F$89:$F$649,'Schedule 4'!$I$89:$I$649,'Well Cal.'!V$3,'Schedule 4'!$J$89:$J$649,'Well Cal.'!$E210)</f>
        <v>0</v>
      </c>
      <c r="W210" s="727">
        <f>SUMIFS('Schedule 4'!$F$89:$F$649,'Schedule 4'!$I$89:$I$649,'Well Cal.'!W$3,'Schedule 4'!$J$89:$J$649,'Well Cal.'!$E210)</f>
        <v>0</v>
      </c>
      <c r="X210" s="727">
        <f>SUMIFS('Schedule 4'!$F$89:$F$649,'Schedule 4'!$I$89:$I$649,'Well Cal.'!X$3,'Schedule 4'!$J$89:$J$649,'Well Cal.'!$E210)</f>
        <v>0</v>
      </c>
      <c r="Y210" s="727">
        <f>SUMIFS('Schedule 4'!$F$89:$F$649,'Schedule 4'!$I$89:$I$649,'Well Cal.'!Y$3,'Schedule 4'!$J$89:$J$649,'Well Cal.'!$E210)</f>
        <v>0</v>
      </c>
      <c r="Z210" s="727">
        <f>SUMIFS('Schedule 4'!$F$89:$F$649,'Schedule 4'!$I$89:$I$649,'Well Cal.'!Z$3,'Schedule 4'!$J$89:$J$649,'Well Cal.'!$E210)</f>
        <v>0</v>
      </c>
      <c r="AA210" s="727"/>
      <c r="AB210" s="1730"/>
      <c r="AC210" s="1730"/>
    </row>
    <row r="211" spans="2:41" x14ac:dyDescent="0.3">
      <c r="B211" s="1724"/>
      <c r="C211" s="1727"/>
      <c r="D211" s="1721"/>
      <c r="E211" s="775" t="s">
        <v>3508</v>
      </c>
      <c r="F211" s="727">
        <f>SUMIFS('Schedule 4'!$F$89:$F$649,'Schedule 4'!$I$89:$I$649,'Well Cal.'!F$3,'Schedule 4'!$J$89:$J$649,'Well Cal.'!$E211)</f>
        <v>0</v>
      </c>
      <c r="G211" s="727">
        <f>SUMIFS('Schedule 4'!$F$89:$F$649,'Schedule 4'!$I$89:$I$649,'Well Cal.'!G$3,'Schedule 4'!$J$89:$J$649,'Well Cal.'!$E211)</f>
        <v>0</v>
      </c>
      <c r="H211" s="727">
        <f>SUMIFS('Schedule 4'!$F$89:$F$649,'Schedule 4'!$I$89:$I$649,'Well Cal.'!H$3,'Schedule 4'!$J$89:$J$649,'Well Cal.'!$E211)</f>
        <v>0</v>
      </c>
      <c r="I211" s="727">
        <f>SUMIFS('Schedule 4'!$F$89:$F$649,'Schedule 4'!$I$89:$I$649,'Well Cal.'!I$3,'Schedule 4'!$J$89:$J$649,'Well Cal.'!$E211)</f>
        <v>0</v>
      </c>
      <c r="J211" s="727">
        <f>SUMIFS('Schedule 4'!$F$89:$F$649,'Schedule 4'!$I$89:$I$649,'Well Cal.'!J$3,'Schedule 4'!$J$89:$J$649,'Well Cal.'!$E211)</f>
        <v>0</v>
      </c>
      <c r="K211" s="727">
        <f>SUMIFS('Schedule 4'!$F$89:$F$649,'Schedule 4'!$I$89:$I$649,'Well Cal.'!K$3,'Schedule 4'!$J$89:$J$649,'Well Cal.'!$E211)</f>
        <v>0</v>
      </c>
      <c r="L211" s="727">
        <f>SUMIFS('Schedule 4'!$F$89:$F$649,'Schedule 4'!$I$89:$I$649,'Well Cal.'!L$3,'Schedule 4'!$J$89:$J$649,'Well Cal.'!$E211)</f>
        <v>0</v>
      </c>
      <c r="M211" s="727">
        <f>SUMIFS('Schedule 4'!$F$89:$F$649,'Schedule 4'!$I$89:$I$649,'Well Cal.'!M$3,'Schedule 4'!$J$89:$J$649,'Well Cal.'!$E211)</f>
        <v>0</v>
      </c>
      <c r="N211" s="727">
        <f>SUMIFS('Schedule 4'!$F$89:$F$649,'Schedule 4'!$I$89:$I$649,'Well Cal.'!N$3,'Schedule 4'!$J$89:$J$649,'Well Cal.'!$E211)</f>
        <v>0</v>
      </c>
      <c r="O211" s="727">
        <f>SUMIFS('Schedule 4'!$F$89:$F$649,'Schedule 4'!$I$89:$I$649,'Well Cal.'!O$3,'Schedule 4'!$J$89:$J$649,'Well Cal.'!$E211)</f>
        <v>0</v>
      </c>
      <c r="P211" s="727">
        <f>SUMIFS('Schedule 4'!$F$89:$F$649,'Schedule 4'!$I$89:$I$649,'Well Cal.'!P$3,'Schedule 4'!$J$89:$J$649,'Well Cal.'!$E211)</f>
        <v>0</v>
      </c>
      <c r="Q211" s="727">
        <f>SUMIFS('Schedule 4'!$F$89:$F$649,'Schedule 4'!$I$89:$I$649,'Well Cal.'!Q$3,'Schedule 4'!$J$89:$J$649,'Well Cal.'!$E211)</f>
        <v>0</v>
      </c>
      <c r="R211" s="727">
        <f>SUMIFS('Schedule 4'!$F$89:$F$649,'Schedule 4'!$I$89:$I$649,'Well Cal.'!R$3,'Schedule 4'!$J$89:$J$649,'Well Cal.'!$E211)</f>
        <v>0</v>
      </c>
      <c r="S211" s="727">
        <f>SUMIFS('Schedule 4'!$F$89:$F$649,'Schedule 4'!$I$89:$I$649,'Well Cal.'!S$3,'Schedule 4'!$J$89:$J$649,'Well Cal.'!$E211)</f>
        <v>0</v>
      </c>
      <c r="T211" s="727">
        <f>SUMIFS('Schedule 4'!$F$89:$F$649,'Schedule 4'!$I$89:$I$649,'Well Cal.'!T$3,'Schedule 4'!$J$89:$J$649,'Well Cal.'!$E211)</f>
        <v>0</v>
      </c>
      <c r="U211" s="727">
        <f>SUMIFS('Schedule 4'!$F$89:$F$649,'Schedule 4'!$I$89:$I$649,'Well Cal.'!U$3,'Schedule 4'!$J$89:$J$649,'Well Cal.'!$E211)</f>
        <v>2.5</v>
      </c>
      <c r="V211" s="727">
        <f>SUMIFS('Schedule 4'!$F$89:$F$649,'Schedule 4'!$I$89:$I$649,'Well Cal.'!V$3,'Schedule 4'!$J$89:$J$649,'Well Cal.'!$E211)</f>
        <v>0</v>
      </c>
      <c r="W211" s="727">
        <f>SUMIFS('Schedule 4'!$F$89:$F$649,'Schedule 4'!$I$89:$I$649,'Well Cal.'!W$3,'Schedule 4'!$J$89:$J$649,'Well Cal.'!$E211)</f>
        <v>0</v>
      </c>
      <c r="X211" s="727">
        <f>SUMIFS('Schedule 4'!$F$89:$F$649,'Schedule 4'!$I$89:$I$649,'Well Cal.'!X$3,'Schedule 4'!$J$89:$J$649,'Well Cal.'!$E211)</f>
        <v>0</v>
      </c>
      <c r="Y211" s="727">
        <f>SUMIFS('Schedule 4'!$F$89:$F$649,'Schedule 4'!$I$89:$I$649,'Well Cal.'!Y$3,'Schedule 4'!$J$89:$J$649,'Well Cal.'!$E211)</f>
        <v>0</v>
      </c>
      <c r="Z211" s="727">
        <f>SUMIFS('Schedule 4'!$F$89:$F$649,'Schedule 4'!$I$89:$I$649,'Well Cal.'!Z$3,'Schedule 4'!$J$89:$J$649,'Well Cal.'!$E211)</f>
        <v>0</v>
      </c>
      <c r="AA211" s="727"/>
      <c r="AB211" s="1730"/>
      <c r="AC211" s="1730"/>
    </row>
    <row r="212" spans="2:41" x14ac:dyDescent="0.3">
      <c r="B212" s="1724"/>
      <c r="C212" s="1727"/>
      <c r="D212" s="1721"/>
      <c r="E212" s="775" t="s">
        <v>3583</v>
      </c>
      <c r="F212" s="727">
        <f>SUMIFS('Schedule 4'!$F$89:$F$649,'Schedule 4'!$I$89:$I$649,'Well Cal.'!F$3,'Schedule 4'!$J$89:$J$649,'Well Cal.'!$E212)</f>
        <v>0</v>
      </c>
      <c r="G212" s="727">
        <f>SUMIFS('Schedule 4'!$F$89:$F$649,'Schedule 4'!$I$89:$I$649,'Well Cal.'!G$3,'Schedule 4'!$J$89:$J$649,'Well Cal.'!$E212)</f>
        <v>0</v>
      </c>
      <c r="H212" s="727">
        <f>SUMIFS('Schedule 4'!$F$89:$F$649,'Schedule 4'!$I$89:$I$649,'Well Cal.'!H$3,'Schedule 4'!$J$89:$J$649,'Well Cal.'!$E212)</f>
        <v>0</v>
      </c>
      <c r="I212" s="727">
        <f>SUMIFS('Schedule 4'!$F$89:$F$649,'Schedule 4'!$I$89:$I$649,'Well Cal.'!I$3,'Schedule 4'!$J$89:$J$649,'Well Cal.'!$E212)</f>
        <v>0</v>
      </c>
      <c r="J212" s="727">
        <f>SUMIFS('Schedule 4'!$F$89:$F$649,'Schedule 4'!$I$89:$I$649,'Well Cal.'!J$3,'Schedule 4'!$J$89:$J$649,'Well Cal.'!$E212)</f>
        <v>0</v>
      </c>
      <c r="K212" s="727">
        <f>SUMIFS('Schedule 4'!$F$89:$F$649,'Schedule 4'!$I$89:$I$649,'Well Cal.'!K$3,'Schedule 4'!$J$89:$J$649,'Well Cal.'!$E212)</f>
        <v>0</v>
      </c>
      <c r="L212" s="727">
        <f>SUMIFS('Schedule 4'!$F$89:$F$649,'Schedule 4'!$I$89:$I$649,'Well Cal.'!L$3,'Schedule 4'!$J$89:$J$649,'Well Cal.'!$E212)</f>
        <v>0</v>
      </c>
      <c r="M212" s="727">
        <f>SUMIFS('Schedule 4'!$F$89:$F$649,'Schedule 4'!$I$89:$I$649,'Well Cal.'!M$3,'Schedule 4'!$J$89:$J$649,'Well Cal.'!$E212)</f>
        <v>0</v>
      </c>
      <c r="N212" s="727">
        <f>SUMIFS('Schedule 4'!$F$89:$F$649,'Schedule 4'!$I$89:$I$649,'Well Cal.'!N$3,'Schedule 4'!$J$89:$J$649,'Well Cal.'!$E212)</f>
        <v>0</v>
      </c>
      <c r="O212" s="727">
        <f>SUMIFS('Schedule 4'!$F$89:$F$649,'Schedule 4'!$I$89:$I$649,'Well Cal.'!O$3,'Schedule 4'!$J$89:$J$649,'Well Cal.'!$E212)</f>
        <v>0</v>
      </c>
      <c r="P212" s="727">
        <f>SUMIFS('Schedule 4'!$F$89:$F$649,'Schedule 4'!$I$89:$I$649,'Well Cal.'!P$3,'Schedule 4'!$J$89:$J$649,'Well Cal.'!$E212)</f>
        <v>0</v>
      </c>
      <c r="Q212" s="727">
        <f>SUMIFS('Schedule 4'!$F$89:$F$649,'Schedule 4'!$I$89:$I$649,'Well Cal.'!Q$3,'Schedule 4'!$J$89:$J$649,'Well Cal.'!$E212)</f>
        <v>0</v>
      </c>
      <c r="R212" s="727">
        <f>SUMIFS('Schedule 4'!$F$89:$F$649,'Schedule 4'!$I$89:$I$649,'Well Cal.'!R$3,'Schedule 4'!$J$89:$J$649,'Well Cal.'!$E212)</f>
        <v>0</v>
      </c>
      <c r="S212" s="727">
        <f>SUMIFS('Schedule 4'!$F$89:$F$649,'Schedule 4'!$I$89:$I$649,'Well Cal.'!S$3,'Schedule 4'!$J$89:$J$649,'Well Cal.'!$E212)</f>
        <v>0</v>
      </c>
      <c r="T212" s="727">
        <f>SUMIFS('Schedule 4'!$F$89:$F$649,'Schedule 4'!$I$89:$I$649,'Well Cal.'!T$3,'Schedule 4'!$J$89:$J$649,'Well Cal.'!$E212)</f>
        <v>0</v>
      </c>
      <c r="U212" s="727">
        <f>SUMIFS('Schedule 4'!$F$89:$F$649,'Schedule 4'!$I$89:$I$649,'Well Cal.'!U$3,'Schedule 4'!$J$89:$J$649,'Well Cal.'!$E212)</f>
        <v>0</v>
      </c>
      <c r="V212" s="727">
        <f>SUMIFS('Schedule 4'!$F$89:$F$649,'Schedule 4'!$I$89:$I$649,'Well Cal.'!V$3,'Schedule 4'!$J$89:$J$649,'Well Cal.'!$E212)</f>
        <v>2.5</v>
      </c>
      <c r="W212" s="727">
        <f>SUMIFS('Schedule 4'!$F$89:$F$649,'Schedule 4'!$I$89:$I$649,'Well Cal.'!W$3,'Schedule 4'!$J$89:$J$649,'Well Cal.'!$E212)</f>
        <v>0</v>
      </c>
      <c r="X212" s="727">
        <f>SUMIFS('Schedule 4'!$F$89:$F$649,'Schedule 4'!$I$89:$I$649,'Well Cal.'!X$3,'Schedule 4'!$J$89:$J$649,'Well Cal.'!$E212)</f>
        <v>0</v>
      </c>
      <c r="Y212" s="727">
        <f>SUMIFS('Schedule 4'!$F$89:$F$649,'Schedule 4'!$I$89:$I$649,'Well Cal.'!Y$3,'Schedule 4'!$J$89:$J$649,'Well Cal.'!$E212)</f>
        <v>0</v>
      </c>
      <c r="Z212" s="727">
        <f>SUMIFS('Schedule 4'!$F$89:$F$649,'Schedule 4'!$I$89:$I$649,'Well Cal.'!Z$3,'Schedule 4'!$J$89:$J$649,'Well Cal.'!$E212)</f>
        <v>0</v>
      </c>
      <c r="AA212" s="727"/>
      <c r="AB212" s="1730"/>
      <c r="AC212" s="1730"/>
    </row>
    <row r="213" spans="2:41" x14ac:dyDescent="0.3">
      <c r="B213" s="1724"/>
      <c r="C213" s="1727"/>
      <c r="D213" s="1721"/>
      <c r="E213" s="775" t="s">
        <v>3657</v>
      </c>
      <c r="F213" s="727">
        <f>SUMIFS('Schedule 4'!$F$89:$F$649,'Schedule 4'!$I$89:$I$649,'Well Cal.'!F$3,'Schedule 4'!$J$89:$J$649,'Well Cal.'!$E213)</f>
        <v>0</v>
      </c>
      <c r="G213" s="727">
        <f>SUMIFS('Schedule 4'!$F$89:$F$649,'Schedule 4'!$I$89:$I$649,'Well Cal.'!G$3,'Schedule 4'!$J$89:$J$649,'Well Cal.'!$E213)</f>
        <v>0</v>
      </c>
      <c r="H213" s="727">
        <f>SUMIFS('Schedule 4'!$F$89:$F$649,'Schedule 4'!$I$89:$I$649,'Well Cal.'!H$3,'Schedule 4'!$J$89:$J$649,'Well Cal.'!$E213)</f>
        <v>0</v>
      </c>
      <c r="I213" s="727">
        <f>SUMIFS('Schedule 4'!$F$89:$F$649,'Schedule 4'!$I$89:$I$649,'Well Cal.'!I$3,'Schedule 4'!$J$89:$J$649,'Well Cal.'!$E213)</f>
        <v>0</v>
      </c>
      <c r="J213" s="727">
        <f>SUMIFS('Schedule 4'!$F$89:$F$649,'Schedule 4'!$I$89:$I$649,'Well Cal.'!J$3,'Schedule 4'!$J$89:$J$649,'Well Cal.'!$E213)</f>
        <v>0</v>
      </c>
      <c r="K213" s="727">
        <f>SUMIFS('Schedule 4'!$F$89:$F$649,'Schedule 4'!$I$89:$I$649,'Well Cal.'!K$3,'Schedule 4'!$J$89:$J$649,'Well Cal.'!$E213)</f>
        <v>0</v>
      </c>
      <c r="L213" s="727">
        <f>SUMIFS('Schedule 4'!$F$89:$F$649,'Schedule 4'!$I$89:$I$649,'Well Cal.'!L$3,'Schedule 4'!$J$89:$J$649,'Well Cal.'!$E213)</f>
        <v>0</v>
      </c>
      <c r="M213" s="727">
        <f>SUMIFS('Schedule 4'!$F$89:$F$649,'Schedule 4'!$I$89:$I$649,'Well Cal.'!M$3,'Schedule 4'!$J$89:$J$649,'Well Cal.'!$E213)</f>
        <v>0</v>
      </c>
      <c r="N213" s="727">
        <f>SUMIFS('Schedule 4'!$F$89:$F$649,'Schedule 4'!$I$89:$I$649,'Well Cal.'!N$3,'Schedule 4'!$J$89:$J$649,'Well Cal.'!$E213)</f>
        <v>0</v>
      </c>
      <c r="O213" s="727">
        <f>SUMIFS('Schedule 4'!$F$89:$F$649,'Schedule 4'!$I$89:$I$649,'Well Cal.'!O$3,'Schedule 4'!$J$89:$J$649,'Well Cal.'!$E213)</f>
        <v>0</v>
      </c>
      <c r="P213" s="727">
        <f>SUMIFS('Schedule 4'!$F$89:$F$649,'Schedule 4'!$I$89:$I$649,'Well Cal.'!P$3,'Schedule 4'!$J$89:$J$649,'Well Cal.'!$E213)</f>
        <v>0</v>
      </c>
      <c r="Q213" s="727">
        <f>SUMIFS('Schedule 4'!$F$89:$F$649,'Schedule 4'!$I$89:$I$649,'Well Cal.'!Q$3,'Schedule 4'!$J$89:$J$649,'Well Cal.'!$E213)</f>
        <v>0</v>
      </c>
      <c r="R213" s="727">
        <f>SUMIFS('Schedule 4'!$F$89:$F$649,'Schedule 4'!$I$89:$I$649,'Well Cal.'!R$3,'Schedule 4'!$J$89:$J$649,'Well Cal.'!$E213)</f>
        <v>0</v>
      </c>
      <c r="S213" s="727">
        <f>SUMIFS('Schedule 4'!$F$89:$F$649,'Schedule 4'!$I$89:$I$649,'Well Cal.'!S$3,'Schedule 4'!$J$89:$J$649,'Well Cal.'!$E213)</f>
        <v>0</v>
      </c>
      <c r="T213" s="727">
        <f>SUMIFS('Schedule 4'!$F$89:$F$649,'Schedule 4'!$I$89:$I$649,'Well Cal.'!T$3,'Schedule 4'!$J$89:$J$649,'Well Cal.'!$E213)</f>
        <v>0</v>
      </c>
      <c r="U213" s="727">
        <f>SUMIFS('Schedule 4'!$F$89:$F$649,'Schedule 4'!$I$89:$I$649,'Well Cal.'!U$3,'Schedule 4'!$J$89:$J$649,'Well Cal.'!$E213)</f>
        <v>0</v>
      </c>
      <c r="V213" s="727">
        <f>SUMIFS('Schedule 4'!$F$89:$F$649,'Schedule 4'!$I$89:$I$649,'Well Cal.'!V$3,'Schedule 4'!$J$89:$J$649,'Well Cal.'!$E213)</f>
        <v>2.5</v>
      </c>
      <c r="W213" s="727">
        <f>SUMIFS('Schedule 4'!$F$89:$F$649,'Schedule 4'!$I$89:$I$649,'Well Cal.'!W$3,'Schedule 4'!$J$89:$J$649,'Well Cal.'!$E213)</f>
        <v>0</v>
      </c>
      <c r="X213" s="727">
        <f>SUMIFS('Schedule 4'!$F$89:$F$649,'Schedule 4'!$I$89:$I$649,'Well Cal.'!X$3,'Schedule 4'!$J$89:$J$649,'Well Cal.'!$E213)</f>
        <v>0</v>
      </c>
      <c r="Y213" s="727">
        <f>SUMIFS('Schedule 4'!$F$89:$F$649,'Schedule 4'!$I$89:$I$649,'Well Cal.'!Y$3,'Schedule 4'!$J$89:$J$649,'Well Cal.'!$E213)</f>
        <v>0</v>
      </c>
      <c r="Z213" s="727">
        <f>SUMIFS('Schedule 4'!$F$89:$F$649,'Schedule 4'!$I$89:$I$649,'Well Cal.'!Z$3,'Schedule 4'!$J$89:$J$649,'Well Cal.'!$E213)</f>
        <v>0</v>
      </c>
      <c r="AA213" s="727"/>
      <c r="AB213" s="1730"/>
      <c r="AC213" s="1730"/>
    </row>
    <row r="214" spans="2:41" x14ac:dyDescent="0.3">
      <c r="B214" s="1724"/>
      <c r="C214" s="1727"/>
      <c r="D214" s="1721"/>
      <c r="E214" s="775" t="s">
        <v>3675</v>
      </c>
      <c r="F214" s="727">
        <f>SUMIFS('Schedule 4'!$F$89:$F$649,'Schedule 4'!$I$89:$I$649,'Well Cal.'!F$3,'Schedule 4'!$J$89:$J$649,'Well Cal.'!$E214)</f>
        <v>0</v>
      </c>
      <c r="G214" s="727">
        <f>SUMIFS('Schedule 4'!$F$89:$F$649,'Schedule 4'!$I$89:$I$649,'Well Cal.'!G$3,'Schedule 4'!$J$89:$J$649,'Well Cal.'!$E214)</f>
        <v>0</v>
      </c>
      <c r="H214" s="727">
        <f>SUMIFS('Schedule 4'!$F$89:$F$649,'Schedule 4'!$I$89:$I$649,'Well Cal.'!H$3,'Schedule 4'!$J$89:$J$649,'Well Cal.'!$E214)</f>
        <v>0</v>
      </c>
      <c r="I214" s="727">
        <f>SUMIFS('Schedule 4'!$F$89:$F$649,'Schedule 4'!$I$89:$I$649,'Well Cal.'!I$3,'Schedule 4'!$J$89:$J$649,'Well Cal.'!$E214)</f>
        <v>0</v>
      </c>
      <c r="J214" s="727">
        <f>SUMIFS('Schedule 4'!$F$89:$F$649,'Schedule 4'!$I$89:$I$649,'Well Cal.'!J$3,'Schedule 4'!$J$89:$J$649,'Well Cal.'!$E214)</f>
        <v>0</v>
      </c>
      <c r="K214" s="727">
        <f>SUMIFS('Schedule 4'!$F$89:$F$649,'Schedule 4'!$I$89:$I$649,'Well Cal.'!K$3,'Schedule 4'!$J$89:$J$649,'Well Cal.'!$E214)</f>
        <v>0</v>
      </c>
      <c r="L214" s="727">
        <f>SUMIFS('Schedule 4'!$F$89:$F$649,'Schedule 4'!$I$89:$I$649,'Well Cal.'!L$3,'Schedule 4'!$J$89:$J$649,'Well Cal.'!$E214)</f>
        <v>0</v>
      </c>
      <c r="M214" s="727">
        <f>SUMIFS('Schedule 4'!$F$89:$F$649,'Schedule 4'!$I$89:$I$649,'Well Cal.'!M$3,'Schedule 4'!$J$89:$J$649,'Well Cal.'!$E214)</f>
        <v>0</v>
      </c>
      <c r="N214" s="727">
        <f>SUMIFS('Schedule 4'!$F$89:$F$649,'Schedule 4'!$I$89:$I$649,'Well Cal.'!N$3,'Schedule 4'!$J$89:$J$649,'Well Cal.'!$E214)</f>
        <v>0</v>
      </c>
      <c r="O214" s="727">
        <f>SUMIFS('Schedule 4'!$F$89:$F$649,'Schedule 4'!$I$89:$I$649,'Well Cal.'!O$3,'Schedule 4'!$J$89:$J$649,'Well Cal.'!$E214)</f>
        <v>0</v>
      </c>
      <c r="P214" s="727">
        <f>SUMIFS('Schedule 4'!$F$89:$F$649,'Schedule 4'!$I$89:$I$649,'Well Cal.'!P$3,'Schedule 4'!$J$89:$J$649,'Well Cal.'!$E214)</f>
        <v>0</v>
      </c>
      <c r="Q214" s="727">
        <f>SUMIFS('Schedule 4'!$F$89:$F$649,'Schedule 4'!$I$89:$I$649,'Well Cal.'!Q$3,'Schedule 4'!$J$89:$J$649,'Well Cal.'!$E214)</f>
        <v>0</v>
      </c>
      <c r="R214" s="727">
        <f>SUMIFS('Schedule 4'!$F$89:$F$649,'Schedule 4'!$I$89:$I$649,'Well Cal.'!R$3,'Schedule 4'!$J$89:$J$649,'Well Cal.'!$E214)</f>
        <v>0</v>
      </c>
      <c r="S214" s="727">
        <f>SUMIFS('Schedule 4'!$F$89:$F$649,'Schedule 4'!$I$89:$I$649,'Well Cal.'!S$3,'Schedule 4'!$J$89:$J$649,'Well Cal.'!$E214)</f>
        <v>0</v>
      </c>
      <c r="T214" s="727">
        <f>SUMIFS('Schedule 4'!$F$89:$F$649,'Schedule 4'!$I$89:$I$649,'Well Cal.'!T$3,'Schedule 4'!$J$89:$J$649,'Well Cal.'!$E214)</f>
        <v>0</v>
      </c>
      <c r="U214" s="727">
        <f>SUMIFS('Schedule 4'!$F$89:$F$649,'Schedule 4'!$I$89:$I$649,'Well Cal.'!U$3,'Schedule 4'!$J$89:$J$649,'Well Cal.'!$E214)</f>
        <v>0</v>
      </c>
      <c r="V214" s="727">
        <f>SUMIFS('Schedule 4'!$F$89:$F$649,'Schedule 4'!$I$89:$I$649,'Well Cal.'!V$3,'Schedule 4'!$J$89:$J$649,'Well Cal.'!$E214)</f>
        <v>2.5</v>
      </c>
      <c r="W214" s="727">
        <f>SUMIFS('Schedule 4'!$F$89:$F$649,'Schedule 4'!$I$89:$I$649,'Well Cal.'!W$3,'Schedule 4'!$J$89:$J$649,'Well Cal.'!$E214)</f>
        <v>0</v>
      </c>
      <c r="X214" s="727">
        <f>SUMIFS('Schedule 4'!$F$89:$F$649,'Schedule 4'!$I$89:$I$649,'Well Cal.'!X$3,'Schedule 4'!$J$89:$J$649,'Well Cal.'!$E214)</f>
        <v>0</v>
      </c>
      <c r="Y214" s="727">
        <f>SUMIFS('Schedule 4'!$F$89:$F$649,'Schedule 4'!$I$89:$I$649,'Well Cal.'!Y$3,'Schedule 4'!$J$89:$J$649,'Well Cal.'!$E214)</f>
        <v>0</v>
      </c>
      <c r="Z214" s="727">
        <f>SUMIFS('Schedule 4'!$F$89:$F$649,'Schedule 4'!$I$89:$I$649,'Well Cal.'!Z$3,'Schedule 4'!$J$89:$J$649,'Well Cal.'!$E214)</f>
        <v>0</v>
      </c>
      <c r="AA214" s="727"/>
      <c r="AB214" s="1731"/>
      <c r="AC214" s="1731"/>
    </row>
    <row r="215" spans="2:41" x14ac:dyDescent="0.3">
      <c r="B215" s="1724"/>
      <c r="C215" s="1727"/>
      <c r="D215" s="1721"/>
      <c r="E215" s="775" t="s">
        <v>3800</v>
      </c>
      <c r="F215" s="727">
        <f>SUMIFS('Schedule 4'!$F$89:$F$649,'Schedule 4'!$I$89:$I$649,'Well Cal.'!F$3,'Schedule 4'!$J$89:$J$649,'Well Cal.'!$E215)</f>
        <v>0</v>
      </c>
      <c r="G215" s="727">
        <f>SUMIFS('Schedule 4'!$F$89:$F$649,'Schedule 4'!$I$89:$I$649,'Well Cal.'!G$3,'Schedule 4'!$J$89:$J$649,'Well Cal.'!$E215)</f>
        <v>0</v>
      </c>
      <c r="H215" s="727">
        <f>SUMIFS('Schedule 4'!$F$89:$F$649,'Schedule 4'!$I$89:$I$649,'Well Cal.'!H$3,'Schedule 4'!$J$89:$J$649,'Well Cal.'!$E215)</f>
        <v>0</v>
      </c>
      <c r="I215" s="727">
        <f>SUMIFS('Schedule 4'!$F$89:$F$649,'Schedule 4'!$I$89:$I$649,'Well Cal.'!I$3,'Schedule 4'!$J$89:$J$649,'Well Cal.'!$E215)</f>
        <v>0</v>
      </c>
      <c r="J215" s="727">
        <f>SUMIFS('Schedule 4'!$F$89:$F$649,'Schedule 4'!$I$89:$I$649,'Well Cal.'!J$3,'Schedule 4'!$J$89:$J$649,'Well Cal.'!$E215)</f>
        <v>0</v>
      </c>
      <c r="K215" s="727">
        <f>SUMIFS('Schedule 4'!$F$89:$F$649,'Schedule 4'!$I$89:$I$649,'Well Cal.'!K$3,'Schedule 4'!$J$89:$J$649,'Well Cal.'!$E215)</f>
        <v>0</v>
      </c>
      <c r="L215" s="727">
        <f>SUMIFS('Schedule 4'!$F$89:$F$649,'Schedule 4'!$I$89:$I$649,'Well Cal.'!L$3,'Schedule 4'!$J$89:$J$649,'Well Cal.'!$E215)</f>
        <v>0</v>
      </c>
      <c r="M215" s="727">
        <f>SUMIFS('Schedule 4'!$F$89:$F$649,'Schedule 4'!$I$89:$I$649,'Well Cal.'!M$3,'Schedule 4'!$J$89:$J$649,'Well Cal.'!$E215)</f>
        <v>0</v>
      </c>
      <c r="N215" s="727">
        <f>SUMIFS('Schedule 4'!$F$89:$F$649,'Schedule 4'!$I$89:$I$649,'Well Cal.'!N$3,'Schedule 4'!$J$89:$J$649,'Well Cal.'!$E215)</f>
        <v>0</v>
      </c>
      <c r="O215" s="727">
        <f>SUMIFS('Schedule 4'!$F$89:$F$649,'Schedule 4'!$I$89:$I$649,'Well Cal.'!O$3,'Schedule 4'!$J$89:$J$649,'Well Cal.'!$E215)</f>
        <v>0</v>
      </c>
      <c r="P215" s="727">
        <f>SUMIFS('Schedule 4'!$F$89:$F$649,'Schedule 4'!$I$89:$I$649,'Well Cal.'!P$3,'Schedule 4'!$J$89:$J$649,'Well Cal.'!$E215)</f>
        <v>0</v>
      </c>
      <c r="Q215" s="727">
        <f>SUMIFS('Schedule 4'!$F$89:$F$649,'Schedule 4'!$I$89:$I$649,'Well Cal.'!Q$3,'Schedule 4'!$J$89:$J$649,'Well Cal.'!$E215)</f>
        <v>0</v>
      </c>
      <c r="R215" s="727">
        <f>SUMIFS('Schedule 4'!$F$89:$F$649,'Schedule 4'!$I$89:$I$649,'Well Cal.'!R$3,'Schedule 4'!$J$89:$J$649,'Well Cal.'!$E215)</f>
        <v>0</v>
      </c>
      <c r="S215" s="727">
        <f>SUMIFS('Schedule 4'!$F$89:$F$649,'Schedule 4'!$I$89:$I$649,'Well Cal.'!S$3,'Schedule 4'!$J$89:$J$649,'Well Cal.'!$E215)</f>
        <v>0</v>
      </c>
      <c r="T215" s="727">
        <f>SUMIFS('Schedule 4'!$F$89:$F$649,'Schedule 4'!$I$89:$I$649,'Well Cal.'!T$3,'Schedule 4'!$J$89:$J$649,'Well Cal.'!$E215)</f>
        <v>0</v>
      </c>
      <c r="U215" s="727">
        <f>SUMIFS('Schedule 4'!$F$89:$F$649,'Schedule 4'!$I$89:$I$649,'Well Cal.'!U$3,'Schedule 4'!$J$89:$J$649,'Well Cal.'!$E215)</f>
        <v>0</v>
      </c>
      <c r="V215" s="727">
        <f>SUMIFS('Schedule 4'!$F$89:$F$649,'Schedule 4'!$I$89:$I$649,'Well Cal.'!V$3,'Schedule 4'!$J$89:$J$649,'Well Cal.'!$E215)</f>
        <v>2.5</v>
      </c>
      <c r="W215" s="727">
        <f>SUMIFS('Schedule 4'!$F$89:$F$649,'Schedule 4'!$I$89:$I$649,'Well Cal.'!W$3,'Schedule 4'!$J$89:$J$649,'Well Cal.'!$E215)</f>
        <v>0</v>
      </c>
      <c r="X215" s="727">
        <f>SUMIFS('Schedule 4'!$F$89:$F$649,'Schedule 4'!$I$89:$I$649,'Well Cal.'!X$3,'Schedule 4'!$J$89:$J$649,'Well Cal.'!$E215)</f>
        <v>0</v>
      </c>
      <c r="Y215" s="727">
        <f>SUMIFS('Schedule 4'!$F$89:$F$649,'Schedule 4'!$I$89:$I$649,'Well Cal.'!Y$3,'Schedule 4'!$J$89:$J$649,'Well Cal.'!$E215)</f>
        <v>0</v>
      </c>
      <c r="Z215" s="727">
        <f>SUMIFS('Schedule 4'!$F$89:$F$649,'Schedule 4'!$I$89:$I$649,'Well Cal.'!Z$3,'Schedule 4'!$J$89:$J$649,'Well Cal.'!$E215)</f>
        <v>0</v>
      </c>
      <c r="AA215" s="727"/>
      <c r="AB215" s="1731"/>
      <c r="AC215" s="1731"/>
    </row>
    <row r="216" spans="2:41" x14ac:dyDescent="0.3">
      <c r="B216" s="1724"/>
      <c r="C216" s="1727"/>
      <c r="D216" s="1721"/>
      <c r="E216" s="775" t="s">
        <v>3870</v>
      </c>
      <c r="F216" s="727">
        <f>SUMIFS('Schedule 4'!$F$89:$F$649,'Schedule 4'!$I$89:$I$649,'Well Cal.'!F$3,'Schedule 4'!$J$89:$J$649,'Well Cal.'!$E216)</f>
        <v>0</v>
      </c>
      <c r="G216" s="727">
        <f>SUMIFS('Schedule 4'!$F$89:$F$649,'Schedule 4'!$I$89:$I$649,'Well Cal.'!G$3,'Schedule 4'!$J$89:$J$649,'Well Cal.'!$E216)</f>
        <v>0</v>
      </c>
      <c r="H216" s="727">
        <f>SUMIFS('Schedule 4'!$F$89:$F$649,'Schedule 4'!$I$89:$I$649,'Well Cal.'!H$3,'Schedule 4'!$J$89:$J$649,'Well Cal.'!$E216)</f>
        <v>0</v>
      </c>
      <c r="I216" s="727">
        <f>SUMIFS('Schedule 4'!$F$89:$F$649,'Schedule 4'!$I$89:$I$649,'Well Cal.'!I$3,'Schedule 4'!$J$89:$J$649,'Well Cal.'!$E216)</f>
        <v>0</v>
      </c>
      <c r="J216" s="727">
        <f>SUMIFS('Schedule 4'!$F$89:$F$649,'Schedule 4'!$I$89:$I$649,'Well Cal.'!J$3,'Schedule 4'!$J$89:$J$649,'Well Cal.'!$E216)</f>
        <v>0</v>
      </c>
      <c r="K216" s="727">
        <f>SUMIFS('Schedule 4'!$F$89:$F$649,'Schedule 4'!$I$89:$I$649,'Well Cal.'!K$3,'Schedule 4'!$J$89:$J$649,'Well Cal.'!$E216)</f>
        <v>0</v>
      </c>
      <c r="L216" s="727">
        <f>SUMIFS('Schedule 4'!$F$89:$F$649,'Schedule 4'!$I$89:$I$649,'Well Cal.'!L$3,'Schedule 4'!$J$89:$J$649,'Well Cal.'!$E216)</f>
        <v>0</v>
      </c>
      <c r="M216" s="727">
        <f>SUMIFS('Schedule 4'!$F$89:$F$649,'Schedule 4'!$I$89:$I$649,'Well Cal.'!M$3,'Schedule 4'!$J$89:$J$649,'Well Cal.'!$E216)</f>
        <v>0</v>
      </c>
      <c r="N216" s="727">
        <f>SUMIFS('Schedule 4'!$F$89:$F$649,'Schedule 4'!$I$89:$I$649,'Well Cal.'!N$3,'Schedule 4'!$J$89:$J$649,'Well Cal.'!$E216)</f>
        <v>0</v>
      </c>
      <c r="O216" s="727">
        <f>SUMIFS('Schedule 4'!$F$89:$F$649,'Schedule 4'!$I$89:$I$649,'Well Cal.'!O$3,'Schedule 4'!$J$89:$J$649,'Well Cal.'!$E216)</f>
        <v>0</v>
      </c>
      <c r="P216" s="727">
        <f>SUMIFS('Schedule 4'!$F$89:$F$649,'Schedule 4'!$I$89:$I$649,'Well Cal.'!P$3,'Schedule 4'!$J$89:$J$649,'Well Cal.'!$E216)</f>
        <v>0</v>
      </c>
      <c r="Q216" s="727">
        <f>SUMIFS('Schedule 4'!$F$89:$F$649,'Schedule 4'!$I$89:$I$649,'Well Cal.'!Q$3,'Schedule 4'!$J$89:$J$649,'Well Cal.'!$E216)</f>
        <v>0</v>
      </c>
      <c r="R216" s="727">
        <f>SUMIFS('Schedule 4'!$F$89:$F$649,'Schedule 4'!$I$89:$I$649,'Well Cal.'!R$3,'Schedule 4'!$J$89:$J$649,'Well Cal.'!$E216)</f>
        <v>0</v>
      </c>
      <c r="S216" s="727">
        <f>SUMIFS('Schedule 4'!$F$89:$F$649,'Schedule 4'!$I$89:$I$649,'Well Cal.'!S$3,'Schedule 4'!$J$89:$J$649,'Well Cal.'!$E216)</f>
        <v>0</v>
      </c>
      <c r="T216" s="727">
        <f>SUMIFS('Schedule 4'!$F$89:$F$649,'Schedule 4'!$I$89:$I$649,'Well Cal.'!T$3,'Schedule 4'!$J$89:$J$649,'Well Cal.'!$E216)</f>
        <v>0</v>
      </c>
      <c r="U216" s="727">
        <f>SUMIFS('Schedule 4'!$F$89:$F$649,'Schedule 4'!$I$89:$I$649,'Well Cal.'!U$3,'Schedule 4'!$J$89:$J$649,'Well Cal.'!$E216)</f>
        <v>0</v>
      </c>
      <c r="V216" s="727">
        <f>SUMIFS('Schedule 4'!$F$89:$F$649,'Schedule 4'!$I$89:$I$649,'Well Cal.'!V$3,'Schedule 4'!$J$89:$J$649,'Well Cal.'!$E216)</f>
        <v>0</v>
      </c>
      <c r="W216" s="727">
        <f>SUMIFS('Schedule 4'!$F$89:$F$649,'Schedule 4'!$I$89:$I$649,'Well Cal.'!W$3,'Schedule 4'!$J$89:$J$649,'Well Cal.'!$E216)</f>
        <v>2.5</v>
      </c>
      <c r="X216" s="727">
        <f>SUMIFS('Schedule 4'!$F$89:$F$649,'Schedule 4'!$I$89:$I$649,'Well Cal.'!X$3,'Schedule 4'!$J$89:$J$649,'Well Cal.'!$E216)</f>
        <v>0</v>
      </c>
      <c r="Y216" s="727">
        <f>SUMIFS('Schedule 4'!$F$89:$F$649,'Schedule 4'!$I$89:$I$649,'Well Cal.'!Y$3,'Schedule 4'!$J$89:$J$649,'Well Cal.'!$E216)</f>
        <v>0</v>
      </c>
      <c r="Z216" s="727">
        <f>SUMIFS('Schedule 4'!$F$89:$F$649,'Schedule 4'!$I$89:$I$649,'Well Cal.'!Z$3,'Schedule 4'!$J$89:$J$649,'Well Cal.'!$E216)</f>
        <v>0</v>
      </c>
      <c r="AA216" s="727"/>
      <c r="AB216" s="1731"/>
      <c r="AC216" s="1731"/>
    </row>
    <row r="217" spans="2:41" x14ac:dyDescent="0.3">
      <c r="B217" s="1724"/>
      <c r="C217" s="1727"/>
      <c r="D217" s="1721"/>
      <c r="E217" s="775" t="s">
        <v>3938</v>
      </c>
      <c r="F217" s="727">
        <f>SUMIFS('Schedule 4'!$F$89:$F$649,'Schedule 4'!$I$89:$I$649,'Well Cal.'!F$3,'Schedule 4'!$J$89:$J$649,'Well Cal.'!$E217)</f>
        <v>0</v>
      </c>
      <c r="G217" s="727">
        <f>SUMIFS('Schedule 4'!$F$89:$F$649,'Schedule 4'!$I$89:$I$649,'Well Cal.'!G$3,'Schedule 4'!$J$89:$J$649,'Well Cal.'!$E217)</f>
        <v>0</v>
      </c>
      <c r="H217" s="727">
        <f>SUMIFS('Schedule 4'!$F$89:$F$649,'Schedule 4'!$I$89:$I$649,'Well Cal.'!H$3,'Schedule 4'!$J$89:$J$649,'Well Cal.'!$E217)</f>
        <v>0</v>
      </c>
      <c r="I217" s="727">
        <f>SUMIFS('Schedule 4'!$F$89:$F$649,'Schedule 4'!$I$89:$I$649,'Well Cal.'!I$3,'Schedule 4'!$J$89:$J$649,'Well Cal.'!$E217)</f>
        <v>0</v>
      </c>
      <c r="J217" s="727">
        <f>SUMIFS('Schedule 4'!$F$89:$F$649,'Schedule 4'!$I$89:$I$649,'Well Cal.'!J$3,'Schedule 4'!$J$89:$J$649,'Well Cal.'!$E217)</f>
        <v>0</v>
      </c>
      <c r="K217" s="727">
        <f>SUMIFS('Schedule 4'!$F$89:$F$649,'Schedule 4'!$I$89:$I$649,'Well Cal.'!K$3,'Schedule 4'!$J$89:$J$649,'Well Cal.'!$E217)</f>
        <v>0</v>
      </c>
      <c r="L217" s="727">
        <f>SUMIFS('Schedule 4'!$F$89:$F$649,'Schedule 4'!$I$89:$I$649,'Well Cal.'!L$3,'Schedule 4'!$J$89:$J$649,'Well Cal.'!$E217)</f>
        <v>0</v>
      </c>
      <c r="M217" s="727">
        <f>SUMIFS('Schedule 4'!$F$89:$F$649,'Schedule 4'!$I$89:$I$649,'Well Cal.'!M$3,'Schedule 4'!$J$89:$J$649,'Well Cal.'!$E217)</f>
        <v>0</v>
      </c>
      <c r="N217" s="727">
        <f>SUMIFS('Schedule 4'!$F$89:$F$649,'Schedule 4'!$I$89:$I$649,'Well Cal.'!N$3,'Schedule 4'!$J$89:$J$649,'Well Cal.'!$E217)</f>
        <v>0</v>
      </c>
      <c r="O217" s="727">
        <f>SUMIFS('Schedule 4'!$F$89:$F$649,'Schedule 4'!$I$89:$I$649,'Well Cal.'!O$3,'Schedule 4'!$J$89:$J$649,'Well Cal.'!$E217)</f>
        <v>0</v>
      </c>
      <c r="P217" s="727">
        <f>SUMIFS('Schedule 4'!$F$89:$F$649,'Schedule 4'!$I$89:$I$649,'Well Cal.'!P$3,'Schedule 4'!$J$89:$J$649,'Well Cal.'!$E217)</f>
        <v>0</v>
      </c>
      <c r="Q217" s="727">
        <f>SUMIFS('Schedule 4'!$F$89:$F$649,'Schedule 4'!$I$89:$I$649,'Well Cal.'!Q$3,'Schedule 4'!$J$89:$J$649,'Well Cal.'!$E217)</f>
        <v>0</v>
      </c>
      <c r="R217" s="727">
        <f>SUMIFS('Schedule 4'!$F$89:$F$649,'Schedule 4'!$I$89:$I$649,'Well Cal.'!R$3,'Schedule 4'!$J$89:$J$649,'Well Cal.'!$E217)</f>
        <v>0</v>
      </c>
      <c r="S217" s="727">
        <f>SUMIFS('Schedule 4'!$F$89:$F$649,'Schedule 4'!$I$89:$I$649,'Well Cal.'!S$3,'Schedule 4'!$J$89:$J$649,'Well Cal.'!$E217)</f>
        <v>0</v>
      </c>
      <c r="T217" s="727">
        <f>SUMIFS('Schedule 4'!$F$89:$F$649,'Schedule 4'!$I$89:$I$649,'Well Cal.'!T$3,'Schedule 4'!$J$89:$J$649,'Well Cal.'!$E217)</f>
        <v>0</v>
      </c>
      <c r="U217" s="727">
        <f>SUMIFS('Schedule 4'!$F$89:$F$649,'Schedule 4'!$I$89:$I$649,'Well Cal.'!U$3,'Schedule 4'!$J$89:$J$649,'Well Cal.'!$E217)</f>
        <v>0</v>
      </c>
      <c r="V217" s="727">
        <f>SUMIFS('Schedule 4'!$F$89:$F$649,'Schedule 4'!$I$89:$I$649,'Well Cal.'!V$3,'Schedule 4'!$J$89:$J$649,'Well Cal.'!$E217)</f>
        <v>0</v>
      </c>
      <c r="W217" s="727">
        <f>SUMIFS('Schedule 4'!$F$89:$F$649,'Schedule 4'!$I$89:$I$649,'Well Cal.'!W$3,'Schedule 4'!$J$89:$J$649,'Well Cal.'!$E217)</f>
        <v>2.5</v>
      </c>
      <c r="X217" s="727">
        <f>SUMIFS('Schedule 4'!$F$89:$F$649,'Schedule 4'!$I$89:$I$649,'Well Cal.'!X$3,'Schedule 4'!$J$89:$J$649,'Well Cal.'!$E217)</f>
        <v>0</v>
      </c>
      <c r="Y217" s="727">
        <f>SUMIFS('Schedule 4'!$F$89:$F$649,'Schedule 4'!$I$89:$I$649,'Well Cal.'!Y$3,'Schedule 4'!$J$89:$J$649,'Well Cal.'!$E217)</f>
        <v>0</v>
      </c>
      <c r="Z217" s="727">
        <f>SUMIFS('Schedule 4'!$F$89:$F$649,'Schedule 4'!$I$89:$I$649,'Well Cal.'!Z$3,'Schedule 4'!$J$89:$J$649,'Well Cal.'!$E217)</f>
        <v>0</v>
      </c>
      <c r="AA217" s="727"/>
      <c r="AB217" s="1731"/>
      <c r="AC217" s="1731"/>
    </row>
    <row r="218" spans="2:41" x14ac:dyDescent="0.3">
      <c r="B218" s="1724"/>
      <c r="C218" s="1727"/>
      <c r="D218" s="1721"/>
      <c r="E218" s="775" t="s">
        <v>4008</v>
      </c>
      <c r="F218" s="727">
        <f>SUMIFS('Schedule 4'!$F$89:$F$649,'Schedule 4'!$I$89:$I$649,'Well Cal.'!F$3,'Schedule 4'!$J$89:$J$649,'Well Cal.'!$E218)</f>
        <v>0</v>
      </c>
      <c r="G218" s="727">
        <f>SUMIFS('Schedule 4'!$F$89:$F$649,'Schedule 4'!$I$89:$I$649,'Well Cal.'!G$3,'Schedule 4'!$J$89:$J$649,'Well Cal.'!$E218)</f>
        <v>0</v>
      </c>
      <c r="H218" s="727">
        <f>SUMIFS('Schedule 4'!$F$89:$F$649,'Schedule 4'!$I$89:$I$649,'Well Cal.'!H$3,'Schedule 4'!$J$89:$J$649,'Well Cal.'!$E218)</f>
        <v>0</v>
      </c>
      <c r="I218" s="727">
        <f>SUMIFS('Schedule 4'!$F$89:$F$649,'Schedule 4'!$I$89:$I$649,'Well Cal.'!I$3,'Schedule 4'!$J$89:$J$649,'Well Cal.'!$E218)</f>
        <v>0</v>
      </c>
      <c r="J218" s="727">
        <f>SUMIFS('Schedule 4'!$F$89:$F$649,'Schedule 4'!$I$89:$I$649,'Well Cal.'!J$3,'Schedule 4'!$J$89:$J$649,'Well Cal.'!$E218)</f>
        <v>0</v>
      </c>
      <c r="K218" s="727">
        <f>SUMIFS('Schedule 4'!$F$89:$F$649,'Schedule 4'!$I$89:$I$649,'Well Cal.'!K$3,'Schedule 4'!$J$89:$J$649,'Well Cal.'!$E218)</f>
        <v>0</v>
      </c>
      <c r="L218" s="727">
        <f>SUMIFS('Schedule 4'!$F$89:$F$649,'Schedule 4'!$I$89:$I$649,'Well Cal.'!L$3,'Schedule 4'!$J$89:$J$649,'Well Cal.'!$E218)</f>
        <v>0</v>
      </c>
      <c r="M218" s="727">
        <f>SUMIFS('Schedule 4'!$F$89:$F$649,'Schedule 4'!$I$89:$I$649,'Well Cal.'!M$3,'Schedule 4'!$J$89:$J$649,'Well Cal.'!$E218)</f>
        <v>0</v>
      </c>
      <c r="N218" s="727">
        <f>SUMIFS('Schedule 4'!$F$89:$F$649,'Schedule 4'!$I$89:$I$649,'Well Cal.'!N$3,'Schedule 4'!$J$89:$J$649,'Well Cal.'!$E218)</f>
        <v>0</v>
      </c>
      <c r="O218" s="727">
        <f>SUMIFS('Schedule 4'!$F$89:$F$649,'Schedule 4'!$I$89:$I$649,'Well Cal.'!O$3,'Schedule 4'!$J$89:$J$649,'Well Cal.'!$E218)</f>
        <v>0</v>
      </c>
      <c r="P218" s="727">
        <f>SUMIFS('Schedule 4'!$F$89:$F$649,'Schedule 4'!$I$89:$I$649,'Well Cal.'!P$3,'Schedule 4'!$J$89:$J$649,'Well Cal.'!$E218)</f>
        <v>0</v>
      </c>
      <c r="Q218" s="727">
        <f>SUMIFS('Schedule 4'!$F$89:$F$649,'Schedule 4'!$I$89:$I$649,'Well Cal.'!Q$3,'Schedule 4'!$J$89:$J$649,'Well Cal.'!$E218)</f>
        <v>0</v>
      </c>
      <c r="R218" s="727">
        <f>SUMIFS('Schedule 4'!$F$89:$F$649,'Schedule 4'!$I$89:$I$649,'Well Cal.'!R$3,'Schedule 4'!$J$89:$J$649,'Well Cal.'!$E218)</f>
        <v>0</v>
      </c>
      <c r="S218" s="727">
        <f>SUMIFS('Schedule 4'!$F$89:$F$649,'Schedule 4'!$I$89:$I$649,'Well Cal.'!S$3,'Schedule 4'!$J$89:$J$649,'Well Cal.'!$E218)</f>
        <v>0</v>
      </c>
      <c r="T218" s="727">
        <f>SUMIFS('Schedule 4'!$F$89:$F$649,'Schedule 4'!$I$89:$I$649,'Well Cal.'!T$3,'Schedule 4'!$J$89:$J$649,'Well Cal.'!$E218)</f>
        <v>0</v>
      </c>
      <c r="U218" s="727">
        <f>SUMIFS('Schedule 4'!$F$89:$F$649,'Schedule 4'!$I$89:$I$649,'Well Cal.'!U$3,'Schedule 4'!$J$89:$J$649,'Well Cal.'!$E218)</f>
        <v>0</v>
      </c>
      <c r="V218" s="727">
        <f>SUMIFS('Schedule 4'!$F$89:$F$649,'Schedule 4'!$I$89:$I$649,'Well Cal.'!V$3,'Schedule 4'!$J$89:$J$649,'Well Cal.'!$E218)</f>
        <v>0</v>
      </c>
      <c r="W218" s="727">
        <f>SUMIFS('Schedule 4'!$F$89:$F$649,'Schedule 4'!$I$89:$I$649,'Well Cal.'!W$3,'Schedule 4'!$J$89:$J$649,'Well Cal.'!$E218)</f>
        <v>2.7</v>
      </c>
      <c r="X218" s="727">
        <f>SUMIFS('Schedule 4'!$F$89:$F$649,'Schedule 4'!$I$89:$I$649,'Well Cal.'!X$3,'Schedule 4'!$J$89:$J$649,'Well Cal.'!$E218)</f>
        <v>0</v>
      </c>
      <c r="Y218" s="727">
        <f>SUMIFS('Schedule 4'!$F$89:$F$649,'Schedule 4'!$I$89:$I$649,'Well Cal.'!Y$3,'Schedule 4'!$J$89:$J$649,'Well Cal.'!$E218)</f>
        <v>0</v>
      </c>
      <c r="Z218" s="727">
        <f>SUMIFS('Schedule 4'!$F$89:$F$649,'Schedule 4'!$I$89:$I$649,'Well Cal.'!Z$3,'Schedule 4'!$J$89:$J$649,'Well Cal.'!$E218)</f>
        <v>0</v>
      </c>
      <c r="AA218" s="727"/>
      <c r="AB218" s="1731"/>
      <c r="AC218" s="1731"/>
    </row>
    <row r="219" spans="2:41" x14ac:dyDescent="0.3">
      <c r="B219" s="1724"/>
      <c r="C219" s="1727"/>
      <c r="D219" s="1721"/>
      <c r="E219" s="775" t="s">
        <v>4075</v>
      </c>
      <c r="F219" s="727">
        <f>SUMIFS('Schedule 4'!$F$89:$F$649,'Schedule 4'!$I$89:$I$649,'Well Cal.'!F$3,'Schedule 4'!$J$89:$J$649,'Well Cal.'!$E219)</f>
        <v>0</v>
      </c>
      <c r="G219" s="727">
        <f>SUMIFS('Schedule 4'!$F$89:$F$649,'Schedule 4'!$I$89:$I$649,'Well Cal.'!G$3,'Schedule 4'!$J$89:$J$649,'Well Cal.'!$E219)</f>
        <v>0</v>
      </c>
      <c r="H219" s="727">
        <f>SUMIFS('Schedule 4'!$F$89:$F$649,'Schedule 4'!$I$89:$I$649,'Well Cal.'!H$3,'Schedule 4'!$J$89:$J$649,'Well Cal.'!$E219)</f>
        <v>0</v>
      </c>
      <c r="I219" s="727">
        <f>SUMIFS('Schedule 4'!$F$89:$F$649,'Schedule 4'!$I$89:$I$649,'Well Cal.'!I$3,'Schedule 4'!$J$89:$J$649,'Well Cal.'!$E219)</f>
        <v>0</v>
      </c>
      <c r="J219" s="727">
        <f>SUMIFS('Schedule 4'!$F$89:$F$649,'Schedule 4'!$I$89:$I$649,'Well Cal.'!J$3,'Schedule 4'!$J$89:$J$649,'Well Cal.'!$E219)</f>
        <v>0</v>
      </c>
      <c r="K219" s="727">
        <f>SUMIFS('Schedule 4'!$F$89:$F$649,'Schedule 4'!$I$89:$I$649,'Well Cal.'!K$3,'Schedule 4'!$J$89:$J$649,'Well Cal.'!$E219)</f>
        <v>0</v>
      </c>
      <c r="L219" s="727">
        <f>SUMIFS('Schedule 4'!$F$89:$F$649,'Schedule 4'!$I$89:$I$649,'Well Cal.'!L$3,'Schedule 4'!$J$89:$J$649,'Well Cal.'!$E219)</f>
        <v>0</v>
      </c>
      <c r="M219" s="727">
        <f>SUMIFS('Schedule 4'!$F$89:$F$649,'Schedule 4'!$I$89:$I$649,'Well Cal.'!M$3,'Schedule 4'!$J$89:$J$649,'Well Cal.'!$E219)</f>
        <v>0</v>
      </c>
      <c r="N219" s="727">
        <f>SUMIFS('Schedule 4'!$F$89:$F$649,'Schedule 4'!$I$89:$I$649,'Well Cal.'!N$3,'Schedule 4'!$J$89:$J$649,'Well Cal.'!$E219)</f>
        <v>0</v>
      </c>
      <c r="O219" s="727">
        <f>SUMIFS('Schedule 4'!$F$89:$F$649,'Schedule 4'!$I$89:$I$649,'Well Cal.'!O$3,'Schedule 4'!$J$89:$J$649,'Well Cal.'!$E219)</f>
        <v>0</v>
      </c>
      <c r="P219" s="727">
        <f>SUMIFS('Schedule 4'!$F$89:$F$649,'Schedule 4'!$I$89:$I$649,'Well Cal.'!P$3,'Schedule 4'!$J$89:$J$649,'Well Cal.'!$E219)</f>
        <v>0</v>
      </c>
      <c r="Q219" s="727">
        <f>SUMIFS('Schedule 4'!$F$89:$F$649,'Schedule 4'!$I$89:$I$649,'Well Cal.'!Q$3,'Schedule 4'!$J$89:$J$649,'Well Cal.'!$E219)</f>
        <v>0</v>
      </c>
      <c r="R219" s="727">
        <f>SUMIFS('Schedule 4'!$F$89:$F$649,'Schedule 4'!$I$89:$I$649,'Well Cal.'!R$3,'Schedule 4'!$J$89:$J$649,'Well Cal.'!$E219)</f>
        <v>0</v>
      </c>
      <c r="S219" s="727">
        <f>SUMIFS('Schedule 4'!$F$89:$F$649,'Schedule 4'!$I$89:$I$649,'Well Cal.'!S$3,'Schedule 4'!$J$89:$J$649,'Well Cal.'!$E219)</f>
        <v>0</v>
      </c>
      <c r="T219" s="727">
        <f>SUMIFS('Schedule 4'!$F$89:$F$649,'Schedule 4'!$I$89:$I$649,'Well Cal.'!T$3,'Schedule 4'!$J$89:$J$649,'Well Cal.'!$E219)</f>
        <v>0</v>
      </c>
      <c r="U219" s="727">
        <f>SUMIFS('Schedule 4'!$F$89:$F$649,'Schedule 4'!$I$89:$I$649,'Well Cal.'!U$3,'Schedule 4'!$J$89:$J$649,'Well Cal.'!$E219)</f>
        <v>0</v>
      </c>
      <c r="V219" s="727">
        <f>SUMIFS('Schedule 4'!$F$89:$F$649,'Schedule 4'!$I$89:$I$649,'Well Cal.'!V$3,'Schedule 4'!$J$89:$J$649,'Well Cal.'!$E219)</f>
        <v>0</v>
      </c>
      <c r="W219" s="727">
        <f>SUMIFS('Schedule 4'!$F$89:$F$649,'Schedule 4'!$I$89:$I$649,'Well Cal.'!W$3,'Schedule 4'!$J$89:$J$649,'Well Cal.'!$E219)</f>
        <v>2.5</v>
      </c>
      <c r="X219" s="727">
        <f>SUMIFS('Schedule 4'!$F$89:$F$649,'Schedule 4'!$I$89:$I$649,'Well Cal.'!X$3,'Schedule 4'!$J$89:$J$649,'Well Cal.'!$E219)</f>
        <v>0</v>
      </c>
      <c r="Y219" s="727">
        <f>SUMIFS('Schedule 4'!$F$89:$F$649,'Schedule 4'!$I$89:$I$649,'Well Cal.'!Y$3,'Schedule 4'!$J$89:$J$649,'Well Cal.'!$E219)</f>
        <v>0</v>
      </c>
      <c r="Z219" s="727">
        <f>SUMIFS('Schedule 4'!$F$89:$F$649,'Schedule 4'!$I$89:$I$649,'Well Cal.'!Z$3,'Schedule 4'!$J$89:$J$649,'Well Cal.'!$E219)</f>
        <v>0</v>
      </c>
      <c r="AA219" s="727"/>
      <c r="AB219" s="1731"/>
      <c r="AC219" s="1731"/>
    </row>
    <row r="220" spans="2:41" x14ac:dyDescent="0.3">
      <c r="B220" s="1724"/>
      <c r="C220" s="1727"/>
      <c r="D220" s="1721"/>
      <c r="E220" s="775" t="s">
        <v>4154</v>
      </c>
      <c r="F220" s="727">
        <f>SUMIFS('Schedule 4'!$F$89:$F$649,'Schedule 4'!$I$89:$I$649,'Well Cal.'!F$3,'Schedule 4'!$J$89:$J$649,'Well Cal.'!$E220)</f>
        <v>0</v>
      </c>
      <c r="G220" s="727">
        <f>SUMIFS('Schedule 4'!$F$89:$F$649,'Schedule 4'!$I$89:$I$649,'Well Cal.'!G$3,'Schedule 4'!$J$89:$J$649,'Well Cal.'!$E220)</f>
        <v>0</v>
      </c>
      <c r="H220" s="727">
        <f>SUMIFS('Schedule 4'!$F$89:$F$649,'Schedule 4'!$I$89:$I$649,'Well Cal.'!H$3,'Schedule 4'!$J$89:$J$649,'Well Cal.'!$E220)</f>
        <v>0</v>
      </c>
      <c r="I220" s="727">
        <f>SUMIFS('Schedule 4'!$F$89:$F$649,'Schedule 4'!$I$89:$I$649,'Well Cal.'!I$3,'Schedule 4'!$J$89:$J$649,'Well Cal.'!$E220)</f>
        <v>0</v>
      </c>
      <c r="J220" s="727">
        <f>SUMIFS('Schedule 4'!$F$89:$F$649,'Schedule 4'!$I$89:$I$649,'Well Cal.'!J$3,'Schedule 4'!$J$89:$J$649,'Well Cal.'!$E220)</f>
        <v>0</v>
      </c>
      <c r="K220" s="727">
        <f>SUMIFS('Schedule 4'!$F$89:$F$649,'Schedule 4'!$I$89:$I$649,'Well Cal.'!K$3,'Schedule 4'!$J$89:$J$649,'Well Cal.'!$E220)</f>
        <v>0</v>
      </c>
      <c r="L220" s="727">
        <f>SUMIFS('Schedule 4'!$F$89:$F$649,'Schedule 4'!$I$89:$I$649,'Well Cal.'!L$3,'Schedule 4'!$J$89:$J$649,'Well Cal.'!$E220)</f>
        <v>0</v>
      </c>
      <c r="M220" s="727">
        <f>SUMIFS('Schedule 4'!$F$89:$F$649,'Schedule 4'!$I$89:$I$649,'Well Cal.'!M$3,'Schedule 4'!$J$89:$J$649,'Well Cal.'!$E220)</f>
        <v>0</v>
      </c>
      <c r="N220" s="727">
        <f>SUMIFS('Schedule 4'!$F$89:$F$649,'Schedule 4'!$I$89:$I$649,'Well Cal.'!N$3,'Schedule 4'!$J$89:$J$649,'Well Cal.'!$E220)</f>
        <v>0</v>
      </c>
      <c r="O220" s="727">
        <f>SUMIFS('Schedule 4'!$F$89:$F$649,'Schedule 4'!$I$89:$I$649,'Well Cal.'!O$3,'Schedule 4'!$J$89:$J$649,'Well Cal.'!$E220)</f>
        <v>0</v>
      </c>
      <c r="P220" s="727">
        <f>SUMIFS('Schedule 4'!$F$89:$F$649,'Schedule 4'!$I$89:$I$649,'Well Cal.'!P$3,'Schedule 4'!$J$89:$J$649,'Well Cal.'!$E220)</f>
        <v>0</v>
      </c>
      <c r="Q220" s="727">
        <f>SUMIFS('Schedule 4'!$F$89:$F$649,'Schedule 4'!$I$89:$I$649,'Well Cal.'!Q$3,'Schedule 4'!$J$89:$J$649,'Well Cal.'!$E220)</f>
        <v>0</v>
      </c>
      <c r="R220" s="727">
        <f>SUMIFS('Schedule 4'!$F$89:$F$649,'Schedule 4'!$I$89:$I$649,'Well Cal.'!R$3,'Schedule 4'!$J$89:$J$649,'Well Cal.'!$E220)</f>
        <v>0</v>
      </c>
      <c r="S220" s="727">
        <f>SUMIFS('Schedule 4'!$F$89:$F$649,'Schedule 4'!$I$89:$I$649,'Well Cal.'!S$3,'Schedule 4'!$J$89:$J$649,'Well Cal.'!$E220)</f>
        <v>0</v>
      </c>
      <c r="T220" s="727">
        <f>SUMIFS('Schedule 4'!$F$89:$F$649,'Schedule 4'!$I$89:$I$649,'Well Cal.'!T$3,'Schedule 4'!$J$89:$J$649,'Well Cal.'!$E220)</f>
        <v>0</v>
      </c>
      <c r="U220" s="727">
        <f>SUMIFS('Schedule 4'!$F$89:$F$649,'Schedule 4'!$I$89:$I$649,'Well Cal.'!U$3,'Schedule 4'!$J$89:$J$649,'Well Cal.'!$E220)</f>
        <v>0</v>
      </c>
      <c r="V220" s="727">
        <f>SUMIFS('Schedule 4'!$F$89:$F$649,'Schedule 4'!$I$89:$I$649,'Well Cal.'!V$3,'Schedule 4'!$J$89:$J$649,'Well Cal.'!$E220)</f>
        <v>0</v>
      </c>
      <c r="W220" s="727">
        <f>SUMIFS('Schedule 4'!$F$89:$F$649,'Schedule 4'!$I$89:$I$649,'Well Cal.'!W$3,'Schedule 4'!$J$89:$J$649,'Well Cal.'!$E220)</f>
        <v>0</v>
      </c>
      <c r="X220" s="727">
        <f>SUMIFS('Schedule 4'!$F$89:$F$649,'Schedule 4'!$I$89:$I$649,'Well Cal.'!X$3,'Schedule 4'!$J$89:$J$649,'Well Cal.'!$E220)</f>
        <v>2.5</v>
      </c>
      <c r="Y220" s="727">
        <f>SUMIFS('Schedule 4'!$F$89:$F$649,'Schedule 4'!$I$89:$I$649,'Well Cal.'!Y$3,'Schedule 4'!$J$89:$J$649,'Well Cal.'!$E220)</f>
        <v>0</v>
      </c>
      <c r="Z220" s="727">
        <f>SUMIFS('Schedule 4'!$F$89:$F$649,'Schedule 4'!$I$89:$I$649,'Well Cal.'!Z$3,'Schedule 4'!$J$89:$J$649,'Well Cal.'!$E220)</f>
        <v>0</v>
      </c>
      <c r="AA220" s="727"/>
      <c r="AB220" s="1731"/>
      <c r="AC220" s="1731"/>
    </row>
    <row r="221" spans="2:41" x14ac:dyDescent="0.3">
      <c r="B221" s="1724"/>
      <c r="C221" s="1727"/>
      <c r="D221" s="1721"/>
      <c r="E221" s="775" t="s">
        <v>4229</v>
      </c>
      <c r="F221" s="727">
        <f>SUMIFS('Schedule 4'!$F$89:$F$649,'Schedule 4'!$I$89:$I$649,'Well Cal.'!F$3,'Schedule 4'!$J$89:$J$649,'Well Cal.'!$E221)</f>
        <v>0</v>
      </c>
      <c r="G221" s="727">
        <f>SUMIFS('Schedule 4'!$F$89:$F$649,'Schedule 4'!$I$89:$I$649,'Well Cal.'!G$3,'Schedule 4'!$J$89:$J$649,'Well Cal.'!$E221)</f>
        <v>0</v>
      </c>
      <c r="H221" s="727">
        <f>SUMIFS('Schedule 4'!$F$89:$F$649,'Schedule 4'!$I$89:$I$649,'Well Cal.'!H$3,'Schedule 4'!$J$89:$J$649,'Well Cal.'!$E221)</f>
        <v>0</v>
      </c>
      <c r="I221" s="727">
        <f>SUMIFS('Schedule 4'!$F$89:$F$649,'Schedule 4'!$I$89:$I$649,'Well Cal.'!I$3,'Schedule 4'!$J$89:$J$649,'Well Cal.'!$E221)</f>
        <v>0</v>
      </c>
      <c r="J221" s="727">
        <f>SUMIFS('Schedule 4'!$F$89:$F$649,'Schedule 4'!$I$89:$I$649,'Well Cal.'!J$3,'Schedule 4'!$J$89:$J$649,'Well Cal.'!$E221)</f>
        <v>0</v>
      </c>
      <c r="K221" s="727">
        <f>SUMIFS('Schedule 4'!$F$89:$F$649,'Schedule 4'!$I$89:$I$649,'Well Cal.'!K$3,'Schedule 4'!$J$89:$J$649,'Well Cal.'!$E221)</f>
        <v>0</v>
      </c>
      <c r="L221" s="727">
        <f>SUMIFS('Schedule 4'!$F$89:$F$649,'Schedule 4'!$I$89:$I$649,'Well Cal.'!L$3,'Schedule 4'!$J$89:$J$649,'Well Cal.'!$E221)</f>
        <v>0</v>
      </c>
      <c r="M221" s="727">
        <f>SUMIFS('Schedule 4'!$F$89:$F$649,'Schedule 4'!$I$89:$I$649,'Well Cal.'!M$3,'Schedule 4'!$J$89:$J$649,'Well Cal.'!$E221)</f>
        <v>0</v>
      </c>
      <c r="N221" s="727">
        <f>SUMIFS('Schedule 4'!$F$89:$F$649,'Schedule 4'!$I$89:$I$649,'Well Cal.'!N$3,'Schedule 4'!$J$89:$J$649,'Well Cal.'!$E221)</f>
        <v>0</v>
      </c>
      <c r="O221" s="727">
        <f>SUMIFS('Schedule 4'!$F$89:$F$649,'Schedule 4'!$I$89:$I$649,'Well Cal.'!O$3,'Schedule 4'!$J$89:$J$649,'Well Cal.'!$E221)</f>
        <v>0</v>
      </c>
      <c r="P221" s="727">
        <f>SUMIFS('Schedule 4'!$F$89:$F$649,'Schedule 4'!$I$89:$I$649,'Well Cal.'!P$3,'Schedule 4'!$J$89:$J$649,'Well Cal.'!$E221)</f>
        <v>0</v>
      </c>
      <c r="Q221" s="727">
        <f>SUMIFS('Schedule 4'!$F$89:$F$649,'Schedule 4'!$I$89:$I$649,'Well Cal.'!Q$3,'Schedule 4'!$J$89:$J$649,'Well Cal.'!$E221)</f>
        <v>0</v>
      </c>
      <c r="R221" s="727">
        <f>SUMIFS('Schedule 4'!$F$89:$F$649,'Schedule 4'!$I$89:$I$649,'Well Cal.'!R$3,'Schedule 4'!$J$89:$J$649,'Well Cal.'!$E221)</f>
        <v>0</v>
      </c>
      <c r="S221" s="727">
        <f>SUMIFS('Schedule 4'!$F$89:$F$649,'Schedule 4'!$I$89:$I$649,'Well Cal.'!S$3,'Schedule 4'!$J$89:$J$649,'Well Cal.'!$E221)</f>
        <v>0</v>
      </c>
      <c r="T221" s="727">
        <f>SUMIFS('Schedule 4'!$F$89:$F$649,'Schedule 4'!$I$89:$I$649,'Well Cal.'!T$3,'Schedule 4'!$J$89:$J$649,'Well Cal.'!$E221)</f>
        <v>0</v>
      </c>
      <c r="U221" s="727">
        <f>SUMIFS('Schedule 4'!$F$89:$F$649,'Schedule 4'!$I$89:$I$649,'Well Cal.'!U$3,'Schedule 4'!$J$89:$J$649,'Well Cal.'!$E221)</f>
        <v>0</v>
      </c>
      <c r="V221" s="727">
        <f>SUMIFS('Schedule 4'!$F$89:$F$649,'Schedule 4'!$I$89:$I$649,'Well Cal.'!V$3,'Schedule 4'!$J$89:$J$649,'Well Cal.'!$E221)</f>
        <v>0</v>
      </c>
      <c r="W221" s="727">
        <f>SUMIFS('Schedule 4'!$F$89:$F$649,'Schedule 4'!$I$89:$I$649,'Well Cal.'!W$3,'Schedule 4'!$J$89:$J$649,'Well Cal.'!$E221)</f>
        <v>0</v>
      </c>
      <c r="X221" s="727">
        <f>SUMIFS('Schedule 4'!$F$89:$F$649,'Schedule 4'!$I$89:$I$649,'Well Cal.'!X$3,'Schedule 4'!$J$89:$J$649,'Well Cal.'!$E221)</f>
        <v>0</v>
      </c>
      <c r="Y221" s="727">
        <f>SUMIFS('Schedule 4'!$F$89:$F$649,'Schedule 4'!$I$89:$I$649,'Well Cal.'!Y$3,'Schedule 4'!$J$89:$J$649,'Well Cal.'!$E221)</f>
        <v>2.5</v>
      </c>
      <c r="Z221" s="727">
        <f>SUMIFS('Schedule 4'!$F$89:$F$649,'Schedule 4'!$I$89:$I$649,'Well Cal.'!Z$3,'Schedule 4'!$J$89:$J$649,'Well Cal.'!$E221)</f>
        <v>0</v>
      </c>
      <c r="AA221" s="727"/>
      <c r="AB221" s="1731"/>
      <c r="AC221" s="1731"/>
    </row>
    <row r="222" spans="2:41" x14ac:dyDescent="0.3">
      <c r="B222" s="1725"/>
      <c r="C222" s="1728"/>
      <c r="D222" s="1722"/>
      <c r="E222" s="776"/>
      <c r="F222" s="777"/>
      <c r="G222" s="777"/>
      <c r="H222" s="777"/>
      <c r="I222" s="777"/>
      <c r="J222" s="777"/>
      <c r="K222" s="777"/>
      <c r="L222" s="777"/>
      <c r="M222" s="777"/>
      <c r="N222" s="777"/>
      <c r="O222" s="777"/>
      <c r="P222" s="777"/>
      <c r="Q222" s="777"/>
      <c r="R222" s="777"/>
      <c r="S222" s="777"/>
      <c r="T222" s="777"/>
      <c r="U222" s="777"/>
      <c r="V222" s="777"/>
      <c r="W222" s="777"/>
      <c r="X222" s="777"/>
      <c r="Y222" s="777"/>
      <c r="Z222" s="777"/>
      <c r="AA222" s="777"/>
      <c r="AB222" s="1732"/>
      <c r="AC222" s="1732"/>
    </row>
    <row r="223" spans="2:41" s="481" customFormat="1" x14ac:dyDescent="0.3">
      <c r="B223" s="1707" t="s">
        <v>1905</v>
      </c>
      <c r="C223" s="1710"/>
      <c r="D223" s="1713">
        <f>SUMIFS('Schedule 4'!$F$89:$F$649,'Schedule 4'!$K$89:$K$649,'Well Cal.'!$B223)</f>
        <v>9.9850000000000012</v>
      </c>
      <c r="E223" s="1097" t="s">
        <v>3168</v>
      </c>
      <c r="F223" s="1098">
        <f>SUMIFS('Schedule 4'!$F$89:$F$649,'Schedule 4'!$I$89:$I$649,'Well Cal.'!F$3,'Schedule 4'!$J$89:$J$649,'Well Cal.'!$E223)</f>
        <v>0</v>
      </c>
      <c r="G223" s="1098">
        <f>SUMIFS('Schedule 4'!$F$89:$F$649,'Schedule 4'!$I$89:$I$649,'Well Cal.'!G$3,'Schedule 4'!$J$89:$J$649,'Well Cal.'!$E223)</f>
        <v>0</v>
      </c>
      <c r="H223" s="1098">
        <f>SUMIFS('Schedule 4'!$F$89:$F$649,'Schedule 4'!$I$89:$I$649,'Well Cal.'!H$3,'Schedule 4'!$J$89:$J$649,'Well Cal.'!$E223)</f>
        <v>0</v>
      </c>
      <c r="I223" s="1098">
        <f>SUMIFS('Schedule 4'!$F$89:$F$649,'Schedule 4'!$I$89:$I$649,'Well Cal.'!I$3,'Schedule 4'!$J$89:$J$649,'Well Cal.'!$E223)</f>
        <v>4.32</v>
      </c>
      <c r="J223" s="1098">
        <f>SUMIFS('Schedule 4'!$F$89:$F$649,'Schedule 4'!$I$89:$I$649,'Well Cal.'!J$3,'Schedule 4'!$J$89:$J$649,'Well Cal.'!$E223)</f>
        <v>0</v>
      </c>
      <c r="K223" s="1098">
        <f>SUMIFS('Schedule 4'!$F$89:$F$649,'Schedule 4'!$I$89:$I$649,'Well Cal.'!K$3,'Schedule 4'!$J$89:$J$649,'Well Cal.'!$E223)</f>
        <v>0</v>
      </c>
      <c r="L223" s="1098">
        <f>SUMIFS('Schedule 4'!$F$89:$F$649,'Schedule 4'!$I$89:$I$649,'Well Cal.'!L$3,'Schedule 4'!$J$89:$J$649,'Well Cal.'!$E223)</f>
        <v>0</v>
      </c>
      <c r="M223" s="1098">
        <f>SUMIFS('Schedule 4'!$F$89:$F$649,'Schedule 4'!$I$89:$I$649,'Well Cal.'!M$3,'Schedule 4'!$J$89:$J$649,'Well Cal.'!$E223)</f>
        <v>0</v>
      </c>
      <c r="N223" s="1098">
        <f>SUMIFS('Schedule 4'!$F$89:$F$649,'Schedule 4'!$I$89:$I$649,'Well Cal.'!N$3,'Schedule 4'!$J$89:$J$649,'Well Cal.'!$E223)</f>
        <v>0</v>
      </c>
      <c r="O223" s="1098">
        <f>SUMIFS('Schedule 4'!$F$89:$F$649,'Schedule 4'!$I$89:$I$649,'Well Cal.'!O$3,'Schedule 4'!$J$89:$J$649,'Well Cal.'!$E223)</f>
        <v>0</v>
      </c>
      <c r="P223" s="1098">
        <f>SUMIFS('Schedule 4'!$F$89:$F$649,'Schedule 4'!$I$89:$I$649,'Well Cal.'!P$3,'Schedule 4'!$J$89:$J$649,'Well Cal.'!$E223)</f>
        <v>0</v>
      </c>
      <c r="Q223" s="1098">
        <f>SUMIFS('Schedule 4'!$F$89:$F$649,'Schedule 4'!$I$89:$I$649,'Well Cal.'!Q$3,'Schedule 4'!$J$89:$J$649,'Well Cal.'!$E223)</f>
        <v>0</v>
      </c>
      <c r="R223" s="1098">
        <f>SUMIFS('Schedule 4'!$F$89:$F$649,'Schedule 4'!$I$89:$I$649,'Well Cal.'!R$3,'Schedule 4'!$J$89:$J$649,'Well Cal.'!$E223)</f>
        <v>0</v>
      </c>
      <c r="S223" s="1098">
        <f>SUMIFS('Schedule 4'!$F$89:$F$649,'Schedule 4'!$I$89:$I$649,'Well Cal.'!S$3,'Schedule 4'!$J$89:$J$649,'Well Cal.'!$E223)</f>
        <v>0</v>
      </c>
      <c r="T223" s="1107">
        <f>SUMIFS('Schedule 4'!$F$89:$F$649,'Schedule 4'!$I$89:$I$649,'Well Cal.'!T$3,'Schedule 4'!$J$89:$J$649,'Well Cal.'!$E223)</f>
        <v>-2.5</v>
      </c>
      <c r="U223" s="1107">
        <f>SUMIFS('Schedule 4'!$F$89:$F$649,'Schedule 4'!$I$89:$I$649,'Well Cal.'!U$3,'Schedule 4'!$J$89:$J$649,'Well Cal.'!$E223)</f>
        <v>0</v>
      </c>
      <c r="V223" s="1107">
        <f>SUMIFS('Schedule 4'!$F$89:$F$649,'Schedule 4'!$I$89:$I$649,'Well Cal.'!V$3,'Schedule 4'!$J$89:$J$649,'Well Cal.'!$E223)</f>
        <v>0</v>
      </c>
      <c r="W223" s="1107">
        <f>SUMIFS('Schedule 4'!$F$89:$F$649,'Schedule 4'!$I$89:$I$649,'Well Cal.'!W$3,'Schedule 4'!$J$89:$J$649,'Well Cal.'!$E223)</f>
        <v>0</v>
      </c>
      <c r="X223" s="1107">
        <f>SUMIFS('Schedule 4'!$F$89:$F$649,'Schedule 4'!$I$89:$I$649,'Well Cal.'!X$3,'Schedule 4'!$J$89:$J$649,'Well Cal.'!$E223)</f>
        <v>0</v>
      </c>
      <c r="Y223" s="1107">
        <f>SUMIFS('Schedule 4'!$F$89:$F$649,'Schedule 4'!$I$89:$I$649,'Well Cal.'!Y$3,'Schedule 4'!$J$89:$J$649,'Well Cal.'!$E223)</f>
        <v>0</v>
      </c>
      <c r="Z223" s="1107">
        <f>SUMIFS('Schedule 4'!$F$89:$F$649,'Schedule 4'!$I$89:$I$649,'Well Cal.'!Z$3,'Schedule 4'!$J$89:$J$649,'Well Cal.'!$E223)</f>
        <v>0</v>
      </c>
      <c r="AA223" s="1107"/>
      <c r="AB223" s="1716">
        <f>SUM(F223:AA231)</f>
        <v>7.9850000000000012</v>
      </c>
      <c r="AC223" s="1716">
        <f>D223-AB223</f>
        <v>2</v>
      </c>
      <c r="AE223" s="132"/>
      <c r="AF223" s="62"/>
      <c r="AG223" s="62"/>
      <c r="AH223" s="62"/>
      <c r="AI223" s="1099"/>
      <c r="AJ223" s="1099"/>
      <c r="AK223" s="1099"/>
      <c r="AL223" s="1099"/>
      <c r="AN223" s="1099"/>
      <c r="AO223" s="1099"/>
    </row>
    <row r="224" spans="2:41" s="481" customFormat="1" x14ac:dyDescent="0.3">
      <c r="B224" s="1708"/>
      <c r="C224" s="1711"/>
      <c r="D224" s="1714"/>
      <c r="E224" s="1100" t="s">
        <v>3241</v>
      </c>
      <c r="F224" s="1101">
        <f>SUMIFS('Schedule 4'!$F$89:$F$649,'Schedule 4'!$I$89:$I$649,'Well Cal.'!F$3,'Schedule 4'!$J$89:$J$649,'Well Cal.'!$E224)</f>
        <v>0</v>
      </c>
      <c r="G224" s="1101">
        <f>SUMIFS('Schedule 4'!$F$89:$F$649,'Schedule 4'!$I$89:$I$649,'Well Cal.'!G$3,'Schedule 4'!$J$89:$J$649,'Well Cal.'!$E224)</f>
        <v>0</v>
      </c>
      <c r="H224" s="1101">
        <f>SUMIFS('Schedule 4'!$F$89:$F$649,'Schedule 4'!$I$89:$I$649,'Well Cal.'!H$3,'Schedule 4'!$J$89:$J$649,'Well Cal.'!$E224)</f>
        <v>0</v>
      </c>
      <c r="I224" s="1101">
        <f>SUMIFS('Schedule 4'!$F$89:$F$649,'Schedule 4'!$I$89:$I$649,'Well Cal.'!I$3,'Schedule 4'!$J$89:$J$649,'Well Cal.'!$E224)</f>
        <v>2.65</v>
      </c>
      <c r="J224" s="1101">
        <f>SUMIFS('Schedule 4'!$F$89:$F$649,'Schedule 4'!$I$89:$I$649,'Well Cal.'!J$3,'Schedule 4'!$J$89:$J$649,'Well Cal.'!$E224)</f>
        <v>0</v>
      </c>
      <c r="K224" s="1101">
        <f>SUMIFS('Schedule 4'!$F$89:$F$649,'Schedule 4'!$I$89:$I$649,'Well Cal.'!K$3,'Schedule 4'!$J$89:$J$649,'Well Cal.'!$E224)</f>
        <v>0</v>
      </c>
      <c r="L224" s="1101">
        <f>SUMIFS('Schedule 4'!$F$89:$F$649,'Schedule 4'!$I$89:$I$649,'Well Cal.'!L$3,'Schedule 4'!$J$89:$J$649,'Well Cal.'!$E224)</f>
        <v>0</v>
      </c>
      <c r="M224" s="1101">
        <f>SUMIFS('Schedule 4'!$F$89:$F$649,'Schedule 4'!$I$89:$I$649,'Well Cal.'!M$3,'Schedule 4'!$J$89:$J$649,'Well Cal.'!$E224)</f>
        <v>0</v>
      </c>
      <c r="N224" s="1101">
        <f>SUMIFS('Schedule 4'!$F$89:$F$649,'Schedule 4'!$I$89:$I$649,'Well Cal.'!N$3,'Schedule 4'!$J$89:$J$649,'Well Cal.'!$E224)</f>
        <v>0</v>
      </c>
      <c r="O224" s="1101">
        <f>SUMIFS('Schedule 4'!$F$89:$F$649,'Schedule 4'!$I$89:$I$649,'Well Cal.'!O$3,'Schedule 4'!$J$89:$J$649,'Well Cal.'!$E224)</f>
        <v>0</v>
      </c>
      <c r="P224" s="1101">
        <f>SUMIFS('Schedule 4'!$F$89:$F$649,'Schedule 4'!$I$89:$I$649,'Well Cal.'!P$3,'Schedule 4'!$J$89:$J$649,'Well Cal.'!$E224)</f>
        <v>0</v>
      </c>
      <c r="Q224" s="1101">
        <f>SUMIFS('Schedule 4'!$F$89:$F$649,'Schedule 4'!$I$89:$I$649,'Well Cal.'!Q$3,'Schedule 4'!$J$89:$J$649,'Well Cal.'!$E224)</f>
        <v>0</v>
      </c>
      <c r="R224" s="1101">
        <f>SUMIFS('Schedule 4'!$F$89:$F$649,'Schedule 4'!$I$89:$I$649,'Well Cal.'!R$3,'Schedule 4'!$J$89:$J$649,'Well Cal.'!$E224)</f>
        <v>0</v>
      </c>
      <c r="S224" s="1101">
        <f>SUMIFS('Schedule 4'!$F$89:$F$649,'Schedule 4'!$I$89:$I$649,'Well Cal.'!S$3,'Schedule 4'!$J$89:$J$649,'Well Cal.'!$E224)</f>
        <v>0</v>
      </c>
      <c r="T224" s="1107">
        <f>SUMIFS('Schedule 4'!$F$89:$F$649,'Schedule 4'!$I$89:$I$649,'Well Cal.'!T$3,'Schedule 4'!$J$89:$J$649,'Well Cal.'!$E224)</f>
        <v>-2.5</v>
      </c>
      <c r="U224" s="1107">
        <f>SUMIFS('Schedule 4'!$F$89:$F$649,'Schedule 4'!$I$89:$I$649,'Well Cal.'!U$3,'Schedule 4'!$J$89:$J$649,'Well Cal.'!$E224)</f>
        <v>0</v>
      </c>
      <c r="V224" s="1107">
        <f>SUMIFS('Schedule 4'!$F$89:$F$649,'Schedule 4'!$I$89:$I$649,'Well Cal.'!V$3,'Schedule 4'!$J$89:$J$649,'Well Cal.'!$E224)</f>
        <v>0</v>
      </c>
      <c r="W224" s="1107">
        <f>SUMIFS('Schedule 4'!$F$89:$F$649,'Schedule 4'!$I$89:$I$649,'Well Cal.'!W$3,'Schedule 4'!$J$89:$J$649,'Well Cal.'!$E224)</f>
        <v>0</v>
      </c>
      <c r="X224" s="1107">
        <f>SUMIFS('Schedule 4'!$F$89:$F$649,'Schedule 4'!$I$89:$I$649,'Well Cal.'!X$3,'Schedule 4'!$J$89:$J$649,'Well Cal.'!$E224)</f>
        <v>0</v>
      </c>
      <c r="Y224" s="1107">
        <f>SUMIFS('Schedule 4'!$F$89:$F$649,'Schedule 4'!$I$89:$I$649,'Well Cal.'!Y$3,'Schedule 4'!$J$89:$J$649,'Well Cal.'!$E224)</f>
        <v>0</v>
      </c>
      <c r="Z224" s="1107">
        <f>SUMIFS('Schedule 4'!$F$89:$F$649,'Schedule 4'!$I$89:$I$649,'Well Cal.'!Z$3,'Schedule 4'!$J$89:$J$649,'Well Cal.'!$E224)</f>
        <v>0</v>
      </c>
      <c r="AA224" s="1107"/>
      <c r="AB224" s="1717"/>
      <c r="AC224" s="1717"/>
      <c r="AF224" s="1099"/>
      <c r="AG224" s="1099"/>
      <c r="AH224" s="1099"/>
      <c r="AI224" s="1099"/>
      <c r="AJ224" s="1099"/>
      <c r="AK224" s="1099"/>
      <c r="AL224" s="1099"/>
      <c r="AN224" s="1099"/>
      <c r="AO224" s="1099"/>
    </row>
    <row r="225" spans="2:41" s="481" customFormat="1" x14ac:dyDescent="0.3">
      <c r="B225" s="1708"/>
      <c r="C225" s="1711"/>
      <c r="D225" s="1714"/>
      <c r="E225" s="1100" t="s">
        <v>3329</v>
      </c>
      <c r="F225" s="1101">
        <f>SUMIFS('Schedule 4'!$F$89:$F$649,'Schedule 4'!$I$89:$I$649,'Well Cal.'!F$3,'Schedule 4'!$J$89:$J$649,'Well Cal.'!$E225)</f>
        <v>0</v>
      </c>
      <c r="G225" s="1101">
        <f>SUMIFS('Schedule 4'!$F$89:$F$649,'Schedule 4'!$I$89:$I$649,'Well Cal.'!G$3,'Schedule 4'!$J$89:$J$649,'Well Cal.'!$E225)</f>
        <v>0</v>
      </c>
      <c r="H225" s="1101">
        <f>SUMIFS('Schedule 4'!$F$89:$F$649,'Schedule 4'!$I$89:$I$649,'Well Cal.'!H$3,'Schedule 4'!$J$89:$J$649,'Well Cal.'!$E225)</f>
        <v>0</v>
      </c>
      <c r="I225" s="1101">
        <f>SUMIFS('Schedule 4'!$F$89:$F$649,'Schedule 4'!$I$89:$I$649,'Well Cal.'!I$3,'Schedule 4'!$J$89:$J$649,'Well Cal.'!$E225)</f>
        <v>0</v>
      </c>
      <c r="J225" s="1101">
        <f>SUMIFS('Schedule 4'!$F$89:$F$649,'Schedule 4'!$I$89:$I$649,'Well Cal.'!J$3,'Schedule 4'!$J$89:$J$649,'Well Cal.'!$E225)</f>
        <v>2.4849999999999999</v>
      </c>
      <c r="K225" s="1101">
        <f>SUMIFS('Schedule 4'!$F$89:$F$649,'Schedule 4'!$I$89:$I$649,'Well Cal.'!K$3,'Schedule 4'!$J$89:$J$649,'Well Cal.'!$E225)</f>
        <v>0</v>
      </c>
      <c r="L225" s="1101">
        <f>SUMIFS('Schedule 4'!$F$89:$F$649,'Schedule 4'!$I$89:$I$649,'Well Cal.'!L$3,'Schedule 4'!$J$89:$J$649,'Well Cal.'!$E225)</f>
        <v>0</v>
      </c>
      <c r="M225" s="1101">
        <f>SUMIFS('Schedule 4'!$F$89:$F$649,'Schedule 4'!$I$89:$I$649,'Well Cal.'!M$3,'Schedule 4'!$J$89:$J$649,'Well Cal.'!$E225)</f>
        <v>0</v>
      </c>
      <c r="N225" s="1101">
        <f>SUMIFS('Schedule 4'!$F$89:$F$649,'Schedule 4'!$I$89:$I$649,'Well Cal.'!N$3,'Schedule 4'!$J$89:$J$649,'Well Cal.'!$E225)</f>
        <v>0</v>
      </c>
      <c r="O225" s="1101">
        <f>SUMIFS('Schedule 4'!$F$89:$F$649,'Schedule 4'!$I$89:$I$649,'Well Cal.'!O$3,'Schedule 4'!$J$89:$J$649,'Well Cal.'!$E225)</f>
        <v>0</v>
      </c>
      <c r="P225" s="1101">
        <f>SUMIFS('Schedule 4'!$F$89:$F$649,'Schedule 4'!$I$89:$I$649,'Well Cal.'!P$3,'Schedule 4'!$J$89:$J$649,'Well Cal.'!$E225)</f>
        <v>0</v>
      </c>
      <c r="Q225" s="1101">
        <f>SUMIFS('Schedule 4'!$F$89:$F$649,'Schedule 4'!$I$89:$I$649,'Well Cal.'!Q$3,'Schedule 4'!$J$89:$J$649,'Well Cal.'!$E225)</f>
        <v>0</v>
      </c>
      <c r="R225" s="1101">
        <f>SUMIFS('Schedule 4'!$F$89:$F$649,'Schedule 4'!$I$89:$I$649,'Well Cal.'!R$3,'Schedule 4'!$J$89:$J$649,'Well Cal.'!$E225)</f>
        <v>0</v>
      </c>
      <c r="S225" s="1101">
        <f>SUMIFS('Schedule 4'!$F$89:$F$649,'Schedule 4'!$I$89:$I$649,'Well Cal.'!S$3,'Schedule 4'!$J$89:$J$649,'Well Cal.'!$E225)</f>
        <v>0</v>
      </c>
      <c r="T225" s="1107">
        <f>SUMIFS('Schedule 4'!$F$89:$F$649,'Schedule 4'!$I$89:$I$649,'Well Cal.'!T$3,'Schedule 4'!$J$89:$J$649,'Well Cal.'!$E225)</f>
        <v>-1</v>
      </c>
      <c r="U225" s="1107">
        <f>SUMIFS('Schedule 4'!$F$89:$F$649,'Schedule 4'!$I$89:$I$649,'Well Cal.'!U$3,'Schedule 4'!$J$89:$J$649,'Well Cal.'!$E225)</f>
        <v>0</v>
      </c>
      <c r="V225" s="1107">
        <f>SUMIFS('Schedule 4'!$F$89:$F$649,'Schedule 4'!$I$89:$I$649,'Well Cal.'!V$3,'Schedule 4'!$J$89:$J$649,'Well Cal.'!$E225)</f>
        <v>0</v>
      </c>
      <c r="W225" s="1107">
        <f>SUMIFS('Schedule 4'!$F$89:$F$649,'Schedule 4'!$I$89:$I$649,'Well Cal.'!W$3,'Schedule 4'!$J$89:$J$649,'Well Cal.'!$E225)</f>
        <v>0</v>
      </c>
      <c r="X225" s="1107">
        <f>SUMIFS('Schedule 4'!$F$89:$F$649,'Schedule 4'!$I$89:$I$649,'Well Cal.'!X$3,'Schedule 4'!$J$89:$J$649,'Well Cal.'!$E225)</f>
        <v>0</v>
      </c>
      <c r="Y225" s="1107">
        <f>SUMIFS('Schedule 4'!$F$89:$F$649,'Schedule 4'!$I$89:$I$649,'Well Cal.'!Y$3,'Schedule 4'!$J$89:$J$649,'Well Cal.'!$E225)</f>
        <v>0</v>
      </c>
      <c r="Z225" s="1107">
        <f>SUMIFS('Schedule 4'!$F$89:$F$649,'Schedule 4'!$I$89:$I$649,'Well Cal.'!Z$3,'Schedule 4'!$J$89:$J$649,'Well Cal.'!$E225)</f>
        <v>0</v>
      </c>
      <c r="AA225" s="1107"/>
      <c r="AB225" s="1717"/>
      <c r="AC225" s="1717"/>
      <c r="AF225" s="1099"/>
      <c r="AG225" s="1099"/>
      <c r="AH225" s="1099"/>
      <c r="AI225" s="1099"/>
      <c r="AJ225" s="1099"/>
      <c r="AK225" s="1099"/>
      <c r="AL225" s="1099"/>
      <c r="AN225" s="1099"/>
      <c r="AO225" s="1099"/>
    </row>
    <row r="226" spans="2:41" s="481" customFormat="1" x14ac:dyDescent="0.3">
      <c r="B226" s="1708"/>
      <c r="C226" s="1711"/>
      <c r="D226" s="1714"/>
      <c r="E226" s="1102" t="s">
        <v>3400</v>
      </c>
      <c r="F226" s="1103">
        <f>SUMIFS('Schedule 4'!$F$89:$F$649,'Schedule 4'!$I$89:$I$649,'Well Cal.'!F$3,'Schedule 4'!$J$89:$J$649,'Well Cal.'!$E226)</f>
        <v>0</v>
      </c>
      <c r="G226" s="1103">
        <f>SUMIFS('Schedule 4'!$F$89:$F$649,'Schedule 4'!$I$89:$I$649,'Well Cal.'!G$3,'Schedule 4'!$J$89:$J$649,'Well Cal.'!$E226)</f>
        <v>0</v>
      </c>
      <c r="H226" s="1103">
        <f>SUMIFS('Schedule 4'!$F$89:$F$649,'Schedule 4'!$I$89:$I$649,'Well Cal.'!H$3,'Schedule 4'!$J$89:$J$649,'Well Cal.'!$E226)</f>
        <v>0</v>
      </c>
      <c r="I226" s="1103">
        <f>SUMIFS('Schedule 4'!$F$89:$F$649,'Schedule 4'!$I$89:$I$649,'Well Cal.'!I$3,'Schedule 4'!$J$89:$J$649,'Well Cal.'!$E226)</f>
        <v>0</v>
      </c>
      <c r="J226" s="1103">
        <f>SUMIFS('Schedule 4'!$F$89:$F$649,'Schedule 4'!$I$89:$I$649,'Well Cal.'!J$3,'Schedule 4'!$J$89:$J$649,'Well Cal.'!$E226)</f>
        <v>2.5</v>
      </c>
      <c r="K226" s="1103">
        <f>SUMIFS('Schedule 4'!$F$89:$F$649,'Schedule 4'!$I$89:$I$649,'Well Cal.'!K$3,'Schedule 4'!$J$89:$J$649,'Well Cal.'!$E226)</f>
        <v>0</v>
      </c>
      <c r="L226" s="1103">
        <f>SUMIFS('Schedule 4'!$F$89:$F$649,'Schedule 4'!$I$89:$I$649,'Well Cal.'!L$3,'Schedule 4'!$J$89:$J$649,'Well Cal.'!$E226)</f>
        <v>0</v>
      </c>
      <c r="M226" s="1103">
        <f>SUMIFS('Schedule 4'!$F$89:$F$649,'Schedule 4'!$I$89:$I$649,'Well Cal.'!M$3,'Schedule 4'!$J$89:$J$649,'Well Cal.'!$E226)</f>
        <v>0</v>
      </c>
      <c r="N226" s="1103">
        <f>SUMIFS('Schedule 4'!$F$89:$F$649,'Schedule 4'!$I$89:$I$649,'Well Cal.'!N$3,'Schedule 4'!$J$89:$J$649,'Well Cal.'!$E226)</f>
        <v>0</v>
      </c>
      <c r="O226" s="1103">
        <f>SUMIFS('Schedule 4'!$F$89:$F$649,'Schedule 4'!$I$89:$I$649,'Well Cal.'!O$3,'Schedule 4'!$J$89:$J$649,'Well Cal.'!$E226)</f>
        <v>0</v>
      </c>
      <c r="P226" s="1103">
        <f>SUMIFS('Schedule 4'!$F$89:$F$649,'Schedule 4'!$I$89:$I$649,'Well Cal.'!P$3,'Schedule 4'!$J$89:$J$649,'Well Cal.'!$E226)</f>
        <v>0</v>
      </c>
      <c r="Q226" s="1103">
        <f>SUMIFS('Schedule 4'!$F$89:$F$649,'Schedule 4'!$I$89:$I$649,'Well Cal.'!Q$3,'Schedule 4'!$J$89:$J$649,'Well Cal.'!$E226)</f>
        <v>0</v>
      </c>
      <c r="R226" s="1103">
        <f>SUMIFS('Schedule 4'!$F$89:$F$649,'Schedule 4'!$I$89:$I$649,'Well Cal.'!R$3,'Schedule 4'!$J$89:$J$649,'Well Cal.'!$E226)</f>
        <v>0</v>
      </c>
      <c r="S226" s="1103">
        <f>SUMIFS('Schedule 4'!$F$89:$F$649,'Schedule 4'!$I$89:$I$649,'Well Cal.'!S$3,'Schedule 4'!$J$89:$J$649,'Well Cal.'!$E226)</f>
        <v>0</v>
      </c>
      <c r="T226" s="1107">
        <f>SUMIFS('Schedule 4'!$F$89:$F$649,'Schedule 4'!$I$89:$I$649,'Well Cal.'!T$3,'Schedule 4'!$J$89:$J$649,'Well Cal.'!$E226)</f>
        <v>-1</v>
      </c>
      <c r="U226" s="1107">
        <f>SUMIFS('Schedule 4'!$F$89:$F$649,'Schedule 4'!$I$89:$I$649,'Well Cal.'!U$3,'Schedule 4'!$J$89:$J$649,'Well Cal.'!$E226)</f>
        <v>0</v>
      </c>
      <c r="V226" s="1107">
        <f>SUMIFS('Schedule 4'!$F$89:$F$649,'Schedule 4'!$I$89:$I$649,'Well Cal.'!V$3,'Schedule 4'!$J$89:$J$649,'Well Cal.'!$E226)</f>
        <v>0</v>
      </c>
      <c r="W226" s="1107">
        <f>SUMIFS('Schedule 4'!$F$89:$F$649,'Schedule 4'!$I$89:$I$649,'Well Cal.'!W$3,'Schedule 4'!$J$89:$J$649,'Well Cal.'!$E226)</f>
        <v>0</v>
      </c>
      <c r="X226" s="1107">
        <f>SUMIFS('Schedule 4'!$F$89:$F$649,'Schedule 4'!$I$89:$I$649,'Well Cal.'!X$3,'Schedule 4'!$J$89:$J$649,'Well Cal.'!$E226)</f>
        <v>0</v>
      </c>
      <c r="Y226" s="1107">
        <f>SUMIFS('Schedule 4'!$F$89:$F$649,'Schedule 4'!$I$89:$I$649,'Well Cal.'!Y$3,'Schedule 4'!$J$89:$J$649,'Well Cal.'!$E226)</f>
        <v>0</v>
      </c>
      <c r="Z226" s="1107">
        <f>SUMIFS('Schedule 4'!$F$89:$F$649,'Schedule 4'!$I$89:$I$649,'Well Cal.'!Z$3,'Schedule 4'!$J$89:$J$649,'Well Cal.'!$E226)</f>
        <v>0</v>
      </c>
      <c r="AA226" s="1107"/>
      <c r="AB226" s="1717"/>
      <c r="AC226" s="1717"/>
      <c r="AF226" s="1099"/>
      <c r="AG226" s="1099"/>
      <c r="AH226" s="1099"/>
      <c r="AI226" s="1099"/>
      <c r="AJ226" s="1099"/>
      <c r="AK226" s="1099"/>
      <c r="AL226" s="1099"/>
      <c r="AN226" s="1099"/>
      <c r="AO226" s="1099"/>
    </row>
    <row r="227" spans="2:41" s="481" customFormat="1" x14ac:dyDescent="0.3">
      <c r="B227" s="1708"/>
      <c r="C227" s="1711"/>
      <c r="D227" s="1714"/>
      <c r="E227" s="1102" t="s">
        <v>3477</v>
      </c>
      <c r="F227" s="1103">
        <f>SUMIFS('Schedule 4'!$F$89:$F$649,'Schedule 4'!$I$89:$I$649,'Well Cal.'!F$3,'Schedule 4'!$J$89:$J$649,'Well Cal.'!$E227)</f>
        <v>0</v>
      </c>
      <c r="G227" s="1103">
        <f>SUMIFS('Schedule 4'!$F$89:$F$649,'Schedule 4'!$I$89:$I$649,'Well Cal.'!G$3,'Schedule 4'!$J$89:$J$649,'Well Cal.'!$E227)</f>
        <v>0</v>
      </c>
      <c r="H227" s="1103">
        <f>SUMIFS('Schedule 4'!$F$89:$F$649,'Schedule 4'!$I$89:$I$649,'Well Cal.'!H$3,'Schedule 4'!$J$89:$J$649,'Well Cal.'!$E227)</f>
        <v>0</v>
      </c>
      <c r="I227" s="1103">
        <f>SUMIFS('Schedule 4'!$F$89:$F$649,'Schedule 4'!$I$89:$I$649,'Well Cal.'!I$3,'Schedule 4'!$J$89:$J$649,'Well Cal.'!$E227)</f>
        <v>0</v>
      </c>
      <c r="J227" s="1103">
        <f>SUMIFS('Schedule 4'!$F$89:$F$649,'Schedule 4'!$I$89:$I$649,'Well Cal.'!J$3,'Schedule 4'!$J$89:$J$649,'Well Cal.'!$E227)</f>
        <v>2.5</v>
      </c>
      <c r="K227" s="1103">
        <f>SUMIFS('Schedule 4'!$F$89:$F$649,'Schedule 4'!$I$89:$I$649,'Well Cal.'!K$3,'Schedule 4'!$J$89:$J$649,'Well Cal.'!$E227)</f>
        <v>0</v>
      </c>
      <c r="L227" s="1103">
        <f>SUMIFS('Schedule 4'!$F$89:$F$649,'Schedule 4'!$I$89:$I$649,'Well Cal.'!L$3,'Schedule 4'!$J$89:$J$649,'Well Cal.'!$E227)</f>
        <v>0</v>
      </c>
      <c r="M227" s="1103">
        <f>SUMIFS('Schedule 4'!$F$89:$F$649,'Schedule 4'!$I$89:$I$649,'Well Cal.'!M$3,'Schedule 4'!$J$89:$J$649,'Well Cal.'!$E227)</f>
        <v>0</v>
      </c>
      <c r="N227" s="1103">
        <f>SUMIFS('Schedule 4'!$F$89:$F$649,'Schedule 4'!$I$89:$I$649,'Well Cal.'!N$3,'Schedule 4'!$J$89:$J$649,'Well Cal.'!$E227)</f>
        <v>0</v>
      </c>
      <c r="O227" s="1103">
        <f>SUMIFS('Schedule 4'!$F$89:$F$649,'Schedule 4'!$I$89:$I$649,'Well Cal.'!O$3,'Schedule 4'!$J$89:$J$649,'Well Cal.'!$E227)</f>
        <v>0</v>
      </c>
      <c r="P227" s="1103">
        <f>SUMIFS('Schedule 4'!$F$89:$F$649,'Schedule 4'!$I$89:$I$649,'Well Cal.'!P$3,'Schedule 4'!$J$89:$J$649,'Well Cal.'!$E227)</f>
        <v>0</v>
      </c>
      <c r="Q227" s="1103">
        <f>SUMIFS('Schedule 4'!$F$89:$F$649,'Schedule 4'!$I$89:$I$649,'Well Cal.'!Q$3,'Schedule 4'!$J$89:$J$649,'Well Cal.'!$E227)</f>
        <v>0</v>
      </c>
      <c r="R227" s="1103">
        <f>SUMIFS('Schedule 4'!$F$89:$F$649,'Schedule 4'!$I$89:$I$649,'Well Cal.'!R$3,'Schedule 4'!$J$89:$J$649,'Well Cal.'!$E227)</f>
        <v>0</v>
      </c>
      <c r="S227" s="1103">
        <f>SUMIFS('Schedule 4'!$F$89:$F$649,'Schedule 4'!$I$89:$I$649,'Well Cal.'!S$3,'Schedule 4'!$J$89:$J$649,'Well Cal.'!$E227)</f>
        <v>0</v>
      </c>
      <c r="T227" s="1107">
        <f>SUMIFS('Schedule 4'!$F$89:$F$649,'Schedule 4'!$I$89:$I$649,'Well Cal.'!T$3,'Schedule 4'!$J$89:$J$649,'Well Cal.'!$E227)</f>
        <v>-1</v>
      </c>
      <c r="U227" s="1107">
        <f>SUMIFS('Schedule 4'!$F$89:$F$649,'Schedule 4'!$I$89:$I$649,'Well Cal.'!U$3,'Schedule 4'!$J$89:$J$649,'Well Cal.'!$E227)</f>
        <v>0</v>
      </c>
      <c r="V227" s="1107">
        <f>SUMIFS('Schedule 4'!$F$89:$F$649,'Schedule 4'!$I$89:$I$649,'Well Cal.'!V$3,'Schedule 4'!$J$89:$J$649,'Well Cal.'!$E227)</f>
        <v>0</v>
      </c>
      <c r="W227" s="1107">
        <f>SUMIFS('Schedule 4'!$F$89:$F$649,'Schedule 4'!$I$89:$I$649,'Well Cal.'!W$3,'Schedule 4'!$J$89:$J$649,'Well Cal.'!$E227)</f>
        <v>0</v>
      </c>
      <c r="X227" s="1107">
        <f>SUMIFS('Schedule 4'!$F$89:$F$649,'Schedule 4'!$I$89:$I$649,'Well Cal.'!X$3,'Schedule 4'!$J$89:$J$649,'Well Cal.'!$E227)</f>
        <v>0</v>
      </c>
      <c r="Y227" s="1107">
        <f>SUMIFS('Schedule 4'!$F$89:$F$649,'Schedule 4'!$I$89:$I$649,'Well Cal.'!Y$3,'Schedule 4'!$J$89:$J$649,'Well Cal.'!$E227)</f>
        <v>0</v>
      </c>
      <c r="Z227" s="1107">
        <f>SUMIFS('Schedule 4'!$F$89:$F$649,'Schedule 4'!$I$89:$I$649,'Well Cal.'!Z$3,'Schedule 4'!$J$89:$J$649,'Well Cal.'!$E227)</f>
        <v>0</v>
      </c>
      <c r="AA227" s="1107"/>
      <c r="AB227" s="1717"/>
      <c r="AC227" s="1717"/>
      <c r="AF227" s="1099"/>
      <c r="AG227" s="1099"/>
      <c r="AH227" s="1099"/>
      <c r="AI227" s="1099"/>
      <c r="AJ227" s="1099"/>
      <c r="AK227" s="1099"/>
      <c r="AL227" s="1099"/>
      <c r="AN227" s="1099"/>
      <c r="AO227" s="1099"/>
    </row>
    <row r="228" spans="2:41" s="481" customFormat="1" x14ac:dyDescent="0.3">
      <c r="B228" s="1708"/>
      <c r="C228" s="1711"/>
      <c r="D228" s="1714"/>
      <c r="E228" s="1102" t="s">
        <v>3544</v>
      </c>
      <c r="F228" s="1103">
        <f>SUMIFS('Schedule 4'!$F$89:$F$649,'Schedule 4'!$I$89:$I$649,'Well Cal.'!F$3,'Schedule 4'!$J$89:$J$649,'Well Cal.'!$E228)</f>
        <v>0</v>
      </c>
      <c r="G228" s="1103">
        <f>SUMIFS('Schedule 4'!$F$89:$F$649,'Schedule 4'!$I$89:$I$649,'Well Cal.'!G$3,'Schedule 4'!$J$89:$J$649,'Well Cal.'!$E228)</f>
        <v>0</v>
      </c>
      <c r="H228" s="1103">
        <f>SUMIFS('Schedule 4'!$F$89:$F$649,'Schedule 4'!$I$89:$I$649,'Well Cal.'!H$3,'Schedule 4'!$J$89:$J$649,'Well Cal.'!$E228)</f>
        <v>0</v>
      </c>
      <c r="I228" s="1103">
        <f>SUMIFS('Schedule 4'!$F$89:$F$649,'Schedule 4'!$I$89:$I$649,'Well Cal.'!I$3,'Schedule 4'!$J$89:$J$649,'Well Cal.'!$E228)</f>
        <v>0</v>
      </c>
      <c r="J228" s="1103">
        <f>SUMIFS('Schedule 4'!$F$89:$F$649,'Schedule 4'!$I$89:$I$649,'Well Cal.'!J$3,'Schedule 4'!$J$89:$J$649,'Well Cal.'!$E228)</f>
        <v>2.5</v>
      </c>
      <c r="K228" s="1103">
        <f>SUMIFS('Schedule 4'!$F$89:$F$649,'Schedule 4'!$I$89:$I$649,'Well Cal.'!K$3,'Schedule 4'!$J$89:$J$649,'Well Cal.'!$E228)</f>
        <v>0</v>
      </c>
      <c r="L228" s="1103">
        <f>SUMIFS('Schedule 4'!$F$89:$F$649,'Schedule 4'!$I$89:$I$649,'Well Cal.'!L$3,'Schedule 4'!$J$89:$J$649,'Well Cal.'!$E228)</f>
        <v>0</v>
      </c>
      <c r="M228" s="1103">
        <f>SUMIFS('Schedule 4'!$F$89:$F$649,'Schedule 4'!$I$89:$I$649,'Well Cal.'!M$3,'Schedule 4'!$J$89:$J$649,'Well Cal.'!$E228)</f>
        <v>0</v>
      </c>
      <c r="N228" s="1103">
        <f>SUMIFS('Schedule 4'!$F$89:$F$649,'Schedule 4'!$I$89:$I$649,'Well Cal.'!N$3,'Schedule 4'!$J$89:$J$649,'Well Cal.'!$E228)</f>
        <v>0</v>
      </c>
      <c r="O228" s="1103">
        <f>SUMIFS('Schedule 4'!$F$89:$F$649,'Schedule 4'!$I$89:$I$649,'Well Cal.'!O$3,'Schedule 4'!$J$89:$J$649,'Well Cal.'!$E228)</f>
        <v>0</v>
      </c>
      <c r="P228" s="1103">
        <f>SUMIFS('Schedule 4'!$F$89:$F$649,'Schedule 4'!$I$89:$I$649,'Well Cal.'!P$3,'Schedule 4'!$J$89:$J$649,'Well Cal.'!$E228)</f>
        <v>0</v>
      </c>
      <c r="Q228" s="1103">
        <f>SUMIFS('Schedule 4'!$F$89:$F$649,'Schedule 4'!$I$89:$I$649,'Well Cal.'!Q$3,'Schedule 4'!$J$89:$J$649,'Well Cal.'!$E228)</f>
        <v>0</v>
      </c>
      <c r="R228" s="1103">
        <f>SUMIFS('Schedule 4'!$F$89:$F$649,'Schedule 4'!$I$89:$I$649,'Well Cal.'!R$3,'Schedule 4'!$J$89:$J$649,'Well Cal.'!$E228)</f>
        <v>0</v>
      </c>
      <c r="S228" s="1103">
        <f>SUMIFS('Schedule 4'!$F$89:$F$649,'Schedule 4'!$I$89:$I$649,'Well Cal.'!S$3,'Schedule 4'!$J$89:$J$649,'Well Cal.'!$E228)</f>
        <v>0</v>
      </c>
      <c r="T228" s="1107">
        <f>SUMIFS('Schedule 4'!$F$89:$F$649,'Schedule 4'!$I$89:$I$649,'Well Cal.'!T$3,'Schedule 4'!$J$89:$J$649,'Well Cal.'!$E228)</f>
        <v>-1</v>
      </c>
      <c r="U228" s="1107">
        <f>SUMIFS('Schedule 4'!$F$89:$F$649,'Schedule 4'!$I$89:$I$649,'Well Cal.'!U$3,'Schedule 4'!$J$89:$J$649,'Well Cal.'!$E228)</f>
        <v>0</v>
      </c>
      <c r="V228" s="1107">
        <f>SUMIFS('Schedule 4'!$F$89:$F$649,'Schedule 4'!$I$89:$I$649,'Well Cal.'!V$3,'Schedule 4'!$J$89:$J$649,'Well Cal.'!$E228)</f>
        <v>0</v>
      </c>
      <c r="W228" s="1107">
        <f>SUMIFS('Schedule 4'!$F$89:$F$649,'Schedule 4'!$I$89:$I$649,'Well Cal.'!W$3,'Schedule 4'!$J$89:$J$649,'Well Cal.'!$E228)</f>
        <v>0</v>
      </c>
      <c r="X228" s="1107">
        <f>SUMIFS('Schedule 4'!$F$89:$F$649,'Schedule 4'!$I$89:$I$649,'Well Cal.'!X$3,'Schedule 4'!$J$89:$J$649,'Well Cal.'!$E228)</f>
        <v>0</v>
      </c>
      <c r="Y228" s="1107">
        <f>SUMIFS('Schedule 4'!$F$89:$F$649,'Schedule 4'!$I$89:$I$649,'Well Cal.'!Y$3,'Schedule 4'!$J$89:$J$649,'Well Cal.'!$E228)</f>
        <v>0</v>
      </c>
      <c r="Z228" s="1107">
        <f>SUMIFS('Schedule 4'!$F$89:$F$649,'Schedule 4'!$I$89:$I$649,'Well Cal.'!Z$3,'Schedule 4'!$J$89:$J$649,'Well Cal.'!$E228)</f>
        <v>0</v>
      </c>
      <c r="AA228" s="1107"/>
      <c r="AB228" s="1717"/>
      <c r="AC228" s="1717"/>
      <c r="AF228" s="1099"/>
      <c r="AG228" s="1099"/>
      <c r="AH228" s="1099"/>
      <c r="AI228" s="1099"/>
      <c r="AJ228" s="1099"/>
      <c r="AK228" s="1099"/>
      <c r="AL228" s="1099"/>
      <c r="AN228" s="1099"/>
      <c r="AO228" s="1099"/>
    </row>
    <row r="229" spans="2:41" s="481" customFormat="1" x14ac:dyDescent="0.3">
      <c r="B229" s="1708"/>
      <c r="C229" s="1711"/>
      <c r="D229" s="1714"/>
      <c r="E229" s="1102" t="s">
        <v>3628</v>
      </c>
      <c r="F229" s="1103">
        <f>SUMIFS('Schedule 4'!$F$89:$F$649,'Schedule 4'!$I$89:$I$649,'Well Cal.'!F$3,'Schedule 4'!$J$89:$J$649,'Well Cal.'!$E229)</f>
        <v>0</v>
      </c>
      <c r="G229" s="1103">
        <f>SUMIFS('Schedule 4'!$F$89:$F$649,'Schedule 4'!$I$89:$I$649,'Well Cal.'!G$3,'Schedule 4'!$J$89:$J$649,'Well Cal.'!$E229)</f>
        <v>0</v>
      </c>
      <c r="H229" s="1103">
        <f>SUMIFS('Schedule 4'!$F$89:$F$649,'Schedule 4'!$I$89:$I$649,'Well Cal.'!H$3,'Schedule 4'!$J$89:$J$649,'Well Cal.'!$E229)</f>
        <v>0</v>
      </c>
      <c r="I229" s="1103">
        <f>SUMIFS('Schedule 4'!$F$89:$F$649,'Schedule 4'!$I$89:$I$649,'Well Cal.'!I$3,'Schedule 4'!$J$89:$J$649,'Well Cal.'!$E229)</f>
        <v>0</v>
      </c>
      <c r="J229" s="1103">
        <f>SUMIFS('Schedule 4'!$F$89:$F$649,'Schedule 4'!$I$89:$I$649,'Well Cal.'!J$3,'Schedule 4'!$J$89:$J$649,'Well Cal.'!$E229)</f>
        <v>0</v>
      </c>
      <c r="K229" s="1103">
        <f>SUMIFS('Schedule 4'!$F$89:$F$649,'Schedule 4'!$I$89:$I$649,'Well Cal.'!K$3,'Schedule 4'!$J$89:$J$649,'Well Cal.'!$E229)</f>
        <v>2.5</v>
      </c>
      <c r="L229" s="1103">
        <f>SUMIFS('Schedule 4'!$F$89:$F$649,'Schedule 4'!$I$89:$I$649,'Well Cal.'!L$3,'Schedule 4'!$J$89:$J$649,'Well Cal.'!$E229)</f>
        <v>0</v>
      </c>
      <c r="M229" s="1103">
        <f>SUMIFS('Schedule 4'!$F$89:$F$649,'Schedule 4'!$I$89:$I$649,'Well Cal.'!M$3,'Schedule 4'!$J$89:$J$649,'Well Cal.'!$E229)</f>
        <v>0</v>
      </c>
      <c r="N229" s="1103">
        <f>SUMIFS('Schedule 4'!$F$89:$F$649,'Schedule 4'!$I$89:$I$649,'Well Cal.'!N$3,'Schedule 4'!$J$89:$J$649,'Well Cal.'!$E229)</f>
        <v>0</v>
      </c>
      <c r="O229" s="1103">
        <f>SUMIFS('Schedule 4'!$F$89:$F$649,'Schedule 4'!$I$89:$I$649,'Well Cal.'!O$3,'Schedule 4'!$J$89:$J$649,'Well Cal.'!$E229)</f>
        <v>0</v>
      </c>
      <c r="P229" s="1103">
        <f>SUMIFS('Schedule 4'!$F$89:$F$649,'Schedule 4'!$I$89:$I$649,'Well Cal.'!P$3,'Schedule 4'!$J$89:$J$649,'Well Cal.'!$E229)</f>
        <v>0</v>
      </c>
      <c r="Q229" s="1103">
        <f>SUMIFS('Schedule 4'!$F$89:$F$649,'Schedule 4'!$I$89:$I$649,'Well Cal.'!Q$3,'Schedule 4'!$J$89:$J$649,'Well Cal.'!$E229)</f>
        <v>0</v>
      </c>
      <c r="R229" s="1103">
        <f>SUMIFS('Schedule 4'!$F$89:$F$649,'Schedule 4'!$I$89:$I$649,'Well Cal.'!R$3,'Schedule 4'!$J$89:$J$649,'Well Cal.'!$E229)</f>
        <v>0</v>
      </c>
      <c r="S229" s="1103">
        <f>SUMIFS('Schedule 4'!$F$89:$F$649,'Schedule 4'!$I$89:$I$649,'Well Cal.'!S$3,'Schedule 4'!$J$89:$J$649,'Well Cal.'!$E229)</f>
        <v>0</v>
      </c>
      <c r="T229" s="1107">
        <f>SUMIFS('Schedule 4'!$F$89:$F$649,'Schedule 4'!$I$89:$I$649,'Well Cal.'!T$3,'Schedule 4'!$J$89:$J$649,'Well Cal.'!$E229)</f>
        <v>-2.4849999999999999</v>
      </c>
      <c r="U229" s="1107">
        <f>SUMIFS('Schedule 4'!$F$89:$F$649,'Schedule 4'!$I$89:$I$649,'Well Cal.'!U$3,'Schedule 4'!$J$89:$J$649,'Well Cal.'!$E229)</f>
        <v>0</v>
      </c>
      <c r="V229" s="1107">
        <f>SUMIFS('Schedule 4'!$F$89:$F$649,'Schedule 4'!$I$89:$I$649,'Well Cal.'!V$3,'Schedule 4'!$J$89:$J$649,'Well Cal.'!$E229)</f>
        <v>0</v>
      </c>
      <c r="W229" s="1107">
        <f>SUMIFS('Schedule 4'!$F$89:$F$649,'Schedule 4'!$I$89:$I$649,'Well Cal.'!W$3,'Schedule 4'!$J$89:$J$649,'Well Cal.'!$E229)</f>
        <v>0</v>
      </c>
      <c r="X229" s="1107">
        <f>SUMIFS('Schedule 4'!$F$89:$F$649,'Schedule 4'!$I$89:$I$649,'Well Cal.'!X$3,'Schedule 4'!$J$89:$J$649,'Well Cal.'!$E229)</f>
        <v>0</v>
      </c>
      <c r="Y229" s="1107">
        <f>SUMIFS('Schedule 4'!$F$89:$F$649,'Schedule 4'!$I$89:$I$649,'Well Cal.'!Y$3,'Schedule 4'!$J$89:$J$649,'Well Cal.'!$E229)</f>
        <v>0</v>
      </c>
      <c r="Z229" s="1107">
        <f>SUMIFS('Schedule 4'!$F$89:$F$649,'Schedule 4'!$I$89:$I$649,'Well Cal.'!Z$3,'Schedule 4'!$J$89:$J$649,'Well Cal.'!$E229)</f>
        <v>0</v>
      </c>
      <c r="AA229" s="1107"/>
      <c r="AB229" s="1717"/>
      <c r="AC229" s="1717"/>
      <c r="AF229" s="1099"/>
      <c r="AG229" s="1099"/>
      <c r="AH229" s="1099"/>
      <c r="AI229" s="1099"/>
      <c r="AJ229" s="1099"/>
      <c r="AK229" s="1099"/>
      <c r="AL229" s="1099"/>
      <c r="AN229" s="1099"/>
      <c r="AO229" s="1099"/>
    </row>
    <row r="230" spans="2:41" s="481" customFormat="1" x14ac:dyDescent="0.3">
      <c r="B230" s="1708"/>
      <c r="C230" s="1711"/>
      <c r="D230" s="1714"/>
      <c r="E230" s="1102" t="s">
        <v>3678</v>
      </c>
      <c r="F230" s="1103">
        <f>SUMIFS('Schedule 4'!$F$89:$F$649,'Schedule 4'!$I$89:$I$649,'Well Cal.'!F$3,'Schedule 4'!$J$89:$J$649,'Well Cal.'!$E230)</f>
        <v>0</v>
      </c>
      <c r="G230" s="1103">
        <f>SUMIFS('Schedule 4'!$F$89:$F$649,'Schedule 4'!$I$89:$I$649,'Well Cal.'!G$3,'Schedule 4'!$J$89:$J$649,'Well Cal.'!$E230)</f>
        <v>0</v>
      </c>
      <c r="H230" s="1103">
        <f>SUMIFS('Schedule 4'!$F$89:$F$649,'Schedule 4'!$I$89:$I$649,'Well Cal.'!H$3,'Schedule 4'!$J$89:$J$649,'Well Cal.'!$E230)</f>
        <v>0</v>
      </c>
      <c r="I230" s="1103">
        <f>SUMIFS('Schedule 4'!$F$89:$F$649,'Schedule 4'!$I$89:$I$649,'Well Cal.'!I$3,'Schedule 4'!$J$89:$J$649,'Well Cal.'!$E230)</f>
        <v>0</v>
      </c>
      <c r="J230" s="1103">
        <f>SUMIFS('Schedule 4'!$F$89:$F$649,'Schedule 4'!$I$89:$I$649,'Well Cal.'!J$3,'Schedule 4'!$J$89:$J$649,'Well Cal.'!$E230)</f>
        <v>0</v>
      </c>
      <c r="K230" s="1103">
        <f>SUMIFS('Schedule 4'!$F$89:$F$649,'Schedule 4'!$I$89:$I$649,'Well Cal.'!K$3,'Schedule 4'!$J$89:$J$649,'Well Cal.'!$E230)</f>
        <v>2.5</v>
      </c>
      <c r="L230" s="1103">
        <f>SUMIFS('Schedule 4'!$F$89:$F$649,'Schedule 4'!$I$89:$I$649,'Well Cal.'!L$3,'Schedule 4'!$J$89:$J$649,'Well Cal.'!$E230)</f>
        <v>0</v>
      </c>
      <c r="M230" s="1103">
        <f>SUMIFS('Schedule 4'!$F$89:$F$649,'Schedule 4'!$I$89:$I$649,'Well Cal.'!M$3,'Schedule 4'!$J$89:$J$649,'Well Cal.'!$E230)</f>
        <v>0</v>
      </c>
      <c r="N230" s="1103">
        <f>SUMIFS('Schedule 4'!$F$89:$F$649,'Schedule 4'!$I$89:$I$649,'Well Cal.'!N$3,'Schedule 4'!$J$89:$J$649,'Well Cal.'!$E230)</f>
        <v>0</v>
      </c>
      <c r="O230" s="1103">
        <f>SUMIFS('Schedule 4'!$F$89:$F$649,'Schedule 4'!$I$89:$I$649,'Well Cal.'!O$3,'Schedule 4'!$J$89:$J$649,'Well Cal.'!$E230)</f>
        <v>0</v>
      </c>
      <c r="P230" s="1103">
        <f>SUMIFS('Schedule 4'!$F$89:$F$649,'Schedule 4'!$I$89:$I$649,'Well Cal.'!P$3,'Schedule 4'!$J$89:$J$649,'Well Cal.'!$E230)</f>
        <v>0</v>
      </c>
      <c r="Q230" s="1103">
        <f>SUMIFS('Schedule 4'!$F$89:$F$649,'Schedule 4'!$I$89:$I$649,'Well Cal.'!Q$3,'Schedule 4'!$J$89:$J$649,'Well Cal.'!$E230)</f>
        <v>0</v>
      </c>
      <c r="R230" s="1103">
        <f>SUMIFS('Schedule 4'!$F$89:$F$649,'Schedule 4'!$I$89:$I$649,'Well Cal.'!R$3,'Schedule 4'!$J$89:$J$649,'Well Cal.'!$E230)</f>
        <v>0</v>
      </c>
      <c r="S230" s="1103">
        <f>SUMIFS('Schedule 4'!$F$89:$F$649,'Schedule 4'!$I$89:$I$649,'Well Cal.'!S$3,'Schedule 4'!$J$89:$J$649,'Well Cal.'!$E230)</f>
        <v>0</v>
      </c>
      <c r="T230" s="1107">
        <f>SUMIFS('Schedule 4'!$F$89:$F$649,'Schedule 4'!$I$89:$I$649,'Well Cal.'!T$3,'Schedule 4'!$J$89:$J$649,'Well Cal.'!$E230)</f>
        <v>-2.4849999999999999</v>
      </c>
      <c r="U230" s="1107">
        <f>SUMIFS('Schedule 4'!$F$89:$F$649,'Schedule 4'!$I$89:$I$649,'Well Cal.'!U$3,'Schedule 4'!$J$89:$J$649,'Well Cal.'!$E230)</f>
        <v>0</v>
      </c>
      <c r="V230" s="1107">
        <f>SUMIFS('Schedule 4'!$F$89:$F$649,'Schedule 4'!$I$89:$I$649,'Well Cal.'!V$3,'Schedule 4'!$J$89:$J$649,'Well Cal.'!$E230)</f>
        <v>0</v>
      </c>
      <c r="W230" s="1107">
        <f>SUMIFS('Schedule 4'!$F$89:$F$649,'Schedule 4'!$I$89:$I$649,'Well Cal.'!W$3,'Schedule 4'!$J$89:$J$649,'Well Cal.'!$E230)</f>
        <v>0</v>
      </c>
      <c r="X230" s="1107">
        <f>SUMIFS('Schedule 4'!$F$89:$F$649,'Schedule 4'!$I$89:$I$649,'Well Cal.'!X$3,'Schedule 4'!$J$89:$J$649,'Well Cal.'!$E230)</f>
        <v>0</v>
      </c>
      <c r="Y230" s="1107">
        <f>SUMIFS('Schedule 4'!$F$89:$F$649,'Schedule 4'!$I$89:$I$649,'Well Cal.'!Y$3,'Schedule 4'!$J$89:$J$649,'Well Cal.'!$E230)</f>
        <v>0</v>
      </c>
      <c r="Z230" s="1107">
        <f>SUMIFS('Schedule 4'!$F$89:$F$649,'Schedule 4'!$I$89:$I$649,'Well Cal.'!Z$3,'Schedule 4'!$J$89:$J$649,'Well Cal.'!$E230)</f>
        <v>0</v>
      </c>
      <c r="AA230" s="1107"/>
      <c r="AB230" s="1718"/>
      <c r="AC230" s="1718"/>
      <c r="AF230" s="1099"/>
      <c r="AG230" s="1099"/>
      <c r="AH230" s="1099"/>
      <c r="AI230" s="1099"/>
      <c r="AJ230" s="1099"/>
      <c r="AK230" s="1099"/>
      <c r="AL230" s="1099"/>
      <c r="AN230" s="1099"/>
      <c r="AO230" s="1099"/>
    </row>
    <row r="231" spans="2:41" s="481" customFormat="1" x14ac:dyDescent="0.3">
      <c r="B231" s="1709"/>
      <c r="C231" s="1712"/>
      <c r="D231" s="1715"/>
      <c r="E231" s="1105"/>
      <c r="F231" s="1106"/>
      <c r="G231" s="1106"/>
      <c r="H231" s="1106"/>
      <c r="I231" s="1106"/>
      <c r="J231" s="1106"/>
      <c r="K231" s="1106"/>
      <c r="L231" s="1106"/>
      <c r="M231" s="1106"/>
      <c r="N231" s="1106"/>
      <c r="O231" s="1106"/>
      <c r="P231" s="1106"/>
      <c r="Q231" s="1106"/>
      <c r="R231" s="1106"/>
      <c r="S231" s="1106"/>
      <c r="T231" s="1106"/>
      <c r="U231" s="1106"/>
      <c r="V231" s="1106"/>
      <c r="W231" s="1106"/>
      <c r="X231" s="1106"/>
      <c r="Y231" s="1106"/>
      <c r="Z231" s="1106"/>
      <c r="AA231" s="1106"/>
      <c r="AB231" s="1719"/>
      <c r="AC231" s="1719"/>
      <c r="AF231" s="1099"/>
      <c r="AG231" s="1099"/>
      <c r="AH231" s="1099"/>
      <c r="AI231" s="1099"/>
      <c r="AJ231" s="1099"/>
      <c r="AK231" s="1099"/>
      <c r="AL231" s="1099"/>
      <c r="AN231" s="1099"/>
      <c r="AO231" s="1099"/>
    </row>
    <row r="232" spans="2:41" s="481" customFormat="1" x14ac:dyDescent="0.3">
      <c r="B232" s="1707" t="s">
        <v>3054</v>
      </c>
      <c r="C232" s="1710">
        <v>50.55</v>
      </c>
      <c r="D232" s="1713">
        <f>SUMIFS('Schedule 4'!$F$89:$F$649,'Schedule 4'!$K$89:$K$649,'Well Cal.'!$B232)</f>
        <v>50.099999999999994</v>
      </c>
      <c r="E232" s="1097" t="s">
        <v>3195</v>
      </c>
      <c r="F232" s="1098">
        <f>SUMIFS('Schedule 4'!$F$89:$F$649,'Schedule 4'!$I$89:$I$649,'Well Cal.'!F$3,'Schedule 4'!$J$89:$J$649,'Well Cal.'!$E232)</f>
        <v>0</v>
      </c>
      <c r="G232" s="1098">
        <f>SUMIFS('Schedule 4'!$F$89:$F$649,'Schedule 4'!$I$89:$I$649,'Well Cal.'!G$3,'Schedule 4'!$J$89:$J$649,'Well Cal.'!$E232)</f>
        <v>0</v>
      </c>
      <c r="H232" s="1098">
        <f>SUMIFS('Schedule 4'!$F$89:$F$649,'Schedule 4'!$I$89:$I$649,'Well Cal.'!H$3,'Schedule 4'!$J$89:$J$649,'Well Cal.'!$E232)</f>
        <v>0</v>
      </c>
      <c r="I232" s="1098">
        <f>SUMIFS('Schedule 4'!$F$89:$F$649,'Schedule 4'!$I$89:$I$649,'Well Cal.'!I$3,'Schedule 4'!$J$89:$J$649,'Well Cal.'!$E232)</f>
        <v>0</v>
      </c>
      <c r="J232" s="1098">
        <f>SUMIFS('Schedule 4'!$F$89:$F$649,'Schedule 4'!$I$89:$I$649,'Well Cal.'!J$3,'Schedule 4'!$J$89:$J$649,'Well Cal.'!$E232)</f>
        <v>0</v>
      </c>
      <c r="K232" s="1098">
        <f>SUMIFS('Schedule 4'!$F$89:$F$649,'Schedule 4'!$I$89:$I$649,'Well Cal.'!K$3,'Schedule 4'!$J$89:$J$649,'Well Cal.'!$E232)</f>
        <v>0</v>
      </c>
      <c r="L232" s="1098">
        <f>SUMIFS('Schedule 4'!$F$89:$F$649,'Schedule 4'!$I$89:$I$649,'Well Cal.'!L$3,'Schedule 4'!$J$89:$J$649,'Well Cal.'!$E232)</f>
        <v>0</v>
      </c>
      <c r="M232" s="1098">
        <f>SUMIFS('Schedule 4'!$F$89:$F$649,'Schedule 4'!$I$89:$I$649,'Well Cal.'!M$3,'Schedule 4'!$J$89:$J$649,'Well Cal.'!$E232)</f>
        <v>0</v>
      </c>
      <c r="N232" s="1098">
        <f>SUMIFS('Schedule 4'!$F$89:$F$649,'Schedule 4'!$I$89:$I$649,'Well Cal.'!N$3,'Schedule 4'!$J$89:$J$649,'Well Cal.'!$E232)</f>
        <v>0</v>
      </c>
      <c r="O232" s="1098">
        <f>SUMIFS('Schedule 4'!$F$89:$F$649,'Schedule 4'!$I$89:$I$649,'Well Cal.'!O$3,'Schedule 4'!$J$89:$J$649,'Well Cal.'!$E232)</f>
        <v>0</v>
      </c>
      <c r="P232" s="1098">
        <f>SUMIFS('Schedule 4'!$F$89:$F$649,'Schedule 4'!$I$89:$I$649,'Well Cal.'!P$3,'Schedule 4'!$J$89:$J$649,'Well Cal.'!$E232)</f>
        <v>0</v>
      </c>
      <c r="Q232" s="1098">
        <f>SUMIFS('Schedule 4'!$F$89:$F$649,'Schedule 4'!$I$89:$I$649,'Well Cal.'!Q$3,'Schedule 4'!$J$89:$J$649,'Well Cal.'!$E232)</f>
        <v>0</v>
      </c>
      <c r="R232" s="1098">
        <f>SUMIFS('Schedule 4'!$F$89:$F$649,'Schedule 4'!$I$89:$I$649,'Well Cal.'!R$3,'Schedule 4'!$J$89:$J$649,'Well Cal.'!$E232)</f>
        <v>0</v>
      </c>
      <c r="S232" s="1098">
        <f>SUMIFS('Schedule 4'!$F$89:$F$649,'Schedule 4'!$I$89:$I$649,'Well Cal.'!S$3,'Schedule 4'!$J$89:$J$649,'Well Cal.'!$E232)</f>
        <v>0</v>
      </c>
      <c r="T232" s="1098">
        <f>SUMIFS('Schedule 4'!$F$89:$F$649,'Schedule 4'!$I$89:$I$649,'Well Cal.'!T$3,'Schedule 4'!$J$89:$J$649,'Well Cal.'!$E232)</f>
        <v>4.4800000000000004</v>
      </c>
      <c r="U232" s="1098">
        <f>SUMIFS('Schedule 4'!$F$89:$F$649,'Schedule 4'!$I$89:$I$649,'Well Cal.'!U$3,'Schedule 4'!$J$89:$J$649,'Well Cal.'!$E232)</f>
        <v>0</v>
      </c>
      <c r="V232" s="1098">
        <f>SUMIFS('Schedule 4'!$F$89:$F$649,'Schedule 4'!$I$89:$I$649,'Well Cal.'!V$3,'Schedule 4'!$J$89:$J$649,'Well Cal.'!$E232)</f>
        <v>0</v>
      </c>
      <c r="W232" s="1098">
        <f>SUMIFS('Schedule 4'!$F$89:$F$649,'Schedule 4'!$I$89:$I$649,'Well Cal.'!W$3,'Schedule 4'!$J$89:$J$649,'Well Cal.'!$E232)</f>
        <v>0</v>
      </c>
      <c r="X232" s="1098">
        <f>SUMIFS('Schedule 4'!$F$89:$F$649,'Schedule 4'!$I$89:$I$649,'Well Cal.'!X$3,'Schedule 4'!$J$89:$J$649,'Well Cal.'!$E232)</f>
        <v>0</v>
      </c>
      <c r="Y232" s="1098">
        <f>SUMIFS('Schedule 4'!$F$89:$F$649,'Schedule 4'!$I$89:$I$649,'Well Cal.'!Y$3,'Schedule 4'!$J$89:$J$649,'Well Cal.'!$E232)</f>
        <v>0</v>
      </c>
      <c r="Z232" s="1098">
        <f>SUMIFS('Schedule 4'!$F$89:$F$649,'Schedule 4'!$I$89:$I$649,'Well Cal.'!Z$3,'Schedule 4'!$J$89:$J$649,'Well Cal.'!$E232)</f>
        <v>0</v>
      </c>
      <c r="AA232" s="1098"/>
      <c r="AB232" s="1713">
        <f>SUM(F232:AA251)</f>
        <v>48.099999999999994</v>
      </c>
      <c r="AC232" s="1713">
        <f>D232-AB232</f>
        <v>2</v>
      </c>
      <c r="AF232" s="1099"/>
      <c r="AG232" s="1099"/>
      <c r="AH232" s="1099"/>
      <c r="AI232" s="1099"/>
      <c r="AJ232" s="1099"/>
      <c r="AK232" s="1099"/>
      <c r="AL232" s="1099"/>
      <c r="AN232" s="1099"/>
      <c r="AO232" s="1099"/>
    </row>
    <row r="233" spans="2:41" s="481" customFormat="1" x14ac:dyDescent="0.3">
      <c r="B233" s="1708"/>
      <c r="C233" s="1711"/>
      <c r="D233" s="1714"/>
      <c r="E233" s="1100" t="s">
        <v>3273</v>
      </c>
      <c r="F233" s="1101">
        <f>SUMIFS('Schedule 4'!$F$89:$F$649,'Schedule 4'!$I$89:$I$649,'Well Cal.'!F$3,'Schedule 4'!$J$89:$J$649,'Well Cal.'!$E233)</f>
        <v>0</v>
      </c>
      <c r="G233" s="1101">
        <f>SUMIFS('Schedule 4'!$F$89:$F$649,'Schedule 4'!$I$89:$I$649,'Well Cal.'!G$3,'Schedule 4'!$J$89:$J$649,'Well Cal.'!$E233)</f>
        <v>0</v>
      </c>
      <c r="H233" s="1101">
        <f>SUMIFS('Schedule 4'!$F$89:$F$649,'Schedule 4'!$I$89:$I$649,'Well Cal.'!H$3,'Schedule 4'!$J$89:$J$649,'Well Cal.'!$E233)</f>
        <v>0</v>
      </c>
      <c r="I233" s="1101">
        <f>SUMIFS('Schedule 4'!$F$89:$F$649,'Schedule 4'!$I$89:$I$649,'Well Cal.'!I$3,'Schedule 4'!$J$89:$J$649,'Well Cal.'!$E233)</f>
        <v>0</v>
      </c>
      <c r="J233" s="1101">
        <f>SUMIFS('Schedule 4'!$F$89:$F$649,'Schedule 4'!$I$89:$I$649,'Well Cal.'!J$3,'Schedule 4'!$J$89:$J$649,'Well Cal.'!$E233)</f>
        <v>0</v>
      </c>
      <c r="K233" s="1101">
        <f>SUMIFS('Schedule 4'!$F$89:$F$649,'Schedule 4'!$I$89:$I$649,'Well Cal.'!K$3,'Schedule 4'!$J$89:$J$649,'Well Cal.'!$E233)</f>
        <v>0</v>
      </c>
      <c r="L233" s="1101">
        <f>SUMIFS('Schedule 4'!$F$89:$F$649,'Schedule 4'!$I$89:$I$649,'Well Cal.'!L$3,'Schedule 4'!$J$89:$J$649,'Well Cal.'!$E233)</f>
        <v>0</v>
      </c>
      <c r="M233" s="1101">
        <f>SUMIFS('Schedule 4'!$F$89:$F$649,'Schedule 4'!$I$89:$I$649,'Well Cal.'!M$3,'Schedule 4'!$J$89:$J$649,'Well Cal.'!$E233)</f>
        <v>0</v>
      </c>
      <c r="N233" s="1101">
        <f>SUMIFS('Schedule 4'!$F$89:$F$649,'Schedule 4'!$I$89:$I$649,'Well Cal.'!N$3,'Schedule 4'!$J$89:$J$649,'Well Cal.'!$E233)</f>
        <v>0</v>
      </c>
      <c r="O233" s="1101">
        <f>SUMIFS('Schedule 4'!$F$89:$F$649,'Schedule 4'!$I$89:$I$649,'Well Cal.'!O$3,'Schedule 4'!$J$89:$J$649,'Well Cal.'!$E233)</f>
        <v>0</v>
      </c>
      <c r="P233" s="1101">
        <f>SUMIFS('Schedule 4'!$F$89:$F$649,'Schedule 4'!$I$89:$I$649,'Well Cal.'!P$3,'Schedule 4'!$J$89:$J$649,'Well Cal.'!$E233)</f>
        <v>0</v>
      </c>
      <c r="Q233" s="1101">
        <f>SUMIFS('Schedule 4'!$F$89:$F$649,'Schedule 4'!$I$89:$I$649,'Well Cal.'!Q$3,'Schedule 4'!$J$89:$J$649,'Well Cal.'!$E233)</f>
        <v>0</v>
      </c>
      <c r="R233" s="1101">
        <f>SUMIFS('Schedule 4'!$F$89:$F$649,'Schedule 4'!$I$89:$I$649,'Well Cal.'!R$3,'Schedule 4'!$J$89:$J$649,'Well Cal.'!$E233)</f>
        <v>0</v>
      </c>
      <c r="S233" s="1101">
        <f>SUMIFS('Schedule 4'!$F$89:$F$649,'Schedule 4'!$I$89:$I$649,'Well Cal.'!S$3,'Schedule 4'!$J$89:$J$649,'Well Cal.'!$E233)</f>
        <v>0</v>
      </c>
      <c r="T233" s="1101">
        <f>SUMIFS('Schedule 4'!$F$89:$F$649,'Schedule 4'!$I$89:$I$649,'Well Cal.'!T$3,'Schedule 4'!$J$89:$J$649,'Well Cal.'!$E233)</f>
        <v>2.5</v>
      </c>
      <c r="U233" s="1101">
        <f>SUMIFS('Schedule 4'!$F$89:$F$649,'Schedule 4'!$I$89:$I$649,'Well Cal.'!U$3,'Schedule 4'!$J$89:$J$649,'Well Cal.'!$E233)</f>
        <v>0</v>
      </c>
      <c r="V233" s="1101">
        <f>SUMIFS('Schedule 4'!$F$89:$F$649,'Schedule 4'!$I$89:$I$649,'Well Cal.'!V$3,'Schedule 4'!$J$89:$J$649,'Well Cal.'!$E233)</f>
        <v>0</v>
      </c>
      <c r="W233" s="1101">
        <f>SUMIFS('Schedule 4'!$F$89:$F$649,'Schedule 4'!$I$89:$I$649,'Well Cal.'!W$3,'Schedule 4'!$J$89:$J$649,'Well Cal.'!$E233)</f>
        <v>0</v>
      </c>
      <c r="X233" s="1101">
        <f>SUMIFS('Schedule 4'!$F$89:$F$649,'Schedule 4'!$I$89:$I$649,'Well Cal.'!X$3,'Schedule 4'!$J$89:$J$649,'Well Cal.'!$E233)</f>
        <v>0</v>
      </c>
      <c r="Y233" s="1101">
        <f>SUMIFS('Schedule 4'!$F$89:$F$649,'Schedule 4'!$I$89:$I$649,'Well Cal.'!Y$3,'Schedule 4'!$J$89:$J$649,'Well Cal.'!$E233)</f>
        <v>0</v>
      </c>
      <c r="Z233" s="1101">
        <f>SUMIFS('Schedule 4'!$F$89:$F$649,'Schedule 4'!$I$89:$I$649,'Well Cal.'!Z$3,'Schedule 4'!$J$89:$J$649,'Well Cal.'!$E233)</f>
        <v>0</v>
      </c>
      <c r="AA233" s="1101"/>
      <c r="AB233" s="1714"/>
      <c r="AC233" s="1714"/>
      <c r="AF233" s="1099"/>
      <c r="AG233" s="1099"/>
      <c r="AH233" s="1099"/>
      <c r="AI233" s="1099"/>
      <c r="AJ233" s="1099"/>
      <c r="AK233" s="1099"/>
      <c r="AL233" s="1099"/>
      <c r="AN233" s="1099"/>
      <c r="AO233" s="1099"/>
    </row>
    <row r="234" spans="2:41" s="481" customFormat="1" x14ac:dyDescent="0.3">
      <c r="B234" s="1708"/>
      <c r="C234" s="1711"/>
      <c r="D234" s="1714"/>
      <c r="E234" s="1100" t="s">
        <v>3346</v>
      </c>
      <c r="F234" s="1101">
        <f>SUMIFS('Schedule 4'!$F$89:$F$649,'Schedule 4'!$I$89:$I$649,'Well Cal.'!F$3,'Schedule 4'!$J$89:$J$649,'Well Cal.'!$E234)</f>
        <v>0</v>
      </c>
      <c r="G234" s="1101">
        <f>SUMIFS('Schedule 4'!$F$89:$F$649,'Schedule 4'!$I$89:$I$649,'Well Cal.'!G$3,'Schedule 4'!$J$89:$J$649,'Well Cal.'!$E234)</f>
        <v>0</v>
      </c>
      <c r="H234" s="1101">
        <f>SUMIFS('Schedule 4'!$F$89:$F$649,'Schedule 4'!$I$89:$I$649,'Well Cal.'!H$3,'Schedule 4'!$J$89:$J$649,'Well Cal.'!$E234)</f>
        <v>0</v>
      </c>
      <c r="I234" s="1101">
        <f>SUMIFS('Schedule 4'!$F$89:$F$649,'Schedule 4'!$I$89:$I$649,'Well Cal.'!I$3,'Schedule 4'!$J$89:$J$649,'Well Cal.'!$E234)</f>
        <v>0</v>
      </c>
      <c r="J234" s="1101">
        <f>SUMIFS('Schedule 4'!$F$89:$F$649,'Schedule 4'!$I$89:$I$649,'Well Cal.'!J$3,'Schedule 4'!$J$89:$J$649,'Well Cal.'!$E234)</f>
        <v>0</v>
      </c>
      <c r="K234" s="1101">
        <f>SUMIFS('Schedule 4'!$F$89:$F$649,'Schedule 4'!$I$89:$I$649,'Well Cal.'!K$3,'Schedule 4'!$J$89:$J$649,'Well Cal.'!$E234)</f>
        <v>0</v>
      </c>
      <c r="L234" s="1101">
        <f>SUMIFS('Schedule 4'!$F$89:$F$649,'Schedule 4'!$I$89:$I$649,'Well Cal.'!L$3,'Schedule 4'!$J$89:$J$649,'Well Cal.'!$E234)</f>
        <v>0</v>
      </c>
      <c r="M234" s="1101">
        <f>SUMIFS('Schedule 4'!$F$89:$F$649,'Schedule 4'!$I$89:$I$649,'Well Cal.'!M$3,'Schedule 4'!$J$89:$J$649,'Well Cal.'!$E234)</f>
        <v>0</v>
      </c>
      <c r="N234" s="1101">
        <f>SUMIFS('Schedule 4'!$F$89:$F$649,'Schedule 4'!$I$89:$I$649,'Well Cal.'!N$3,'Schedule 4'!$J$89:$J$649,'Well Cal.'!$E234)</f>
        <v>0</v>
      </c>
      <c r="O234" s="1101">
        <f>SUMIFS('Schedule 4'!$F$89:$F$649,'Schedule 4'!$I$89:$I$649,'Well Cal.'!O$3,'Schedule 4'!$J$89:$J$649,'Well Cal.'!$E234)</f>
        <v>0</v>
      </c>
      <c r="P234" s="1101">
        <f>SUMIFS('Schedule 4'!$F$89:$F$649,'Schedule 4'!$I$89:$I$649,'Well Cal.'!P$3,'Schedule 4'!$J$89:$J$649,'Well Cal.'!$E234)</f>
        <v>0</v>
      </c>
      <c r="Q234" s="1101">
        <f>SUMIFS('Schedule 4'!$F$89:$F$649,'Schedule 4'!$I$89:$I$649,'Well Cal.'!Q$3,'Schedule 4'!$J$89:$J$649,'Well Cal.'!$E234)</f>
        <v>0</v>
      </c>
      <c r="R234" s="1101">
        <f>SUMIFS('Schedule 4'!$F$89:$F$649,'Schedule 4'!$I$89:$I$649,'Well Cal.'!R$3,'Schedule 4'!$J$89:$J$649,'Well Cal.'!$E234)</f>
        <v>0</v>
      </c>
      <c r="S234" s="1101">
        <f>SUMIFS('Schedule 4'!$F$89:$F$649,'Schedule 4'!$I$89:$I$649,'Well Cal.'!S$3,'Schedule 4'!$J$89:$J$649,'Well Cal.'!$E234)</f>
        <v>0</v>
      </c>
      <c r="T234" s="1101">
        <f>SUMIFS('Schedule 4'!$F$89:$F$649,'Schedule 4'!$I$89:$I$649,'Well Cal.'!T$3,'Schedule 4'!$J$89:$J$649,'Well Cal.'!$E234)</f>
        <v>2.5</v>
      </c>
      <c r="U234" s="1101">
        <f>SUMIFS('Schedule 4'!$F$89:$F$649,'Schedule 4'!$I$89:$I$649,'Well Cal.'!U$3,'Schedule 4'!$J$89:$J$649,'Well Cal.'!$E234)</f>
        <v>0</v>
      </c>
      <c r="V234" s="1101">
        <f>SUMIFS('Schedule 4'!$F$89:$F$649,'Schedule 4'!$I$89:$I$649,'Well Cal.'!V$3,'Schedule 4'!$J$89:$J$649,'Well Cal.'!$E234)</f>
        <v>0</v>
      </c>
      <c r="W234" s="1101">
        <f>SUMIFS('Schedule 4'!$F$89:$F$649,'Schedule 4'!$I$89:$I$649,'Well Cal.'!W$3,'Schedule 4'!$J$89:$J$649,'Well Cal.'!$E234)</f>
        <v>0</v>
      </c>
      <c r="X234" s="1101">
        <f>SUMIFS('Schedule 4'!$F$89:$F$649,'Schedule 4'!$I$89:$I$649,'Well Cal.'!X$3,'Schedule 4'!$J$89:$J$649,'Well Cal.'!$E234)</f>
        <v>0</v>
      </c>
      <c r="Y234" s="1101">
        <f>SUMIFS('Schedule 4'!$F$89:$F$649,'Schedule 4'!$I$89:$I$649,'Well Cal.'!Y$3,'Schedule 4'!$J$89:$J$649,'Well Cal.'!$E234)</f>
        <v>0</v>
      </c>
      <c r="Z234" s="1101">
        <f>SUMIFS('Schedule 4'!$F$89:$F$649,'Schedule 4'!$I$89:$I$649,'Well Cal.'!Z$3,'Schedule 4'!$J$89:$J$649,'Well Cal.'!$E234)</f>
        <v>0</v>
      </c>
      <c r="AA234" s="1101"/>
      <c r="AB234" s="1714"/>
      <c r="AC234" s="1714"/>
      <c r="AF234" s="1099"/>
      <c r="AG234" s="1099"/>
      <c r="AH234" s="1099"/>
      <c r="AI234" s="1099"/>
      <c r="AJ234" s="1099"/>
      <c r="AK234" s="1099"/>
      <c r="AL234" s="1099"/>
      <c r="AN234" s="1099"/>
      <c r="AO234" s="1099"/>
    </row>
    <row r="235" spans="2:41" s="481" customFormat="1" x14ac:dyDescent="0.3">
      <c r="B235" s="1708"/>
      <c r="C235" s="1711"/>
      <c r="D235" s="1714"/>
      <c r="E235" s="1102" t="s">
        <v>3424</v>
      </c>
      <c r="F235" s="1103">
        <f>SUMIFS('Schedule 4'!$F$89:$F$649,'Schedule 4'!$I$89:$I$649,'Well Cal.'!F$3,'Schedule 4'!$J$89:$J$649,'Well Cal.'!$E235)</f>
        <v>0</v>
      </c>
      <c r="G235" s="1103">
        <f>SUMIFS('Schedule 4'!$F$89:$F$649,'Schedule 4'!$I$89:$I$649,'Well Cal.'!G$3,'Schedule 4'!$J$89:$J$649,'Well Cal.'!$E235)</f>
        <v>0</v>
      </c>
      <c r="H235" s="1103">
        <f>SUMIFS('Schedule 4'!$F$89:$F$649,'Schedule 4'!$I$89:$I$649,'Well Cal.'!H$3,'Schedule 4'!$J$89:$J$649,'Well Cal.'!$E235)</f>
        <v>0</v>
      </c>
      <c r="I235" s="1103">
        <f>SUMIFS('Schedule 4'!$F$89:$F$649,'Schedule 4'!$I$89:$I$649,'Well Cal.'!I$3,'Schedule 4'!$J$89:$J$649,'Well Cal.'!$E235)</f>
        <v>0</v>
      </c>
      <c r="J235" s="1103">
        <f>SUMIFS('Schedule 4'!$F$89:$F$649,'Schedule 4'!$I$89:$I$649,'Well Cal.'!J$3,'Schedule 4'!$J$89:$J$649,'Well Cal.'!$E235)</f>
        <v>0</v>
      </c>
      <c r="K235" s="1103">
        <f>SUMIFS('Schedule 4'!$F$89:$F$649,'Schedule 4'!$I$89:$I$649,'Well Cal.'!K$3,'Schedule 4'!$J$89:$J$649,'Well Cal.'!$E235)</f>
        <v>0</v>
      </c>
      <c r="L235" s="1103">
        <f>SUMIFS('Schedule 4'!$F$89:$F$649,'Schedule 4'!$I$89:$I$649,'Well Cal.'!L$3,'Schedule 4'!$J$89:$J$649,'Well Cal.'!$E235)</f>
        <v>0</v>
      </c>
      <c r="M235" s="1103">
        <f>SUMIFS('Schedule 4'!$F$89:$F$649,'Schedule 4'!$I$89:$I$649,'Well Cal.'!M$3,'Schedule 4'!$J$89:$J$649,'Well Cal.'!$E235)</f>
        <v>0</v>
      </c>
      <c r="N235" s="1103">
        <f>SUMIFS('Schedule 4'!$F$89:$F$649,'Schedule 4'!$I$89:$I$649,'Well Cal.'!N$3,'Schedule 4'!$J$89:$J$649,'Well Cal.'!$E235)</f>
        <v>0</v>
      </c>
      <c r="O235" s="1103">
        <f>SUMIFS('Schedule 4'!$F$89:$F$649,'Schedule 4'!$I$89:$I$649,'Well Cal.'!O$3,'Schedule 4'!$J$89:$J$649,'Well Cal.'!$E235)</f>
        <v>0</v>
      </c>
      <c r="P235" s="1103">
        <f>SUMIFS('Schedule 4'!$F$89:$F$649,'Schedule 4'!$I$89:$I$649,'Well Cal.'!P$3,'Schedule 4'!$J$89:$J$649,'Well Cal.'!$E235)</f>
        <v>0</v>
      </c>
      <c r="Q235" s="1103">
        <f>SUMIFS('Schedule 4'!$F$89:$F$649,'Schedule 4'!$I$89:$I$649,'Well Cal.'!Q$3,'Schedule 4'!$J$89:$J$649,'Well Cal.'!$E235)</f>
        <v>0</v>
      </c>
      <c r="R235" s="1103">
        <f>SUMIFS('Schedule 4'!$F$89:$F$649,'Schedule 4'!$I$89:$I$649,'Well Cal.'!R$3,'Schedule 4'!$J$89:$J$649,'Well Cal.'!$E235)</f>
        <v>0</v>
      </c>
      <c r="S235" s="1103">
        <f>SUMIFS('Schedule 4'!$F$89:$F$649,'Schedule 4'!$I$89:$I$649,'Well Cal.'!S$3,'Schedule 4'!$J$89:$J$649,'Well Cal.'!$E235)</f>
        <v>0</v>
      </c>
      <c r="T235" s="1103">
        <f>SUMIFS('Schedule 4'!$F$89:$F$649,'Schedule 4'!$I$89:$I$649,'Well Cal.'!T$3,'Schedule 4'!$J$89:$J$649,'Well Cal.'!$E235)</f>
        <v>2.5</v>
      </c>
      <c r="U235" s="1103">
        <f>SUMIFS('Schedule 4'!$F$89:$F$649,'Schedule 4'!$I$89:$I$649,'Well Cal.'!U$3,'Schedule 4'!$J$89:$J$649,'Well Cal.'!$E235)</f>
        <v>0</v>
      </c>
      <c r="V235" s="1103">
        <f>SUMIFS('Schedule 4'!$F$89:$F$649,'Schedule 4'!$I$89:$I$649,'Well Cal.'!V$3,'Schedule 4'!$J$89:$J$649,'Well Cal.'!$E235)</f>
        <v>0</v>
      </c>
      <c r="W235" s="1103">
        <f>SUMIFS('Schedule 4'!$F$89:$F$649,'Schedule 4'!$I$89:$I$649,'Well Cal.'!W$3,'Schedule 4'!$J$89:$J$649,'Well Cal.'!$E235)</f>
        <v>0</v>
      </c>
      <c r="X235" s="1103">
        <f>SUMIFS('Schedule 4'!$F$89:$F$649,'Schedule 4'!$I$89:$I$649,'Well Cal.'!X$3,'Schedule 4'!$J$89:$J$649,'Well Cal.'!$E235)</f>
        <v>0</v>
      </c>
      <c r="Y235" s="1103">
        <f>SUMIFS('Schedule 4'!$F$89:$F$649,'Schedule 4'!$I$89:$I$649,'Well Cal.'!Y$3,'Schedule 4'!$J$89:$J$649,'Well Cal.'!$E235)</f>
        <v>0</v>
      </c>
      <c r="Z235" s="1103">
        <f>SUMIFS('Schedule 4'!$F$89:$F$649,'Schedule 4'!$I$89:$I$649,'Well Cal.'!Z$3,'Schedule 4'!$J$89:$J$649,'Well Cal.'!$E235)</f>
        <v>0</v>
      </c>
      <c r="AA235" s="1103"/>
      <c r="AB235" s="1714"/>
      <c r="AC235" s="1714"/>
      <c r="AF235" s="1099"/>
      <c r="AG235" s="1099"/>
      <c r="AH235" s="1099"/>
      <c r="AI235" s="1099"/>
      <c r="AJ235" s="1099"/>
      <c r="AK235" s="1099"/>
      <c r="AL235" s="1099"/>
      <c r="AN235" s="1099"/>
      <c r="AO235" s="1099"/>
    </row>
    <row r="236" spans="2:41" s="481" customFormat="1" x14ac:dyDescent="0.3">
      <c r="B236" s="1708"/>
      <c r="C236" s="1711"/>
      <c r="D236" s="1714"/>
      <c r="E236" s="1102" t="s">
        <v>3502</v>
      </c>
      <c r="F236" s="1103">
        <f>SUMIFS('Schedule 4'!$F$89:$F$649,'Schedule 4'!$I$89:$I$649,'Well Cal.'!F$3,'Schedule 4'!$J$89:$J$649,'Well Cal.'!$E236)</f>
        <v>0</v>
      </c>
      <c r="G236" s="1103">
        <f>SUMIFS('Schedule 4'!$F$89:$F$649,'Schedule 4'!$I$89:$I$649,'Well Cal.'!G$3,'Schedule 4'!$J$89:$J$649,'Well Cal.'!$E236)</f>
        <v>0</v>
      </c>
      <c r="H236" s="1103">
        <f>SUMIFS('Schedule 4'!$F$89:$F$649,'Schedule 4'!$I$89:$I$649,'Well Cal.'!H$3,'Schedule 4'!$J$89:$J$649,'Well Cal.'!$E236)</f>
        <v>0</v>
      </c>
      <c r="I236" s="1103">
        <f>SUMIFS('Schedule 4'!$F$89:$F$649,'Schedule 4'!$I$89:$I$649,'Well Cal.'!I$3,'Schedule 4'!$J$89:$J$649,'Well Cal.'!$E236)</f>
        <v>0</v>
      </c>
      <c r="J236" s="1103">
        <f>SUMIFS('Schedule 4'!$F$89:$F$649,'Schedule 4'!$I$89:$I$649,'Well Cal.'!J$3,'Schedule 4'!$J$89:$J$649,'Well Cal.'!$E236)</f>
        <v>0</v>
      </c>
      <c r="K236" s="1103">
        <f>SUMIFS('Schedule 4'!$F$89:$F$649,'Schedule 4'!$I$89:$I$649,'Well Cal.'!K$3,'Schedule 4'!$J$89:$J$649,'Well Cal.'!$E236)</f>
        <v>0</v>
      </c>
      <c r="L236" s="1103">
        <f>SUMIFS('Schedule 4'!$F$89:$F$649,'Schedule 4'!$I$89:$I$649,'Well Cal.'!L$3,'Schedule 4'!$J$89:$J$649,'Well Cal.'!$E236)</f>
        <v>0</v>
      </c>
      <c r="M236" s="1103">
        <f>SUMIFS('Schedule 4'!$F$89:$F$649,'Schedule 4'!$I$89:$I$649,'Well Cal.'!M$3,'Schedule 4'!$J$89:$J$649,'Well Cal.'!$E236)</f>
        <v>0</v>
      </c>
      <c r="N236" s="1103">
        <f>SUMIFS('Schedule 4'!$F$89:$F$649,'Schedule 4'!$I$89:$I$649,'Well Cal.'!N$3,'Schedule 4'!$J$89:$J$649,'Well Cal.'!$E236)</f>
        <v>0</v>
      </c>
      <c r="O236" s="1103">
        <f>SUMIFS('Schedule 4'!$F$89:$F$649,'Schedule 4'!$I$89:$I$649,'Well Cal.'!O$3,'Schedule 4'!$J$89:$J$649,'Well Cal.'!$E236)</f>
        <v>0</v>
      </c>
      <c r="P236" s="1103">
        <f>SUMIFS('Schedule 4'!$F$89:$F$649,'Schedule 4'!$I$89:$I$649,'Well Cal.'!P$3,'Schedule 4'!$J$89:$J$649,'Well Cal.'!$E236)</f>
        <v>0</v>
      </c>
      <c r="Q236" s="1103">
        <f>SUMIFS('Schedule 4'!$F$89:$F$649,'Schedule 4'!$I$89:$I$649,'Well Cal.'!Q$3,'Schedule 4'!$J$89:$J$649,'Well Cal.'!$E236)</f>
        <v>0</v>
      </c>
      <c r="R236" s="1103">
        <f>SUMIFS('Schedule 4'!$F$89:$F$649,'Schedule 4'!$I$89:$I$649,'Well Cal.'!R$3,'Schedule 4'!$J$89:$J$649,'Well Cal.'!$E236)</f>
        <v>0</v>
      </c>
      <c r="S236" s="1103">
        <f>SUMIFS('Schedule 4'!$F$89:$F$649,'Schedule 4'!$I$89:$I$649,'Well Cal.'!S$3,'Schedule 4'!$J$89:$J$649,'Well Cal.'!$E236)</f>
        <v>0</v>
      </c>
      <c r="T236" s="1103">
        <f>SUMIFS('Schedule 4'!$F$89:$F$649,'Schedule 4'!$I$89:$I$649,'Well Cal.'!T$3,'Schedule 4'!$J$89:$J$649,'Well Cal.'!$E236)</f>
        <v>2.5</v>
      </c>
      <c r="U236" s="1103">
        <f>SUMIFS('Schedule 4'!$F$89:$F$649,'Schedule 4'!$I$89:$I$649,'Well Cal.'!U$3,'Schedule 4'!$J$89:$J$649,'Well Cal.'!$E236)</f>
        <v>0</v>
      </c>
      <c r="V236" s="1103">
        <f>SUMIFS('Schedule 4'!$F$89:$F$649,'Schedule 4'!$I$89:$I$649,'Well Cal.'!V$3,'Schedule 4'!$J$89:$J$649,'Well Cal.'!$E236)</f>
        <v>0</v>
      </c>
      <c r="W236" s="1103">
        <f>SUMIFS('Schedule 4'!$F$89:$F$649,'Schedule 4'!$I$89:$I$649,'Well Cal.'!W$3,'Schedule 4'!$J$89:$J$649,'Well Cal.'!$E236)</f>
        <v>0</v>
      </c>
      <c r="X236" s="1103">
        <f>SUMIFS('Schedule 4'!$F$89:$F$649,'Schedule 4'!$I$89:$I$649,'Well Cal.'!X$3,'Schedule 4'!$J$89:$J$649,'Well Cal.'!$E236)</f>
        <v>0</v>
      </c>
      <c r="Y236" s="1103">
        <f>SUMIFS('Schedule 4'!$F$89:$F$649,'Schedule 4'!$I$89:$I$649,'Well Cal.'!Y$3,'Schedule 4'!$J$89:$J$649,'Well Cal.'!$E236)</f>
        <v>0</v>
      </c>
      <c r="Z236" s="1103">
        <f>SUMIFS('Schedule 4'!$F$89:$F$649,'Schedule 4'!$I$89:$I$649,'Well Cal.'!Z$3,'Schedule 4'!$J$89:$J$649,'Well Cal.'!$E236)</f>
        <v>0</v>
      </c>
      <c r="AA236" s="1103"/>
      <c r="AB236" s="1714"/>
      <c r="AC236" s="1714"/>
      <c r="AF236" s="1099"/>
      <c r="AG236" s="1099"/>
      <c r="AH236" s="1099"/>
      <c r="AI236" s="1099"/>
      <c r="AJ236" s="1099"/>
      <c r="AK236" s="1099"/>
      <c r="AL236" s="1099"/>
      <c r="AN236" s="1099"/>
      <c r="AO236" s="1099"/>
    </row>
    <row r="237" spans="2:41" s="481" customFormat="1" x14ac:dyDescent="0.3">
      <c r="B237" s="1708"/>
      <c r="C237" s="1711"/>
      <c r="D237" s="1714"/>
      <c r="E237" s="1102" t="s">
        <v>3577</v>
      </c>
      <c r="F237" s="1103">
        <f>SUMIFS('Schedule 4'!$F$89:$F$649,'Schedule 4'!$I$89:$I$649,'Well Cal.'!F$3,'Schedule 4'!$J$89:$J$649,'Well Cal.'!$E237)</f>
        <v>0</v>
      </c>
      <c r="G237" s="1103">
        <f>SUMIFS('Schedule 4'!$F$89:$F$649,'Schedule 4'!$I$89:$I$649,'Well Cal.'!G$3,'Schedule 4'!$J$89:$J$649,'Well Cal.'!$E237)</f>
        <v>0</v>
      </c>
      <c r="H237" s="1103">
        <f>SUMIFS('Schedule 4'!$F$89:$F$649,'Schedule 4'!$I$89:$I$649,'Well Cal.'!H$3,'Schedule 4'!$J$89:$J$649,'Well Cal.'!$E237)</f>
        <v>0</v>
      </c>
      <c r="I237" s="1103">
        <f>SUMIFS('Schedule 4'!$F$89:$F$649,'Schedule 4'!$I$89:$I$649,'Well Cal.'!I$3,'Schedule 4'!$J$89:$J$649,'Well Cal.'!$E237)</f>
        <v>0</v>
      </c>
      <c r="J237" s="1103">
        <f>SUMIFS('Schedule 4'!$F$89:$F$649,'Schedule 4'!$I$89:$I$649,'Well Cal.'!J$3,'Schedule 4'!$J$89:$J$649,'Well Cal.'!$E237)</f>
        <v>0</v>
      </c>
      <c r="K237" s="1103">
        <f>SUMIFS('Schedule 4'!$F$89:$F$649,'Schedule 4'!$I$89:$I$649,'Well Cal.'!K$3,'Schedule 4'!$J$89:$J$649,'Well Cal.'!$E237)</f>
        <v>0</v>
      </c>
      <c r="L237" s="1103">
        <f>SUMIFS('Schedule 4'!$F$89:$F$649,'Schedule 4'!$I$89:$I$649,'Well Cal.'!L$3,'Schedule 4'!$J$89:$J$649,'Well Cal.'!$E237)</f>
        <v>0</v>
      </c>
      <c r="M237" s="1103">
        <f>SUMIFS('Schedule 4'!$F$89:$F$649,'Schedule 4'!$I$89:$I$649,'Well Cal.'!M$3,'Schedule 4'!$J$89:$J$649,'Well Cal.'!$E237)</f>
        <v>0</v>
      </c>
      <c r="N237" s="1103">
        <f>SUMIFS('Schedule 4'!$F$89:$F$649,'Schedule 4'!$I$89:$I$649,'Well Cal.'!N$3,'Schedule 4'!$J$89:$J$649,'Well Cal.'!$E237)</f>
        <v>0</v>
      </c>
      <c r="O237" s="1103">
        <f>SUMIFS('Schedule 4'!$F$89:$F$649,'Schedule 4'!$I$89:$I$649,'Well Cal.'!O$3,'Schedule 4'!$J$89:$J$649,'Well Cal.'!$E237)</f>
        <v>0</v>
      </c>
      <c r="P237" s="1103">
        <f>SUMIFS('Schedule 4'!$F$89:$F$649,'Schedule 4'!$I$89:$I$649,'Well Cal.'!P$3,'Schedule 4'!$J$89:$J$649,'Well Cal.'!$E237)</f>
        <v>0</v>
      </c>
      <c r="Q237" s="1103">
        <f>SUMIFS('Schedule 4'!$F$89:$F$649,'Schedule 4'!$I$89:$I$649,'Well Cal.'!Q$3,'Schedule 4'!$J$89:$J$649,'Well Cal.'!$E237)</f>
        <v>0</v>
      </c>
      <c r="R237" s="1103">
        <f>SUMIFS('Schedule 4'!$F$89:$F$649,'Schedule 4'!$I$89:$I$649,'Well Cal.'!R$3,'Schedule 4'!$J$89:$J$649,'Well Cal.'!$E237)</f>
        <v>0</v>
      </c>
      <c r="S237" s="1103">
        <f>SUMIFS('Schedule 4'!$F$89:$F$649,'Schedule 4'!$I$89:$I$649,'Well Cal.'!S$3,'Schedule 4'!$J$89:$J$649,'Well Cal.'!$E237)</f>
        <v>0</v>
      </c>
      <c r="T237" s="1103">
        <f>SUMIFS('Schedule 4'!$F$89:$F$649,'Schedule 4'!$I$89:$I$649,'Well Cal.'!T$3,'Schedule 4'!$J$89:$J$649,'Well Cal.'!$E237)</f>
        <v>2.5</v>
      </c>
      <c r="U237" s="1103">
        <f>SUMIFS('Schedule 4'!$F$89:$F$649,'Schedule 4'!$I$89:$I$649,'Well Cal.'!U$3,'Schedule 4'!$J$89:$J$649,'Well Cal.'!$E237)</f>
        <v>0</v>
      </c>
      <c r="V237" s="1103">
        <f>SUMIFS('Schedule 4'!$F$89:$F$649,'Schedule 4'!$I$89:$I$649,'Well Cal.'!V$3,'Schedule 4'!$J$89:$J$649,'Well Cal.'!$E237)</f>
        <v>0</v>
      </c>
      <c r="W237" s="1103">
        <f>SUMIFS('Schedule 4'!$F$89:$F$649,'Schedule 4'!$I$89:$I$649,'Well Cal.'!W$3,'Schedule 4'!$J$89:$J$649,'Well Cal.'!$E237)</f>
        <v>0</v>
      </c>
      <c r="X237" s="1103">
        <f>SUMIFS('Schedule 4'!$F$89:$F$649,'Schedule 4'!$I$89:$I$649,'Well Cal.'!X$3,'Schedule 4'!$J$89:$J$649,'Well Cal.'!$E237)</f>
        <v>0</v>
      </c>
      <c r="Y237" s="1103">
        <f>SUMIFS('Schedule 4'!$F$89:$F$649,'Schedule 4'!$I$89:$I$649,'Well Cal.'!Y$3,'Schedule 4'!$J$89:$J$649,'Well Cal.'!$E237)</f>
        <v>0</v>
      </c>
      <c r="Z237" s="1103">
        <f>SUMIFS('Schedule 4'!$F$89:$F$649,'Schedule 4'!$I$89:$I$649,'Well Cal.'!Z$3,'Schedule 4'!$J$89:$J$649,'Well Cal.'!$E237)</f>
        <v>0</v>
      </c>
      <c r="AA237" s="1103"/>
      <c r="AB237" s="1714"/>
      <c r="AC237" s="1714"/>
      <c r="AF237" s="1099"/>
      <c r="AG237" s="1099"/>
      <c r="AH237" s="1099"/>
      <c r="AI237" s="1099"/>
      <c r="AJ237" s="1099"/>
      <c r="AK237" s="1099"/>
      <c r="AL237" s="1099"/>
      <c r="AN237" s="1099"/>
      <c r="AO237" s="1099"/>
    </row>
    <row r="238" spans="2:41" s="481" customFormat="1" x14ac:dyDescent="0.3">
      <c r="B238" s="1708"/>
      <c r="C238" s="1711"/>
      <c r="D238" s="1714"/>
      <c r="E238" s="1102" t="s">
        <v>3651</v>
      </c>
      <c r="F238" s="1103">
        <f>SUMIFS('Schedule 4'!$F$89:$F$649,'Schedule 4'!$I$89:$I$649,'Well Cal.'!F$3,'Schedule 4'!$J$89:$J$649,'Well Cal.'!$E238)</f>
        <v>0</v>
      </c>
      <c r="G238" s="1103">
        <f>SUMIFS('Schedule 4'!$F$89:$F$649,'Schedule 4'!$I$89:$I$649,'Well Cal.'!G$3,'Schedule 4'!$J$89:$J$649,'Well Cal.'!$E238)</f>
        <v>0</v>
      </c>
      <c r="H238" s="1103">
        <f>SUMIFS('Schedule 4'!$F$89:$F$649,'Schedule 4'!$I$89:$I$649,'Well Cal.'!H$3,'Schedule 4'!$J$89:$J$649,'Well Cal.'!$E238)</f>
        <v>0</v>
      </c>
      <c r="I238" s="1103">
        <f>SUMIFS('Schedule 4'!$F$89:$F$649,'Schedule 4'!$I$89:$I$649,'Well Cal.'!I$3,'Schedule 4'!$J$89:$J$649,'Well Cal.'!$E238)</f>
        <v>0</v>
      </c>
      <c r="J238" s="1103">
        <f>SUMIFS('Schedule 4'!$F$89:$F$649,'Schedule 4'!$I$89:$I$649,'Well Cal.'!J$3,'Schedule 4'!$J$89:$J$649,'Well Cal.'!$E238)</f>
        <v>0</v>
      </c>
      <c r="K238" s="1103">
        <f>SUMIFS('Schedule 4'!$F$89:$F$649,'Schedule 4'!$I$89:$I$649,'Well Cal.'!K$3,'Schedule 4'!$J$89:$J$649,'Well Cal.'!$E238)</f>
        <v>0</v>
      </c>
      <c r="L238" s="1103">
        <f>SUMIFS('Schedule 4'!$F$89:$F$649,'Schedule 4'!$I$89:$I$649,'Well Cal.'!L$3,'Schedule 4'!$J$89:$J$649,'Well Cal.'!$E238)</f>
        <v>0</v>
      </c>
      <c r="M238" s="1103">
        <f>SUMIFS('Schedule 4'!$F$89:$F$649,'Schedule 4'!$I$89:$I$649,'Well Cal.'!M$3,'Schedule 4'!$J$89:$J$649,'Well Cal.'!$E238)</f>
        <v>0</v>
      </c>
      <c r="N238" s="1103">
        <f>SUMIFS('Schedule 4'!$F$89:$F$649,'Schedule 4'!$I$89:$I$649,'Well Cal.'!N$3,'Schedule 4'!$J$89:$J$649,'Well Cal.'!$E238)</f>
        <v>0</v>
      </c>
      <c r="O238" s="1103">
        <f>SUMIFS('Schedule 4'!$F$89:$F$649,'Schedule 4'!$I$89:$I$649,'Well Cal.'!O$3,'Schedule 4'!$J$89:$J$649,'Well Cal.'!$E238)</f>
        <v>0</v>
      </c>
      <c r="P238" s="1103">
        <f>SUMIFS('Schedule 4'!$F$89:$F$649,'Schedule 4'!$I$89:$I$649,'Well Cal.'!P$3,'Schedule 4'!$J$89:$J$649,'Well Cal.'!$E238)</f>
        <v>0</v>
      </c>
      <c r="Q238" s="1103">
        <f>SUMIFS('Schedule 4'!$F$89:$F$649,'Schedule 4'!$I$89:$I$649,'Well Cal.'!Q$3,'Schedule 4'!$J$89:$J$649,'Well Cal.'!$E238)</f>
        <v>0</v>
      </c>
      <c r="R238" s="1103">
        <f>SUMIFS('Schedule 4'!$F$89:$F$649,'Schedule 4'!$I$89:$I$649,'Well Cal.'!R$3,'Schedule 4'!$J$89:$J$649,'Well Cal.'!$E238)</f>
        <v>0</v>
      </c>
      <c r="S238" s="1103">
        <f>SUMIFS('Schedule 4'!$F$89:$F$649,'Schedule 4'!$I$89:$I$649,'Well Cal.'!S$3,'Schedule 4'!$J$89:$J$649,'Well Cal.'!$E238)</f>
        <v>0</v>
      </c>
      <c r="T238" s="1103">
        <f>SUMIFS('Schedule 4'!$F$89:$F$649,'Schedule 4'!$I$89:$I$649,'Well Cal.'!T$3,'Schedule 4'!$J$89:$J$649,'Well Cal.'!$E238)</f>
        <v>2.5</v>
      </c>
      <c r="U238" s="1103">
        <f>SUMIFS('Schedule 4'!$F$89:$F$649,'Schedule 4'!$I$89:$I$649,'Well Cal.'!U$3,'Schedule 4'!$J$89:$J$649,'Well Cal.'!$E238)</f>
        <v>0</v>
      </c>
      <c r="V238" s="1103">
        <f>SUMIFS('Schedule 4'!$F$89:$F$649,'Schedule 4'!$I$89:$I$649,'Well Cal.'!V$3,'Schedule 4'!$J$89:$J$649,'Well Cal.'!$E238)</f>
        <v>0</v>
      </c>
      <c r="W238" s="1103">
        <f>SUMIFS('Schedule 4'!$F$89:$F$649,'Schedule 4'!$I$89:$I$649,'Well Cal.'!W$3,'Schedule 4'!$J$89:$J$649,'Well Cal.'!$E238)</f>
        <v>0</v>
      </c>
      <c r="X238" s="1103">
        <f>SUMIFS('Schedule 4'!$F$89:$F$649,'Schedule 4'!$I$89:$I$649,'Well Cal.'!X$3,'Schedule 4'!$J$89:$J$649,'Well Cal.'!$E238)</f>
        <v>0</v>
      </c>
      <c r="Y238" s="1103">
        <f>SUMIFS('Schedule 4'!$F$89:$F$649,'Schedule 4'!$I$89:$I$649,'Well Cal.'!Y$3,'Schedule 4'!$J$89:$J$649,'Well Cal.'!$E238)</f>
        <v>0</v>
      </c>
      <c r="Z238" s="1103">
        <f>SUMIFS('Schedule 4'!$F$89:$F$649,'Schedule 4'!$I$89:$I$649,'Well Cal.'!Z$3,'Schedule 4'!$J$89:$J$649,'Well Cal.'!$E238)</f>
        <v>0</v>
      </c>
      <c r="AA238" s="1103"/>
      <c r="AB238" s="1714"/>
      <c r="AC238" s="1714"/>
      <c r="AF238" s="1099"/>
      <c r="AG238" s="1099"/>
      <c r="AH238" s="1099"/>
      <c r="AI238" s="1099"/>
      <c r="AJ238" s="1099"/>
      <c r="AK238" s="1099"/>
      <c r="AL238" s="1099"/>
      <c r="AN238" s="1099"/>
      <c r="AO238" s="1099"/>
    </row>
    <row r="239" spans="2:41" s="481" customFormat="1" x14ac:dyDescent="0.3">
      <c r="B239" s="1708"/>
      <c r="C239" s="1711"/>
      <c r="D239" s="1714"/>
      <c r="E239" s="1102" t="s">
        <v>3681</v>
      </c>
      <c r="F239" s="1103">
        <f>SUMIFS('Schedule 4'!$F$89:$F$649,'Schedule 4'!$I$89:$I$649,'Well Cal.'!F$3,'Schedule 4'!$J$89:$J$649,'Well Cal.'!$E239)</f>
        <v>0</v>
      </c>
      <c r="G239" s="1103">
        <f>SUMIFS('Schedule 4'!$F$89:$F$649,'Schedule 4'!$I$89:$I$649,'Well Cal.'!G$3,'Schedule 4'!$J$89:$J$649,'Well Cal.'!$E239)</f>
        <v>0</v>
      </c>
      <c r="H239" s="1103">
        <f>SUMIFS('Schedule 4'!$F$89:$F$649,'Schedule 4'!$I$89:$I$649,'Well Cal.'!H$3,'Schedule 4'!$J$89:$J$649,'Well Cal.'!$E239)</f>
        <v>0</v>
      </c>
      <c r="I239" s="1103">
        <f>SUMIFS('Schedule 4'!$F$89:$F$649,'Schedule 4'!$I$89:$I$649,'Well Cal.'!I$3,'Schedule 4'!$J$89:$J$649,'Well Cal.'!$E239)</f>
        <v>0</v>
      </c>
      <c r="J239" s="1103">
        <f>SUMIFS('Schedule 4'!$F$89:$F$649,'Schedule 4'!$I$89:$I$649,'Well Cal.'!J$3,'Schedule 4'!$J$89:$J$649,'Well Cal.'!$E239)</f>
        <v>0</v>
      </c>
      <c r="K239" s="1103">
        <f>SUMIFS('Schedule 4'!$F$89:$F$649,'Schedule 4'!$I$89:$I$649,'Well Cal.'!K$3,'Schedule 4'!$J$89:$J$649,'Well Cal.'!$E239)</f>
        <v>0</v>
      </c>
      <c r="L239" s="1103">
        <f>SUMIFS('Schedule 4'!$F$89:$F$649,'Schedule 4'!$I$89:$I$649,'Well Cal.'!L$3,'Schedule 4'!$J$89:$J$649,'Well Cal.'!$E239)</f>
        <v>0</v>
      </c>
      <c r="M239" s="1103">
        <f>SUMIFS('Schedule 4'!$F$89:$F$649,'Schedule 4'!$I$89:$I$649,'Well Cal.'!M$3,'Schedule 4'!$J$89:$J$649,'Well Cal.'!$E239)</f>
        <v>0</v>
      </c>
      <c r="N239" s="1103">
        <f>SUMIFS('Schedule 4'!$F$89:$F$649,'Schedule 4'!$I$89:$I$649,'Well Cal.'!N$3,'Schedule 4'!$J$89:$J$649,'Well Cal.'!$E239)</f>
        <v>0</v>
      </c>
      <c r="O239" s="1103">
        <f>SUMIFS('Schedule 4'!$F$89:$F$649,'Schedule 4'!$I$89:$I$649,'Well Cal.'!O$3,'Schedule 4'!$J$89:$J$649,'Well Cal.'!$E239)</f>
        <v>0</v>
      </c>
      <c r="P239" s="1103">
        <f>SUMIFS('Schedule 4'!$F$89:$F$649,'Schedule 4'!$I$89:$I$649,'Well Cal.'!P$3,'Schedule 4'!$J$89:$J$649,'Well Cal.'!$E239)</f>
        <v>0</v>
      </c>
      <c r="Q239" s="1103">
        <f>SUMIFS('Schedule 4'!$F$89:$F$649,'Schedule 4'!$I$89:$I$649,'Well Cal.'!Q$3,'Schedule 4'!$J$89:$J$649,'Well Cal.'!$E239)</f>
        <v>0</v>
      </c>
      <c r="R239" s="1103">
        <f>SUMIFS('Schedule 4'!$F$89:$F$649,'Schedule 4'!$I$89:$I$649,'Well Cal.'!R$3,'Schedule 4'!$J$89:$J$649,'Well Cal.'!$E239)</f>
        <v>0</v>
      </c>
      <c r="S239" s="1103">
        <f>SUMIFS('Schedule 4'!$F$89:$F$649,'Schedule 4'!$I$89:$I$649,'Well Cal.'!S$3,'Schedule 4'!$J$89:$J$649,'Well Cal.'!$E239)</f>
        <v>0</v>
      </c>
      <c r="T239" s="1103">
        <f>SUMIFS('Schedule 4'!$F$89:$F$649,'Schedule 4'!$I$89:$I$649,'Well Cal.'!T$3,'Schedule 4'!$J$89:$J$649,'Well Cal.'!$E239)</f>
        <v>0</v>
      </c>
      <c r="U239" s="1103">
        <f>SUMIFS('Schedule 4'!$F$89:$F$649,'Schedule 4'!$I$89:$I$649,'Well Cal.'!U$3,'Schedule 4'!$J$89:$J$649,'Well Cal.'!$E239)</f>
        <v>2.5</v>
      </c>
      <c r="V239" s="1103">
        <f>SUMIFS('Schedule 4'!$F$89:$F$649,'Schedule 4'!$I$89:$I$649,'Well Cal.'!V$3,'Schedule 4'!$J$89:$J$649,'Well Cal.'!$E239)</f>
        <v>0</v>
      </c>
      <c r="W239" s="1103">
        <f>SUMIFS('Schedule 4'!$F$89:$F$649,'Schedule 4'!$I$89:$I$649,'Well Cal.'!W$3,'Schedule 4'!$J$89:$J$649,'Well Cal.'!$E239)</f>
        <v>0</v>
      </c>
      <c r="X239" s="1103">
        <f>SUMIFS('Schedule 4'!$F$89:$F$649,'Schedule 4'!$I$89:$I$649,'Well Cal.'!X$3,'Schedule 4'!$J$89:$J$649,'Well Cal.'!$E239)</f>
        <v>0</v>
      </c>
      <c r="Y239" s="1103">
        <f>SUMIFS('Schedule 4'!$F$89:$F$649,'Schedule 4'!$I$89:$I$649,'Well Cal.'!Y$3,'Schedule 4'!$J$89:$J$649,'Well Cal.'!$E239)</f>
        <v>0</v>
      </c>
      <c r="Z239" s="1103">
        <f>SUMIFS('Schedule 4'!$F$89:$F$649,'Schedule 4'!$I$89:$I$649,'Well Cal.'!Z$3,'Schedule 4'!$J$89:$J$649,'Well Cal.'!$E239)</f>
        <v>0</v>
      </c>
      <c r="AA239" s="1103"/>
      <c r="AB239" s="1714"/>
      <c r="AC239" s="1714"/>
      <c r="AF239" s="1099"/>
      <c r="AG239" s="1099"/>
      <c r="AH239" s="1099"/>
      <c r="AI239" s="1099"/>
      <c r="AJ239" s="1099"/>
      <c r="AK239" s="1099"/>
      <c r="AL239" s="1099"/>
      <c r="AN239" s="1099"/>
      <c r="AO239" s="1099"/>
    </row>
    <row r="240" spans="2:41" s="481" customFormat="1" x14ac:dyDescent="0.3">
      <c r="B240" s="1708"/>
      <c r="C240" s="1711"/>
      <c r="D240" s="1714"/>
      <c r="E240" s="1102" t="s">
        <v>3794</v>
      </c>
      <c r="F240" s="1103">
        <f>SUMIFS('Schedule 4'!$F$89:$F$649,'Schedule 4'!$I$89:$I$649,'Well Cal.'!F$3,'Schedule 4'!$J$89:$J$649,'Well Cal.'!$E240)</f>
        <v>0</v>
      </c>
      <c r="G240" s="1103">
        <f>SUMIFS('Schedule 4'!$F$89:$F$649,'Schedule 4'!$I$89:$I$649,'Well Cal.'!G$3,'Schedule 4'!$J$89:$J$649,'Well Cal.'!$E240)</f>
        <v>0</v>
      </c>
      <c r="H240" s="1103">
        <f>SUMIFS('Schedule 4'!$F$89:$F$649,'Schedule 4'!$I$89:$I$649,'Well Cal.'!H$3,'Schedule 4'!$J$89:$J$649,'Well Cal.'!$E240)</f>
        <v>0</v>
      </c>
      <c r="I240" s="1103">
        <f>SUMIFS('Schedule 4'!$F$89:$F$649,'Schedule 4'!$I$89:$I$649,'Well Cal.'!I$3,'Schedule 4'!$J$89:$J$649,'Well Cal.'!$E240)</f>
        <v>0</v>
      </c>
      <c r="J240" s="1103">
        <f>SUMIFS('Schedule 4'!$F$89:$F$649,'Schedule 4'!$I$89:$I$649,'Well Cal.'!J$3,'Schedule 4'!$J$89:$J$649,'Well Cal.'!$E240)</f>
        <v>0</v>
      </c>
      <c r="K240" s="1103">
        <f>SUMIFS('Schedule 4'!$F$89:$F$649,'Schedule 4'!$I$89:$I$649,'Well Cal.'!K$3,'Schedule 4'!$J$89:$J$649,'Well Cal.'!$E240)</f>
        <v>0</v>
      </c>
      <c r="L240" s="1103">
        <f>SUMIFS('Schedule 4'!$F$89:$F$649,'Schedule 4'!$I$89:$I$649,'Well Cal.'!L$3,'Schedule 4'!$J$89:$J$649,'Well Cal.'!$E240)</f>
        <v>0</v>
      </c>
      <c r="M240" s="1103">
        <f>SUMIFS('Schedule 4'!$F$89:$F$649,'Schedule 4'!$I$89:$I$649,'Well Cal.'!M$3,'Schedule 4'!$J$89:$J$649,'Well Cal.'!$E240)</f>
        <v>0</v>
      </c>
      <c r="N240" s="1103">
        <f>SUMIFS('Schedule 4'!$F$89:$F$649,'Schedule 4'!$I$89:$I$649,'Well Cal.'!N$3,'Schedule 4'!$J$89:$J$649,'Well Cal.'!$E240)</f>
        <v>0</v>
      </c>
      <c r="O240" s="1103">
        <f>SUMIFS('Schedule 4'!$F$89:$F$649,'Schedule 4'!$I$89:$I$649,'Well Cal.'!O$3,'Schedule 4'!$J$89:$J$649,'Well Cal.'!$E240)</f>
        <v>0</v>
      </c>
      <c r="P240" s="1103">
        <f>SUMIFS('Schedule 4'!$F$89:$F$649,'Schedule 4'!$I$89:$I$649,'Well Cal.'!P$3,'Schedule 4'!$J$89:$J$649,'Well Cal.'!$E240)</f>
        <v>0</v>
      </c>
      <c r="Q240" s="1103">
        <f>SUMIFS('Schedule 4'!$F$89:$F$649,'Schedule 4'!$I$89:$I$649,'Well Cal.'!Q$3,'Schedule 4'!$J$89:$J$649,'Well Cal.'!$E240)</f>
        <v>0</v>
      </c>
      <c r="R240" s="1103">
        <f>SUMIFS('Schedule 4'!$F$89:$F$649,'Schedule 4'!$I$89:$I$649,'Well Cal.'!R$3,'Schedule 4'!$J$89:$J$649,'Well Cal.'!$E240)</f>
        <v>0</v>
      </c>
      <c r="S240" s="1103">
        <f>SUMIFS('Schedule 4'!$F$89:$F$649,'Schedule 4'!$I$89:$I$649,'Well Cal.'!S$3,'Schedule 4'!$J$89:$J$649,'Well Cal.'!$E240)</f>
        <v>0</v>
      </c>
      <c r="T240" s="1103">
        <f>SUMIFS('Schedule 4'!$F$89:$F$649,'Schedule 4'!$I$89:$I$649,'Well Cal.'!T$3,'Schedule 4'!$J$89:$J$649,'Well Cal.'!$E240)</f>
        <v>0</v>
      </c>
      <c r="U240" s="1103">
        <f>SUMIFS('Schedule 4'!$F$89:$F$649,'Schedule 4'!$I$89:$I$649,'Well Cal.'!U$3,'Schedule 4'!$J$89:$J$649,'Well Cal.'!$E240)</f>
        <v>3.32</v>
      </c>
      <c r="V240" s="1103">
        <f>SUMIFS('Schedule 4'!$F$89:$F$649,'Schedule 4'!$I$89:$I$649,'Well Cal.'!V$3,'Schedule 4'!$J$89:$J$649,'Well Cal.'!$E240)</f>
        <v>0</v>
      </c>
      <c r="W240" s="1103">
        <f>SUMIFS('Schedule 4'!$F$89:$F$649,'Schedule 4'!$I$89:$I$649,'Well Cal.'!W$3,'Schedule 4'!$J$89:$J$649,'Well Cal.'!$E240)</f>
        <v>0</v>
      </c>
      <c r="X240" s="1103">
        <f>SUMIFS('Schedule 4'!$F$89:$F$649,'Schedule 4'!$I$89:$I$649,'Well Cal.'!X$3,'Schedule 4'!$J$89:$J$649,'Well Cal.'!$E240)</f>
        <v>0</v>
      </c>
      <c r="Y240" s="1103">
        <f>SUMIFS('Schedule 4'!$F$89:$F$649,'Schedule 4'!$I$89:$I$649,'Well Cal.'!Y$3,'Schedule 4'!$J$89:$J$649,'Well Cal.'!$E240)</f>
        <v>0</v>
      </c>
      <c r="Z240" s="1103">
        <f>SUMIFS('Schedule 4'!$F$89:$F$649,'Schedule 4'!$I$89:$I$649,'Well Cal.'!Z$3,'Schedule 4'!$J$89:$J$649,'Well Cal.'!$E240)</f>
        <v>0</v>
      </c>
      <c r="AA240" s="1103"/>
      <c r="AB240" s="1714"/>
      <c r="AC240" s="1714"/>
      <c r="AF240" s="1099"/>
      <c r="AG240" s="1099"/>
      <c r="AH240" s="1099"/>
      <c r="AI240" s="1099"/>
      <c r="AJ240" s="1099"/>
      <c r="AK240" s="1099"/>
      <c r="AL240" s="1099"/>
      <c r="AN240" s="1099"/>
      <c r="AO240" s="1099"/>
    </row>
    <row r="241" spans="2:41" s="481" customFormat="1" x14ac:dyDescent="0.3">
      <c r="B241" s="1708"/>
      <c r="C241" s="1711"/>
      <c r="D241" s="1714"/>
      <c r="E241" s="1102" t="s">
        <v>3864</v>
      </c>
      <c r="F241" s="1103">
        <f>SUMIFS('Schedule 4'!$F$89:$F$649,'Schedule 4'!$I$89:$I$649,'Well Cal.'!F$3,'Schedule 4'!$J$89:$J$649,'Well Cal.'!$E241)</f>
        <v>0</v>
      </c>
      <c r="G241" s="1103">
        <f>SUMIFS('Schedule 4'!$F$89:$F$649,'Schedule 4'!$I$89:$I$649,'Well Cal.'!G$3,'Schedule 4'!$J$89:$J$649,'Well Cal.'!$E241)</f>
        <v>0</v>
      </c>
      <c r="H241" s="1103">
        <f>SUMIFS('Schedule 4'!$F$89:$F$649,'Schedule 4'!$I$89:$I$649,'Well Cal.'!H$3,'Schedule 4'!$J$89:$J$649,'Well Cal.'!$E241)</f>
        <v>0</v>
      </c>
      <c r="I241" s="1103">
        <f>SUMIFS('Schedule 4'!$F$89:$F$649,'Schedule 4'!$I$89:$I$649,'Well Cal.'!I$3,'Schedule 4'!$J$89:$J$649,'Well Cal.'!$E241)</f>
        <v>0</v>
      </c>
      <c r="J241" s="1103">
        <f>SUMIFS('Schedule 4'!$F$89:$F$649,'Schedule 4'!$I$89:$I$649,'Well Cal.'!J$3,'Schedule 4'!$J$89:$J$649,'Well Cal.'!$E241)</f>
        <v>0</v>
      </c>
      <c r="K241" s="1103">
        <f>SUMIFS('Schedule 4'!$F$89:$F$649,'Schedule 4'!$I$89:$I$649,'Well Cal.'!K$3,'Schedule 4'!$J$89:$J$649,'Well Cal.'!$E241)</f>
        <v>0</v>
      </c>
      <c r="L241" s="1103">
        <f>SUMIFS('Schedule 4'!$F$89:$F$649,'Schedule 4'!$I$89:$I$649,'Well Cal.'!L$3,'Schedule 4'!$J$89:$J$649,'Well Cal.'!$E241)</f>
        <v>0</v>
      </c>
      <c r="M241" s="1103">
        <f>SUMIFS('Schedule 4'!$F$89:$F$649,'Schedule 4'!$I$89:$I$649,'Well Cal.'!M$3,'Schedule 4'!$J$89:$J$649,'Well Cal.'!$E241)</f>
        <v>0</v>
      </c>
      <c r="N241" s="1103">
        <f>SUMIFS('Schedule 4'!$F$89:$F$649,'Schedule 4'!$I$89:$I$649,'Well Cal.'!N$3,'Schedule 4'!$J$89:$J$649,'Well Cal.'!$E241)</f>
        <v>0</v>
      </c>
      <c r="O241" s="1103">
        <f>SUMIFS('Schedule 4'!$F$89:$F$649,'Schedule 4'!$I$89:$I$649,'Well Cal.'!O$3,'Schedule 4'!$J$89:$J$649,'Well Cal.'!$E241)</f>
        <v>0</v>
      </c>
      <c r="P241" s="1103">
        <f>SUMIFS('Schedule 4'!$F$89:$F$649,'Schedule 4'!$I$89:$I$649,'Well Cal.'!P$3,'Schedule 4'!$J$89:$J$649,'Well Cal.'!$E241)</f>
        <v>0</v>
      </c>
      <c r="Q241" s="1103">
        <f>SUMIFS('Schedule 4'!$F$89:$F$649,'Schedule 4'!$I$89:$I$649,'Well Cal.'!Q$3,'Schedule 4'!$J$89:$J$649,'Well Cal.'!$E241)</f>
        <v>0</v>
      </c>
      <c r="R241" s="1103">
        <f>SUMIFS('Schedule 4'!$F$89:$F$649,'Schedule 4'!$I$89:$I$649,'Well Cal.'!R$3,'Schedule 4'!$J$89:$J$649,'Well Cal.'!$E241)</f>
        <v>0</v>
      </c>
      <c r="S241" s="1103">
        <f>SUMIFS('Schedule 4'!$F$89:$F$649,'Schedule 4'!$I$89:$I$649,'Well Cal.'!S$3,'Schedule 4'!$J$89:$J$649,'Well Cal.'!$E241)</f>
        <v>0</v>
      </c>
      <c r="T241" s="1103">
        <f>SUMIFS('Schedule 4'!$F$89:$F$649,'Schedule 4'!$I$89:$I$649,'Well Cal.'!T$3,'Schedule 4'!$J$89:$J$649,'Well Cal.'!$E241)</f>
        <v>0</v>
      </c>
      <c r="U241" s="1103">
        <f>SUMIFS('Schedule 4'!$F$89:$F$649,'Schedule 4'!$I$89:$I$649,'Well Cal.'!U$3,'Schedule 4'!$J$89:$J$649,'Well Cal.'!$E241)</f>
        <v>0</v>
      </c>
      <c r="V241" s="1103">
        <f>SUMIFS('Schedule 4'!$F$89:$F$649,'Schedule 4'!$I$89:$I$649,'Well Cal.'!V$3,'Schedule 4'!$J$89:$J$649,'Well Cal.'!$E241)</f>
        <v>2.5</v>
      </c>
      <c r="W241" s="1103">
        <f>SUMIFS('Schedule 4'!$F$89:$F$649,'Schedule 4'!$I$89:$I$649,'Well Cal.'!W$3,'Schedule 4'!$J$89:$J$649,'Well Cal.'!$E241)</f>
        <v>0</v>
      </c>
      <c r="X241" s="1103">
        <f>SUMIFS('Schedule 4'!$F$89:$F$649,'Schedule 4'!$I$89:$I$649,'Well Cal.'!X$3,'Schedule 4'!$J$89:$J$649,'Well Cal.'!$E241)</f>
        <v>0</v>
      </c>
      <c r="Y241" s="1103">
        <f>SUMIFS('Schedule 4'!$F$89:$F$649,'Schedule 4'!$I$89:$I$649,'Well Cal.'!Y$3,'Schedule 4'!$J$89:$J$649,'Well Cal.'!$E241)</f>
        <v>0</v>
      </c>
      <c r="Z241" s="1103">
        <f>SUMIFS('Schedule 4'!$F$89:$F$649,'Schedule 4'!$I$89:$I$649,'Well Cal.'!Z$3,'Schedule 4'!$J$89:$J$649,'Well Cal.'!$E241)</f>
        <v>0</v>
      </c>
      <c r="AA241" s="1103"/>
      <c r="AB241" s="1714"/>
      <c r="AC241" s="1714"/>
      <c r="AF241" s="1099"/>
      <c r="AG241" s="1099"/>
      <c r="AH241" s="1099"/>
      <c r="AI241" s="1099"/>
      <c r="AJ241" s="1099"/>
      <c r="AK241" s="1099"/>
      <c r="AL241" s="1099"/>
      <c r="AN241" s="1099"/>
      <c r="AO241" s="1099"/>
    </row>
    <row r="242" spans="2:41" s="481" customFormat="1" x14ac:dyDescent="0.3">
      <c r="B242" s="1708"/>
      <c r="C242" s="1711"/>
      <c r="D242" s="1714"/>
      <c r="E242" s="1102" t="s">
        <v>3932</v>
      </c>
      <c r="F242" s="1103">
        <f>SUMIFS('Schedule 4'!$F$89:$F$649,'Schedule 4'!$I$89:$I$649,'Well Cal.'!F$3,'Schedule 4'!$J$89:$J$649,'Well Cal.'!$E242)</f>
        <v>0</v>
      </c>
      <c r="G242" s="1103">
        <f>SUMIFS('Schedule 4'!$F$89:$F$649,'Schedule 4'!$I$89:$I$649,'Well Cal.'!G$3,'Schedule 4'!$J$89:$J$649,'Well Cal.'!$E242)</f>
        <v>0</v>
      </c>
      <c r="H242" s="1103">
        <f>SUMIFS('Schedule 4'!$F$89:$F$649,'Schedule 4'!$I$89:$I$649,'Well Cal.'!H$3,'Schedule 4'!$J$89:$J$649,'Well Cal.'!$E242)</f>
        <v>0</v>
      </c>
      <c r="I242" s="1103">
        <f>SUMIFS('Schedule 4'!$F$89:$F$649,'Schedule 4'!$I$89:$I$649,'Well Cal.'!I$3,'Schedule 4'!$J$89:$J$649,'Well Cal.'!$E242)</f>
        <v>0</v>
      </c>
      <c r="J242" s="1103">
        <f>SUMIFS('Schedule 4'!$F$89:$F$649,'Schedule 4'!$I$89:$I$649,'Well Cal.'!J$3,'Schedule 4'!$J$89:$J$649,'Well Cal.'!$E242)</f>
        <v>0</v>
      </c>
      <c r="K242" s="1103">
        <f>SUMIFS('Schedule 4'!$F$89:$F$649,'Schedule 4'!$I$89:$I$649,'Well Cal.'!K$3,'Schedule 4'!$J$89:$J$649,'Well Cal.'!$E242)</f>
        <v>0</v>
      </c>
      <c r="L242" s="1103">
        <f>SUMIFS('Schedule 4'!$F$89:$F$649,'Schedule 4'!$I$89:$I$649,'Well Cal.'!L$3,'Schedule 4'!$J$89:$J$649,'Well Cal.'!$E242)</f>
        <v>0</v>
      </c>
      <c r="M242" s="1103">
        <f>SUMIFS('Schedule 4'!$F$89:$F$649,'Schedule 4'!$I$89:$I$649,'Well Cal.'!M$3,'Schedule 4'!$J$89:$J$649,'Well Cal.'!$E242)</f>
        <v>0</v>
      </c>
      <c r="N242" s="1103">
        <f>SUMIFS('Schedule 4'!$F$89:$F$649,'Schedule 4'!$I$89:$I$649,'Well Cal.'!N$3,'Schedule 4'!$J$89:$J$649,'Well Cal.'!$E242)</f>
        <v>0</v>
      </c>
      <c r="O242" s="1103">
        <f>SUMIFS('Schedule 4'!$F$89:$F$649,'Schedule 4'!$I$89:$I$649,'Well Cal.'!O$3,'Schedule 4'!$J$89:$J$649,'Well Cal.'!$E242)</f>
        <v>0</v>
      </c>
      <c r="P242" s="1103">
        <f>SUMIFS('Schedule 4'!$F$89:$F$649,'Schedule 4'!$I$89:$I$649,'Well Cal.'!P$3,'Schedule 4'!$J$89:$J$649,'Well Cal.'!$E242)</f>
        <v>0</v>
      </c>
      <c r="Q242" s="1103">
        <f>SUMIFS('Schedule 4'!$F$89:$F$649,'Schedule 4'!$I$89:$I$649,'Well Cal.'!Q$3,'Schedule 4'!$J$89:$J$649,'Well Cal.'!$E242)</f>
        <v>0</v>
      </c>
      <c r="R242" s="1103">
        <f>SUMIFS('Schedule 4'!$F$89:$F$649,'Schedule 4'!$I$89:$I$649,'Well Cal.'!R$3,'Schedule 4'!$J$89:$J$649,'Well Cal.'!$E242)</f>
        <v>0</v>
      </c>
      <c r="S242" s="1103">
        <f>SUMIFS('Schedule 4'!$F$89:$F$649,'Schedule 4'!$I$89:$I$649,'Well Cal.'!S$3,'Schedule 4'!$J$89:$J$649,'Well Cal.'!$E242)</f>
        <v>0</v>
      </c>
      <c r="T242" s="1103">
        <f>SUMIFS('Schedule 4'!$F$89:$F$649,'Schedule 4'!$I$89:$I$649,'Well Cal.'!T$3,'Schedule 4'!$J$89:$J$649,'Well Cal.'!$E242)</f>
        <v>0</v>
      </c>
      <c r="U242" s="1103">
        <f>SUMIFS('Schedule 4'!$F$89:$F$649,'Schedule 4'!$I$89:$I$649,'Well Cal.'!U$3,'Schedule 4'!$J$89:$J$649,'Well Cal.'!$E242)</f>
        <v>0</v>
      </c>
      <c r="V242" s="1103">
        <f>SUMIFS('Schedule 4'!$F$89:$F$649,'Schedule 4'!$I$89:$I$649,'Well Cal.'!V$3,'Schedule 4'!$J$89:$J$649,'Well Cal.'!$E242)</f>
        <v>2.5</v>
      </c>
      <c r="W242" s="1103">
        <f>SUMIFS('Schedule 4'!$F$89:$F$649,'Schedule 4'!$I$89:$I$649,'Well Cal.'!W$3,'Schedule 4'!$J$89:$J$649,'Well Cal.'!$E242)</f>
        <v>0</v>
      </c>
      <c r="X242" s="1103">
        <f>SUMIFS('Schedule 4'!$F$89:$F$649,'Schedule 4'!$I$89:$I$649,'Well Cal.'!X$3,'Schedule 4'!$J$89:$J$649,'Well Cal.'!$E242)</f>
        <v>0</v>
      </c>
      <c r="Y242" s="1103">
        <f>SUMIFS('Schedule 4'!$F$89:$F$649,'Schedule 4'!$I$89:$I$649,'Well Cal.'!Y$3,'Schedule 4'!$J$89:$J$649,'Well Cal.'!$E242)</f>
        <v>0</v>
      </c>
      <c r="Z242" s="1103">
        <f>SUMIFS('Schedule 4'!$F$89:$F$649,'Schedule 4'!$I$89:$I$649,'Well Cal.'!Z$3,'Schedule 4'!$J$89:$J$649,'Well Cal.'!$E242)</f>
        <v>0</v>
      </c>
      <c r="AA242" s="1103"/>
      <c r="AB242" s="1714"/>
      <c r="AC242" s="1714"/>
      <c r="AF242" s="1099"/>
      <c r="AG242" s="1099"/>
      <c r="AH242" s="1099"/>
      <c r="AI242" s="1099"/>
      <c r="AJ242" s="1099"/>
      <c r="AK242" s="1099"/>
      <c r="AL242" s="1099"/>
      <c r="AN242" s="1099"/>
      <c r="AO242" s="1099"/>
    </row>
    <row r="243" spans="2:41" s="481" customFormat="1" x14ac:dyDescent="0.3">
      <c r="B243" s="1708"/>
      <c r="C243" s="1711"/>
      <c r="D243" s="1714"/>
      <c r="E243" s="1102" t="s">
        <v>4002</v>
      </c>
      <c r="F243" s="1103">
        <f>SUMIFS('Schedule 4'!$F$89:$F$649,'Schedule 4'!$I$89:$I$649,'Well Cal.'!F$3,'Schedule 4'!$J$89:$J$649,'Well Cal.'!$E243)</f>
        <v>0</v>
      </c>
      <c r="G243" s="1103">
        <f>SUMIFS('Schedule 4'!$F$89:$F$649,'Schedule 4'!$I$89:$I$649,'Well Cal.'!G$3,'Schedule 4'!$J$89:$J$649,'Well Cal.'!$E243)</f>
        <v>0</v>
      </c>
      <c r="H243" s="1103">
        <f>SUMIFS('Schedule 4'!$F$89:$F$649,'Schedule 4'!$I$89:$I$649,'Well Cal.'!H$3,'Schedule 4'!$J$89:$J$649,'Well Cal.'!$E243)</f>
        <v>0</v>
      </c>
      <c r="I243" s="1103">
        <f>SUMIFS('Schedule 4'!$F$89:$F$649,'Schedule 4'!$I$89:$I$649,'Well Cal.'!I$3,'Schedule 4'!$J$89:$J$649,'Well Cal.'!$E243)</f>
        <v>0</v>
      </c>
      <c r="J243" s="1103">
        <f>SUMIFS('Schedule 4'!$F$89:$F$649,'Schedule 4'!$I$89:$I$649,'Well Cal.'!J$3,'Schedule 4'!$J$89:$J$649,'Well Cal.'!$E243)</f>
        <v>0</v>
      </c>
      <c r="K243" s="1103">
        <f>SUMIFS('Schedule 4'!$F$89:$F$649,'Schedule 4'!$I$89:$I$649,'Well Cal.'!K$3,'Schedule 4'!$J$89:$J$649,'Well Cal.'!$E243)</f>
        <v>0</v>
      </c>
      <c r="L243" s="1103">
        <f>SUMIFS('Schedule 4'!$F$89:$F$649,'Schedule 4'!$I$89:$I$649,'Well Cal.'!L$3,'Schedule 4'!$J$89:$J$649,'Well Cal.'!$E243)</f>
        <v>0</v>
      </c>
      <c r="M243" s="1103">
        <f>SUMIFS('Schedule 4'!$F$89:$F$649,'Schedule 4'!$I$89:$I$649,'Well Cal.'!M$3,'Schedule 4'!$J$89:$J$649,'Well Cal.'!$E243)</f>
        <v>0</v>
      </c>
      <c r="N243" s="1103">
        <f>SUMIFS('Schedule 4'!$F$89:$F$649,'Schedule 4'!$I$89:$I$649,'Well Cal.'!N$3,'Schedule 4'!$J$89:$J$649,'Well Cal.'!$E243)</f>
        <v>0</v>
      </c>
      <c r="O243" s="1103">
        <f>SUMIFS('Schedule 4'!$F$89:$F$649,'Schedule 4'!$I$89:$I$649,'Well Cal.'!O$3,'Schedule 4'!$J$89:$J$649,'Well Cal.'!$E243)</f>
        <v>0</v>
      </c>
      <c r="P243" s="1103">
        <f>SUMIFS('Schedule 4'!$F$89:$F$649,'Schedule 4'!$I$89:$I$649,'Well Cal.'!P$3,'Schedule 4'!$J$89:$J$649,'Well Cal.'!$E243)</f>
        <v>0</v>
      </c>
      <c r="Q243" s="1103">
        <f>SUMIFS('Schedule 4'!$F$89:$F$649,'Schedule 4'!$I$89:$I$649,'Well Cal.'!Q$3,'Schedule 4'!$J$89:$J$649,'Well Cal.'!$E243)</f>
        <v>0</v>
      </c>
      <c r="R243" s="1103">
        <f>SUMIFS('Schedule 4'!$F$89:$F$649,'Schedule 4'!$I$89:$I$649,'Well Cal.'!R$3,'Schedule 4'!$J$89:$J$649,'Well Cal.'!$E243)</f>
        <v>0</v>
      </c>
      <c r="S243" s="1103">
        <f>SUMIFS('Schedule 4'!$F$89:$F$649,'Schedule 4'!$I$89:$I$649,'Well Cal.'!S$3,'Schedule 4'!$J$89:$J$649,'Well Cal.'!$E243)</f>
        <v>0</v>
      </c>
      <c r="T243" s="1103">
        <f>SUMIFS('Schedule 4'!$F$89:$F$649,'Schedule 4'!$I$89:$I$649,'Well Cal.'!T$3,'Schedule 4'!$J$89:$J$649,'Well Cal.'!$E243)</f>
        <v>0</v>
      </c>
      <c r="U243" s="1103">
        <f>SUMIFS('Schedule 4'!$F$89:$F$649,'Schedule 4'!$I$89:$I$649,'Well Cal.'!U$3,'Schedule 4'!$J$89:$J$649,'Well Cal.'!$E243)</f>
        <v>0</v>
      </c>
      <c r="V243" s="1103">
        <f>SUMIFS('Schedule 4'!$F$89:$F$649,'Schedule 4'!$I$89:$I$649,'Well Cal.'!V$3,'Schedule 4'!$J$89:$J$649,'Well Cal.'!$E243)</f>
        <v>2.5</v>
      </c>
      <c r="W243" s="1103">
        <f>SUMIFS('Schedule 4'!$F$89:$F$649,'Schedule 4'!$I$89:$I$649,'Well Cal.'!W$3,'Schedule 4'!$J$89:$J$649,'Well Cal.'!$E243)</f>
        <v>0</v>
      </c>
      <c r="X243" s="1103">
        <f>SUMIFS('Schedule 4'!$F$89:$F$649,'Schedule 4'!$I$89:$I$649,'Well Cal.'!X$3,'Schedule 4'!$J$89:$J$649,'Well Cal.'!$E243)</f>
        <v>0</v>
      </c>
      <c r="Y243" s="1103">
        <f>SUMIFS('Schedule 4'!$F$89:$F$649,'Schedule 4'!$I$89:$I$649,'Well Cal.'!Y$3,'Schedule 4'!$J$89:$J$649,'Well Cal.'!$E243)</f>
        <v>0</v>
      </c>
      <c r="Z243" s="1103">
        <f>SUMIFS('Schedule 4'!$F$89:$F$649,'Schedule 4'!$I$89:$I$649,'Well Cal.'!Z$3,'Schedule 4'!$J$89:$J$649,'Well Cal.'!$E243)</f>
        <v>0</v>
      </c>
      <c r="AA243" s="1103"/>
      <c r="AB243" s="1714"/>
      <c r="AC243" s="1714"/>
      <c r="AF243" s="1099"/>
      <c r="AG243" s="1099"/>
      <c r="AH243" s="1099"/>
      <c r="AI243" s="1099"/>
      <c r="AJ243" s="1099"/>
      <c r="AK243" s="1099"/>
      <c r="AL243" s="1099"/>
      <c r="AN243" s="1099"/>
      <c r="AO243" s="1099"/>
    </row>
    <row r="244" spans="2:41" s="481" customFormat="1" x14ac:dyDescent="0.3">
      <c r="B244" s="1708"/>
      <c r="C244" s="1711"/>
      <c r="D244" s="1714"/>
      <c r="E244" s="1102" t="s">
        <v>4078</v>
      </c>
      <c r="F244" s="1103">
        <f>SUMIFS('Schedule 4'!$F$89:$F$649,'Schedule 4'!$I$89:$I$649,'Well Cal.'!F$3,'Schedule 4'!$J$89:$J$649,'Well Cal.'!$E244)</f>
        <v>0</v>
      </c>
      <c r="G244" s="1103">
        <f>SUMIFS('Schedule 4'!$F$89:$F$649,'Schedule 4'!$I$89:$I$649,'Well Cal.'!G$3,'Schedule 4'!$J$89:$J$649,'Well Cal.'!$E244)</f>
        <v>0</v>
      </c>
      <c r="H244" s="1103">
        <f>SUMIFS('Schedule 4'!$F$89:$F$649,'Schedule 4'!$I$89:$I$649,'Well Cal.'!H$3,'Schedule 4'!$J$89:$J$649,'Well Cal.'!$E244)</f>
        <v>0</v>
      </c>
      <c r="I244" s="1103">
        <f>SUMIFS('Schedule 4'!$F$89:$F$649,'Schedule 4'!$I$89:$I$649,'Well Cal.'!I$3,'Schedule 4'!$J$89:$J$649,'Well Cal.'!$E244)</f>
        <v>0</v>
      </c>
      <c r="J244" s="1103">
        <f>SUMIFS('Schedule 4'!$F$89:$F$649,'Schedule 4'!$I$89:$I$649,'Well Cal.'!J$3,'Schedule 4'!$J$89:$J$649,'Well Cal.'!$E244)</f>
        <v>0</v>
      </c>
      <c r="K244" s="1103">
        <f>SUMIFS('Schedule 4'!$F$89:$F$649,'Schedule 4'!$I$89:$I$649,'Well Cal.'!K$3,'Schedule 4'!$J$89:$J$649,'Well Cal.'!$E244)</f>
        <v>0</v>
      </c>
      <c r="L244" s="1103">
        <f>SUMIFS('Schedule 4'!$F$89:$F$649,'Schedule 4'!$I$89:$I$649,'Well Cal.'!L$3,'Schedule 4'!$J$89:$J$649,'Well Cal.'!$E244)</f>
        <v>0</v>
      </c>
      <c r="M244" s="1103">
        <f>SUMIFS('Schedule 4'!$F$89:$F$649,'Schedule 4'!$I$89:$I$649,'Well Cal.'!M$3,'Schedule 4'!$J$89:$J$649,'Well Cal.'!$E244)</f>
        <v>0</v>
      </c>
      <c r="N244" s="1103">
        <f>SUMIFS('Schedule 4'!$F$89:$F$649,'Schedule 4'!$I$89:$I$649,'Well Cal.'!N$3,'Schedule 4'!$J$89:$J$649,'Well Cal.'!$E244)</f>
        <v>0</v>
      </c>
      <c r="O244" s="1103">
        <f>SUMIFS('Schedule 4'!$F$89:$F$649,'Schedule 4'!$I$89:$I$649,'Well Cal.'!O$3,'Schedule 4'!$J$89:$J$649,'Well Cal.'!$E244)</f>
        <v>0</v>
      </c>
      <c r="P244" s="1103">
        <f>SUMIFS('Schedule 4'!$F$89:$F$649,'Schedule 4'!$I$89:$I$649,'Well Cal.'!P$3,'Schedule 4'!$J$89:$J$649,'Well Cal.'!$E244)</f>
        <v>0</v>
      </c>
      <c r="Q244" s="1103">
        <f>SUMIFS('Schedule 4'!$F$89:$F$649,'Schedule 4'!$I$89:$I$649,'Well Cal.'!Q$3,'Schedule 4'!$J$89:$J$649,'Well Cal.'!$E244)</f>
        <v>0</v>
      </c>
      <c r="R244" s="1103">
        <f>SUMIFS('Schedule 4'!$F$89:$F$649,'Schedule 4'!$I$89:$I$649,'Well Cal.'!R$3,'Schedule 4'!$J$89:$J$649,'Well Cal.'!$E244)</f>
        <v>0</v>
      </c>
      <c r="S244" s="1103">
        <f>SUMIFS('Schedule 4'!$F$89:$F$649,'Schedule 4'!$I$89:$I$649,'Well Cal.'!S$3,'Schedule 4'!$J$89:$J$649,'Well Cal.'!$E244)</f>
        <v>0</v>
      </c>
      <c r="T244" s="1103">
        <f>SUMIFS('Schedule 4'!$F$89:$F$649,'Schedule 4'!$I$89:$I$649,'Well Cal.'!T$3,'Schedule 4'!$J$89:$J$649,'Well Cal.'!$E244)</f>
        <v>0</v>
      </c>
      <c r="U244" s="1103">
        <f>SUMIFS('Schedule 4'!$F$89:$F$649,'Schedule 4'!$I$89:$I$649,'Well Cal.'!U$3,'Schedule 4'!$J$89:$J$649,'Well Cal.'!$E244)</f>
        <v>0</v>
      </c>
      <c r="V244" s="1103">
        <f>SUMIFS('Schedule 4'!$F$89:$F$649,'Schedule 4'!$I$89:$I$649,'Well Cal.'!V$3,'Schedule 4'!$J$89:$J$649,'Well Cal.'!$E244)</f>
        <v>0</v>
      </c>
      <c r="W244" s="1103">
        <f>SUMIFS('Schedule 4'!$F$89:$F$649,'Schedule 4'!$I$89:$I$649,'Well Cal.'!W$3,'Schedule 4'!$J$89:$J$649,'Well Cal.'!$E244)</f>
        <v>2.8</v>
      </c>
      <c r="X244" s="1103">
        <f>SUMIFS('Schedule 4'!$F$89:$F$649,'Schedule 4'!$I$89:$I$649,'Well Cal.'!X$3,'Schedule 4'!$J$89:$J$649,'Well Cal.'!$E244)</f>
        <v>0</v>
      </c>
      <c r="Y244" s="1103">
        <f>SUMIFS('Schedule 4'!$F$89:$F$649,'Schedule 4'!$I$89:$I$649,'Well Cal.'!Y$3,'Schedule 4'!$J$89:$J$649,'Well Cal.'!$E244)</f>
        <v>0</v>
      </c>
      <c r="Z244" s="1103">
        <f>SUMIFS('Schedule 4'!$F$89:$F$649,'Schedule 4'!$I$89:$I$649,'Well Cal.'!Z$3,'Schedule 4'!$J$89:$J$649,'Well Cal.'!$E244)</f>
        <v>0</v>
      </c>
      <c r="AA244" s="1103"/>
      <c r="AB244" s="1714"/>
      <c r="AC244" s="1714"/>
      <c r="AF244" s="1099"/>
      <c r="AG244" s="1099"/>
      <c r="AH244" s="1099"/>
      <c r="AI244" s="1099"/>
      <c r="AJ244" s="1099"/>
      <c r="AK244" s="1099"/>
      <c r="AL244" s="1099"/>
      <c r="AN244" s="1099"/>
      <c r="AO244" s="1099"/>
    </row>
    <row r="245" spans="2:41" s="481" customFormat="1" x14ac:dyDescent="0.3">
      <c r="B245" s="1708"/>
      <c r="C245" s="1711"/>
      <c r="D245" s="1714"/>
      <c r="E245" s="1102" t="s">
        <v>4148</v>
      </c>
      <c r="F245" s="1103">
        <f>SUMIFS('Schedule 4'!$F$89:$F$649,'Schedule 4'!$I$89:$I$649,'Well Cal.'!F$3,'Schedule 4'!$J$89:$J$649,'Well Cal.'!$E245)</f>
        <v>0</v>
      </c>
      <c r="G245" s="1103">
        <f>SUMIFS('Schedule 4'!$F$89:$F$649,'Schedule 4'!$I$89:$I$649,'Well Cal.'!G$3,'Schedule 4'!$J$89:$J$649,'Well Cal.'!$E245)</f>
        <v>0</v>
      </c>
      <c r="H245" s="1103">
        <f>SUMIFS('Schedule 4'!$F$89:$F$649,'Schedule 4'!$I$89:$I$649,'Well Cal.'!H$3,'Schedule 4'!$J$89:$J$649,'Well Cal.'!$E245)</f>
        <v>0</v>
      </c>
      <c r="I245" s="1103">
        <f>SUMIFS('Schedule 4'!$F$89:$F$649,'Schedule 4'!$I$89:$I$649,'Well Cal.'!I$3,'Schedule 4'!$J$89:$J$649,'Well Cal.'!$E245)</f>
        <v>0</v>
      </c>
      <c r="J245" s="1103">
        <f>SUMIFS('Schedule 4'!$F$89:$F$649,'Schedule 4'!$I$89:$I$649,'Well Cal.'!J$3,'Schedule 4'!$J$89:$J$649,'Well Cal.'!$E245)</f>
        <v>0</v>
      </c>
      <c r="K245" s="1103">
        <f>SUMIFS('Schedule 4'!$F$89:$F$649,'Schedule 4'!$I$89:$I$649,'Well Cal.'!K$3,'Schedule 4'!$J$89:$J$649,'Well Cal.'!$E245)</f>
        <v>0</v>
      </c>
      <c r="L245" s="1103">
        <f>SUMIFS('Schedule 4'!$F$89:$F$649,'Schedule 4'!$I$89:$I$649,'Well Cal.'!L$3,'Schedule 4'!$J$89:$J$649,'Well Cal.'!$E245)</f>
        <v>0</v>
      </c>
      <c r="M245" s="1103">
        <f>SUMIFS('Schedule 4'!$F$89:$F$649,'Schedule 4'!$I$89:$I$649,'Well Cal.'!M$3,'Schedule 4'!$J$89:$J$649,'Well Cal.'!$E245)</f>
        <v>0</v>
      </c>
      <c r="N245" s="1103">
        <f>SUMIFS('Schedule 4'!$F$89:$F$649,'Schedule 4'!$I$89:$I$649,'Well Cal.'!N$3,'Schedule 4'!$J$89:$J$649,'Well Cal.'!$E245)</f>
        <v>0</v>
      </c>
      <c r="O245" s="1103">
        <f>SUMIFS('Schedule 4'!$F$89:$F$649,'Schedule 4'!$I$89:$I$649,'Well Cal.'!O$3,'Schedule 4'!$J$89:$J$649,'Well Cal.'!$E245)</f>
        <v>0</v>
      </c>
      <c r="P245" s="1103">
        <f>SUMIFS('Schedule 4'!$F$89:$F$649,'Schedule 4'!$I$89:$I$649,'Well Cal.'!P$3,'Schedule 4'!$J$89:$J$649,'Well Cal.'!$E245)</f>
        <v>0</v>
      </c>
      <c r="Q245" s="1103">
        <f>SUMIFS('Schedule 4'!$F$89:$F$649,'Schedule 4'!$I$89:$I$649,'Well Cal.'!Q$3,'Schedule 4'!$J$89:$J$649,'Well Cal.'!$E245)</f>
        <v>0</v>
      </c>
      <c r="R245" s="1103">
        <f>SUMIFS('Schedule 4'!$F$89:$F$649,'Schedule 4'!$I$89:$I$649,'Well Cal.'!R$3,'Schedule 4'!$J$89:$J$649,'Well Cal.'!$E245)</f>
        <v>0</v>
      </c>
      <c r="S245" s="1103">
        <f>SUMIFS('Schedule 4'!$F$89:$F$649,'Schedule 4'!$I$89:$I$649,'Well Cal.'!S$3,'Schedule 4'!$J$89:$J$649,'Well Cal.'!$E245)</f>
        <v>0</v>
      </c>
      <c r="T245" s="1103">
        <f>SUMIFS('Schedule 4'!$F$89:$F$649,'Schedule 4'!$I$89:$I$649,'Well Cal.'!T$3,'Schedule 4'!$J$89:$J$649,'Well Cal.'!$E245)</f>
        <v>0</v>
      </c>
      <c r="U245" s="1103">
        <f>SUMIFS('Schedule 4'!$F$89:$F$649,'Schedule 4'!$I$89:$I$649,'Well Cal.'!U$3,'Schedule 4'!$J$89:$J$649,'Well Cal.'!$E245)</f>
        <v>0</v>
      </c>
      <c r="V245" s="1103">
        <f>SUMIFS('Schedule 4'!$F$89:$F$649,'Schedule 4'!$I$89:$I$649,'Well Cal.'!V$3,'Schedule 4'!$J$89:$J$649,'Well Cal.'!$E245)</f>
        <v>0</v>
      </c>
      <c r="W245" s="1103">
        <f>SUMIFS('Schedule 4'!$F$89:$F$649,'Schedule 4'!$I$89:$I$649,'Well Cal.'!W$3,'Schedule 4'!$J$89:$J$649,'Well Cal.'!$E245)</f>
        <v>2.2000000000000002</v>
      </c>
      <c r="X245" s="1103">
        <f>SUMIFS('Schedule 4'!$F$89:$F$649,'Schedule 4'!$I$89:$I$649,'Well Cal.'!X$3,'Schedule 4'!$J$89:$J$649,'Well Cal.'!$E245)</f>
        <v>0</v>
      </c>
      <c r="Y245" s="1103">
        <f>SUMIFS('Schedule 4'!$F$89:$F$649,'Schedule 4'!$I$89:$I$649,'Well Cal.'!Y$3,'Schedule 4'!$J$89:$J$649,'Well Cal.'!$E245)</f>
        <v>0</v>
      </c>
      <c r="Z245" s="1103">
        <f>SUMIFS('Schedule 4'!$F$89:$F$649,'Schedule 4'!$I$89:$I$649,'Well Cal.'!Z$3,'Schedule 4'!$J$89:$J$649,'Well Cal.'!$E245)</f>
        <v>0</v>
      </c>
      <c r="AA245" s="1103"/>
      <c r="AB245" s="1714"/>
      <c r="AC245" s="1714"/>
      <c r="AF245" s="1099"/>
      <c r="AG245" s="1099"/>
      <c r="AH245" s="1099"/>
      <c r="AI245" s="1099"/>
      <c r="AJ245" s="1099"/>
      <c r="AK245" s="1099"/>
      <c r="AL245" s="1099"/>
      <c r="AN245" s="1099"/>
      <c r="AO245" s="1099"/>
    </row>
    <row r="246" spans="2:41" s="481" customFormat="1" x14ac:dyDescent="0.3">
      <c r="B246" s="1708"/>
      <c r="C246" s="1711"/>
      <c r="D246" s="1714"/>
      <c r="E246" s="1102" t="s">
        <v>4220</v>
      </c>
      <c r="F246" s="1103">
        <f>SUMIFS('Schedule 4'!$F$89:$F$649,'Schedule 4'!$I$89:$I$649,'Well Cal.'!F$3,'Schedule 4'!$J$89:$J$649,'Well Cal.'!$E246)</f>
        <v>0</v>
      </c>
      <c r="G246" s="1103">
        <f>SUMIFS('Schedule 4'!$F$89:$F$649,'Schedule 4'!$I$89:$I$649,'Well Cal.'!G$3,'Schedule 4'!$J$89:$J$649,'Well Cal.'!$E246)</f>
        <v>0</v>
      </c>
      <c r="H246" s="1103">
        <f>SUMIFS('Schedule 4'!$F$89:$F$649,'Schedule 4'!$I$89:$I$649,'Well Cal.'!H$3,'Schedule 4'!$J$89:$J$649,'Well Cal.'!$E246)</f>
        <v>0</v>
      </c>
      <c r="I246" s="1103">
        <f>SUMIFS('Schedule 4'!$F$89:$F$649,'Schedule 4'!$I$89:$I$649,'Well Cal.'!I$3,'Schedule 4'!$J$89:$J$649,'Well Cal.'!$E246)</f>
        <v>0</v>
      </c>
      <c r="J246" s="1103">
        <f>SUMIFS('Schedule 4'!$F$89:$F$649,'Schedule 4'!$I$89:$I$649,'Well Cal.'!J$3,'Schedule 4'!$J$89:$J$649,'Well Cal.'!$E246)</f>
        <v>0</v>
      </c>
      <c r="K246" s="1103">
        <f>SUMIFS('Schedule 4'!$F$89:$F$649,'Schedule 4'!$I$89:$I$649,'Well Cal.'!K$3,'Schedule 4'!$J$89:$J$649,'Well Cal.'!$E246)</f>
        <v>0</v>
      </c>
      <c r="L246" s="1103">
        <f>SUMIFS('Schedule 4'!$F$89:$F$649,'Schedule 4'!$I$89:$I$649,'Well Cal.'!L$3,'Schedule 4'!$J$89:$J$649,'Well Cal.'!$E246)</f>
        <v>0</v>
      </c>
      <c r="M246" s="1103">
        <f>SUMIFS('Schedule 4'!$F$89:$F$649,'Schedule 4'!$I$89:$I$649,'Well Cal.'!M$3,'Schedule 4'!$J$89:$J$649,'Well Cal.'!$E246)</f>
        <v>0</v>
      </c>
      <c r="N246" s="1103">
        <f>SUMIFS('Schedule 4'!$F$89:$F$649,'Schedule 4'!$I$89:$I$649,'Well Cal.'!N$3,'Schedule 4'!$J$89:$J$649,'Well Cal.'!$E246)</f>
        <v>0</v>
      </c>
      <c r="O246" s="1103">
        <f>SUMIFS('Schedule 4'!$F$89:$F$649,'Schedule 4'!$I$89:$I$649,'Well Cal.'!O$3,'Schedule 4'!$J$89:$J$649,'Well Cal.'!$E246)</f>
        <v>0</v>
      </c>
      <c r="P246" s="1103">
        <f>SUMIFS('Schedule 4'!$F$89:$F$649,'Schedule 4'!$I$89:$I$649,'Well Cal.'!P$3,'Schedule 4'!$J$89:$J$649,'Well Cal.'!$E246)</f>
        <v>0</v>
      </c>
      <c r="Q246" s="1103">
        <f>SUMIFS('Schedule 4'!$F$89:$F$649,'Schedule 4'!$I$89:$I$649,'Well Cal.'!Q$3,'Schedule 4'!$J$89:$J$649,'Well Cal.'!$E246)</f>
        <v>0</v>
      </c>
      <c r="R246" s="1103">
        <f>SUMIFS('Schedule 4'!$F$89:$F$649,'Schedule 4'!$I$89:$I$649,'Well Cal.'!R$3,'Schedule 4'!$J$89:$J$649,'Well Cal.'!$E246)</f>
        <v>0</v>
      </c>
      <c r="S246" s="1103">
        <f>SUMIFS('Schedule 4'!$F$89:$F$649,'Schedule 4'!$I$89:$I$649,'Well Cal.'!S$3,'Schedule 4'!$J$89:$J$649,'Well Cal.'!$E246)</f>
        <v>0</v>
      </c>
      <c r="T246" s="1103">
        <f>SUMIFS('Schedule 4'!$F$89:$F$649,'Schedule 4'!$I$89:$I$649,'Well Cal.'!T$3,'Schedule 4'!$J$89:$J$649,'Well Cal.'!$E246)</f>
        <v>0</v>
      </c>
      <c r="U246" s="1103">
        <f>SUMIFS('Schedule 4'!$F$89:$F$649,'Schedule 4'!$I$89:$I$649,'Well Cal.'!U$3,'Schedule 4'!$J$89:$J$649,'Well Cal.'!$E246)</f>
        <v>0</v>
      </c>
      <c r="V246" s="1103">
        <f>SUMIFS('Schedule 4'!$F$89:$F$649,'Schedule 4'!$I$89:$I$649,'Well Cal.'!V$3,'Schedule 4'!$J$89:$J$649,'Well Cal.'!$E246)</f>
        <v>0</v>
      </c>
      <c r="W246" s="1103">
        <f>SUMIFS('Schedule 4'!$F$89:$F$649,'Schedule 4'!$I$89:$I$649,'Well Cal.'!W$3,'Schedule 4'!$J$89:$J$649,'Well Cal.'!$E246)</f>
        <v>2.8</v>
      </c>
      <c r="X246" s="1103">
        <f>SUMIFS('Schedule 4'!$F$89:$F$649,'Schedule 4'!$I$89:$I$649,'Well Cal.'!X$3,'Schedule 4'!$J$89:$J$649,'Well Cal.'!$E246)</f>
        <v>0</v>
      </c>
      <c r="Y246" s="1103">
        <f>SUMIFS('Schedule 4'!$F$89:$F$649,'Schedule 4'!$I$89:$I$649,'Well Cal.'!Y$3,'Schedule 4'!$J$89:$J$649,'Well Cal.'!$E246)</f>
        <v>0</v>
      </c>
      <c r="Z246" s="1103">
        <f>SUMIFS('Schedule 4'!$F$89:$F$649,'Schedule 4'!$I$89:$I$649,'Well Cal.'!Z$3,'Schedule 4'!$J$89:$J$649,'Well Cal.'!$E246)</f>
        <v>0</v>
      </c>
      <c r="AA246" s="1103"/>
      <c r="AB246" s="1714"/>
      <c r="AC246" s="1714"/>
      <c r="AF246" s="1099"/>
      <c r="AG246" s="1099"/>
      <c r="AH246" s="1099"/>
      <c r="AI246" s="1099"/>
      <c r="AJ246" s="1099"/>
      <c r="AK246" s="1099"/>
      <c r="AL246" s="1099"/>
      <c r="AN246" s="1099"/>
      <c r="AO246" s="1099"/>
    </row>
    <row r="247" spans="2:41" s="481" customFormat="1" x14ac:dyDescent="0.3">
      <c r="B247" s="1708"/>
      <c r="C247" s="1711"/>
      <c r="D247" s="1714"/>
      <c r="E247" s="1102" t="s">
        <v>4290</v>
      </c>
      <c r="F247" s="1103">
        <f>SUMIFS('Schedule 4'!$F$89:$F$649,'Schedule 4'!$I$89:$I$649,'Well Cal.'!F$3,'Schedule 4'!$J$89:$J$649,'Well Cal.'!$E247)</f>
        <v>0</v>
      </c>
      <c r="G247" s="1103">
        <f>SUMIFS('Schedule 4'!$F$89:$F$649,'Schedule 4'!$I$89:$I$649,'Well Cal.'!G$3,'Schedule 4'!$J$89:$J$649,'Well Cal.'!$E247)</f>
        <v>0</v>
      </c>
      <c r="H247" s="1103">
        <f>SUMIFS('Schedule 4'!$F$89:$F$649,'Schedule 4'!$I$89:$I$649,'Well Cal.'!H$3,'Schedule 4'!$J$89:$J$649,'Well Cal.'!$E247)</f>
        <v>0</v>
      </c>
      <c r="I247" s="1103">
        <f>SUMIFS('Schedule 4'!$F$89:$F$649,'Schedule 4'!$I$89:$I$649,'Well Cal.'!I$3,'Schedule 4'!$J$89:$J$649,'Well Cal.'!$E247)</f>
        <v>0</v>
      </c>
      <c r="J247" s="1103">
        <f>SUMIFS('Schedule 4'!$F$89:$F$649,'Schedule 4'!$I$89:$I$649,'Well Cal.'!J$3,'Schedule 4'!$J$89:$J$649,'Well Cal.'!$E247)</f>
        <v>0</v>
      </c>
      <c r="K247" s="1103">
        <f>SUMIFS('Schedule 4'!$F$89:$F$649,'Schedule 4'!$I$89:$I$649,'Well Cal.'!K$3,'Schedule 4'!$J$89:$J$649,'Well Cal.'!$E247)</f>
        <v>0</v>
      </c>
      <c r="L247" s="1103">
        <f>SUMIFS('Schedule 4'!$F$89:$F$649,'Schedule 4'!$I$89:$I$649,'Well Cal.'!L$3,'Schedule 4'!$J$89:$J$649,'Well Cal.'!$E247)</f>
        <v>0</v>
      </c>
      <c r="M247" s="1103">
        <f>SUMIFS('Schedule 4'!$F$89:$F$649,'Schedule 4'!$I$89:$I$649,'Well Cal.'!M$3,'Schedule 4'!$J$89:$J$649,'Well Cal.'!$E247)</f>
        <v>0</v>
      </c>
      <c r="N247" s="1103">
        <f>SUMIFS('Schedule 4'!$F$89:$F$649,'Schedule 4'!$I$89:$I$649,'Well Cal.'!N$3,'Schedule 4'!$J$89:$J$649,'Well Cal.'!$E247)</f>
        <v>0</v>
      </c>
      <c r="O247" s="1103">
        <f>SUMIFS('Schedule 4'!$F$89:$F$649,'Schedule 4'!$I$89:$I$649,'Well Cal.'!O$3,'Schedule 4'!$J$89:$J$649,'Well Cal.'!$E247)</f>
        <v>0</v>
      </c>
      <c r="P247" s="1103">
        <f>SUMIFS('Schedule 4'!$F$89:$F$649,'Schedule 4'!$I$89:$I$649,'Well Cal.'!P$3,'Schedule 4'!$J$89:$J$649,'Well Cal.'!$E247)</f>
        <v>0</v>
      </c>
      <c r="Q247" s="1103">
        <f>SUMIFS('Schedule 4'!$F$89:$F$649,'Schedule 4'!$I$89:$I$649,'Well Cal.'!Q$3,'Schedule 4'!$J$89:$J$649,'Well Cal.'!$E247)</f>
        <v>0</v>
      </c>
      <c r="R247" s="1103">
        <f>SUMIFS('Schedule 4'!$F$89:$F$649,'Schedule 4'!$I$89:$I$649,'Well Cal.'!R$3,'Schedule 4'!$J$89:$J$649,'Well Cal.'!$E247)</f>
        <v>0</v>
      </c>
      <c r="S247" s="1103">
        <f>SUMIFS('Schedule 4'!$F$89:$F$649,'Schedule 4'!$I$89:$I$649,'Well Cal.'!S$3,'Schedule 4'!$J$89:$J$649,'Well Cal.'!$E247)</f>
        <v>0</v>
      </c>
      <c r="T247" s="1103">
        <f>SUMIFS('Schedule 4'!$F$89:$F$649,'Schedule 4'!$I$89:$I$649,'Well Cal.'!T$3,'Schedule 4'!$J$89:$J$649,'Well Cal.'!$E247)</f>
        <v>0</v>
      </c>
      <c r="U247" s="1103">
        <f>SUMIFS('Schedule 4'!$F$89:$F$649,'Schedule 4'!$I$89:$I$649,'Well Cal.'!U$3,'Schedule 4'!$J$89:$J$649,'Well Cal.'!$E247)</f>
        <v>0</v>
      </c>
      <c r="V247" s="1103">
        <f>SUMIFS('Schedule 4'!$F$89:$F$649,'Schedule 4'!$I$89:$I$649,'Well Cal.'!V$3,'Schedule 4'!$J$89:$J$649,'Well Cal.'!$E247)</f>
        <v>0</v>
      </c>
      <c r="W247" s="1103">
        <f>SUMIFS('Schedule 4'!$F$89:$F$649,'Schedule 4'!$I$89:$I$649,'Well Cal.'!W$3,'Schedule 4'!$J$89:$J$649,'Well Cal.'!$E247)</f>
        <v>0</v>
      </c>
      <c r="X247" s="1103">
        <f>SUMIFS('Schedule 4'!$F$89:$F$649,'Schedule 4'!$I$89:$I$649,'Well Cal.'!X$3,'Schedule 4'!$J$89:$J$649,'Well Cal.'!$E247)</f>
        <v>2.5</v>
      </c>
      <c r="Y247" s="1103">
        <f>SUMIFS('Schedule 4'!$F$89:$F$649,'Schedule 4'!$I$89:$I$649,'Well Cal.'!Y$3,'Schedule 4'!$J$89:$J$649,'Well Cal.'!$E247)</f>
        <v>0</v>
      </c>
      <c r="Z247" s="1103">
        <f>SUMIFS('Schedule 4'!$F$89:$F$649,'Schedule 4'!$I$89:$I$649,'Well Cal.'!Z$3,'Schedule 4'!$J$89:$J$649,'Well Cal.'!$E247)</f>
        <v>0</v>
      </c>
      <c r="AA247" s="1103"/>
      <c r="AB247" s="1714"/>
      <c r="AC247" s="1714"/>
      <c r="AF247" s="1099"/>
      <c r="AG247" s="1099"/>
      <c r="AH247" s="1099"/>
      <c r="AI247" s="1099"/>
      <c r="AJ247" s="1099"/>
      <c r="AK247" s="1099"/>
      <c r="AL247" s="1099"/>
      <c r="AN247" s="1099"/>
      <c r="AO247" s="1099"/>
    </row>
    <row r="248" spans="2:41" s="481" customFormat="1" x14ac:dyDescent="0.3">
      <c r="B248" s="1708"/>
      <c r="C248" s="1711"/>
      <c r="D248" s="1714"/>
      <c r="E248" s="1102" t="s">
        <v>4358</v>
      </c>
      <c r="F248" s="1103">
        <f>SUMIFS('Schedule 4'!$F$89:$F$649,'Schedule 4'!$I$89:$I$649,'Well Cal.'!F$3,'Schedule 4'!$J$89:$J$649,'Well Cal.'!$E248)</f>
        <v>0</v>
      </c>
      <c r="G248" s="1103">
        <f>SUMIFS('Schedule 4'!$F$89:$F$649,'Schedule 4'!$I$89:$I$649,'Well Cal.'!G$3,'Schedule 4'!$J$89:$J$649,'Well Cal.'!$E248)</f>
        <v>0</v>
      </c>
      <c r="H248" s="1103">
        <f>SUMIFS('Schedule 4'!$F$89:$F$649,'Schedule 4'!$I$89:$I$649,'Well Cal.'!H$3,'Schedule 4'!$J$89:$J$649,'Well Cal.'!$E248)</f>
        <v>0</v>
      </c>
      <c r="I248" s="1103">
        <f>SUMIFS('Schedule 4'!$F$89:$F$649,'Schedule 4'!$I$89:$I$649,'Well Cal.'!I$3,'Schedule 4'!$J$89:$J$649,'Well Cal.'!$E248)</f>
        <v>0</v>
      </c>
      <c r="J248" s="1103">
        <f>SUMIFS('Schedule 4'!$F$89:$F$649,'Schedule 4'!$I$89:$I$649,'Well Cal.'!J$3,'Schedule 4'!$J$89:$J$649,'Well Cal.'!$E248)</f>
        <v>0</v>
      </c>
      <c r="K248" s="1103">
        <f>SUMIFS('Schedule 4'!$F$89:$F$649,'Schedule 4'!$I$89:$I$649,'Well Cal.'!K$3,'Schedule 4'!$J$89:$J$649,'Well Cal.'!$E248)</f>
        <v>0</v>
      </c>
      <c r="L248" s="1103">
        <f>SUMIFS('Schedule 4'!$F$89:$F$649,'Schedule 4'!$I$89:$I$649,'Well Cal.'!L$3,'Schedule 4'!$J$89:$J$649,'Well Cal.'!$E248)</f>
        <v>0</v>
      </c>
      <c r="M248" s="1103">
        <f>SUMIFS('Schedule 4'!$F$89:$F$649,'Schedule 4'!$I$89:$I$649,'Well Cal.'!M$3,'Schedule 4'!$J$89:$J$649,'Well Cal.'!$E248)</f>
        <v>0</v>
      </c>
      <c r="N248" s="1103">
        <f>SUMIFS('Schedule 4'!$F$89:$F$649,'Schedule 4'!$I$89:$I$649,'Well Cal.'!N$3,'Schedule 4'!$J$89:$J$649,'Well Cal.'!$E248)</f>
        <v>0</v>
      </c>
      <c r="O248" s="1103">
        <f>SUMIFS('Schedule 4'!$F$89:$F$649,'Schedule 4'!$I$89:$I$649,'Well Cal.'!O$3,'Schedule 4'!$J$89:$J$649,'Well Cal.'!$E248)</f>
        <v>0</v>
      </c>
      <c r="P248" s="1103">
        <f>SUMIFS('Schedule 4'!$F$89:$F$649,'Schedule 4'!$I$89:$I$649,'Well Cal.'!P$3,'Schedule 4'!$J$89:$J$649,'Well Cal.'!$E248)</f>
        <v>0</v>
      </c>
      <c r="Q248" s="1103">
        <f>SUMIFS('Schedule 4'!$F$89:$F$649,'Schedule 4'!$I$89:$I$649,'Well Cal.'!Q$3,'Schedule 4'!$J$89:$J$649,'Well Cal.'!$E248)</f>
        <v>0</v>
      </c>
      <c r="R248" s="1103">
        <f>SUMIFS('Schedule 4'!$F$89:$F$649,'Schedule 4'!$I$89:$I$649,'Well Cal.'!R$3,'Schedule 4'!$J$89:$J$649,'Well Cal.'!$E248)</f>
        <v>0</v>
      </c>
      <c r="S248" s="1103">
        <f>SUMIFS('Schedule 4'!$F$89:$F$649,'Schedule 4'!$I$89:$I$649,'Well Cal.'!S$3,'Schedule 4'!$J$89:$J$649,'Well Cal.'!$E248)</f>
        <v>0</v>
      </c>
      <c r="T248" s="1103">
        <f>SUMIFS('Schedule 4'!$F$89:$F$649,'Schedule 4'!$I$89:$I$649,'Well Cal.'!T$3,'Schedule 4'!$J$89:$J$649,'Well Cal.'!$E248)</f>
        <v>0</v>
      </c>
      <c r="U248" s="1103">
        <f>SUMIFS('Schedule 4'!$F$89:$F$649,'Schedule 4'!$I$89:$I$649,'Well Cal.'!U$3,'Schedule 4'!$J$89:$J$649,'Well Cal.'!$E248)</f>
        <v>0</v>
      </c>
      <c r="V248" s="1103">
        <f>SUMIFS('Schedule 4'!$F$89:$F$649,'Schedule 4'!$I$89:$I$649,'Well Cal.'!V$3,'Schedule 4'!$J$89:$J$649,'Well Cal.'!$E248)</f>
        <v>0</v>
      </c>
      <c r="W248" s="1103">
        <f>SUMIFS('Schedule 4'!$F$89:$F$649,'Schedule 4'!$I$89:$I$649,'Well Cal.'!W$3,'Schedule 4'!$J$89:$J$649,'Well Cal.'!$E248)</f>
        <v>0</v>
      </c>
      <c r="X248" s="1103">
        <f>SUMIFS('Schedule 4'!$F$89:$F$649,'Schedule 4'!$I$89:$I$649,'Well Cal.'!X$3,'Schedule 4'!$J$89:$J$649,'Well Cal.'!$E248)</f>
        <v>2.5</v>
      </c>
      <c r="Y248" s="1103">
        <f>SUMIFS('Schedule 4'!$F$89:$F$649,'Schedule 4'!$I$89:$I$649,'Well Cal.'!Y$3,'Schedule 4'!$J$89:$J$649,'Well Cal.'!$E248)</f>
        <v>0</v>
      </c>
      <c r="Z248" s="1103">
        <f>SUMIFS('Schedule 4'!$F$89:$F$649,'Schedule 4'!$I$89:$I$649,'Well Cal.'!Z$3,'Schedule 4'!$J$89:$J$649,'Well Cal.'!$E248)</f>
        <v>0</v>
      </c>
      <c r="AA248" s="1103"/>
      <c r="AB248" s="1714"/>
      <c r="AC248" s="1714"/>
      <c r="AF248" s="1099"/>
      <c r="AG248" s="1099"/>
      <c r="AH248" s="1099"/>
      <c r="AI248" s="1099"/>
      <c r="AJ248" s="1099"/>
      <c r="AK248" s="1099"/>
      <c r="AL248" s="1099"/>
      <c r="AN248" s="1099"/>
      <c r="AO248" s="1099"/>
    </row>
    <row r="249" spans="2:41" s="481" customFormat="1" x14ac:dyDescent="0.3">
      <c r="B249" s="1708"/>
      <c r="C249" s="1711"/>
      <c r="D249" s="1714"/>
      <c r="E249" s="1102" t="s">
        <v>4419</v>
      </c>
      <c r="F249" s="1103">
        <f>SUMIFS('Schedule 4'!$F$89:$F$649,'Schedule 4'!$I$89:$I$649,'Well Cal.'!F$3,'Schedule 4'!$J$89:$J$649,'Well Cal.'!$E249)</f>
        <v>0</v>
      </c>
      <c r="G249" s="1103">
        <f>SUMIFS('Schedule 4'!$F$89:$F$649,'Schedule 4'!$I$89:$I$649,'Well Cal.'!G$3,'Schedule 4'!$J$89:$J$649,'Well Cal.'!$E249)</f>
        <v>0</v>
      </c>
      <c r="H249" s="1103">
        <f>SUMIFS('Schedule 4'!$F$89:$F$649,'Schedule 4'!$I$89:$I$649,'Well Cal.'!H$3,'Schedule 4'!$J$89:$J$649,'Well Cal.'!$E249)</f>
        <v>0</v>
      </c>
      <c r="I249" s="1103">
        <f>SUMIFS('Schedule 4'!$F$89:$F$649,'Schedule 4'!$I$89:$I$649,'Well Cal.'!I$3,'Schedule 4'!$J$89:$J$649,'Well Cal.'!$E249)</f>
        <v>0</v>
      </c>
      <c r="J249" s="1103">
        <f>SUMIFS('Schedule 4'!$F$89:$F$649,'Schedule 4'!$I$89:$I$649,'Well Cal.'!J$3,'Schedule 4'!$J$89:$J$649,'Well Cal.'!$E249)</f>
        <v>0</v>
      </c>
      <c r="K249" s="1103">
        <f>SUMIFS('Schedule 4'!$F$89:$F$649,'Schedule 4'!$I$89:$I$649,'Well Cal.'!K$3,'Schedule 4'!$J$89:$J$649,'Well Cal.'!$E249)</f>
        <v>0</v>
      </c>
      <c r="L249" s="1103">
        <f>SUMIFS('Schedule 4'!$F$89:$F$649,'Schedule 4'!$I$89:$I$649,'Well Cal.'!L$3,'Schedule 4'!$J$89:$J$649,'Well Cal.'!$E249)</f>
        <v>0</v>
      </c>
      <c r="M249" s="1103">
        <f>SUMIFS('Schedule 4'!$F$89:$F$649,'Schedule 4'!$I$89:$I$649,'Well Cal.'!M$3,'Schedule 4'!$J$89:$J$649,'Well Cal.'!$E249)</f>
        <v>0</v>
      </c>
      <c r="N249" s="1103">
        <f>SUMIFS('Schedule 4'!$F$89:$F$649,'Schedule 4'!$I$89:$I$649,'Well Cal.'!N$3,'Schedule 4'!$J$89:$J$649,'Well Cal.'!$E249)</f>
        <v>0</v>
      </c>
      <c r="O249" s="1103">
        <f>SUMIFS('Schedule 4'!$F$89:$F$649,'Schedule 4'!$I$89:$I$649,'Well Cal.'!O$3,'Schedule 4'!$J$89:$J$649,'Well Cal.'!$E249)</f>
        <v>0</v>
      </c>
      <c r="P249" s="1103">
        <f>SUMIFS('Schedule 4'!$F$89:$F$649,'Schedule 4'!$I$89:$I$649,'Well Cal.'!P$3,'Schedule 4'!$J$89:$J$649,'Well Cal.'!$E249)</f>
        <v>0</v>
      </c>
      <c r="Q249" s="1103">
        <f>SUMIFS('Schedule 4'!$F$89:$F$649,'Schedule 4'!$I$89:$I$649,'Well Cal.'!Q$3,'Schedule 4'!$J$89:$J$649,'Well Cal.'!$E249)</f>
        <v>0</v>
      </c>
      <c r="R249" s="1103">
        <f>SUMIFS('Schedule 4'!$F$89:$F$649,'Schedule 4'!$I$89:$I$649,'Well Cal.'!R$3,'Schedule 4'!$J$89:$J$649,'Well Cal.'!$E249)</f>
        <v>0</v>
      </c>
      <c r="S249" s="1103">
        <f>SUMIFS('Schedule 4'!$F$89:$F$649,'Schedule 4'!$I$89:$I$649,'Well Cal.'!S$3,'Schedule 4'!$J$89:$J$649,'Well Cal.'!$E249)</f>
        <v>0</v>
      </c>
      <c r="T249" s="1103">
        <f>SUMIFS('Schedule 4'!$F$89:$F$649,'Schedule 4'!$I$89:$I$649,'Well Cal.'!T$3,'Schedule 4'!$J$89:$J$649,'Well Cal.'!$E249)</f>
        <v>0</v>
      </c>
      <c r="U249" s="1103">
        <f>SUMIFS('Schedule 4'!$F$89:$F$649,'Schedule 4'!$I$89:$I$649,'Well Cal.'!U$3,'Schedule 4'!$J$89:$J$649,'Well Cal.'!$E249)</f>
        <v>0</v>
      </c>
      <c r="V249" s="1103">
        <f>SUMIFS('Schedule 4'!$F$89:$F$649,'Schedule 4'!$I$89:$I$649,'Well Cal.'!V$3,'Schedule 4'!$J$89:$J$649,'Well Cal.'!$E249)</f>
        <v>0</v>
      </c>
      <c r="W249" s="1103">
        <f>SUMIFS('Schedule 4'!$F$89:$F$649,'Schedule 4'!$I$89:$I$649,'Well Cal.'!W$3,'Schedule 4'!$J$89:$J$649,'Well Cal.'!$E249)</f>
        <v>0</v>
      </c>
      <c r="X249" s="1103">
        <f>SUMIFS('Schedule 4'!$F$89:$F$649,'Schedule 4'!$I$89:$I$649,'Well Cal.'!X$3,'Schedule 4'!$J$89:$J$649,'Well Cal.'!$E249)</f>
        <v>0</v>
      </c>
      <c r="Y249" s="1103">
        <f>SUMIFS('Schedule 4'!$F$89:$F$649,'Schedule 4'!$I$89:$I$649,'Well Cal.'!Y$3,'Schedule 4'!$J$89:$J$649,'Well Cal.'!$E249)</f>
        <v>2.5</v>
      </c>
      <c r="Z249" s="1103">
        <f>SUMIFS('Schedule 4'!$F$89:$F$649,'Schedule 4'!$I$89:$I$649,'Well Cal.'!Z$3,'Schedule 4'!$J$89:$J$649,'Well Cal.'!$E249)</f>
        <v>0</v>
      </c>
      <c r="AA249" s="1103"/>
      <c r="AB249" s="1714"/>
      <c r="AC249" s="1714"/>
      <c r="AF249" s="1099"/>
      <c r="AG249" s="1099"/>
      <c r="AH249" s="1099"/>
      <c r="AI249" s="1099"/>
      <c r="AJ249" s="1099"/>
      <c r="AK249" s="1099"/>
      <c r="AL249" s="1099"/>
      <c r="AN249" s="1099"/>
      <c r="AO249" s="1099"/>
    </row>
    <row r="250" spans="2:41" s="481" customFormat="1" x14ac:dyDescent="0.3">
      <c r="B250" s="1708"/>
      <c r="C250" s="1711"/>
      <c r="D250" s="1714"/>
      <c r="E250" s="1102" t="s">
        <v>6123</v>
      </c>
      <c r="F250" s="1103">
        <f>SUMIFS('Schedule 4'!$F$89:$F$649,'Schedule 4'!$I$89:$I$649,'Well Cal.'!F$3,'Schedule 4'!$J$89:$J$649,'Well Cal.'!$E250)</f>
        <v>0</v>
      </c>
      <c r="G250" s="1103">
        <f>SUMIFS('Schedule 4'!$F$89:$F$649,'Schedule 4'!$I$89:$I$649,'Well Cal.'!G$3,'Schedule 4'!$J$89:$J$649,'Well Cal.'!$E250)</f>
        <v>0</v>
      </c>
      <c r="H250" s="1103">
        <f>SUMIFS('Schedule 4'!$F$89:$F$649,'Schedule 4'!$I$89:$I$649,'Well Cal.'!H$3,'Schedule 4'!$J$89:$J$649,'Well Cal.'!$E250)</f>
        <v>0</v>
      </c>
      <c r="I250" s="1103">
        <f>SUMIFS('Schedule 4'!$F$89:$F$649,'Schedule 4'!$I$89:$I$649,'Well Cal.'!I$3,'Schedule 4'!$J$89:$J$649,'Well Cal.'!$E250)</f>
        <v>0</v>
      </c>
      <c r="J250" s="1103">
        <f>SUMIFS('Schedule 4'!$F$89:$F$649,'Schedule 4'!$I$89:$I$649,'Well Cal.'!J$3,'Schedule 4'!$J$89:$J$649,'Well Cal.'!$E250)</f>
        <v>0</v>
      </c>
      <c r="K250" s="1103">
        <f>SUMIFS('Schedule 4'!$F$89:$F$649,'Schedule 4'!$I$89:$I$649,'Well Cal.'!K$3,'Schedule 4'!$J$89:$J$649,'Well Cal.'!$E250)</f>
        <v>0</v>
      </c>
      <c r="L250" s="1103">
        <f>SUMIFS('Schedule 4'!$F$89:$F$649,'Schedule 4'!$I$89:$I$649,'Well Cal.'!L$3,'Schedule 4'!$J$89:$J$649,'Well Cal.'!$E250)</f>
        <v>0</v>
      </c>
      <c r="M250" s="1103">
        <f>SUMIFS('Schedule 4'!$F$89:$F$649,'Schedule 4'!$I$89:$I$649,'Well Cal.'!M$3,'Schedule 4'!$J$89:$J$649,'Well Cal.'!$E250)</f>
        <v>0</v>
      </c>
      <c r="N250" s="1103">
        <f>SUMIFS('Schedule 4'!$F$89:$F$649,'Schedule 4'!$I$89:$I$649,'Well Cal.'!N$3,'Schedule 4'!$J$89:$J$649,'Well Cal.'!$E250)</f>
        <v>0</v>
      </c>
      <c r="O250" s="1103">
        <f>SUMIFS('Schedule 4'!$F$89:$F$649,'Schedule 4'!$I$89:$I$649,'Well Cal.'!O$3,'Schedule 4'!$J$89:$J$649,'Well Cal.'!$E250)</f>
        <v>0</v>
      </c>
      <c r="P250" s="1103">
        <f>SUMIFS('Schedule 4'!$F$89:$F$649,'Schedule 4'!$I$89:$I$649,'Well Cal.'!P$3,'Schedule 4'!$J$89:$J$649,'Well Cal.'!$E250)</f>
        <v>0</v>
      </c>
      <c r="Q250" s="1103">
        <f>SUMIFS('Schedule 4'!$F$89:$F$649,'Schedule 4'!$I$89:$I$649,'Well Cal.'!Q$3,'Schedule 4'!$J$89:$J$649,'Well Cal.'!$E250)</f>
        <v>0</v>
      </c>
      <c r="R250" s="1103">
        <f>SUMIFS('Schedule 4'!$F$89:$F$649,'Schedule 4'!$I$89:$I$649,'Well Cal.'!R$3,'Schedule 4'!$J$89:$J$649,'Well Cal.'!$E250)</f>
        <v>0</v>
      </c>
      <c r="S250" s="1103">
        <f>SUMIFS('Schedule 4'!$F$89:$F$649,'Schedule 4'!$I$89:$I$649,'Well Cal.'!S$3,'Schedule 4'!$J$89:$J$649,'Well Cal.'!$E250)</f>
        <v>0</v>
      </c>
      <c r="T250" s="1103">
        <f>SUMIFS('Schedule 4'!$F$89:$F$649,'Schedule 4'!$I$89:$I$649,'Well Cal.'!T$3,'Schedule 4'!$J$89:$J$649,'Well Cal.'!$E250)</f>
        <v>0</v>
      </c>
      <c r="U250" s="1103">
        <f>SUMIFS('Schedule 4'!$F$89:$F$649,'Schedule 4'!$I$89:$I$649,'Well Cal.'!U$3,'Schedule 4'!$J$89:$J$649,'Well Cal.'!$E250)</f>
        <v>0</v>
      </c>
      <c r="V250" s="1103">
        <f>SUMIFS('Schedule 4'!$F$89:$F$649,'Schedule 4'!$I$89:$I$649,'Well Cal.'!V$3,'Schedule 4'!$J$89:$J$649,'Well Cal.'!$E250)</f>
        <v>0</v>
      </c>
      <c r="W250" s="1103">
        <f>SUMIFS('Schedule 4'!$F$89:$F$649,'Schedule 4'!$I$89:$I$649,'Well Cal.'!W$3,'Schedule 4'!$J$89:$J$649,'Well Cal.'!$E250)</f>
        <v>0</v>
      </c>
      <c r="X250" s="1103">
        <f>SUMIFS('Schedule 4'!$F$89:$F$649,'Schedule 4'!$I$89:$I$649,'Well Cal.'!X$3,'Schedule 4'!$J$89:$J$649,'Well Cal.'!$E250)</f>
        <v>0</v>
      </c>
      <c r="Y250" s="1103">
        <f>SUMIFS('Schedule 4'!$F$89:$F$649,'Schedule 4'!$I$89:$I$649,'Well Cal.'!Y$3,'Schedule 4'!$J$89:$J$649,'Well Cal.'!$E250)</f>
        <v>0</v>
      </c>
      <c r="Z250" s="1103">
        <f>SUMIFS('Schedule 4'!$F$89:$F$649,'Schedule 4'!$I$89:$I$649,'Well Cal.'!Z$3,'Schedule 4'!$J$89:$J$649,'Well Cal.'!$E250)</f>
        <v>0</v>
      </c>
      <c r="AA250" s="1103"/>
      <c r="AB250" s="1714"/>
      <c r="AC250" s="1714"/>
      <c r="AF250" s="1099"/>
      <c r="AG250" s="1099"/>
      <c r="AH250" s="1099"/>
      <c r="AI250" s="1099"/>
      <c r="AJ250" s="1099"/>
      <c r="AK250" s="1099"/>
      <c r="AL250" s="1099"/>
      <c r="AN250" s="1099"/>
      <c r="AO250" s="1099"/>
    </row>
    <row r="251" spans="2:41" s="481" customFormat="1" x14ac:dyDescent="0.3">
      <c r="B251" s="1709"/>
      <c r="C251" s="1712"/>
      <c r="D251" s="1715"/>
      <c r="E251" s="1102"/>
      <c r="F251" s="1103"/>
      <c r="G251" s="1103"/>
      <c r="H251" s="1103"/>
      <c r="I251" s="1103"/>
      <c r="J251" s="1103"/>
      <c r="K251" s="1103"/>
      <c r="L251" s="1103"/>
      <c r="M251" s="1103"/>
      <c r="N251" s="1103"/>
      <c r="O251" s="1103"/>
      <c r="P251" s="1103"/>
      <c r="Q251" s="1103"/>
      <c r="R251" s="1103"/>
      <c r="S251" s="1103"/>
      <c r="T251" s="1103"/>
      <c r="U251" s="1103"/>
      <c r="V251" s="1103"/>
      <c r="W251" s="1103"/>
      <c r="X251" s="1103"/>
      <c r="Y251" s="1103"/>
      <c r="Z251" s="1103"/>
      <c r="AA251" s="1103"/>
      <c r="AB251" s="1715"/>
      <c r="AC251" s="1715"/>
      <c r="AF251" s="1099"/>
      <c r="AG251" s="1099"/>
      <c r="AH251" s="1099"/>
      <c r="AI251" s="1099"/>
      <c r="AJ251" s="1099"/>
      <c r="AK251" s="1099"/>
      <c r="AL251" s="1099"/>
      <c r="AN251" s="1099"/>
      <c r="AO251" s="1099"/>
    </row>
    <row r="252" spans="2:41" x14ac:dyDescent="0.3">
      <c r="B252" s="1723" t="s">
        <v>1906</v>
      </c>
      <c r="C252" s="1726">
        <v>54.05</v>
      </c>
      <c r="D252" s="1720">
        <f>SUMIFS('Schedule 4'!$F$89:$F$649,'Schedule 4'!$K$89:$K$649,'Well Cal.'!$B252)</f>
        <v>54.96</v>
      </c>
      <c r="E252" s="754" t="s">
        <v>3171</v>
      </c>
      <c r="F252" s="728">
        <f>SUMIFS('Schedule 4'!$F$89:$F$649,'Schedule 4'!$I$89:$I$649,'Well Cal.'!F$3,'Schedule 4'!$J$89:$J$649,'Well Cal.'!$E252)</f>
        <v>0</v>
      </c>
      <c r="G252" s="728">
        <f>SUMIFS('Schedule 4'!$F$89:$F$649,'Schedule 4'!$I$89:$I$649,'Well Cal.'!G$3,'Schedule 4'!$J$89:$J$649,'Well Cal.'!$E252)</f>
        <v>0</v>
      </c>
      <c r="H252" s="728">
        <f>SUMIFS('Schedule 4'!$F$89:$F$649,'Schedule 4'!$I$89:$I$649,'Well Cal.'!H$3,'Schedule 4'!$J$89:$J$649,'Well Cal.'!$E252)</f>
        <v>0</v>
      </c>
      <c r="I252" s="728">
        <f>SUMIFS('Schedule 4'!$F$89:$F$649,'Schedule 4'!$I$89:$I$649,'Well Cal.'!I$3,'Schedule 4'!$J$89:$J$649,'Well Cal.'!$E252)</f>
        <v>6.2</v>
      </c>
      <c r="J252" s="728">
        <f>SUMIFS('Schedule 4'!$F$89:$F$649,'Schedule 4'!$I$89:$I$649,'Well Cal.'!J$3,'Schedule 4'!$J$89:$J$649,'Well Cal.'!$E252)</f>
        <v>0</v>
      </c>
      <c r="K252" s="728">
        <f>SUMIFS('Schedule 4'!$F$89:$F$649,'Schedule 4'!$I$89:$I$649,'Well Cal.'!K$3,'Schedule 4'!$J$89:$J$649,'Well Cal.'!$E252)</f>
        <v>0</v>
      </c>
      <c r="L252" s="728">
        <f>SUMIFS('Schedule 4'!$F$89:$F$649,'Schedule 4'!$I$89:$I$649,'Well Cal.'!L$3,'Schedule 4'!$J$89:$J$649,'Well Cal.'!$E252)</f>
        <v>0</v>
      </c>
      <c r="M252" s="728">
        <f>SUMIFS('Schedule 4'!$F$89:$F$649,'Schedule 4'!$I$89:$I$649,'Well Cal.'!M$3,'Schedule 4'!$J$89:$J$649,'Well Cal.'!$E252)</f>
        <v>0</v>
      </c>
      <c r="N252" s="728">
        <f>SUMIFS('Schedule 4'!$F$89:$F$649,'Schedule 4'!$I$89:$I$649,'Well Cal.'!N$3,'Schedule 4'!$J$89:$J$649,'Well Cal.'!$E252)</f>
        <v>0</v>
      </c>
      <c r="O252" s="728">
        <f>SUMIFS('Schedule 4'!$F$89:$F$649,'Schedule 4'!$I$89:$I$649,'Well Cal.'!O$3,'Schedule 4'!$J$89:$J$649,'Well Cal.'!$E252)</f>
        <v>0</v>
      </c>
      <c r="P252" s="728">
        <f>SUMIFS('Schedule 4'!$F$89:$F$649,'Schedule 4'!$I$89:$I$649,'Well Cal.'!P$3,'Schedule 4'!$J$89:$J$649,'Well Cal.'!$E252)</f>
        <v>0</v>
      </c>
      <c r="Q252" s="728">
        <f>SUMIFS('Schedule 4'!$F$89:$F$649,'Schedule 4'!$I$89:$I$649,'Well Cal.'!Q$3,'Schedule 4'!$J$89:$J$649,'Well Cal.'!$E252)</f>
        <v>0</v>
      </c>
      <c r="R252" s="728">
        <f>SUMIFS('Schedule 4'!$F$89:$F$649,'Schedule 4'!$I$89:$I$649,'Well Cal.'!R$3,'Schedule 4'!$J$89:$J$649,'Well Cal.'!$E252)</f>
        <v>0</v>
      </c>
      <c r="S252" s="728">
        <f>SUMIFS('Schedule 4'!$F$89:$F$649,'Schedule 4'!$I$89:$I$649,'Well Cal.'!S$3,'Schedule 4'!$J$89:$J$649,'Well Cal.'!$E252)</f>
        <v>0</v>
      </c>
      <c r="T252" s="728">
        <f>SUMIFS('Schedule 4'!$F$89:$F$649,'Schedule 4'!$I$89:$I$649,'Well Cal.'!T$3,'Schedule 4'!$J$89:$J$649,'Well Cal.'!$E252)</f>
        <v>0</v>
      </c>
      <c r="U252" s="728">
        <f>SUMIFS('Schedule 4'!$F$89:$F$649,'Schedule 4'!$I$89:$I$649,'Well Cal.'!U$3,'Schedule 4'!$J$89:$J$649,'Well Cal.'!$E252)</f>
        <v>0</v>
      </c>
      <c r="V252" s="728">
        <f>SUMIFS('Schedule 4'!$F$89:$F$649,'Schedule 4'!$I$89:$I$649,'Well Cal.'!V$3,'Schedule 4'!$J$89:$J$649,'Well Cal.'!$E252)</f>
        <v>0</v>
      </c>
      <c r="W252" s="728">
        <f>SUMIFS('Schedule 4'!$F$89:$F$649,'Schedule 4'!$I$89:$I$649,'Well Cal.'!W$3,'Schedule 4'!$J$89:$J$649,'Well Cal.'!$E252)</f>
        <v>0</v>
      </c>
      <c r="X252" s="728">
        <f>SUMIFS('Schedule 4'!$F$89:$F$649,'Schedule 4'!$I$89:$I$649,'Well Cal.'!X$3,'Schedule 4'!$J$89:$J$649,'Well Cal.'!$E252)</f>
        <v>0</v>
      </c>
      <c r="Y252" s="728">
        <f>SUMIFS('Schedule 4'!$F$89:$F$649,'Schedule 4'!$I$89:$I$649,'Well Cal.'!Y$3,'Schedule 4'!$J$89:$J$649,'Well Cal.'!$E252)</f>
        <v>0</v>
      </c>
      <c r="Z252" s="728">
        <f>SUMIFS('Schedule 4'!$F$89:$F$649,'Schedule 4'!$I$89:$I$649,'Well Cal.'!Z$3,'Schedule 4'!$J$89:$J$649,'Well Cal.'!$E252)</f>
        <v>0</v>
      </c>
      <c r="AA252" s="728"/>
      <c r="AB252" s="1729">
        <f>SUM(F252:AA273)</f>
        <v>52.96</v>
      </c>
      <c r="AC252" s="1729">
        <f>D252-AB252</f>
        <v>2</v>
      </c>
      <c r="AE252" s="481"/>
      <c r="AF252" s="1099"/>
      <c r="AG252" s="1099"/>
      <c r="AH252" s="1099"/>
    </row>
    <row r="253" spans="2:41" x14ac:dyDescent="0.3">
      <c r="B253" s="1724"/>
      <c r="C253" s="1727"/>
      <c r="D253" s="1721"/>
      <c r="E253" s="761" t="s">
        <v>3243</v>
      </c>
      <c r="F253" s="726">
        <f>SUMIFS('Schedule 4'!$F$89:$F$649,'Schedule 4'!$I$89:$I$649,'Well Cal.'!F$3,'Schedule 4'!$J$89:$J$649,'Well Cal.'!$E253)</f>
        <v>0</v>
      </c>
      <c r="G253" s="726">
        <f>SUMIFS('Schedule 4'!$F$89:$F$649,'Schedule 4'!$I$89:$I$649,'Well Cal.'!G$3,'Schedule 4'!$J$89:$J$649,'Well Cal.'!$E253)</f>
        <v>0</v>
      </c>
      <c r="H253" s="726">
        <f>SUMIFS('Schedule 4'!$F$89:$F$649,'Schedule 4'!$I$89:$I$649,'Well Cal.'!H$3,'Schedule 4'!$J$89:$J$649,'Well Cal.'!$E253)</f>
        <v>0</v>
      </c>
      <c r="I253" s="726">
        <f>SUMIFS('Schedule 4'!$F$89:$F$649,'Schedule 4'!$I$89:$I$649,'Well Cal.'!I$3,'Schedule 4'!$J$89:$J$649,'Well Cal.'!$E253)</f>
        <v>2.66</v>
      </c>
      <c r="J253" s="726">
        <f>SUMIFS('Schedule 4'!$F$89:$F$649,'Schedule 4'!$I$89:$I$649,'Well Cal.'!J$3,'Schedule 4'!$J$89:$J$649,'Well Cal.'!$E253)</f>
        <v>0</v>
      </c>
      <c r="K253" s="726">
        <f>SUMIFS('Schedule 4'!$F$89:$F$649,'Schedule 4'!$I$89:$I$649,'Well Cal.'!K$3,'Schedule 4'!$J$89:$J$649,'Well Cal.'!$E253)</f>
        <v>0</v>
      </c>
      <c r="L253" s="726">
        <f>SUMIFS('Schedule 4'!$F$89:$F$649,'Schedule 4'!$I$89:$I$649,'Well Cal.'!L$3,'Schedule 4'!$J$89:$J$649,'Well Cal.'!$E253)</f>
        <v>0</v>
      </c>
      <c r="M253" s="726">
        <f>SUMIFS('Schedule 4'!$F$89:$F$649,'Schedule 4'!$I$89:$I$649,'Well Cal.'!M$3,'Schedule 4'!$J$89:$J$649,'Well Cal.'!$E253)</f>
        <v>0</v>
      </c>
      <c r="N253" s="726">
        <f>SUMIFS('Schedule 4'!$F$89:$F$649,'Schedule 4'!$I$89:$I$649,'Well Cal.'!N$3,'Schedule 4'!$J$89:$J$649,'Well Cal.'!$E253)</f>
        <v>0</v>
      </c>
      <c r="O253" s="726">
        <f>SUMIFS('Schedule 4'!$F$89:$F$649,'Schedule 4'!$I$89:$I$649,'Well Cal.'!O$3,'Schedule 4'!$J$89:$J$649,'Well Cal.'!$E253)</f>
        <v>0</v>
      </c>
      <c r="P253" s="726">
        <f>SUMIFS('Schedule 4'!$F$89:$F$649,'Schedule 4'!$I$89:$I$649,'Well Cal.'!P$3,'Schedule 4'!$J$89:$J$649,'Well Cal.'!$E253)</f>
        <v>0</v>
      </c>
      <c r="Q253" s="726">
        <f>SUMIFS('Schedule 4'!$F$89:$F$649,'Schedule 4'!$I$89:$I$649,'Well Cal.'!Q$3,'Schedule 4'!$J$89:$J$649,'Well Cal.'!$E253)</f>
        <v>0</v>
      </c>
      <c r="R253" s="726">
        <f>SUMIFS('Schedule 4'!$F$89:$F$649,'Schedule 4'!$I$89:$I$649,'Well Cal.'!R$3,'Schedule 4'!$J$89:$J$649,'Well Cal.'!$E253)</f>
        <v>0</v>
      </c>
      <c r="S253" s="726">
        <f>SUMIFS('Schedule 4'!$F$89:$F$649,'Schedule 4'!$I$89:$I$649,'Well Cal.'!S$3,'Schedule 4'!$J$89:$J$649,'Well Cal.'!$E253)</f>
        <v>0</v>
      </c>
      <c r="T253" s="726">
        <f>SUMIFS('Schedule 4'!$F$89:$F$649,'Schedule 4'!$I$89:$I$649,'Well Cal.'!T$3,'Schedule 4'!$J$89:$J$649,'Well Cal.'!$E253)</f>
        <v>0</v>
      </c>
      <c r="U253" s="726">
        <f>SUMIFS('Schedule 4'!$F$89:$F$649,'Schedule 4'!$I$89:$I$649,'Well Cal.'!U$3,'Schedule 4'!$J$89:$J$649,'Well Cal.'!$E253)</f>
        <v>0</v>
      </c>
      <c r="V253" s="726">
        <f>SUMIFS('Schedule 4'!$F$89:$F$649,'Schedule 4'!$I$89:$I$649,'Well Cal.'!V$3,'Schedule 4'!$J$89:$J$649,'Well Cal.'!$E253)</f>
        <v>0</v>
      </c>
      <c r="W253" s="726">
        <f>SUMIFS('Schedule 4'!$F$89:$F$649,'Schedule 4'!$I$89:$I$649,'Well Cal.'!W$3,'Schedule 4'!$J$89:$J$649,'Well Cal.'!$E253)</f>
        <v>0</v>
      </c>
      <c r="X253" s="726">
        <f>SUMIFS('Schedule 4'!$F$89:$F$649,'Schedule 4'!$I$89:$I$649,'Well Cal.'!X$3,'Schedule 4'!$J$89:$J$649,'Well Cal.'!$E253)</f>
        <v>0</v>
      </c>
      <c r="Y253" s="726">
        <f>SUMIFS('Schedule 4'!$F$89:$F$649,'Schedule 4'!$I$89:$I$649,'Well Cal.'!Y$3,'Schedule 4'!$J$89:$J$649,'Well Cal.'!$E253)</f>
        <v>0</v>
      </c>
      <c r="Z253" s="726">
        <f>SUMIFS('Schedule 4'!$F$89:$F$649,'Schedule 4'!$I$89:$I$649,'Well Cal.'!Z$3,'Schedule 4'!$J$89:$J$649,'Well Cal.'!$E253)</f>
        <v>0</v>
      </c>
      <c r="AA253" s="726"/>
      <c r="AB253" s="1730"/>
      <c r="AC253" s="1730"/>
    </row>
    <row r="254" spans="2:41" x14ac:dyDescent="0.3">
      <c r="B254" s="1724"/>
      <c r="C254" s="1727"/>
      <c r="D254" s="1721"/>
      <c r="E254" s="761" t="s">
        <v>3332</v>
      </c>
      <c r="F254" s="726">
        <f>SUMIFS('Schedule 4'!$F$89:$F$649,'Schedule 4'!$I$89:$I$649,'Well Cal.'!F$3,'Schedule 4'!$J$89:$J$649,'Well Cal.'!$E254)</f>
        <v>0</v>
      </c>
      <c r="G254" s="726">
        <f>SUMIFS('Schedule 4'!$F$89:$F$649,'Schedule 4'!$I$89:$I$649,'Well Cal.'!G$3,'Schedule 4'!$J$89:$J$649,'Well Cal.'!$E254)</f>
        <v>0</v>
      </c>
      <c r="H254" s="726">
        <f>SUMIFS('Schedule 4'!$F$89:$F$649,'Schedule 4'!$I$89:$I$649,'Well Cal.'!H$3,'Schedule 4'!$J$89:$J$649,'Well Cal.'!$E254)</f>
        <v>0</v>
      </c>
      <c r="I254" s="726">
        <f>SUMIFS('Schedule 4'!$F$89:$F$649,'Schedule 4'!$I$89:$I$649,'Well Cal.'!I$3,'Schedule 4'!$J$89:$J$649,'Well Cal.'!$E254)</f>
        <v>0</v>
      </c>
      <c r="J254" s="726">
        <f>SUMIFS('Schedule 4'!$F$89:$F$649,'Schedule 4'!$I$89:$I$649,'Well Cal.'!J$3,'Schedule 4'!$J$89:$J$649,'Well Cal.'!$E254)</f>
        <v>2.4900000000000002</v>
      </c>
      <c r="K254" s="726">
        <f>SUMIFS('Schedule 4'!$F$89:$F$649,'Schedule 4'!$I$89:$I$649,'Well Cal.'!K$3,'Schedule 4'!$J$89:$J$649,'Well Cal.'!$E254)</f>
        <v>0</v>
      </c>
      <c r="L254" s="726">
        <f>SUMIFS('Schedule 4'!$F$89:$F$649,'Schedule 4'!$I$89:$I$649,'Well Cal.'!L$3,'Schedule 4'!$J$89:$J$649,'Well Cal.'!$E254)</f>
        <v>0</v>
      </c>
      <c r="M254" s="726">
        <f>SUMIFS('Schedule 4'!$F$89:$F$649,'Schedule 4'!$I$89:$I$649,'Well Cal.'!M$3,'Schedule 4'!$J$89:$J$649,'Well Cal.'!$E254)</f>
        <v>0</v>
      </c>
      <c r="N254" s="726">
        <f>SUMIFS('Schedule 4'!$F$89:$F$649,'Schedule 4'!$I$89:$I$649,'Well Cal.'!N$3,'Schedule 4'!$J$89:$J$649,'Well Cal.'!$E254)</f>
        <v>0</v>
      </c>
      <c r="O254" s="726">
        <f>SUMIFS('Schedule 4'!$F$89:$F$649,'Schedule 4'!$I$89:$I$649,'Well Cal.'!O$3,'Schedule 4'!$J$89:$J$649,'Well Cal.'!$E254)</f>
        <v>0</v>
      </c>
      <c r="P254" s="726">
        <f>SUMIFS('Schedule 4'!$F$89:$F$649,'Schedule 4'!$I$89:$I$649,'Well Cal.'!P$3,'Schedule 4'!$J$89:$J$649,'Well Cal.'!$E254)</f>
        <v>0</v>
      </c>
      <c r="Q254" s="726">
        <f>SUMIFS('Schedule 4'!$F$89:$F$649,'Schedule 4'!$I$89:$I$649,'Well Cal.'!Q$3,'Schedule 4'!$J$89:$J$649,'Well Cal.'!$E254)</f>
        <v>0</v>
      </c>
      <c r="R254" s="726">
        <f>SUMIFS('Schedule 4'!$F$89:$F$649,'Schedule 4'!$I$89:$I$649,'Well Cal.'!R$3,'Schedule 4'!$J$89:$J$649,'Well Cal.'!$E254)</f>
        <v>0</v>
      </c>
      <c r="S254" s="726">
        <f>SUMIFS('Schedule 4'!$F$89:$F$649,'Schedule 4'!$I$89:$I$649,'Well Cal.'!S$3,'Schedule 4'!$J$89:$J$649,'Well Cal.'!$E254)</f>
        <v>0</v>
      </c>
      <c r="T254" s="726">
        <f>SUMIFS('Schedule 4'!$F$89:$F$649,'Schedule 4'!$I$89:$I$649,'Well Cal.'!T$3,'Schedule 4'!$J$89:$J$649,'Well Cal.'!$E254)</f>
        <v>0</v>
      </c>
      <c r="U254" s="726">
        <f>SUMIFS('Schedule 4'!$F$89:$F$649,'Schedule 4'!$I$89:$I$649,'Well Cal.'!U$3,'Schedule 4'!$J$89:$J$649,'Well Cal.'!$E254)</f>
        <v>0</v>
      </c>
      <c r="V254" s="726">
        <f>SUMIFS('Schedule 4'!$F$89:$F$649,'Schedule 4'!$I$89:$I$649,'Well Cal.'!V$3,'Schedule 4'!$J$89:$J$649,'Well Cal.'!$E254)</f>
        <v>0</v>
      </c>
      <c r="W254" s="726">
        <f>SUMIFS('Schedule 4'!$F$89:$F$649,'Schedule 4'!$I$89:$I$649,'Well Cal.'!W$3,'Schedule 4'!$J$89:$J$649,'Well Cal.'!$E254)</f>
        <v>0</v>
      </c>
      <c r="X254" s="726">
        <f>SUMIFS('Schedule 4'!$F$89:$F$649,'Schedule 4'!$I$89:$I$649,'Well Cal.'!X$3,'Schedule 4'!$J$89:$J$649,'Well Cal.'!$E254)</f>
        <v>0</v>
      </c>
      <c r="Y254" s="726">
        <f>SUMIFS('Schedule 4'!$F$89:$F$649,'Schedule 4'!$I$89:$I$649,'Well Cal.'!Y$3,'Schedule 4'!$J$89:$J$649,'Well Cal.'!$E254)</f>
        <v>0</v>
      </c>
      <c r="Z254" s="726">
        <f>SUMIFS('Schedule 4'!$F$89:$F$649,'Schedule 4'!$I$89:$I$649,'Well Cal.'!Z$3,'Schedule 4'!$J$89:$J$649,'Well Cal.'!$E254)</f>
        <v>0</v>
      </c>
      <c r="AA254" s="726"/>
      <c r="AB254" s="1730"/>
      <c r="AC254" s="1730"/>
    </row>
    <row r="255" spans="2:41" x14ac:dyDescent="0.3">
      <c r="B255" s="1724"/>
      <c r="C255" s="1727"/>
      <c r="D255" s="1721"/>
      <c r="E255" s="775" t="s">
        <v>3403</v>
      </c>
      <c r="F255" s="727">
        <f>SUMIFS('Schedule 4'!$F$89:$F$649,'Schedule 4'!$I$89:$I$649,'Well Cal.'!F$3,'Schedule 4'!$J$89:$J$649,'Well Cal.'!$E255)</f>
        <v>0</v>
      </c>
      <c r="G255" s="727">
        <f>SUMIFS('Schedule 4'!$F$89:$F$649,'Schedule 4'!$I$89:$I$649,'Well Cal.'!G$3,'Schedule 4'!$J$89:$J$649,'Well Cal.'!$E255)</f>
        <v>0</v>
      </c>
      <c r="H255" s="727">
        <f>SUMIFS('Schedule 4'!$F$89:$F$649,'Schedule 4'!$I$89:$I$649,'Well Cal.'!H$3,'Schedule 4'!$J$89:$J$649,'Well Cal.'!$E255)</f>
        <v>0</v>
      </c>
      <c r="I255" s="727">
        <f>SUMIFS('Schedule 4'!$F$89:$F$649,'Schedule 4'!$I$89:$I$649,'Well Cal.'!I$3,'Schedule 4'!$J$89:$J$649,'Well Cal.'!$E255)</f>
        <v>0</v>
      </c>
      <c r="J255" s="727">
        <f>SUMIFS('Schedule 4'!$F$89:$F$649,'Schedule 4'!$I$89:$I$649,'Well Cal.'!J$3,'Schedule 4'!$J$89:$J$649,'Well Cal.'!$E255)</f>
        <v>2.5</v>
      </c>
      <c r="K255" s="727">
        <f>SUMIFS('Schedule 4'!$F$89:$F$649,'Schedule 4'!$I$89:$I$649,'Well Cal.'!K$3,'Schedule 4'!$J$89:$J$649,'Well Cal.'!$E255)</f>
        <v>0</v>
      </c>
      <c r="L255" s="727">
        <f>SUMIFS('Schedule 4'!$F$89:$F$649,'Schedule 4'!$I$89:$I$649,'Well Cal.'!L$3,'Schedule 4'!$J$89:$J$649,'Well Cal.'!$E255)</f>
        <v>0</v>
      </c>
      <c r="M255" s="727">
        <f>SUMIFS('Schedule 4'!$F$89:$F$649,'Schedule 4'!$I$89:$I$649,'Well Cal.'!M$3,'Schedule 4'!$J$89:$J$649,'Well Cal.'!$E255)</f>
        <v>0</v>
      </c>
      <c r="N255" s="727">
        <f>SUMIFS('Schedule 4'!$F$89:$F$649,'Schedule 4'!$I$89:$I$649,'Well Cal.'!N$3,'Schedule 4'!$J$89:$J$649,'Well Cal.'!$E255)</f>
        <v>0</v>
      </c>
      <c r="O255" s="727">
        <f>SUMIFS('Schedule 4'!$F$89:$F$649,'Schedule 4'!$I$89:$I$649,'Well Cal.'!O$3,'Schedule 4'!$J$89:$J$649,'Well Cal.'!$E255)</f>
        <v>0</v>
      </c>
      <c r="P255" s="727">
        <f>SUMIFS('Schedule 4'!$F$89:$F$649,'Schedule 4'!$I$89:$I$649,'Well Cal.'!P$3,'Schedule 4'!$J$89:$J$649,'Well Cal.'!$E255)</f>
        <v>0</v>
      </c>
      <c r="Q255" s="727">
        <f>SUMIFS('Schedule 4'!$F$89:$F$649,'Schedule 4'!$I$89:$I$649,'Well Cal.'!Q$3,'Schedule 4'!$J$89:$J$649,'Well Cal.'!$E255)</f>
        <v>0</v>
      </c>
      <c r="R255" s="727">
        <f>SUMIFS('Schedule 4'!$F$89:$F$649,'Schedule 4'!$I$89:$I$649,'Well Cal.'!R$3,'Schedule 4'!$J$89:$J$649,'Well Cal.'!$E255)</f>
        <v>0</v>
      </c>
      <c r="S255" s="727">
        <f>SUMIFS('Schedule 4'!$F$89:$F$649,'Schedule 4'!$I$89:$I$649,'Well Cal.'!S$3,'Schedule 4'!$J$89:$J$649,'Well Cal.'!$E255)</f>
        <v>0</v>
      </c>
      <c r="T255" s="727">
        <f>SUMIFS('Schedule 4'!$F$89:$F$649,'Schedule 4'!$I$89:$I$649,'Well Cal.'!T$3,'Schedule 4'!$J$89:$J$649,'Well Cal.'!$E255)</f>
        <v>0</v>
      </c>
      <c r="U255" s="727">
        <f>SUMIFS('Schedule 4'!$F$89:$F$649,'Schedule 4'!$I$89:$I$649,'Well Cal.'!U$3,'Schedule 4'!$J$89:$J$649,'Well Cal.'!$E255)</f>
        <v>0</v>
      </c>
      <c r="V255" s="727">
        <f>SUMIFS('Schedule 4'!$F$89:$F$649,'Schedule 4'!$I$89:$I$649,'Well Cal.'!V$3,'Schedule 4'!$J$89:$J$649,'Well Cal.'!$E255)</f>
        <v>0</v>
      </c>
      <c r="W255" s="727">
        <f>SUMIFS('Schedule 4'!$F$89:$F$649,'Schedule 4'!$I$89:$I$649,'Well Cal.'!W$3,'Schedule 4'!$J$89:$J$649,'Well Cal.'!$E255)</f>
        <v>0</v>
      </c>
      <c r="X255" s="727">
        <f>SUMIFS('Schedule 4'!$F$89:$F$649,'Schedule 4'!$I$89:$I$649,'Well Cal.'!X$3,'Schedule 4'!$J$89:$J$649,'Well Cal.'!$E255)</f>
        <v>0</v>
      </c>
      <c r="Y255" s="727">
        <f>SUMIFS('Schedule 4'!$F$89:$F$649,'Schedule 4'!$I$89:$I$649,'Well Cal.'!Y$3,'Schedule 4'!$J$89:$J$649,'Well Cal.'!$E255)</f>
        <v>0</v>
      </c>
      <c r="Z255" s="727">
        <f>SUMIFS('Schedule 4'!$F$89:$F$649,'Schedule 4'!$I$89:$I$649,'Well Cal.'!Z$3,'Schedule 4'!$J$89:$J$649,'Well Cal.'!$E255)</f>
        <v>0</v>
      </c>
      <c r="AA255" s="727"/>
      <c r="AB255" s="1730"/>
      <c r="AC255" s="1730"/>
    </row>
    <row r="256" spans="2:41" x14ac:dyDescent="0.3">
      <c r="B256" s="1724"/>
      <c r="C256" s="1727"/>
      <c r="D256" s="1721"/>
      <c r="E256" s="775" t="s">
        <v>3479</v>
      </c>
      <c r="F256" s="727">
        <f>SUMIFS('Schedule 4'!$F$89:$F$649,'Schedule 4'!$I$89:$I$649,'Well Cal.'!F$3,'Schedule 4'!$J$89:$J$649,'Well Cal.'!$E256)</f>
        <v>0</v>
      </c>
      <c r="G256" s="727">
        <f>SUMIFS('Schedule 4'!$F$89:$F$649,'Schedule 4'!$I$89:$I$649,'Well Cal.'!G$3,'Schedule 4'!$J$89:$J$649,'Well Cal.'!$E256)</f>
        <v>0</v>
      </c>
      <c r="H256" s="727">
        <f>SUMIFS('Schedule 4'!$F$89:$F$649,'Schedule 4'!$I$89:$I$649,'Well Cal.'!H$3,'Schedule 4'!$J$89:$J$649,'Well Cal.'!$E256)</f>
        <v>0</v>
      </c>
      <c r="I256" s="727">
        <f>SUMIFS('Schedule 4'!$F$89:$F$649,'Schedule 4'!$I$89:$I$649,'Well Cal.'!I$3,'Schedule 4'!$J$89:$J$649,'Well Cal.'!$E256)</f>
        <v>0</v>
      </c>
      <c r="J256" s="727">
        <f>SUMIFS('Schedule 4'!$F$89:$F$649,'Schedule 4'!$I$89:$I$649,'Well Cal.'!J$3,'Schedule 4'!$J$89:$J$649,'Well Cal.'!$E256)</f>
        <v>2.5</v>
      </c>
      <c r="K256" s="727">
        <f>SUMIFS('Schedule 4'!$F$89:$F$649,'Schedule 4'!$I$89:$I$649,'Well Cal.'!K$3,'Schedule 4'!$J$89:$J$649,'Well Cal.'!$E256)</f>
        <v>0</v>
      </c>
      <c r="L256" s="727">
        <f>SUMIFS('Schedule 4'!$F$89:$F$649,'Schedule 4'!$I$89:$I$649,'Well Cal.'!L$3,'Schedule 4'!$J$89:$J$649,'Well Cal.'!$E256)</f>
        <v>0</v>
      </c>
      <c r="M256" s="727">
        <f>SUMIFS('Schedule 4'!$F$89:$F$649,'Schedule 4'!$I$89:$I$649,'Well Cal.'!M$3,'Schedule 4'!$J$89:$J$649,'Well Cal.'!$E256)</f>
        <v>0</v>
      </c>
      <c r="N256" s="727">
        <f>SUMIFS('Schedule 4'!$F$89:$F$649,'Schedule 4'!$I$89:$I$649,'Well Cal.'!N$3,'Schedule 4'!$J$89:$J$649,'Well Cal.'!$E256)</f>
        <v>0</v>
      </c>
      <c r="O256" s="727">
        <f>SUMIFS('Schedule 4'!$F$89:$F$649,'Schedule 4'!$I$89:$I$649,'Well Cal.'!O$3,'Schedule 4'!$J$89:$J$649,'Well Cal.'!$E256)</f>
        <v>0</v>
      </c>
      <c r="P256" s="727">
        <f>SUMIFS('Schedule 4'!$F$89:$F$649,'Schedule 4'!$I$89:$I$649,'Well Cal.'!P$3,'Schedule 4'!$J$89:$J$649,'Well Cal.'!$E256)</f>
        <v>0</v>
      </c>
      <c r="Q256" s="727">
        <f>SUMIFS('Schedule 4'!$F$89:$F$649,'Schedule 4'!$I$89:$I$649,'Well Cal.'!Q$3,'Schedule 4'!$J$89:$J$649,'Well Cal.'!$E256)</f>
        <v>0</v>
      </c>
      <c r="R256" s="727">
        <f>SUMIFS('Schedule 4'!$F$89:$F$649,'Schedule 4'!$I$89:$I$649,'Well Cal.'!R$3,'Schedule 4'!$J$89:$J$649,'Well Cal.'!$E256)</f>
        <v>0</v>
      </c>
      <c r="S256" s="727">
        <f>SUMIFS('Schedule 4'!$F$89:$F$649,'Schedule 4'!$I$89:$I$649,'Well Cal.'!S$3,'Schedule 4'!$J$89:$J$649,'Well Cal.'!$E256)</f>
        <v>0</v>
      </c>
      <c r="T256" s="727">
        <f>SUMIFS('Schedule 4'!$F$89:$F$649,'Schedule 4'!$I$89:$I$649,'Well Cal.'!T$3,'Schedule 4'!$J$89:$J$649,'Well Cal.'!$E256)</f>
        <v>0</v>
      </c>
      <c r="U256" s="727">
        <f>SUMIFS('Schedule 4'!$F$89:$F$649,'Schedule 4'!$I$89:$I$649,'Well Cal.'!U$3,'Schedule 4'!$J$89:$J$649,'Well Cal.'!$E256)</f>
        <v>0</v>
      </c>
      <c r="V256" s="727">
        <f>SUMIFS('Schedule 4'!$F$89:$F$649,'Schedule 4'!$I$89:$I$649,'Well Cal.'!V$3,'Schedule 4'!$J$89:$J$649,'Well Cal.'!$E256)</f>
        <v>0</v>
      </c>
      <c r="W256" s="727">
        <f>SUMIFS('Schedule 4'!$F$89:$F$649,'Schedule 4'!$I$89:$I$649,'Well Cal.'!W$3,'Schedule 4'!$J$89:$J$649,'Well Cal.'!$E256)</f>
        <v>0</v>
      </c>
      <c r="X256" s="727">
        <f>SUMIFS('Schedule 4'!$F$89:$F$649,'Schedule 4'!$I$89:$I$649,'Well Cal.'!X$3,'Schedule 4'!$J$89:$J$649,'Well Cal.'!$E256)</f>
        <v>0</v>
      </c>
      <c r="Y256" s="727">
        <f>SUMIFS('Schedule 4'!$F$89:$F$649,'Schedule 4'!$I$89:$I$649,'Well Cal.'!Y$3,'Schedule 4'!$J$89:$J$649,'Well Cal.'!$E256)</f>
        <v>0</v>
      </c>
      <c r="Z256" s="727">
        <f>SUMIFS('Schedule 4'!$F$89:$F$649,'Schedule 4'!$I$89:$I$649,'Well Cal.'!Z$3,'Schedule 4'!$J$89:$J$649,'Well Cal.'!$E256)</f>
        <v>0</v>
      </c>
      <c r="AA256" s="727"/>
      <c r="AB256" s="1730"/>
      <c r="AC256" s="1730"/>
    </row>
    <row r="257" spans="2:31" x14ac:dyDescent="0.3">
      <c r="B257" s="1724"/>
      <c r="C257" s="1727"/>
      <c r="D257" s="1721"/>
      <c r="E257" s="775" t="s">
        <v>3562</v>
      </c>
      <c r="F257" s="727">
        <f>SUMIFS('Schedule 4'!$F$89:$F$649,'Schedule 4'!$I$89:$I$649,'Well Cal.'!F$3,'Schedule 4'!$J$89:$J$649,'Well Cal.'!$E257)</f>
        <v>0</v>
      </c>
      <c r="G257" s="727">
        <f>SUMIFS('Schedule 4'!$F$89:$F$649,'Schedule 4'!$I$89:$I$649,'Well Cal.'!G$3,'Schedule 4'!$J$89:$J$649,'Well Cal.'!$E257)</f>
        <v>0</v>
      </c>
      <c r="H257" s="727">
        <f>SUMIFS('Schedule 4'!$F$89:$F$649,'Schedule 4'!$I$89:$I$649,'Well Cal.'!H$3,'Schedule 4'!$J$89:$J$649,'Well Cal.'!$E257)</f>
        <v>0</v>
      </c>
      <c r="I257" s="727">
        <f>SUMIFS('Schedule 4'!$F$89:$F$649,'Schedule 4'!$I$89:$I$649,'Well Cal.'!I$3,'Schedule 4'!$J$89:$J$649,'Well Cal.'!$E257)</f>
        <v>0</v>
      </c>
      <c r="J257" s="727">
        <f>SUMIFS('Schedule 4'!$F$89:$F$649,'Schedule 4'!$I$89:$I$649,'Well Cal.'!J$3,'Schedule 4'!$J$89:$J$649,'Well Cal.'!$E257)</f>
        <v>0</v>
      </c>
      <c r="K257" s="727">
        <f>SUMIFS('Schedule 4'!$F$89:$F$649,'Schedule 4'!$I$89:$I$649,'Well Cal.'!K$3,'Schedule 4'!$J$89:$J$649,'Well Cal.'!$E257)</f>
        <v>2.5</v>
      </c>
      <c r="L257" s="727">
        <f>SUMIFS('Schedule 4'!$F$89:$F$649,'Schedule 4'!$I$89:$I$649,'Well Cal.'!L$3,'Schedule 4'!$J$89:$J$649,'Well Cal.'!$E257)</f>
        <v>0</v>
      </c>
      <c r="M257" s="727">
        <f>SUMIFS('Schedule 4'!$F$89:$F$649,'Schedule 4'!$I$89:$I$649,'Well Cal.'!M$3,'Schedule 4'!$J$89:$J$649,'Well Cal.'!$E257)</f>
        <v>0</v>
      </c>
      <c r="N257" s="727">
        <f>SUMIFS('Schedule 4'!$F$89:$F$649,'Schedule 4'!$I$89:$I$649,'Well Cal.'!N$3,'Schedule 4'!$J$89:$J$649,'Well Cal.'!$E257)</f>
        <v>0</v>
      </c>
      <c r="O257" s="727">
        <f>SUMIFS('Schedule 4'!$F$89:$F$649,'Schedule 4'!$I$89:$I$649,'Well Cal.'!O$3,'Schedule 4'!$J$89:$J$649,'Well Cal.'!$E257)</f>
        <v>0</v>
      </c>
      <c r="P257" s="727">
        <f>SUMIFS('Schedule 4'!$F$89:$F$649,'Schedule 4'!$I$89:$I$649,'Well Cal.'!P$3,'Schedule 4'!$J$89:$J$649,'Well Cal.'!$E257)</f>
        <v>0</v>
      </c>
      <c r="Q257" s="727">
        <f>SUMIFS('Schedule 4'!$F$89:$F$649,'Schedule 4'!$I$89:$I$649,'Well Cal.'!Q$3,'Schedule 4'!$J$89:$J$649,'Well Cal.'!$E257)</f>
        <v>0</v>
      </c>
      <c r="R257" s="727">
        <f>SUMIFS('Schedule 4'!$F$89:$F$649,'Schedule 4'!$I$89:$I$649,'Well Cal.'!R$3,'Schedule 4'!$J$89:$J$649,'Well Cal.'!$E257)</f>
        <v>0</v>
      </c>
      <c r="S257" s="727">
        <f>SUMIFS('Schedule 4'!$F$89:$F$649,'Schedule 4'!$I$89:$I$649,'Well Cal.'!S$3,'Schedule 4'!$J$89:$J$649,'Well Cal.'!$E257)</f>
        <v>0</v>
      </c>
      <c r="T257" s="727">
        <f>SUMIFS('Schedule 4'!$F$89:$F$649,'Schedule 4'!$I$89:$I$649,'Well Cal.'!T$3,'Schedule 4'!$J$89:$J$649,'Well Cal.'!$E257)</f>
        <v>0</v>
      </c>
      <c r="U257" s="727">
        <f>SUMIFS('Schedule 4'!$F$89:$F$649,'Schedule 4'!$I$89:$I$649,'Well Cal.'!U$3,'Schedule 4'!$J$89:$J$649,'Well Cal.'!$E257)</f>
        <v>0</v>
      </c>
      <c r="V257" s="727">
        <f>SUMIFS('Schedule 4'!$F$89:$F$649,'Schedule 4'!$I$89:$I$649,'Well Cal.'!V$3,'Schedule 4'!$J$89:$J$649,'Well Cal.'!$E257)</f>
        <v>0</v>
      </c>
      <c r="W257" s="727">
        <f>SUMIFS('Schedule 4'!$F$89:$F$649,'Schedule 4'!$I$89:$I$649,'Well Cal.'!W$3,'Schedule 4'!$J$89:$J$649,'Well Cal.'!$E257)</f>
        <v>0</v>
      </c>
      <c r="X257" s="727">
        <f>SUMIFS('Schedule 4'!$F$89:$F$649,'Schedule 4'!$I$89:$I$649,'Well Cal.'!X$3,'Schedule 4'!$J$89:$J$649,'Well Cal.'!$E257)</f>
        <v>0</v>
      </c>
      <c r="Y257" s="727">
        <f>SUMIFS('Schedule 4'!$F$89:$F$649,'Schedule 4'!$I$89:$I$649,'Well Cal.'!Y$3,'Schedule 4'!$J$89:$J$649,'Well Cal.'!$E257)</f>
        <v>0</v>
      </c>
      <c r="Z257" s="727">
        <f>SUMIFS('Schedule 4'!$F$89:$F$649,'Schedule 4'!$I$89:$I$649,'Well Cal.'!Z$3,'Schedule 4'!$J$89:$J$649,'Well Cal.'!$E257)</f>
        <v>0</v>
      </c>
      <c r="AA257" s="727"/>
      <c r="AB257" s="1730"/>
      <c r="AC257" s="1730"/>
    </row>
    <row r="258" spans="2:31" x14ac:dyDescent="0.3">
      <c r="B258" s="1724"/>
      <c r="C258" s="1727"/>
      <c r="D258" s="1721"/>
      <c r="E258" s="775" t="s">
        <v>3631</v>
      </c>
      <c r="F258" s="727">
        <f>SUMIFS('Schedule 4'!$F$89:$F$649,'Schedule 4'!$I$89:$I$649,'Well Cal.'!F$3,'Schedule 4'!$J$89:$J$649,'Well Cal.'!$E258)</f>
        <v>0</v>
      </c>
      <c r="G258" s="727">
        <f>SUMIFS('Schedule 4'!$F$89:$F$649,'Schedule 4'!$I$89:$I$649,'Well Cal.'!G$3,'Schedule 4'!$J$89:$J$649,'Well Cal.'!$E258)</f>
        <v>0</v>
      </c>
      <c r="H258" s="727">
        <f>SUMIFS('Schedule 4'!$F$89:$F$649,'Schedule 4'!$I$89:$I$649,'Well Cal.'!H$3,'Schedule 4'!$J$89:$J$649,'Well Cal.'!$E258)</f>
        <v>0</v>
      </c>
      <c r="I258" s="727">
        <f>SUMIFS('Schedule 4'!$F$89:$F$649,'Schedule 4'!$I$89:$I$649,'Well Cal.'!I$3,'Schedule 4'!$J$89:$J$649,'Well Cal.'!$E258)</f>
        <v>0</v>
      </c>
      <c r="J258" s="727">
        <f>SUMIFS('Schedule 4'!$F$89:$F$649,'Schedule 4'!$I$89:$I$649,'Well Cal.'!J$3,'Schedule 4'!$J$89:$J$649,'Well Cal.'!$E258)</f>
        <v>0</v>
      </c>
      <c r="K258" s="727">
        <f>SUMIFS('Schedule 4'!$F$89:$F$649,'Schedule 4'!$I$89:$I$649,'Well Cal.'!K$3,'Schedule 4'!$J$89:$J$649,'Well Cal.'!$E258)</f>
        <v>2.5</v>
      </c>
      <c r="L258" s="727">
        <f>SUMIFS('Schedule 4'!$F$89:$F$649,'Schedule 4'!$I$89:$I$649,'Well Cal.'!L$3,'Schedule 4'!$J$89:$J$649,'Well Cal.'!$E258)</f>
        <v>0</v>
      </c>
      <c r="M258" s="727">
        <f>SUMIFS('Schedule 4'!$F$89:$F$649,'Schedule 4'!$I$89:$I$649,'Well Cal.'!M$3,'Schedule 4'!$J$89:$J$649,'Well Cal.'!$E258)</f>
        <v>0</v>
      </c>
      <c r="N258" s="727">
        <f>SUMIFS('Schedule 4'!$F$89:$F$649,'Schedule 4'!$I$89:$I$649,'Well Cal.'!N$3,'Schedule 4'!$J$89:$J$649,'Well Cal.'!$E258)</f>
        <v>0</v>
      </c>
      <c r="O258" s="727">
        <f>SUMIFS('Schedule 4'!$F$89:$F$649,'Schedule 4'!$I$89:$I$649,'Well Cal.'!O$3,'Schedule 4'!$J$89:$J$649,'Well Cal.'!$E258)</f>
        <v>0</v>
      </c>
      <c r="P258" s="727">
        <f>SUMIFS('Schedule 4'!$F$89:$F$649,'Schedule 4'!$I$89:$I$649,'Well Cal.'!P$3,'Schedule 4'!$J$89:$J$649,'Well Cal.'!$E258)</f>
        <v>0</v>
      </c>
      <c r="Q258" s="727">
        <f>SUMIFS('Schedule 4'!$F$89:$F$649,'Schedule 4'!$I$89:$I$649,'Well Cal.'!Q$3,'Schedule 4'!$J$89:$J$649,'Well Cal.'!$E258)</f>
        <v>0</v>
      </c>
      <c r="R258" s="727">
        <f>SUMIFS('Schedule 4'!$F$89:$F$649,'Schedule 4'!$I$89:$I$649,'Well Cal.'!R$3,'Schedule 4'!$J$89:$J$649,'Well Cal.'!$E258)</f>
        <v>0</v>
      </c>
      <c r="S258" s="727">
        <f>SUMIFS('Schedule 4'!$F$89:$F$649,'Schedule 4'!$I$89:$I$649,'Well Cal.'!S$3,'Schedule 4'!$J$89:$J$649,'Well Cal.'!$E258)</f>
        <v>0</v>
      </c>
      <c r="T258" s="727">
        <f>SUMIFS('Schedule 4'!$F$89:$F$649,'Schedule 4'!$I$89:$I$649,'Well Cal.'!T$3,'Schedule 4'!$J$89:$J$649,'Well Cal.'!$E258)</f>
        <v>0</v>
      </c>
      <c r="U258" s="727">
        <f>SUMIFS('Schedule 4'!$F$89:$F$649,'Schedule 4'!$I$89:$I$649,'Well Cal.'!U$3,'Schedule 4'!$J$89:$J$649,'Well Cal.'!$E258)</f>
        <v>0</v>
      </c>
      <c r="V258" s="727">
        <f>SUMIFS('Schedule 4'!$F$89:$F$649,'Schedule 4'!$I$89:$I$649,'Well Cal.'!V$3,'Schedule 4'!$J$89:$J$649,'Well Cal.'!$E258)</f>
        <v>0</v>
      </c>
      <c r="W258" s="727">
        <f>SUMIFS('Schedule 4'!$F$89:$F$649,'Schedule 4'!$I$89:$I$649,'Well Cal.'!W$3,'Schedule 4'!$J$89:$J$649,'Well Cal.'!$E258)</f>
        <v>0</v>
      </c>
      <c r="X258" s="727">
        <f>SUMIFS('Schedule 4'!$F$89:$F$649,'Schedule 4'!$I$89:$I$649,'Well Cal.'!X$3,'Schedule 4'!$J$89:$J$649,'Well Cal.'!$E258)</f>
        <v>0</v>
      </c>
      <c r="Y258" s="727">
        <f>SUMIFS('Schedule 4'!$F$89:$F$649,'Schedule 4'!$I$89:$I$649,'Well Cal.'!Y$3,'Schedule 4'!$J$89:$J$649,'Well Cal.'!$E258)</f>
        <v>0</v>
      </c>
      <c r="Z258" s="727">
        <f>SUMIFS('Schedule 4'!$F$89:$F$649,'Schedule 4'!$I$89:$I$649,'Well Cal.'!Z$3,'Schedule 4'!$J$89:$J$649,'Well Cal.'!$E258)</f>
        <v>0</v>
      </c>
      <c r="AA258" s="727"/>
      <c r="AB258" s="1730"/>
      <c r="AC258" s="1730"/>
    </row>
    <row r="259" spans="2:31" x14ac:dyDescent="0.3">
      <c r="B259" s="1724"/>
      <c r="C259" s="1727"/>
      <c r="D259" s="1721"/>
      <c r="E259" s="775" t="s">
        <v>3684</v>
      </c>
      <c r="F259" s="727">
        <f>SUMIFS('Schedule 4'!$F$89:$F$649,'Schedule 4'!$I$89:$I$649,'Well Cal.'!F$3,'Schedule 4'!$J$89:$J$649,'Well Cal.'!$E259)</f>
        <v>0</v>
      </c>
      <c r="G259" s="727">
        <f>SUMIFS('Schedule 4'!$F$89:$F$649,'Schedule 4'!$I$89:$I$649,'Well Cal.'!G$3,'Schedule 4'!$J$89:$J$649,'Well Cal.'!$E259)</f>
        <v>0</v>
      </c>
      <c r="H259" s="727">
        <f>SUMIFS('Schedule 4'!$F$89:$F$649,'Schedule 4'!$I$89:$I$649,'Well Cal.'!H$3,'Schedule 4'!$J$89:$J$649,'Well Cal.'!$E259)</f>
        <v>0</v>
      </c>
      <c r="I259" s="727">
        <f>SUMIFS('Schedule 4'!$F$89:$F$649,'Schedule 4'!$I$89:$I$649,'Well Cal.'!I$3,'Schedule 4'!$J$89:$J$649,'Well Cal.'!$E259)</f>
        <v>0</v>
      </c>
      <c r="J259" s="727">
        <f>SUMIFS('Schedule 4'!$F$89:$F$649,'Schedule 4'!$I$89:$I$649,'Well Cal.'!J$3,'Schedule 4'!$J$89:$J$649,'Well Cal.'!$E259)</f>
        <v>0</v>
      </c>
      <c r="K259" s="727">
        <f>SUMIFS('Schedule 4'!$F$89:$F$649,'Schedule 4'!$I$89:$I$649,'Well Cal.'!K$3,'Schedule 4'!$J$89:$J$649,'Well Cal.'!$E259)</f>
        <v>2.5</v>
      </c>
      <c r="L259" s="727">
        <f>SUMIFS('Schedule 4'!$F$89:$F$649,'Schedule 4'!$I$89:$I$649,'Well Cal.'!L$3,'Schedule 4'!$J$89:$J$649,'Well Cal.'!$E259)</f>
        <v>0</v>
      </c>
      <c r="M259" s="727">
        <f>SUMIFS('Schedule 4'!$F$89:$F$649,'Schedule 4'!$I$89:$I$649,'Well Cal.'!M$3,'Schedule 4'!$J$89:$J$649,'Well Cal.'!$E259)</f>
        <v>0</v>
      </c>
      <c r="N259" s="727">
        <f>SUMIFS('Schedule 4'!$F$89:$F$649,'Schedule 4'!$I$89:$I$649,'Well Cal.'!N$3,'Schedule 4'!$J$89:$J$649,'Well Cal.'!$E259)</f>
        <v>0</v>
      </c>
      <c r="O259" s="727">
        <f>SUMIFS('Schedule 4'!$F$89:$F$649,'Schedule 4'!$I$89:$I$649,'Well Cal.'!O$3,'Schedule 4'!$J$89:$J$649,'Well Cal.'!$E259)</f>
        <v>0</v>
      </c>
      <c r="P259" s="727">
        <f>SUMIFS('Schedule 4'!$F$89:$F$649,'Schedule 4'!$I$89:$I$649,'Well Cal.'!P$3,'Schedule 4'!$J$89:$J$649,'Well Cal.'!$E259)</f>
        <v>0</v>
      </c>
      <c r="Q259" s="727">
        <f>SUMIFS('Schedule 4'!$F$89:$F$649,'Schedule 4'!$I$89:$I$649,'Well Cal.'!Q$3,'Schedule 4'!$J$89:$J$649,'Well Cal.'!$E259)</f>
        <v>0</v>
      </c>
      <c r="R259" s="727">
        <f>SUMIFS('Schedule 4'!$F$89:$F$649,'Schedule 4'!$I$89:$I$649,'Well Cal.'!R$3,'Schedule 4'!$J$89:$J$649,'Well Cal.'!$E259)</f>
        <v>0</v>
      </c>
      <c r="S259" s="727">
        <f>SUMIFS('Schedule 4'!$F$89:$F$649,'Schedule 4'!$I$89:$I$649,'Well Cal.'!S$3,'Schedule 4'!$J$89:$J$649,'Well Cal.'!$E259)</f>
        <v>0</v>
      </c>
      <c r="T259" s="727">
        <f>SUMIFS('Schedule 4'!$F$89:$F$649,'Schedule 4'!$I$89:$I$649,'Well Cal.'!T$3,'Schedule 4'!$J$89:$J$649,'Well Cal.'!$E259)</f>
        <v>0</v>
      </c>
      <c r="U259" s="727">
        <f>SUMIFS('Schedule 4'!$F$89:$F$649,'Schedule 4'!$I$89:$I$649,'Well Cal.'!U$3,'Schedule 4'!$J$89:$J$649,'Well Cal.'!$E259)</f>
        <v>0</v>
      </c>
      <c r="V259" s="727">
        <f>SUMIFS('Schedule 4'!$F$89:$F$649,'Schedule 4'!$I$89:$I$649,'Well Cal.'!V$3,'Schedule 4'!$J$89:$J$649,'Well Cal.'!$E259)</f>
        <v>0</v>
      </c>
      <c r="W259" s="727">
        <f>SUMIFS('Schedule 4'!$F$89:$F$649,'Schedule 4'!$I$89:$I$649,'Well Cal.'!W$3,'Schedule 4'!$J$89:$J$649,'Well Cal.'!$E259)</f>
        <v>0</v>
      </c>
      <c r="X259" s="727">
        <f>SUMIFS('Schedule 4'!$F$89:$F$649,'Schedule 4'!$I$89:$I$649,'Well Cal.'!X$3,'Schedule 4'!$J$89:$J$649,'Well Cal.'!$E259)</f>
        <v>0</v>
      </c>
      <c r="Y259" s="727">
        <f>SUMIFS('Schedule 4'!$F$89:$F$649,'Schedule 4'!$I$89:$I$649,'Well Cal.'!Y$3,'Schedule 4'!$J$89:$J$649,'Well Cal.'!$E259)</f>
        <v>0</v>
      </c>
      <c r="Z259" s="727">
        <f>SUMIFS('Schedule 4'!$F$89:$F$649,'Schedule 4'!$I$89:$I$649,'Well Cal.'!Z$3,'Schedule 4'!$J$89:$J$649,'Well Cal.'!$E259)</f>
        <v>0</v>
      </c>
      <c r="AA259" s="727"/>
      <c r="AB259" s="1731"/>
      <c r="AC259" s="1731"/>
    </row>
    <row r="260" spans="2:31" x14ac:dyDescent="0.3">
      <c r="B260" s="1724"/>
      <c r="C260" s="1727"/>
      <c r="D260" s="1721"/>
      <c r="E260" s="775" t="s">
        <v>3774</v>
      </c>
      <c r="F260" s="727">
        <f>SUMIFS('Schedule 4'!$F$89:$F$649,'Schedule 4'!$I$89:$I$649,'Well Cal.'!F$3,'Schedule 4'!$J$89:$J$649,'Well Cal.'!$E260)</f>
        <v>0</v>
      </c>
      <c r="G260" s="727">
        <f>SUMIFS('Schedule 4'!$F$89:$F$649,'Schedule 4'!$I$89:$I$649,'Well Cal.'!G$3,'Schedule 4'!$J$89:$J$649,'Well Cal.'!$E260)</f>
        <v>0</v>
      </c>
      <c r="H260" s="727">
        <f>SUMIFS('Schedule 4'!$F$89:$F$649,'Schedule 4'!$I$89:$I$649,'Well Cal.'!H$3,'Schedule 4'!$J$89:$J$649,'Well Cal.'!$E260)</f>
        <v>0</v>
      </c>
      <c r="I260" s="727">
        <f>SUMIFS('Schedule 4'!$F$89:$F$649,'Schedule 4'!$I$89:$I$649,'Well Cal.'!I$3,'Schedule 4'!$J$89:$J$649,'Well Cal.'!$E260)</f>
        <v>0</v>
      </c>
      <c r="J260" s="727">
        <f>SUMIFS('Schedule 4'!$F$89:$F$649,'Schedule 4'!$I$89:$I$649,'Well Cal.'!J$3,'Schedule 4'!$J$89:$J$649,'Well Cal.'!$E260)</f>
        <v>0</v>
      </c>
      <c r="K260" s="727">
        <f>SUMIFS('Schedule 4'!$F$89:$F$649,'Schedule 4'!$I$89:$I$649,'Well Cal.'!K$3,'Schedule 4'!$J$89:$J$649,'Well Cal.'!$E260)</f>
        <v>0</v>
      </c>
      <c r="L260" s="727">
        <f>SUMIFS('Schedule 4'!$F$89:$F$649,'Schedule 4'!$I$89:$I$649,'Well Cal.'!L$3,'Schedule 4'!$J$89:$J$649,'Well Cal.'!$E260)</f>
        <v>2.5</v>
      </c>
      <c r="M260" s="727">
        <f>SUMIFS('Schedule 4'!$F$89:$F$649,'Schedule 4'!$I$89:$I$649,'Well Cal.'!M$3,'Schedule 4'!$J$89:$J$649,'Well Cal.'!$E260)</f>
        <v>0</v>
      </c>
      <c r="N260" s="727">
        <f>SUMIFS('Schedule 4'!$F$89:$F$649,'Schedule 4'!$I$89:$I$649,'Well Cal.'!N$3,'Schedule 4'!$J$89:$J$649,'Well Cal.'!$E260)</f>
        <v>0</v>
      </c>
      <c r="O260" s="727">
        <f>SUMIFS('Schedule 4'!$F$89:$F$649,'Schedule 4'!$I$89:$I$649,'Well Cal.'!O$3,'Schedule 4'!$J$89:$J$649,'Well Cal.'!$E260)</f>
        <v>0</v>
      </c>
      <c r="P260" s="727">
        <f>SUMIFS('Schedule 4'!$F$89:$F$649,'Schedule 4'!$I$89:$I$649,'Well Cal.'!P$3,'Schedule 4'!$J$89:$J$649,'Well Cal.'!$E260)</f>
        <v>0</v>
      </c>
      <c r="Q260" s="727">
        <f>SUMIFS('Schedule 4'!$F$89:$F$649,'Schedule 4'!$I$89:$I$649,'Well Cal.'!Q$3,'Schedule 4'!$J$89:$J$649,'Well Cal.'!$E260)</f>
        <v>0</v>
      </c>
      <c r="R260" s="727">
        <f>SUMIFS('Schedule 4'!$F$89:$F$649,'Schedule 4'!$I$89:$I$649,'Well Cal.'!R$3,'Schedule 4'!$J$89:$J$649,'Well Cal.'!$E260)</f>
        <v>0</v>
      </c>
      <c r="S260" s="727">
        <f>SUMIFS('Schedule 4'!$F$89:$F$649,'Schedule 4'!$I$89:$I$649,'Well Cal.'!S$3,'Schedule 4'!$J$89:$J$649,'Well Cal.'!$E260)</f>
        <v>0</v>
      </c>
      <c r="T260" s="727">
        <f>SUMIFS('Schedule 4'!$F$89:$F$649,'Schedule 4'!$I$89:$I$649,'Well Cal.'!T$3,'Schedule 4'!$J$89:$J$649,'Well Cal.'!$E260)</f>
        <v>0</v>
      </c>
      <c r="U260" s="727">
        <f>SUMIFS('Schedule 4'!$F$89:$F$649,'Schedule 4'!$I$89:$I$649,'Well Cal.'!U$3,'Schedule 4'!$J$89:$J$649,'Well Cal.'!$E260)</f>
        <v>0</v>
      </c>
      <c r="V260" s="727">
        <f>SUMIFS('Schedule 4'!$F$89:$F$649,'Schedule 4'!$I$89:$I$649,'Well Cal.'!V$3,'Schedule 4'!$J$89:$J$649,'Well Cal.'!$E260)</f>
        <v>0</v>
      </c>
      <c r="W260" s="727">
        <f>SUMIFS('Schedule 4'!$F$89:$F$649,'Schedule 4'!$I$89:$I$649,'Well Cal.'!W$3,'Schedule 4'!$J$89:$J$649,'Well Cal.'!$E260)</f>
        <v>0</v>
      </c>
      <c r="X260" s="727">
        <f>SUMIFS('Schedule 4'!$F$89:$F$649,'Schedule 4'!$I$89:$I$649,'Well Cal.'!X$3,'Schedule 4'!$J$89:$J$649,'Well Cal.'!$E260)</f>
        <v>0</v>
      </c>
      <c r="Y260" s="727">
        <f>SUMIFS('Schedule 4'!$F$89:$F$649,'Schedule 4'!$I$89:$I$649,'Well Cal.'!Y$3,'Schedule 4'!$J$89:$J$649,'Well Cal.'!$E260)</f>
        <v>0</v>
      </c>
      <c r="Z260" s="727">
        <f>SUMIFS('Schedule 4'!$F$89:$F$649,'Schedule 4'!$I$89:$I$649,'Well Cal.'!Z$3,'Schedule 4'!$J$89:$J$649,'Well Cal.'!$E260)</f>
        <v>0</v>
      </c>
      <c r="AA260" s="727"/>
      <c r="AB260" s="1731"/>
      <c r="AC260" s="1731"/>
    </row>
    <row r="261" spans="2:31" x14ac:dyDescent="0.3">
      <c r="B261" s="1724"/>
      <c r="C261" s="1727"/>
      <c r="D261" s="1721"/>
      <c r="E261" s="775" t="s">
        <v>3834</v>
      </c>
      <c r="F261" s="727">
        <f>SUMIFS('Schedule 4'!$F$89:$F$649,'Schedule 4'!$I$89:$I$649,'Well Cal.'!F$3,'Schedule 4'!$J$89:$J$649,'Well Cal.'!$E261)</f>
        <v>0</v>
      </c>
      <c r="G261" s="727">
        <f>SUMIFS('Schedule 4'!$F$89:$F$649,'Schedule 4'!$I$89:$I$649,'Well Cal.'!G$3,'Schedule 4'!$J$89:$J$649,'Well Cal.'!$E261)</f>
        <v>0</v>
      </c>
      <c r="H261" s="727">
        <f>SUMIFS('Schedule 4'!$F$89:$F$649,'Schedule 4'!$I$89:$I$649,'Well Cal.'!H$3,'Schedule 4'!$J$89:$J$649,'Well Cal.'!$E261)</f>
        <v>0</v>
      </c>
      <c r="I261" s="727">
        <f>SUMIFS('Schedule 4'!$F$89:$F$649,'Schedule 4'!$I$89:$I$649,'Well Cal.'!I$3,'Schedule 4'!$J$89:$J$649,'Well Cal.'!$E261)</f>
        <v>0</v>
      </c>
      <c r="J261" s="727">
        <f>SUMIFS('Schedule 4'!$F$89:$F$649,'Schedule 4'!$I$89:$I$649,'Well Cal.'!J$3,'Schedule 4'!$J$89:$J$649,'Well Cal.'!$E261)</f>
        <v>0</v>
      </c>
      <c r="K261" s="727">
        <f>SUMIFS('Schedule 4'!$F$89:$F$649,'Schedule 4'!$I$89:$I$649,'Well Cal.'!K$3,'Schedule 4'!$J$89:$J$649,'Well Cal.'!$E261)</f>
        <v>0</v>
      </c>
      <c r="L261" s="727">
        <f>SUMIFS('Schedule 4'!$F$89:$F$649,'Schedule 4'!$I$89:$I$649,'Well Cal.'!L$3,'Schedule 4'!$J$89:$J$649,'Well Cal.'!$E261)</f>
        <v>2.5</v>
      </c>
      <c r="M261" s="727">
        <f>SUMIFS('Schedule 4'!$F$89:$F$649,'Schedule 4'!$I$89:$I$649,'Well Cal.'!M$3,'Schedule 4'!$J$89:$J$649,'Well Cal.'!$E261)</f>
        <v>0</v>
      </c>
      <c r="N261" s="727">
        <f>SUMIFS('Schedule 4'!$F$89:$F$649,'Schedule 4'!$I$89:$I$649,'Well Cal.'!N$3,'Schedule 4'!$J$89:$J$649,'Well Cal.'!$E261)</f>
        <v>0</v>
      </c>
      <c r="O261" s="727">
        <f>SUMIFS('Schedule 4'!$F$89:$F$649,'Schedule 4'!$I$89:$I$649,'Well Cal.'!O$3,'Schedule 4'!$J$89:$J$649,'Well Cal.'!$E261)</f>
        <v>0</v>
      </c>
      <c r="P261" s="727">
        <f>SUMIFS('Schedule 4'!$F$89:$F$649,'Schedule 4'!$I$89:$I$649,'Well Cal.'!P$3,'Schedule 4'!$J$89:$J$649,'Well Cal.'!$E261)</f>
        <v>0</v>
      </c>
      <c r="Q261" s="727">
        <f>SUMIFS('Schedule 4'!$F$89:$F$649,'Schedule 4'!$I$89:$I$649,'Well Cal.'!Q$3,'Schedule 4'!$J$89:$J$649,'Well Cal.'!$E261)</f>
        <v>0</v>
      </c>
      <c r="R261" s="727">
        <f>SUMIFS('Schedule 4'!$F$89:$F$649,'Schedule 4'!$I$89:$I$649,'Well Cal.'!R$3,'Schedule 4'!$J$89:$J$649,'Well Cal.'!$E261)</f>
        <v>0</v>
      </c>
      <c r="S261" s="727">
        <f>SUMIFS('Schedule 4'!$F$89:$F$649,'Schedule 4'!$I$89:$I$649,'Well Cal.'!S$3,'Schedule 4'!$J$89:$J$649,'Well Cal.'!$E261)</f>
        <v>0</v>
      </c>
      <c r="T261" s="727">
        <f>SUMIFS('Schedule 4'!$F$89:$F$649,'Schedule 4'!$I$89:$I$649,'Well Cal.'!T$3,'Schedule 4'!$J$89:$J$649,'Well Cal.'!$E261)</f>
        <v>0</v>
      </c>
      <c r="U261" s="727">
        <f>SUMIFS('Schedule 4'!$F$89:$F$649,'Schedule 4'!$I$89:$I$649,'Well Cal.'!U$3,'Schedule 4'!$J$89:$J$649,'Well Cal.'!$E261)</f>
        <v>0</v>
      </c>
      <c r="V261" s="727">
        <f>SUMIFS('Schedule 4'!$F$89:$F$649,'Schedule 4'!$I$89:$I$649,'Well Cal.'!V$3,'Schedule 4'!$J$89:$J$649,'Well Cal.'!$E261)</f>
        <v>0</v>
      </c>
      <c r="W261" s="727">
        <f>SUMIFS('Schedule 4'!$F$89:$F$649,'Schedule 4'!$I$89:$I$649,'Well Cal.'!W$3,'Schedule 4'!$J$89:$J$649,'Well Cal.'!$E261)</f>
        <v>0</v>
      </c>
      <c r="X261" s="727">
        <f>SUMIFS('Schedule 4'!$F$89:$F$649,'Schedule 4'!$I$89:$I$649,'Well Cal.'!X$3,'Schedule 4'!$J$89:$J$649,'Well Cal.'!$E261)</f>
        <v>0</v>
      </c>
      <c r="Y261" s="727">
        <f>SUMIFS('Schedule 4'!$F$89:$F$649,'Schedule 4'!$I$89:$I$649,'Well Cal.'!Y$3,'Schedule 4'!$J$89:$J$649,'Well Cal.'!$E261)</f>
        <v>0</v>
      </c>
      <c r="Z261" s="727">
        <f>SUMIFS('Schedule 4'!$F$89:$F$649,'Schedule 4'!$I$89:$I$649,'Well Cal.'!Z$3,'Schedule 4'!$J$89:$J$649,'Well Cal.'!$E261)</f>
        <v>0</v>
      </c>
      <c r="AA261" s="727"/>
      <c r="AB261" s="1731"/>
      <c r="AC261" s="1731"/>
    </row>
    <row r="262" spans="2:31" x14ac:dyDescent="0.3">
      <c r="B262" s="1724"/>
      <c r="C262" s="1727"/>
      <c r="D262" s="1721"/>
      <c r="E262" s="775" t="s">
        <v>3900</v>
      </c>
      <c r="F262" s="727">
        <f>SUMIFS('Schedule 4'!$F$89:$F$649,'Schedule 4'!$I$89:$I$649,'Well Cal.'!F$3,'Schedule 4'!$J$89:$J$649,'Well Cal.'!$E262)</f>
        <v>0</v>
      </c>
      <c r="G262" s="727">
        <f>SUMIFS('Schedule 4'!$F$89:$F$649,'Schedule 4'!$I$89:$I$649,'Well Cal.'!G$3,'Schedule 4'!$J$89:$J$649,'Well Cal.'!$E262)</f>
        <v>0</v>
      </c>
      <c r="H262" s="727">
        <f>SUMIFS('Schedule 4'!$F$89:$F$649,'Schedule 4'!$I$89:$I$649,'Well Cal.'!H$3,'Schedule 4'!$J$89:$J$649,'Well Cal.'!$E262)</f>
        <v>0</v>
      </c>
      <c r="I262" s="727">
        <f>SUMIFS('Schedule 4'!$F$89:$F$649,'Schedule 4'!$I$89:$I$649,'Well Cal.'!I$3,'Schedule 4'!$J$89:$J$649,'Well Cal.'!$E262)</f>
        <v>0</v>
      </c>
      <c r="J262" s="727">
        <f>SUMIFS('Schedule 4'!$F$89:$F$649,'Schedule 4'!$I$89:$I$649,'Well Cal.'!J$3,'Schedule 4'!$J$89:$J$649,'Well Cal.'!$E262)</f>
        <v>0</v>
      </c>
      <c r="K262" s="727">
        <f>SUMIFS('Schedule 4'!$F$89:$F$649,'Schedule 4'!$I$89:$I$649,'Well Cal.'!K$3,'Schedule 4'!$J$89:$J$649,'Well Cal.'!$E262)</f>
        <v>0</v>
      </c>
      <c r="L262" s="727">
        <f>SUMIFS('Schedule 4'!$F$89:$F$649,'Schedule 4'!$I$89:$I$649,'Well Cal.'!L$3,'Schedule 4'!$J$89:$J$649,'Well Cal.'!$E262)</f>
        <v>2.5</v>
      </c>
      <c r="M262" s="727">
        <f>SUMIFS('Schedule 4'!$F$89:$F$649,'Schedule 4'!$I$89:$I$649,'Well Cal.'!M$3,'Schedule 4'!$J$89:$J$649,'Well Cal.'!$E262)</f>
        <v>0</v>
      </c>
      <c r="N262" s="727">
        <f>SUMIFS('Schedule 4'!$F$89:$F$649,'Schedule 4'!$I$89:$I$649,'Well Cal.'!N$3,'Schedule 4'!$J$89:$J$649,'Well Cal.'!$E262)</f>
        <v>0</v>
      </c>
      <c r="O262" s="727">
        <f>SUMIFS('Schedule 4'!$F$89:$F$649,'Schedule 4'!$I$89:$I$649,'Well Cal.'!O$3,'Schedule 4'!$J$89:$J$649,'Well Cal.'!$E262)</f>
        <v>0</v>
      </c>
      <c r="P262" s="727">
        <f>SUMIFS('Schedule 4'!$F$89:$F$649,'Schedule 4'!$I$89:$I$649,'Well Cal.'!P$3,'Schedule 4'!$J$89:$J$649,'Well Cal.'!$E262)</f>
        <v>0</v>
      </c>
      <c r="Q262" s="727">
        <f>SUMIFS('Schedule 4'!$F$89:$F$649,'Schedule 4'!$I$89:$I$649,'Well Cal.'!Q$3,'Schedule 4'!$J$89:$J$649,'Well Cal.'!$E262)</f>
        <v>0</v>
      </c>
      <c r="R262" s="727">
        <f>SUMIFS('Schedule 4'!$F$89:$F$649,'Schedule 4'!$I$89:$I$649,'Well Cal.'!R$3,'Schedule 4'!$J$89:$J$649,'Well Cal.'!$E262)</f>
        <v>0</v>
      </c>
      <c r="S262" s="727">
        <f>SUMIFS('Schedule 4'!$F$89:$F$649,'Schedule 4'!$I$89:$I$649,'Well Cal.'!S$3,'Schedule 4'!$J$89:$J$649,'Well Cal.'!$E262)</f>
        <v>0</v>
      </c>
      <c r="T262" s="727">
        <f>SUMIFS('Schedule 4'!$F$89:$F$649,'Schedule 4'!$I$89:$I$649,'Well Cal.'!T$3,'Schedule 4'!$J$89:$J$649,'Well Cal.'!$E262)</f>
        <v>0</v>
      </c>
      <c r="U262" s="727">
        <f>SUMIFS('Schedule 4'!$F$89:$F$649,'Schedule 4'!$I$89:$I$649,'Well Cal.'!U$3,'Schedule 4'!$J$89:$J$649,'Well Cal.'!$E262)</f>
        <v>0</v>
      </c>
      <c r="V262" s="727">
        <f>SUMIFS('Schedule 4'!$F$89:$F$649,'Schedule 4'!$I$89:$I$649,'Well Cal.'!V$3,'Schedule 4'!$J$89:$J$649,'Well Cal.'!$E262)</f>
        <v>0</v>
      </c>
      <c r="W262" s="727">
        <f>SUMIFS('Schedule 4'!$F$89:$F$649,'Schedule 4'!$I$89:$I$649,'Well Cal.'!W$3,'Schedule 4'!$J$89:$J$649,'Well Cal.'!$E262)</f>
        <v>0</v>
      </c>
      <c r="X262" s="727">
        <f>SUMIFS('Schedule 4'!$F$89:$F$649,'Schedule 4'!$I$89:$I$649,'Well Cal.'!X$3,'Schedule 4'!$J$89:$J$649,'Well Cal.'!$E262)</f>
        <v>0</v>
      </c>
      <c r="Y262" s="727">
        <f>SUMIFS('Schedule 4'!$F$89:$F$649,'Schedule 4'!$I$89:$I$649,'Well Cal.'!Y$3,'Schedule 4'!$J$89:$J$649,'Well Cal.'!$E262)</f>
        <v>0</v>
      </c>
      <c r="Z262" s="727">
        <f>SUMIFS('Schedule 4'!$F$89:$F$649,'Schedule 4'!$I$89:$I$649,'Well Cal.'!Z$3,'Schedule 4'!$J$89:$J$649,'Well Cal.'!$E262)</f>
        <v>0</v>
      </c>
      <c r="AA262" s="727"/>
      <c r="AB262" s="1731"/>
      <c r="AC262" s="1731"/>
    </row>
    <row r="263" spans="2:31" x14ac:dyDescent="0.3">
      <c r="B263" s="1724"/>
      <c r="C263" s="1727"/>
      <c r="D263" s="1721"/>
      <c r="E263" s="775" t="s">
        <v>3989</v>
      </c>
      <c r="F263" s="727">
        <f>SUMIFS('Schedule 4'!$F$89:$F$649,'Schedule 4'!$I$89:$I$649,'Well Cal.'!F$3,'Schedule 4'!$J$89:$J$649,'Well Cal.'!$E263)</f>
        <v>0</v>
      </c>
      <c r="G263" s="727">
        <f>SUMIFS('Schedule 4'!$F$89:$F$649,'Schedule 4'!$I$89:$I$649,'Well Cal.'!G$3,'Schedule 4'!$J$89:$J$649,'Well Cal.'!$E263)</f>
        <v>0</v>
      </c>
      <c r="H263" s="727">
        <f>SUMIFS('Schedule 4'!$F$89:$F$649,'Schedule 4'!$I$89:$I$649,'Well Cal.'!H$3,'Schedule 4'!$J$89:$J$649,'Well Cal.'!$E263)</f>
        <v>0</v>
      </c>
      <c r="I263" s="727">
        <f>SUMIFS('Schedule 4'!$F$89:$F$649,'Schedule 4'!$I$89:$I$649,'Well Cal.'!I$3,'Schedule 4'!$J$89:$J$649,'Well Cal.'!$E263)</f>
        <v>0</v>
      </c>
      <c r="J263" s="727">
        <f>SUMIFS('Schedule 4'!$F$89:$F$649,'Schedule 4'!$I$89:$I$649,'Well Cal.'!J$3,'Schedule 4'!$J$89:$J$649,'Well Cal.'!$E263)</f>
        <v>0</v>
      </c>
      <c r="K263" s="727">
        <f>SUMIFS('Schedule 4'!$F$89:$F$649,'Schedule 4'!$I$89:$I$649,'Well Cal.'!K$3,'Schedule 4'!$J$89:$J$649,'Well Cal.'!$E263)</f>
        <v>0</v>
      </c>
      <c r="L263" s="727">
        <f>SUMIFS('Schedule 4'!$F$89:$F$649,'Schedule 4'!$I$89:$I$649,'Well Cal.'!L$3,'Schedule 4'!$J$89:$J$649,'Well Cal.'!$E263)</f>
        <v>0</v>
      </c>
      <c r="M263" s="727">
        <f>SUMIFS('Schedule 4'!$F$89:$F$649,'Schedule 4'!$I$89:$I$649,'Well Cal.'!M$3,'Schedule 4'!$J$89:$J$649,'Well Cal.'!$E263)</f>
        <v>0</v>
      </c>
      <c r="N263" s="727">
        <f>SUMIFS('Schedule 4'!$F$89:$F$649,'Schedule 4'!$I$89:$I$649,'Well Cal.'!N$3,'Schedule 4'!$J$89:$J$649,'Well Cal.'!$E263)</f>
        <v>0</v>
      </c>
      <c r="O263" s="727">
        <f>SUMIFS('Schedule 4'!$F$89:$F$649,'Schedule 4'!$I$89:$I$649,'Well Cal.'!O$3,'Schedule 4'!$J$89:$J$649,'Well Cal.'!$E263)</f>
        <v>0</v>
      </c>
      <c r="P263" s="727">
        <f>SUMIFS('Schedule 4'!$F$89:$F$649,'Schedule 4'!$I$89:$I$649,'Well Cal.'!P$3,'Schedule 4'!$J$89:$J$649,'Well Cal.'!$E263)</f>
        <v>0</v>
      </c>
      <c r="Q263" s="727">
        <f>SUMIFS('Schedule 4'!$F$89:$F$649,'Schedule 4'!$I$89:$I$649,'Well Cal.'!Q$3,'Schedule 4'!$J$89:$J$649,'Well Cal.'!$E263)</f>
        <v>2.34</v>
      </c>
      <c r="R263" s="727">
        <f>SUMIFS('Schedule 4'!$F$89:$F$649,'Schedule 4'!$I$89:$I$649,'Well Cal.'!R$3,'Schedule 4'!$J$89:$J$649,'Well Cal.'!$E263)</f>
        <v>0</v>
      </c>
      <c r="S263" s="727">
        <f>SUMIFS('Schedule 4'!$F$89:$F$649,'Schedule 4'!$I$89:$I$649,'Well Cal.'!S$3,'Schedule 4'!$J$89:$J$649,'Well Cal.'!$E263)</f>
        <v>0</v>
      </c>
      <c r="T263" s="727">
        <f>SUMIFS('Schedule 4'!$F$89:$F$649,'Schedule 4'!$I$89:$I$649,'Well Cal.'!T$3,'Schedule 4'!$J$89:$J$649,'Well Cal.'!$E263)</f>
        <v>0</v>
      </c>
      <c r="U263" s="727">
        <f>SUMIFS('Schedule 4'!$F$89:$F$649,'Schedule 4'!$I$89:$I$649,'Well Cal.'!U$3,'Schedule 4'!$J$89:$J$649,'Well Cal.'!$E263)</f>
        <v>0</v>
      </c>
      <c r="V263" s="727">
        <f>SUMIFS('Schedule 4'!$F$89:$F$649,'Schedule 4'!$I$89:$I$649,'Well Cal.'!V$3,'Schedule 4'!$J$89:$J$649,'Well Cal.'!$E263)</f>
        <v>0</v>
      </c>
      <c r="W263" s="727">
        <f>SUMIFS('Schedule 4'!$F$89:$F$649,'Schedule 4'!$I$89:$I$649,'Well Cal.'!W$3,'Schedule 4'!$J$89:$J$649,'Well Cal.'!$E263)</f>
        <v>0</v>
      </c>
      <c r="X263" s="727">
        <f>SUMIFS('Schedule 4'!$F$89:$F$649,'Schedule 4'!$I$89:$I$649,'Well Cal.'!X$3,'Schedule 4'!$J$89:$J$649,'Well Cal.'!$E263)</f>
        <v>0</v>
      </c>
      <c r="Y263" s="727">
        <f>SUMIFS('Schedule 4'!$F$89:$F$649,'Schedule 4'!$I$89:$I$649,'Well Cal.'!Y$3,'Schedule 4'!$J$89:$J$649,'Well Cal.'!$E263)</f>
        <v>0</v>
      </c>
      <c r="Z263" s="727">
        <f>SUMIFS('Schedule 4'!$F$89:$F$649,'Schedule 4'!$I$89:$I$649,'Well Cal.'!Z$3,'Schedule 4'!$J$89:$J$649,'Well Cal.'!$E263)</f>
        <v>0</v>
      </c>
      <c r="AA263" s="727"/>
      <c r="AB263" s="1731"/>
      <c r="AC263" s="1731"/>
    </row>
    <row r="264" spans="2:31" x14ac:dyDescent="0.3">
      <c r="B264" s="1724"/>
      <c r="C264" s="1727"/>
      <c r="D264" s="1721"/>
      <c r="E264" s="775" t="s">
        <v>4060</v>
      </c>
      <c r="F264" s="727">
        <f>SUMIFS('Schedule 4'!$F$89:$F$649,'Schedule 4'!$I$89:$I$649,'Well Cal.'!F$3,'Schedule 4'!$J$89:$J$649,'Well Cal.'!$E264)</f>
        <v>0</v>
      </c>
      <c r="G264" s="727">
        <f>SUMIFS('Schedule 4'!$F$89:$F$649,'Schedule 4'!$I$89:$I$649,'Well Cal.'!G$3,'Schedule 4'!$J$89:$J$649,'Well Cal.'!$E264)</f>
        <v>0</v>
      </c>
      <c r="H264" s="727">
        <f>SUMIFS('Schedule 4'!$F$89:$F$649,'Schedule 4'!$I$89:$I$649,'Well Cal.'!H$3,'Schedule 4'!$J$89:$J$649,'Well Cal.'!$E264)</f>
        <v>0</v>
      </c>
      <c r="I264" s="727">
        <f>SUMIFS('Schedule 4'!$F$89:$F$649,'Schedule 4'!$I$89:$I$649,'Well Cal.'!I$3,'Schedule 4'!$J$89:$J$649,'Well Cal.'!$E264)</f>
        <v>0</v>
      </c>
      <c r="J264" s="727">
        <f>SUMIFS('Schedule 4'!$F$89:$F$649,'Schedule 4'!$I$89:$I$649,'Well Cal.'!J$3,'Schedule 4'!$J$89:$J$649,'Well Cal.'!$E264)</f>
        <v>0</v>
      </c>
      <c r="K264" s="727">
        <f>SUMIFS('Schedule 4'!$F$89:$F$649,'Schedule 4'!$I$89:$I$649,'Well Cal.'!K$3,'Schedule 4'!$J$89:$J$649,'Well Cal.'!$E264)</f>
        <v>0</v>
      </c>
      <c r="L264" s="727">
        <f>SUMIFS('Schedule 4'!$F$89:$F$649,'Schedule 4'!$I$89:$I$649,'Well Cal.'!L$3,'Schedule 4'!$J$89:$J$649,'Well Cal.'!$E264)</f>
        <v>0</v>
      </c>
      <c r="M264" s="727">
        <f>SUMIFS('Schedule 4'!$F$89:$F$649,'Schedule 4'!$I$89:$I$649,'Well Cal.'!M$3,'Schedule 4'!$J$89:$J$649,'Well Cal.'!$E264)</f>
        <v>0</v>
      </c>
      <c r="N264" s="727">
        <f>SUMIFS('Schedule 4'!$F$89:$F$649,'Schedule 4'!$I$89:$I$649,'Well Cal.'!N$3,'Schedule 4'!$J$89:$J$649,'Well Cal.'!$E264)</f>
        <v>0</v>
      </c>
      <c r="O264" s="727">
        <f>SUMIFS('Schedule 4'!$F$89:$F$649,'Schedule 4'!$I$89:$I$649,'Well Cal.'!O$3,'Schedule 4'!$J$89:$J$649,'Well Cal.'!$E264)</f>
        <v>0</v>
      </c>
      <c r="P264" s="727">
        <f>SUMIFS('Schedule 4'!$F$89:$F$649,'Schedule 4'!$I$89:$I$649,'Well Cal.'!P$3,'Schedule 4'!$J$89:$J$649,'Well Cal.'!$E264)</f>
        <v>0</v>
      </c>
      <c r="Q264" s="727">
        <f>SUMIFS('Schedule 4'!$F$89:$F$649,'Schedule 4'!$I$89:$I$649,'Well Cal.'!Q$3,'Schedule 4'!$J$89:$J$649,'Well Cal.'!$E264)</f>
        <v>0</v>
      </c>
      <c r="R264" s="727">
        <f>SUMIFS('Schedule 4'!$F$89:$F$649,'Schedule 4'!$I$89:$I$649,'Well Cal.'!R$3,'Schedule 4'!$J$89:$J$649,'Well Cal.'!$E264)</f>
        <v>3.17</v>
      </c>
      <c r="S264" s="727">
        <f>SUMIFS('Schedule 4'!$F$89:$F$649,'Schedule 4'!$I$89:$I$649,'Well Cal.'!S$3,'Schedule 4'!$J$89:$J$649,'Well Cal.'!$E264)</f>
        <v>0</v>
      </c>
      <c r="T264" s="727">
        <f>SUMIFS('Schedule 4'!$F$89:$F$649,'Schedule 4'!$I$89:$I$649,'Well Cal.'!T$3,'Schedule 4'!$J$89:$J$649,'Well Cal.'!$E264)</f>
        <v>0</v>
      </c>
      <c r="U264" s="727">
        <f>SUMIFS('Schedule 4'!$F$89:$F$649,'Schedule 4'!$I$89:$I$649,'Well Cal.'!U$3,'Schedule 4'!$J$89:$J$649,'Well Cal.'!$E264)</f>
        <v>0</v>
      </c>
      <c r="V264" s="727">
        <f>SUMIFS('Schedule 4'!$F$89:$F$649,'Schedule 4'!$I$89:$I$649,'Well Cal.'!V$3,'Schedule 4'!$J$89:$J$649,'Well Cal.'!$E264)</f>
        <v>0</v>
      </c>
      <c r="W264" s="727">
        <f>SUMIFS('Schedule 4'!$F$89:$F$649,'Schedule 4'!$I$89:$I$649,'Well Cal.'!W$3,'Schedule 4'!$J$89:$J$649,'Well Cal.'!$E264)</f>
        <v>0</v>
      </c>
      <c r="X264" s="727">
        <f>SUMIFS('Schedule 4'!$F$89:$F$649,'Schedule 4'!$I$89:$I$649,'Well Cal.'!X$3,'Schedule 4'!$J$89:$J$649,'Well Cal.'!$E264)</f>
        <v>0</v>
      </c>
      <c r="Y264" s="727">
        <f>SUMIFS('Schedule 4'!$F$89:$F$649,'Schedule 4'!$I$89:$I$649,'Well Cal.'!Y$3,'Schedule 4'!$J$89:$J$649,'Well Cal.'!$E264)</f>
        <v>0</v>
      </c>
      <c r="Z264" s="727">
        <f>SUMIFS('Schedule 4'!$F$89:$F$649,'Schedule 4'!$I$89:$I$649,'Well Cal.'!Z$3,'Schedule 4'!$J$89:$J$649,'Well Cal.'!$E264)</f>
        <v>0</v>
      </c>
      <c r="AA264" s="727"/>
      <c r="AB264" s="1731"/>
      <c r="AC264" s="1731"/>
    </row>
    <row r="265" spans="2:31" x14ac:dyDescent="0.3">
      <c r="B265" s="1724"/>
      <c r="C265" s="1727"/>
      <c r="D265" s="1721"/>
      <c r="E265" s="775" t="s">
        <v>4136</v>
      </c>
      <c r="F265" s="727">
        <f>SUMIFS('Schedule 4'!$F$89:$F$649,'Schedule 4'!$I$89:$I$649,'Well Cal.'!F$3,'Schedule 4'!$J$89:$J$649,'Well Cal.'!$E265)</f>
        <v>0</v>
      </c>
      <c r="G265" s="727">
        <f>SUMIFS('Schedule 4'!$F$89:$F$649,'Schedule 4'!$I$89:$I$649,'Well Cal.'!G$3,'Schedule 4'!$J$89:$J$649,'Well Cal.'!$E265)</f>
        <v>0</v>
      </c>
      <c r="H265" s="727">
        <f>SUMIFS('Schedule 4'!$F$89:$F$649,'Schedule 4'!$I$89:$I$649,'Well Cal.'!H$3,'Schedule 4'!$J$89:$J$649,'Well Cal.'!$E265)</f>
        <v>0</v>
      </c>
      <c r="I265" s="727">
        <f>SUMIFS('Schedule 4'!$F$89:$F$649,'Schedule 4'!$I$89:$I$649,'Well Cal.'!I$3,'Schedule 4'!$J$89:$J$649,'Well Cal.'!$E265)</f>
        <v>0</v>
      </c>
      <c r="J265" s="727">
        <f>SUMIFS('Schedule 4'!$F$89:$F$649,'Schedule 4'!$I$89:$I$649,'Well Cal.'!J$3,'Schedule 4'!$J$89:$J$649,'Well Cal.'!$E265)</f>
        <v>0</v>
      </c>
      <c r="K265" s="727">
        <f>SUMIFS('Schedule 4'!$F$89:$F$649,'Schedule 4'!$I$89:$I$649,'Well Cal.'!K$3,'Schedule 4'!$J$89:$J$649,'Well Cal.'!$E265)</f>
        <v>0</v>
      </c>
      <c r="L265" s="727">
        <f>SUMIFS('Schedule 4'!$F$89:$F$649,'Schedule 4'!$I$89:$I$649,'Well Cal.'!L$3,'Schedule 4'!$J$89:$J$649,'Well Cal.'!$E265)</f>
        <v>0</v>
      </c>
      <c r="M265" s="727">
        <f>SUMIFS('Schedule 4'!$F$89:$F$649,'Schedule 4'!$I$89:$I$649,'Well Cal.'!M$3,'Schedule 4'!$J$89:$J$649,'Well Cal.'!$E265)</f>
        <v>0</v>
      </c>
      <c r="N265" s="727">
        <f>SUMIFS('Schedule 4'!$F$89:$F$649,'Schedule 4'!$I$89:$I$649,'Well Cal.'!N$3,'Schedule 4'!$J$89:$J$649,'Well Cal.'!$E265)</f>
        <v>0</v>
      </c>
      <c r="O265" s="727">
        <f>SUMIFS('Schedule 4'!$F$89:$F$649,'Schedule 4'!$I$89:$I$649,'Well Cal.'!O$3,'Schedule 4'!$J$89:$J$649,'Well Cal.'!$E265)</f>
        <v>0</v>
      </c>
      <c r="P265" s="727">
        <f>SUMIFS('Schedule 4'!$F$89:$F$649,'Schedule 4'!$I$89:$I$649,'Well Cal.'!P$3,'Schedule 4'!$J$89:$J$649,'Well Cal.'!$E265)</f>
        <v>0</v>
      </c>
      <c r="Q265" s="727">
        <f>SUMIFS('Schedule 4'!$F$89:$F$649,'Schedule 4'!$I$89:$I$649,'Well Cal.'!Q$3,'Schedule 4'!$J$89:$J$649,'Well Cal.'!$E265)</f>
        <v>0</v>
      </c>
      <c r="R265" s="727">
        <f>SUMIFS('Schedule 4'!$F$89:$F$649,'Schedule 4'!$I$89:$I$649,'Well Cal.'!R$3,'Schedule 4'!$J$89:$J$649,'Well Cal.'!$E265)</f>
        <v>0</v>
      </c>
      <c r="S265" s="727">
        <f>SUMIFS('Schedule 4'!$F$89:$F$649,'Schedule 4'!$I$89:$I$649,'Well Cal.'!S$3,'Schedule 4'!$J$89:$J$649,'Well Cal.'!$E265)</f>
        <v>2.5</v>
      </c>
      <c r="T265" s="727">
        <f>SUMIFS('Schedule 4'!$F$89:$F$649,'Schedule 4'!$I$89:$I$649,'Well Cal.'!T$3,'Schedule 4'!$J$89:$J$649,'Well Cal.'!$E265)</f>
        <v>0</v>
      </c>
      <c r="U265" s="727">
        <f>SUMIFS('Schedule 4'!$F$89:$F$649,'Schedule 4'!$I$89:$I$649,'Well Cal.'!U$3,'Schedule 4'!$J$89:$J$649,'Well Cal.'!$E265)</f>
        <v>0</v>
      </c>
      <c r="V265" s="727">
        <f>SUMIFS('Schedule 4'!$F$89:$F$649,'Schedule 4'!$I$89:$I$649,'Well Cal.'!V$3,'Schedule 4'!$J$89:$J$649,'Well Cal.'!$E265)</f>
        <v>0</v>
      </c>
      <c r="W265" s="727">
        <f>SUMIFS('Schedule 4'!$F$89:$F$649,'Schedule 4'!$I$89:$I$649,'Well Cal.'!W$3,'Schedule 4'!$J$89:$J$649,'Well Cal.'!$E265)</f>
        <v>0</v>
      </c>
      <c r="X265" s="727">
        <f>SUMIFS('Schedule 4'!$F$89:$F$649,'Schedule 4'!$I$89:$I$649,'Well Cal.'!X$3,'Schedule 4'!$J$89:$J$649,'Well Cal.'!$E265)</f>
        <v>0</v>
      </c>
      <c r="Y265" s="727">
        <f>SUMIFS('Schedule 4'!$F$89:$F$649,'Schedule 4'!$I$89:$I$649,'Well Cal.'!Y$3,'Schedule 4'!$J$89:$J$649,'Well Cal.'!$E265)</f>
        <v>0</v>
      </c>
      <c r="Z265" s="727">
        <f>SUMIFS('Schedule 4'!$F$89:$F$649,'Schedule 4'!$I$89:$I$649,'Well Cal.'!Z$3,'Schedule 4'!$J$89:$J$649,'Well Cal.'!$E265)</f>
        <v>0</v>
      </c>
      <c r="AA265" s="727"/>
      <c r="AB265" s="1731"/>
      <c r="AC265" s="1731"/>
      <c r="AE265" s="827"/>
    </row>
    <row r="266" spans="2:31" x14ac:dyDescent="0.3">
      <c r="B266" s="1724"/>
      <c r="C266" s="1727"/>
      <c r="D266" s="1721"/>
      <c r="E266" s="775" t="s">
        <v>4206</v>
      </c>
      <c r="F266" s="727">
        <f>SUMIFS('Schedule 4'!$F$89:$F$649,'Schedule 4'!$I$89:$I$649,'Well Cal.'!F$3,'Schedule 4'!$J$89:$J$649,'Well Cal.'!$E266)</f>
        <v>0</v>
      </c>
      <c r="G266" s="727">
        <f>SUMIFS('Schedule 4'!$F$89:$F$649,'Schedule 4'!$I$89:$I$649,'Well Cal.'!G$3,'Schedule 4'!$J$89:$J$649,'Well Cal.'!$E266)</f>
        <v>0</v>
      </c>
      <c r="H266" s="727">
        <f>SUMIFS('Schedule 4'!$F$89:$F$649,'Schedule 4'!$I$89:$I$649,'Well Cal.'!H$3,'Schedule 4'!$J$89:$J$649,'Well Cal.'!$E266)</f>
        <v>0</v>
      </c>
      <c r="I266" s="727">
        <f>SUMIFS('Schedule 4'!$F$89:$F$649,'Schedule 4'!$I$89:$I$649,'Well Cal.'!I$3,'Schedule 4'!$J$89:$J$649,'Well Cal.'!$E266)</f>
        <v>0</v>
      </c>
      <c r="J266" s="727">
        <f>SUMIFS('Schedule 4'!$F$89:$F$649,'Schedule 4'!$I$89:$I$649,'Well Cal.'!J$3,'Schedule 4'!$J$89:$J$649,'Well Cal.'!$E266)</f>
        <v>0</v>
      </c>
      <c r="K266" s="727">
        <f>SUMIFS('Schedule 4'!$F$89:$F$649,'Schedule 4'!$I$89:$I$649,'Well Cal.'!K$3,'Schedule 4'!$J$89:$J$649,'Well Cal.'!$E266)</f>
        <v>0</v>
      </c>
      <c r="L266" s="727">
        <f>SUMIFS('Schedule 4'!$F$89:$F$649,'Schedule 4'!$I$89:$I$649,'Well Cal.'!L$3,'Schedule 4'!$J$89:$J$649,'Well Cal.'!$E266)</f>
        <v>0</v>
      </c>
      <c r="M266" s="727">
        <f>SUMIFS('Schedule 4'!$F$89:$F$649,'Schedule 4'!$I$89:$I$649,'Well Cal.'!M$3,'Schedule 4'!$J$89:$J$649,'Well Cal.'!$E266)</f>
        <v>0</v>
      </c>
      <c r="N266" s="727">
        <f>SUMIFS('Schedule 4'!$F$89:$F$649,'Schedule 4'!$I$89:$I$649,'Well Cal.'!N$3,'Schedule 4'!$J$89:$J$649,'Well Cal.'!$E266)</f>
        <v>0</v>
      </c>
      <c r="O266" s="727">
        <f>SUMIFS('Schedule 4'!$F$89:$F$649,'Schedule 4'!$I$89:$I$649,'Well Cal.'!O$3,'Schedule 4'!$J$89:$J$649,'Well Cal.'!$E266)</f>
        <v>0</v>
      </c>
      <c r="P266" s="727">
        <f>SUMIFS('Schedule 4'!$F$89:$F$649,'Schedule 4'!$I$89:$I$649,'Well Cal.'!P$3,'Schedule 4'!$J$89:$J$649,'Well Cal.'!$E266)</f>
        <v>0</v>
      </c>
      <c r="Q266" s="727">
        <f>SUMIFS('Schedule 4'!$F$89:$F$649,'Schedule 4'!$I$89:$I$649,'Well Cal.'!Q$3,'Schedule 4'!$J$89:$J$649,'Well Cal.'!$E266)</f>
        <v>0</v>
      </c>
      <c r="R266" s="727">
        <f>SUMIFS('Schedule 4'!$F$89:$F$649,'Schedule 4'!$I$89:$I$649,'Well Cal.'!R$3,'Schedule 4'!$J$89:$J$649,'Well Cal.'!$E266)</f>
        <v>0</v>
      </c>
      <c r="S266" s="727">
        <f>SUMIFS('Schedule 4'!$F$89:$F$649,'Schedule 4'!$I$89:$I$649,'Well Cal.'!S$3,'Schedule 4'!$J$89:$J$649,'Well Cal.'!$E266)</f>
        <v>2.5</v>
      </c>
      <c r="T266" s="727">
        <f>SUMIFS('Schedule 4'!$F$89:$F$649,'Schedule 4'!$I$89:$I$649,'Well Cal.'!T$3,'Schedule 4'!$J$89:$J$649,'Well Cal.'!$E266)</f>
        <v>0</v>
      </c>
      <c r="U266" s="727">
        <f>SUMIFS('Schedule 4'!$F$89:$F$649,'Schedule 4'!$I$89:$I$649,'Well Cal.'!U$3,'Schedule 4'!$J$89:$J$649,'Well Cal.'!$E266)</f>
        <v>0</v>
      </c>
      <c r="V266" s="727">
        <f>SUMIFS('Schedule 4'!$F$89:$F$649,'Schedule 4'!$I$89:$I$649,'Well Cal.'!V$3,'Schedule 4'!$J$89:$J$649,'Well Cal.'!$E266)</f>
        <v>0</v>
      </c>
      <c r="W266" s="727">
        <f>SUMIFS('Schedule 4'!$F$89:$F$649,'Schedule 4'!$I$89:$I$649,'Well Cal.'!W$3,'Schedule 4'!$J$89:$J$649,'Well Cal.'!$E266)</f>
        <v>0</v>
      </c>
      <c r="X266" s="727">
        <f>SUMIFS('Schedule 4'!$F$89:$F$649,'Schedule 4'!$I$89:$I$649,'Well Cal.'!X$3,'Schedule 4'!$J$89:$J$649,'Well Cal.'!$E266)</f>
        <v>0</v>
      </c>
      <c r="Y266" s="727">
        <f>SUMIFS('Schedule 4'!$F$89:$F$649,'Schedule 4'!$I$89:$I$649,'Well Cal.'!Y$3,'Schedule 4'!$J$89:$J$649,'Well Cal.'!$E266)</f>
        <v>0</v>
      </c>
      <c r="Z266" s="727">
        <f>SUMIFS('Schedule 4'!$F$89:$F$649,'Schedule 4'!$I$89:$I$649,'Well Cal.'!Z$3,'Schedule 4'!$J$89:$J$649,'Well Cal.'!$E266)</f>
        <v>0</v>
      </c>
      <c r="AA266" s="727"/>
      <c r="AB266" s="1731"/>
      <c r="AC266" s="1731"/>
    </row>
    <row r="267" spans="2:31" x14ac:dyDescent="0.3">
      <c r="B267" s="1724"/>
      <c r="C267" s="1727"/>
      <c r="D267" s="1721"/>
      <c r="E267" s="775" t="s">
        <v>4276</v>
      </c>
      <c r="F267" s="727">
        <f>SUMIFS('Schedule 4'!$F$89:$F$649,'Schedule 4'!$I$89:$I$649,'Well Cal.'!F$3,'Schedule 4'!$J$89:$J$649,'Well Cal.'!$E267)</f>
        <v>0</v>
      </c>
      <c r="G267" s="727">
        <f>SUMIFS('Schedule 4'!$F$89:$F$649,'Schedule 4'!$I$89:$I$649,'Well Cal.'!G$3,'Schedule 4'!$J$89:$J$649,'Well Cal.'!$E267)</f>
        <v>0</v>
      </c>
      <c r="H267" s="727">
        <f>SUMIFS('Schedule 4'!$F$89:$F$649,'Schedule 4'!$I$89:$I$649,'Well Cal.'!H$3,'Schedule 4'!$J$89:$J$649,'Well Cal.'!$E267)</f>
        <v>0</v>
      </c>
      <c r="I267" s="727">
        <f>SUMIFS('Schedule 4'!$F$89:$F$649,'Schedule 4'!$I$89:$I$649,'Well Cal.'!I$3,'Schedule 4'!$J$89:$J$649,'Well Cal.'!$E267)</f>
        <v>0</v>
      </c>
      <c r="J267" s="727">
        <f>SUMIFS('Schedule 4'!$F$89:$F$649,'Schedule 4'!$I$89:$I$649,'Well Cal.'!J$3,'Schedule 4'!$J$89:$J$649,'Well Cal.'!$E267)</f>
        <v>0</v>
      </c>
      <c r="K267" s="727">
        <f>SUMIFS('Schedule 4'!$F$89:$F$649,'Schedule 4'!$I$89:$I$649,'Well Cal.'!K$3,'Schedule 4'!$J$89:$J$649,'Well Cal.'!$E267)</f>
        <v>0</v>
      </c>
      <c r="L267" s="727">
        <f>SUMIFS('Schedule 4'!$F$89:$F$649,'Schedule 4'!$I$89:$I$649,'Well Cal.'!L$3,'Schedule 4'!$J$89:$J$649,'Well Cal.'!$E267)</f>
        <v>0</v>
      </c>
      <c r="M267" s="727">
        <f>SUMIFS('Schedule 4'!$F$89:$F$649,'Schedule 4'!$I$89:$I$649,'Well Cal.'!M$3,'Schedule 4'!$J$89:$J$649,'Well Cal.'!$E267)</f>
        <v>0</v>
      </c>
      <c r="N267" s="727">
        <f>SUMIFS('Schedule 4'!$F$89:$F$649,'Schedule 4'!$I$89:$I$649,'Well Cal.'!N$3,'Schedule 4'!$J$89:$J$649,'Well Cal.'!$E267)</f>
        <v>0</v>
      </c>
      <c r="O267" s="727">
        <f>SUMIFS('Schedule 4'!$F$89:$F$649,'Schedule 4'!$I$89:$I$649,'Well Cal.'!O$3,'Schedule 4'!$J$89:$J$649,'Well Cal.'!$E267)</f>
        <v>0</v>
      </c>
      <c r="P267" s="727">
        <f>SUMIFS('Schedule 4'!$F$89:$F$649,'Schedule 4'!$I$89:$I$649,'Well Cal.'!P$3,'Schedule 4'!$J$89:$J$649,'Well Cal.'!$E267)</f>
        <v>0</v>
      </c>
      <c r="Q267" s="727">
        <f>SUMIFS('Schedule 4'!$F$89:$F$649,'Schedule 4'!$I$89:$I$649,'Well Cal.'!Q$3,'Schedule 4'!$J$89:$J$649,'Well Cal.'!$E267)</f>
        <v>0</v>
      </c>
      <c r="R267" s="727">
        <f>SUMIFS('Schedule 4'!$F$89:$F$649,'Schedule 4'!$I$89:$I$649,'Well Cal.'!R$3,'Schedule 4'!$J$89:$J$649,'Well Cal.'!$E267)</f>
        <v>0</v>
      </c>
      <c r="S267" s="727">
        <f>SUMIFS('Schedule 4'!$F$89:$F$649,'Schedule 4'!$I$89:$I$649,'Well Cal.'!S$3,'Schedule 4'!$J$89:$J$649,'Well Cal.'!$E267)</f>
        <v>2.5</v>
      </c>
      <c r="T267" s="727">
        <f>SUMIFS('Schedule 4'!$F$89:$F$649,'Schedule 4'!$I$89:$I$649,'Well Cal.'!T$3,'Schedule 4'!$J$89:$J$649,'Well Cal.'!$E267)</f>
        <v>0</v>
      </c>
      <c r="U267" s="727">
        <f>SUMIFS('Schedule 4'!$F$89:$F$649,'Schedule 4'!$I$89:$I$649,'Well Cal.'!U$3,'Schedule 4'!$J$89:$J$649,'Well Cal.'!$E267)</f>
        <v>0</v>
      </c>
      <c r="V267" s="727">
        <f>SUMIFS('Schedule 4'!$F$89:$F$649,'Schedule 4'!$I$89:$I$649,'Well Cal.'!V$3,'Schedule 4'!$J$89:$J$649,'Well Cal.'!$E267)</f>
        <v>0</v>
      </c>
      <c r="W267" s="727">
        <f>SUMIFS('Schedule 4'!$F$89:$F$649,'Schedule 4'!$I$89:$I$649,'Well Cal.'!W$3,'Schedule 4'!$J$89:$J$649,'Well Cal.'!$E267)</f>
        <v>0</v>
      </c>
      <c r="X267" s="727">
        <f>SUMIFS('Schedule 4'!$F$89:$F$649,'Schedule 4'!$I$89:$I$649,'Well Cal.'!X$3,'Schedule 4'!$J$89:$J$649,'Well Cal.'!$E267)</f>
        <v>0</v>
      </c>
      <c r="Y267" s="727">
        <f>SUMIFS('Schedule 4'!$F$89:$F$649,'Schedule 4'!$I$89:$I$649,'Well Cal.'!Y$3,'Schedule 4'!$J$89:$J$649,'Well Cal.'!$E267)</f>
        <v>0</v>
      </c>
      <c r="Z267" s="727">
        <f>SUMIFS('Schedule 4'!$F$89:$F$649,'Schedule 4'!$I$89:$I$649,'Well Cal.'!Z$3,'Schedule 4'!$J$89:$J$649,'Well Cal.'!$E267)</f>
        <v>0</v>
      </c>
      <c r="AA267" s="727"/>
      <c r="AB267" s="1731"/>
      <c r="AC267" s="1731"/>
    </row>
    <row r="268" spans="2:31" x14ac:dyDescent="0.3">
      <c r="B268" s="1724"/>
      <c r="C268" s="1727"/>
      <c r="D268" s="1721"/>
      <c r="E268" s="775" t="s">
        <v>4346</v>
      </c>
      <c r="F268" s="727">
        <f>SUMIFS('Schedule 4'!$F$89:$F$649,'Schedule 4'!$I$89:$I$649,'Well Cal.'!F$3,'Schedule 4'!$J$89:$J$649,'Well Cal.'!$E268)</f>
        <v>0</v>
      </c>
      <c r="G268" s="727">
        <f>SUMIFS('Schedule 4'!$F$89:$F$649,'Schedule 4'!$I$89:$I$649,'Well Cal.'!G$3,'Schedule 4'!$J$89:$J$649,'Well Cal.'!$E268)</f>
        <v>0</v>
      </c>
      <c r="H268" s="727">
        <f>SUMIFS('Schedule 4'!$F$89:$F$649,'Schedule 4'!$I$89:$I$649,'Well Cal.'!H$3,'Schedule 4'!$J$89:$J$649,'Well Cal.'!$E268)</f>
        <v>0</v>
      </c>
      <c r="I268" s="727">
        <f>SUMIFS('Schedule 4'!$F$89:$F$649,'Schedule 4'!$I$89:$I$649,'Well Cal.'!I$3,'Schedule 4'!$J$89:$J$649,'Well Cal.'!$E268)</f>
        <v>0</v>
      </c>
      <c r="J268" s="727">
        <f>SUMIFS('Schedule 4'!$F$89:$F$649,'Schedule 4'!$I$89:$I$649,'Well Cal.'!J$3,'Schedule 4'!$J$89:$J$649,'Well Cal.'!$E268)</f>
        <v>0</v>
      </c>
      <c r="K268" s="727">
        <f>SUMIFS('Schedule 4'!$F$89:$F$649,'Schedule 4'!$I$89:$I$649,'Well Cal.'!K$3,'Schedule 4'!$J$89:$J$649,'Well Cal.'!$E268)</f>
        <v>0</v>
      </c>
      <c r="L268" s="727">
        <f>SUMIFS('Schedule 4'!$F$89:$F$649,'Schedule 4'!$I$89:$I$649,'Well Cal.'!L$3,'Schedule 4'!$J$89:$J$649,'Well Cal.'!$E268)</f>
        <v>0</v>
      </c>
      <c r="M268" s="727">
        <f>SUMIFS('Schedule 4'!$F$89:$F$649,'Schedule 4'!$I$89:$I$649,'Well Cal.'!M$3,'Schedule 4'!$J$89:$J$649,'Well Cal.'!$E268)</f>
        <v>0</v>
      </c>
      <c r="N268" s="727">
        <f>SUMIFS('Schedule 4'!$F$89:$F$649,'Schedule 4'!$I$89:$I$649,'Well Cal.'!N$3,'Schedule 4'!$J$89:$J$649,'Well Cal.'!$E268)</f>
        <v>0</v>
      </c>
      <c r="O268" s="727">
        <f>SUMIFS('Schedule 4'!$F$89:$F$649,'Schedule 4'!$I$89:$I$649,'Well Cal.'!O$3,'Schedule 4'!$J$89:$J$649,'Well Cal.'!$E268)</f>
        <v>0</v>
      </c>
      <c r="P268" s="727">
        <f>SUMIFS('Schedule 4'!$F$89:$F$649,'Schedule 4'!$I$89:$I$649,'Well Cal.'!P$3,'Schedule 4'!$J$89:$J$649,'Well Cal.'!$E268)</f>
        <v>0</v>
      </c>
      <c r="Q268" s="727">
        <f>SUMIFS('Schedule 4'!$F$89:$F$649,'Schedule 4'!$I$89:$I$649,'Well Cal.'!Q$3,'Schedule 4'!$J$89:$J$649,'Well Cal.'!$E268)</f>
        <v>0</v>
      </c>
      <c r="R268" s="727">
        <f>SUMIFS('Schedule 4'!$F$89:$F$649,'Schedule 4'!$I$89:$I$649,'Well Cal.'!R$3,'Schedule 4'!$J$89:$J$649,'Well Cal.'!$E268)</f>
        <v>0</v>
      </c>
      <c r="S268" s="727">
        <f>SUMIFS('Schedule 4'!$F$89:$F$649,'Schedule 4'!$I$89:$I$649,'Well Cal.'!S$3,'Schedule 4'!$J$89:$J$649,'Well Cal.'!$E268)</f>
        <v>0</v>
      </c>
      <c r="T268" s="727">
        <f>SUMIFS('Schedule 4'!$F$89:$F$649,'Schedule 4'!$I$89:$I$649,'Well Cal.'!T$3,'Schedule 4'!$J$89:$J$649,'Well Cal.'!$E268)</f>
        <v>2.5</v>
      </c>
      <c r="U268" s="727">
        <f>SUMIFS('Schedule 4'!$F$89:$F$649,'Schedule 4'!$I$89:$I$649,'Well Cal.'!U$3,'Schedule 4'!$J$89:$J$649,'Well Cal.'!$E268)</f>
        <v>0</v>
      </c>
      <c r="V268" s="727">
        <f>SUMIFS('Schedule 4'!$F$89:$F$649,'Schedule 4'!$I$89:$I$649,'Well Cal.'!V$3,'Schedule 4'!$J$89:$J$649,'Well Cal.'!$E268)</f>
        <v>0</v>
      </c>
      <c r="W268" s="727">
        <f>SUMIFS('Schedule 4'!$F$89:$F$649,'Schedule 4'!$I$89:$I$649,'Well Cal.'!W$3,'Schedule 4'!$J$89:$J$649,'Well Cal.'!$E268)</f>
        <v>0</v>
      </c>
      <c r="X268" s="727">
        <f>SUMIFS('Schedule 4'!$F$89:$F$649,'Schedule 4'!$I$89:$I$649,'Well Cal.'!X$3,'Schedule 4'!$J$89:$J$649,'Well Cal.'!$E268)</f>
        <v>0</v>
      </c>
      <c r="Y268" s="727">
        <f>SUMIFS('Schedule 4'!$F$89:$F$649,'Schedule 4'!$I$89:$I$649,'Well Cal.'!Y$3,'Schedule 4'!$J$89:$J$649,'Well Cal.'!$E268)</f>
        <v>0</v>
      </c>
      <c r="Z268" s="727">
        <f>SUMIFS('Schedule 4'!$F$89:$F$649,'Schedule 4'!$I$89:$I$649,'Well Cal.'!Z$3,'Schedule 4'!$J$89:$J$649,'Well Cal.'!$E268)</f>
        <v>0</v>
      </c>
      <c r="AA268" s="727"/>
      <c r="AB268" s="1731"/>
      <c r="AC268" s="1731"/>
    </row>
    <row r="269" spans="2:31" x14ac:dyDescent="0.3">
      <c r="B269" s="1724"/>
      <c r="C269" s="1727"/>
      <c r="D269" s="1721"/>
      <c r="E269" s="775" t="s">
        <v>4415</v>
      </c>
      <c r="F269" s="727">
        <f>SUMIFS('Schedule 4'!$F$89:$F$649,'Schedule 4'!$I$89:$I$649,'Well Cal.'!F$3,'Schedule 4'!$J$89:$J$649,'Well Cal.'!$E269)</f>
        <v>0</v>
      </c>
      <c r="G269" s="727">
        <f>SUMIFS('Schedule 4'!$F$89:$F$649,'Schedule 4'!$I$89:$I$649,'Well Cal.'!G$3,'Schedule 4'!$J$89:$J$649,'Well Cal.'!$E269)</f>
        <v>0</v>
      </c>
      <c r="H269" s="727">
        <f>SUMIFS('Schedule 4'!$F$89:$F$649,'Schedule 4'!$I$89:$I$649,'Well Cal.'!H$3,'Schedule 4'!$J$89:$J$649,'Well Cal.'!$E269)</f>
        <v>0</v>
      </c>
      <c r="I269" s="727">
        <f>SUMIFS('Schedule 4'!$F$89:$F$649,'Schedule 4'!$I$89:$I$649,'Well Cal.'!I$3,'Schedule 4'!$J$89:$J$649,'Well Cal.'!$E269)</f>
        <v>0</v>
      </c>
      <c r="J269" s="727">
        <f>SUMIFS('Schedule 4'!$F$89:$F$649,'Schedule 4'!$I$89:$I$649,'Well Cal.'!J$3,'Schedule 4'!$J$89:$J$649,'Well Cal.'!$E269)</f>
        <v>0</v>
      </c>
      <c r="K269" s="727">
        <f>SUMIFS('Schedule 4'!$F$89:$F$649,'Schedule 4'!$I$89:$I$649,'Well Cal.'!K$3,'Schedule 4'!$J$89:$J$649,'Well Cal.'!$E269)</f>
        <v>0</v>
      </c>
      <c r="L269" s="727">
        <f>SUMIFS('Schedule 4'!$F$89:$F$649,'Schedule 4'!$I$89:$I$649,'Well Cal.'!L$3,'Schedule 4'!$J$89:$J$649,'Well Cal.'!$E269)</f>
        <v>0</v>
      </c>
      <c r="M269" s="727">
        <f>SUMIFS('Schedule 4'!$F$89:$F$649,'Schedule 4'!$I$89:$I$649,'Well Cal.'!M$3,'Schedule 4'!$J$89:$J$649,'Well Cal.'!$E269)</f>
        <v>0</v>
      </c>
      <c r="N269" s="727">
        <f>SUMIFS('Schedule 4'!$F$89:$F$649,'Schedule 4'!$I$89:$I$649,'Well Cal.'!N$3,'Schedule 4'!$J$89:$J$649,'Well Cal.'!$E269)</f>
        <v>0</v>
      </c>
      <c r="O269" s="727">
        <f>SUMIFS('Schedule 4'!$F$89:$F$649,'Schedule 4'!$I$89:$I$649,'Well Cal.'!O$3,'Schedule 4'!$J$89:$J$649,'Well Cal.'!$E269)</f>
        <v>0</v>
      </c>
      <c r="P269" s="727">
        <f>SUMIFS('Schedule 4'!$F$89:$F$649,'Schedule 4'!$I$89:$I$649,'Well Cal.'!P$3,'Schedule 4'!$J$89:$J$649,'Well Cal.'!$E269)</f>
        <v>0</v>
      </c>
      <c r="Q269" s="727">
        <f>SUMIFS('Schedule 4'!$F$89:$F$649,'Schedule 4'!$I$89:$I$649,'Well Cal.'!Q$3,'Schedule 4'!$J$89:$J$649,'Well Cal.'!$E269)</f>
        <v>0</v>
      </c>
      <c r="R269" s="727">
        <f>SUMIFS('Schedule 4'!$F$89:$F$649,'Schedule 4'!$I$89:$I$649,'Well Cal.'!R$3,'Schedule 4'!$J$89:$J$649,'Well Cal.'!$E269)</f>
        <v>0</v>
      </c>
      <c r="S269" s="727">
        <f>SUMIFS('Schedule 4'!$F$89:$F$649,'Schedule 4'!$I$89:$I$649,'Well Cal.'!S$3,'Schedule 4'!$J$89:$J$649,'Well Cal.'!$E269)</f>
        <v>0</v>
      </c>
      <c r="T269" s="727">
        <f>SUMIFS('Schedule 4'!$F$89:$F$649,'Schedule 4'!$I$89:$I$649,'Well Cal.'!T$3,'Schedule 4'!$J$89:$J$649,'Well Cal.'!$E269)</f>
        <v>0</v>
      </c>
      <c r="U269" s="727">
        <f>SUMIFS('Schedule 4'!$F$89:$F$649,'Schedule 4'!$I$89:$I$649,'Well Cal.'!U$3,'Schedule 4'!$J$89:$J$649,'Well Cal.'!$E269)</f>
        <v>2.5</v>
      </c>
      <c r="V269" s="727">
        <f>SUMIFS('Schedule 4'!$F$89:$F$649,'Schedule 4'!$I$89:$I$649,'Well Cal.'!V$3,'Schedule 4'!$J$89:$J$649,'Well Cal.'!$E269)</f>
        <v>0</v>
      </c>
      <c r="W269" s="727">
        <f>SUMIFS('Schedule 4'!$F$89:$F$649,'Schedule 4'!$I$89:$I$649,'Well Cal.'!W$3,'Schedule 4'!$J$89:$J$649,'Well Cal.'!$E269)</f>
        <v>0</v>
      </c>
      <c r="X269" s="727">
        <f>SUMIFS('Schedule 4'!$F$89:$F$649,'Schedule 4'!$I$89:$I$649,'Well Cal.'!X$3,'Schedule 4'!$J$89:$J$649,'Well Cal.'!$E269)</f>
        <v>0</v>
      </c>
      <c r="Y269" s="727">
        <f>SUMIFS('Schedule 4'!$F$89:$F$649,'Schedule 4'!$I$89:$I$649,'Well Cal.'!Y$3,'Schedule 4'!$J$89:$J$649,'Well Cal.'!$E269)</f>
        <v>0</v>
      </c>
      <c r="Z269" s="727">
        <f>SUMIFS('Schedule 4'!$F$89:$F$649,'Schedule 4'!$I$89:$I$649,'Well Cal.'!Z$3,'Schedule 4'!$J$89:$J$649,'Well Cal.'!$E269)</f>
        <v>0</v>
      </c>
      <c r="AA269" s="727"/>
      <c r="AB269" s="1731"/>
      <c r="AC269" s="1731"/>
    </row>
    <row r="270" spans="2:31" x14ac:dyDescent="0.3">
      <c r="B270" s="1724"/>
      <c r="C270" s="1727"/>
      <c r="D270" s="1721"/>
      <c r="E270" s="775" t="s">
        <v>4472</v>
      </c>
      <c r="F270" s="727">
        <f>SUMIFS('Schedule 4'!$F$89:$F$649,'Schedule 4'!$I$89:$I$649,'Well Cal.'!F$3,'Schedule 4'!$J$89:$J$649,'Well Cal.'!$E270)</f>
        <v>0</v>
      </c>
      <c r="G270" s="727">
        <f>SUMIFS('Schedule 4'!$F$89:$F$649,'Schedule 4'!$I$89:$I$649,'Well Cal.'!G$3,'Schedule 4'!$J$89:$J$649,'Well Cal.'!$E270)</f>
        <v>0</v>
      </c>
      <c r="H270" s="727">
        <f>SUMIFS('Schedule 4'!$F$89:$F$649,'Schedule 4'!$I$89:$I$649,'Well Cal.'!H$3,'Schedule 4'!$J$89:$J$649,'Well Cal.'!$E270)</f>
        <v>0</v>
      </c>
      <c r="I270" s="727">
        <f>SUMIFS('Schedule 4'!$F$89:$F$649,'Schedule 4'!$I$89:$I$649,'Well Cal.'!I$3,'Schedule 4'!$J$89:$J$649,'Well Cal.'!$E270)</f>
        <v>0</v>
      </c>
      <c r="J270" s="727">
        <f>SUMIFS('Schedule 4'!$F$89:$F$649,'Schedule 4'!$I$89:$I$649,'Well Cal.'!J$3,'Schedule 4'!$J$89:$J$649,'Well Cal.'!$E270)</f>
        <v>0</v>
      </c>
      <c r="K270" s="727">
        <f>SUMIFS('Schedule 4'!$F$89:$F$649,'Schedule 4'!$I$89:$I$649,'Well Cal.'!K$3,'Schedule 4'!$J$89:$J$649,'Well Cal.'!$E270)</f>
        <v>0</v>
      </c>
      <c r="L270" s="727">
        <f>SUMIFS('Schedule 4'!$F$89:$F$649,'Schedule 4'!$I$89:$I$649,'Well Cal.'!L$3,'Schedule 4'!$J$89:$J$649,'Well Cal.'!$E270)</f>
        <v>0</v>
      </c>
      <c r="M270" s="727">
        <f>SUMIFS('Schedule 4'!$F$89:$F$649,'Schedule 4'!$I$89:$I$649,'Well Cal.'!M$3,'Schedule 4'!$J$89:$J$649,'Well Cal.'!$E270)</f>
        <v>0</v>
      </c>
      <c r="N270" s="727">
        <f>SUMIFS('Schedule 4'!$F$89:$F$649,'Schedule 4'!$I$89:$I$649,'Well Cal.'!N$3,'Schedule 4'!$J$89:$J$649,'Well Cal.'!$E270)</f>
        <v>0</v>
      </c>
      <c r="O270" s="727">
        <f>SUMIFS('Schedule 4'!$F$89:$F$649,'Schedule 4'!$I$89:$I$649,'Well Cal.'!O$3,'Schedule 4'!$J$89:$J$649,'Well Cal.'!$E270)</f>
        <v>0</v>
      </c>
      <c r="P270" s="727">
        <f>SUMIFS('Schedule 4'!$F$89:$F$649,'Schedule 4'!$I$89:$I$649,'Well Cal.'!P$3,'Schedule 4'!$J$89:$J$649,'Well Cal.'!$E270)</f>
        <v>0</v>
      </c>
      <c r="Q270" s="727">
        <f>SUMIFS('Schedule 4'!$F$89:$F$649,'Schedule 4'!$I$89:$I$649,'Well Cal.'!Q$3,'Schedule 4'!$J$89:$J$649,'Well Cal.'!$E270)</f>
        <v>0</v>
      </c>
      <c r="R270" s="727">
        <f>SUMIFS('Schedule 4'!$F$89:$F$649,'Schedule 4'!$I$89:$I$649,'Well Cal.'!R$3,'Schedule 4'!$J$89:$J$649,'Well Cal.'!$E270)</f>
        <v>0</v>
      </c>
      <c r="S270" s="727">
        <f>SUMIFS('Schedule 4'!$F$89:$F$649,'Schedule 4'!$I$89:$I$649,'Well Cal.'!S$3,'Schedule 4'!$J$89:$J$649,'Well Cal.'!$E270)</f>
        <v>0</v>
      </c>
      <c r="T270" s="727">
        <f>SUMIFS('Schedule 4'!$F$89:$F$649,'Schedule 4'!$I$89:$I$649,'Well Cal.'!T$3,'Schedule 4'!$J$89:$J$649,'Well Cal.'!$E270)</f>
        <v>0</v>
      </c>
      <c r="U270" s="727">
        <f>SUMIFS('Schedule 4'!$F$89:$F$649,'Schedule 4'!$I$89:$I$649,'Well Cal.'!U$3,'Schedule 4'!$J$89:$J$649,'Well Cal.'!$E270)</f>
        <v>0</v>
      </c>
      <c r="V270" s="727">
        <f>SUMIFS('Schedule 4'!$F$89:$F$649,'Schedule 4'!$I$89:$I$649,'Well Cal.'!V$3,'Schedule 4'!$J$89:$J$649,'Well Cal.'!$E270)</f>
        <v>2</v>
      </c>
      <c r="W270" s="727">
        <f>SUMIFS('Schedule 4'!$F$89:$F$649,'Schedule 4'!$I$89:$I$649,'Well Cal.'!W$3,'Schedule 4'!$J$89:$J$649,'Well Cal.'!$E270)</f>
        <v>0</v>
      </c>
      <c r="X270" s="727">
        <f>SUMIFS('Schedule 4'!$F$89:$F$649,'Schedule 4'!$I$89:$I$649,'Well Cal.'!X$3,'Schedule 4'!$J$89:$J$649,'Well Cal.'!$E270)</f>
        <v>0</v>
      </c>
      <c r="Y270" s="727">
        <f>SUMIFS('Schedule 4'!$F$89:$F$649,'Schedule 4'!$I$89:$I$649,'Well Cal.'!Y$3,'Schedule 4'!$J$89:$J$649,'Well Cal.'!$E270)</f>
        <v>0</v>
      </c>
      <c r="Z270" s="727">
        <f>SUMIFS('Schedule 4'!$F$89:$F$649,'Schedule 4'!$I$89:$I$649,'Well Cal.'!Z$3,'Schedule 4'!$J$89:$J$649,'Well Cal.'!$E270)</f>
        <v>0</v>
      </c>
      <c r="AA270" s="727"/>
      <c r="AB270" s="1731"/>
      <c r="AC270" s="1731"/>
    </row>
    <row r="271" spans="2:31" x14ac:dyDescent="0.3">
      <c r="B271" s="1724"/>
      <c r="C271" s="1727"/>
      <c r="D271" s="1721"/>
      <c r="E271" s="775" t="s">
        <v>4523</v>
      </c>
      <c r="F271" s="727">
        <f>SUMIFS('Schedule 4'!$F$89:$F$649,'Schedule 4'!$I$89:$I$649,'Well Cal.'!F$3,'Schedule 4'!$J$89:$J$649,'Well Cal.'!$E271)</f>
        <v>0</v>
      </c>
      <c r="G271" s="727">
        <f>SUMIFS('Schedule 4'!$F$89:$F$649,'Schedule 4'!$I$89:$I$649,'Well Cal.'!G$3,'Schedule 4'!$J$89:$J$649,'Well Cal.'!$E271)</f>
        <v>0</v>
      </c>
      <c r="H271" s="727">
        <f>SUMIFS('Schedule 4'!$F$89:$F$649,'Schedule 4'!$I$89:$I$649,'Well Cal.'!H$3,'Schedule 4'!$J$89:$J$649,'Well Cal.'!$E271)</f>
        <v>0</v>
      </c>
      <c r="I271" s="727">
        <f>SUMIFS('Schedule 4'!$F$89:$F$649,'Schedule 4'!$I$89:$I$649,'Well Cal.'!I$3,'Schedule 4'!$J$89:$J$649,'Well Cal.'!$E271)</f>
        <v>0</v>
      </c>
      <c r="J271" s="727">
        <f>SUMIFS('Schedule 4'!$F$89:$F$649,'Schedule 4'!$I$89:$I$649,'Well Cal.'!J$3,'Schedule 4'!$J$89:$J$649,'Well Cal.'!$E271)</f>
        <v>0</v>
      </c>
      <c r="K271" s="727">
        <f>SUMIFS('Schedule 4'!$F$89:$F$649,'Schedule 4'!$I$89:$I$649,'Well Cal.'!K$3,'Schedule 4'!$J$89:$J$649,'Well Cal.'!$E271)</f>
        <v>0</v>
      </c>
      <c r="L271" s="727">
        <f>SUMIFS('Schedule 4'!$F$89:$F$649,'Schedule 4'!$I$89:$I$649,'Well Cal.'!L$3,'Schedule 4'!$J$89:$J$649,'Well Cal.'!$E271)</f>
        <v>0</v>
      </c>
      <c r="M271" s="727">
        <f>SUMIFS('Schedule 4'!$F$89:$F$649,'Schedule 4'!$I$89:$I$649,'Well Cal.'!M$3,'Schedule 4'!$J$89:$J$649,'Well Cal.'!$E271)</f>
        <v>0</v>
      </c>
      <c r="N271" s="727">
        <f>SUMIFS('Schedule 4'!$F$89:$F$649,'Schedule 4'!$I$89:$I$649,'Well Cal.'!N$3,'Schedule 4'!$J$89:$J$649,'Well Cal.'!$E271)</f>
        <v>0</v>
      </c>
      <c r="O271" s="727">
        <f>SUMIFS('Schedule 4'!$F$89:$F$649,'Schedule 4'!$I$89:$I$649,'Well Cal.'!O$3,'Schedule 4'!$J$89:$J$649,'Well Cal.'!$E271)</f>
        <v>0</v>
      </c>
      <c r="P271" s="727">
        <f>SUMIFS('Schedule 4'!$F$89:$F$649,'Schedule 4'!$I$89:$I$649,'Well Cal.'!P$3,'Schedule 4'!$J$89:$J$649,'Well Cal.'!$E271)</f>
        <v>0</v>
      </c>
      <c r="Q271" s="727">
        <f>SUMIFS('Schedule 4'!$F$89:$F$649,'Schedule 4'!$I$89:$I$649,'Well Cal.'!Q$3,'Schedule 4'!$J$89:$J$649,'Well Cal.'!$E271)</f>
        <v>0</v>
      </c>
      <c r="R271" s="727">
        <f>SUMIFS('Schedule 4'!$F$89:$F$649,'Schedule 4'!$I$89:$I$649,'Well Cal.'!R$3,'Schedule 4'!$J$89:$J$649,'Well Cal.'!$E271)</f>
        <v>0</v>
      </c>
      <c r="S271" s="727">
        <f>SUMIFS('Schedule 4'!$F$89:$F$649,'Schedule 4'!$I$89:$I$649,'Well Cal.'!S$3,'Schedule 4'!$J$89:$J$649,'Well Cal.'!$E271)</f>
        <v>0</v>
      </c>
      <c r="T271" s="727">
        <f>SUMIFS('Schedule 4'!$F$89:$F$649,'Schedule 4'!$I$89:$I$649,'Well Cal.'!T$3,'Schedule 4'!$J$89:$J$649,'Well Cal.'!$E271)</f>
        <v>0</v>
      </c>
      <c r="U271" s="727">
        <f>SUMIFS('Schedule 4'!$F$89:$F$649,'Schedule 4'!$I$89:$I$649,'Well Cal.'!U$3,'Schedule 4'!$J$89:$J$649,'Well Cal.'!$E271)</f>
        <v>0</v>
      </c>
      <c r="V271" s="727">
        <f>SUMIFS('Schedule 4'!$F$89:$F$649,'Schedule 4'!$I$89:$I$649,'Well Cal.'!V$3,'Schedule 4'!$J$89:$J$649,'Well Cal.'!$E271)</f>
        <v>0</v>
      </c>
      <c r="W271" s="727">
        <f>SUMIFS('Schedule 4'!$F$89:$F$649,'Schedule 4'!$I$89:$I$649,'Well Cal.'!W$3,'Schedule 4'!$J$89:$J$649,'Well Cal.'!$E271)</f>
        <v>1.6</v>
      </c>
      <c r="X271" s="727">
        <f>SUMIFS('Schedule 4'!$F$89:$F$649,'Schedule 4'!$I$89:$I$649,'Well Cal.'!X$3,'Schedule 4'!$J$89:$J$649,'Well Cal.'!$E271)</f>
        <v>0</v>
      </c>
      <c r="Y271" s="727">
        <f>SUMIFS('Schedule 4'!$F$89:$F$649,'Schedule 4'!$I$89:$I$649,'Well Cal.'!Y$3,'Schedule 4'!$J$89:$J$649,'Well Cal.'!$E271)</f>
        <v>0</v>
      </c>
      <c r="Z271" s="727">
        <f>SUMIFS('Schedule 4'!$F$89:$F$649,'Schedule 4'!$I$89:$I$649,'Well Cal.'!Z$3,'Schedule 4'!$J$89:$J$649,'Well Cal.'!$E271)</f>
        <v>0</v>
      </c>
      <c r="AA271" s="727"/>
      <c r="AB271" s="1731"/>
      <c r="AC271" s="1731"/>
    </row>
    <row r="272" spans="2:31" x14ac:dyDescent="0.3">
      <c r="B272" s="1724"/>
      <c r="C272" s="1727"/>
      <c r="D272" s="1721"/>
      <c r="E272" s="775" t="s">
        <v>4566</v>
      </c>
      <c r="F272" s="727">
        <f>SUMIFS('Schedule 4'!$F$89:$F$649,'Schedule 4'!$I$89:$I$649,'Well Cal.'!F$3,'Schedule 4'!$J$89:$J$649,'Well Cal.'!$E272)</f>
        <v>0</v>
      </c>
      <c r="G272" s="727">
        <f>SUMIFS('Schedule 4'!$F$89:$F$649,'Schedule 4'!$I$89:$I$649,'Well Cal.'!G$3,'Schedule 4'!$J$89:$J$649,'Well Cal.'!$E272)</f>
        <v>0</v>
      </c>
      <c r="H272" s="727">
        <f>SUMIFS('Schedule 4'!$F$89:$F$649,'Schedule 4'!$I$89:$I$649,'Well Cal.'!H$3,'Schedule 4'!$J$89:$J$649,'Well Cal.'!$E272)</f>
        <v>0</v>
      </c>
      <c r="I272" s="727">
        <f>SUMIFS('Schedule 4'!$F$89:$F$649,'Schedule 4'!$I$89:$I$649,'Well Cal.'!I$3,'Schedule 4'!$J$89:$J$649,'Well Cal.'!$E272)</f>
        <v>0</v>
      </c>
      <c r="J272" s="727">
        <f>SUMIFS('Schedule 4'!$F$89:$F$649,'Schedule 4'!$I$89:$I$649,'Well Cal.'!J$3,'Schedule 4'!$J$89:$J$649,'Well Cal.'!$E272)</f>
        <v>0</v>
      </c>
      <c r="K272" s="727">
        <f>SUMIFS('Schedule 4'!$F$89:$F$649,'Schedule 4'!$I$89:$I$649,'Well Cal.'!K$3,'Schedule 4'!$J$89:$J$649,'Well Cal.'!$E272)</f>
        <v>0</v>
      </c>
      <c r="L272" s="727">
        <f>SUMIFS('Schedule 4'!$F$89:$F$649,'Schedule 4'!$I$89:$I$649,'Well Cal.'!L$3,'Schedule 4'!$J$89:$J$649,'Well Cal.'!$E272)</f>
        <v>0</v>
      </c>
      <c r="M272" s="727">
        <f>SUMIFS('Schedule 4'!$F$89:$F$649,'Schedule 4'!$I$89:$I$649,'Well Cal.'!M$3,'Schedule 4'!$J$89:$J$649,'Well Cal.'!$E272)</f>
        <v>0</v>
      </c>
      <c r="N272" s="727">
        <f>SUMIFS('Schedule 4'!$F$89:$F$649,'Schedule 4'!$I$89:$I$649,'Well Cal.'!N$3,'Schedule 4'!$J$89:$J$649,'Well Cal.'!$E272)</f>
        <v>0</v>
      </c>
      <c r="O272" s="727">
        <f>SUMIFS('Schedule 4'!$F$89:$F$649,'Schedule 4'!$I$89:$I$649,'Well Cal.'!O$3,'Schedule 4'!$J$89:$J$649,'Well Cal.'!$E272)</f>
        <v>0</v>
      </c>
      <c r="P272" s="727">
        <f>SUMIFS('Schedule 4'!$F$89:$F$649,'Schedule 4'!$I$89:$I$649,'Well Cal.'!P$3,'Schedule 4'!$J$89:$J$649,'Well Cal.'!$E272)</f>
        <v>0</v>
      </c>
      <c r="Q272" s="727">
        <f>SUMIFS('Schedule 4'!$F$89:$F$649,'Schedule 4'!$I$89:$I$649,'Well Cal.'!Q$3,'Schedule 4'!$J$89:$J$649,'Well Cal.'!$E272)</f>
        <v>0</v>
      </c>
      <c r="R272" s="727">
        <f>SUMIFS('Schedule 4'!$F$89:$F$649,'Schedule 4'!$I$89:$I$649,'Well Cal.'!R$3,'Schedule 4'!$J$89:$J$649,'Well Cal.'!$E272)</f>
        <v>0</v>
      </c>
      <c r="S272" s="727">
        <f>SUMIFS('Schedule 4'!$F$89:$F$649,'Schedule 4'!$I$89:$I$649,'Well Cal.'!S$3,'Schedule 4'!$J$89:$J$649,'Well Cal.'!$E272)</f>
        <v>0</v>
      </c>
      <c r="T272" s="727">
        <f>SUMIFS('Schedule 4'!$F$89:$F$649,'Schedule 4'!$I$89:$I$649,'Well Cal.'!T$3,'Schedule 4'!$J$89:$J$649,'Well Cal.'!$E272)</f>
        <v>0</v>
      </c>
      <c r="U272" s="727">
        <f>SUMIFS('Schedule 4'!$F$89:$F$649,'Schedule 4'!$I$89:$I$649,'Well Cal.'!U$3,'Schedule 4'!$J$89:$J$649,'Well Cal.'!$E272)</f>
        <v>0</v>
      </c>
      <c r="V272" s="727">
        <f>SUMIFS('Schedule 4'!$F$89:$F$649,'Schedule 4'!$I$89:$I$649,'Well Cal.'!V$3,'Schedule 4'!$J$89:$J$649,'Well Cal.'!$E272)</f>
        <v>0</v>
      </c>
      <c r="W272" s="727">
        <f>SUMIFS('Schedule 4'!$F$89:$F$649,'Schedule 4'!$I$89:$I$649,'Well Cal.'!W$3,'Schedule 4'!$J$89:$J$649,'Well Cal.'!$E272)</f>
        <v>0</v>
      </c>
      <c r="X272" s="727">
        <f>SUMIFS('Schedule 4'!$F$89:$F$649,'Schedule 4'!$I$89:$I$649,'Well Cal.'!X$3,'Schedule 4'!$J$89:$J$649,'Well Cal.'!$E272)</f>
        <v>0</v>
      </c>
      <c r="Y272" s="727">
        <f>SUMIFS('Schedule 4'!$F$89:$F$649,'Schedule 4'!$I$89:$I$649,'Well Cal.'!Y$3,'Schedule 4'!$J$89:$J$649,'Well Cal.'!$E272)</f>
        <v>0</v>
      </c>
      <c r="Z272" s="727">
        <f>SUMIFS('Schedule 4'!$F$89:$F$649,'Schedule 4'!$I$89:$I$649,'Well Cal.'!Z$3,'Schedule 4'!$J$89:$J$649,'Well Cal.'!$E272)</f>
        <v>0</v>
      </c>
      <c r="AA272" s="727"/>
      <c r="AB272" s="1731"/>
      <c r="AC272" s="1731"/>
    </row>
    <row r="273" spans="2:29" x14ac:dyDescent="0.3">
      <c r="B273" s="1725"/>
      <c r="C273" s="1728"/>
      <c r="D273" s="1722"/>
      <c r="E273" s="776"/>
      <c r="F273" s="777"/>
      <c r="G273" s="777"/>
      <c r="H273" s="777"/>
      <c r="I273" s="777"/>
      <c r="J273" s="777"/>
      <c r="K273" s="777"/>
      <c r="L273" s="777"/>
      <c r="M273" s="777"/>
      <c r="N273" s="777"/>
      <c r="O273" s="777"/>
      <c r="P273" s="777"/>
      <c r="Q273" s="777"/>
      <c r="R273" s="777"/>
      <c r="S273" s="777"/>
      <c r="T273" s="777"/>
      <c r="U273" s="777"/>
      <c r="V273" s="777"/>
      <c r="W273" s="777"/>
      <c r="X273" s="777"/>
      <c r="Y273" s="777"/>
      <c r="Z273" s="777"/>
      <c r="AA273" s="777"/>
      <c r="AB273" s="1732"/>
      <c r="AC273" s="1732"/>
    </row>
    <row r="274" spans="2:29" x14ac:dyDescent="0.3">
      <c r="B274" s="1723" t="s">
        <v>1907</v>
      </c>
      <c r="C274" s="1726">
        <v>54.05</v>
      </c>
      <c r="D274" s="1720">
        <f>SUMIFS('Schedule 4'!$F$89:$F$625,'Schedule 4'!$K$89:$K$625,'Well Cal.'!$B274)</f>
        <v>0</v>
      </c>
      <c r="E274" s="754" t="s">
        <v>3135</v>
      </c>
      <c r="F274" s="728">
        <f>SUMIFS('Schedule 4'!$F$89:$F$649,'Schedule 4'!$I$89:$I$649,'Well Cal.'!F$3,'Schedule 4'!$J$89:$J$649,'Well Cal.'!$E274)</f>
        <v>0</v>
      </c>
      <c r="G274" s="728">
        <f>SUMIFS('Schedule 4'!$F$89:$F$649,'Schedule 4'!$I$89:$I$649,'Well Cal.'!G$3,'Schedule 4'!$J$89:$J$649,'Well Cal.'!$E274)</f>
        <v>0</v>
      </c>
      <c r="H274" s="728">
        <f>SUMIFS('Schedule 4'!$F$89:$F$649,'Schedule 4'!$I$89:$I$649,'Well Cal.'!H$3,'Schedule 4'!$J$89:$J$649,'Well Cal.'!$E274)</f>
        <v>0</v>
      </c>
      <c r="I274" s="728">
        <f>SUMIFS('Schedule 4'!$F$89:$F$649,'Schedule 4'!$I$89:$I$649,'Well Cal.'!I$3,'Schedule 4'!$J$89:$J$649,'Well Cal.'!$E274)</f>
        <v>0</v>
      </c>
      <c r="J274" s="728">
        <f>SUMIFS('Schedule 4'!$F$89:$F$649,'Schedule 4'!$I$89:$I$649,'Well Cal.'!J$3,'Schedule 4'!$J$89:$J$649,'Well Cal.'!$E274)</f>
        <v>0</v>
      </c>
      <c r="K274" s="728">
        <f>SUMIFS('Schedule 4'!$F$89:$F$649,'Schedule 4'!$I$89:$I$649,'Well Cal.'!K$3,'Schedule 4'!$J$89:$J$649,'Well Cal.'!$E274)</f>
        <v>0</v>
      </c>
      <c r="L274" s="728">
        <f>SUMIFS('Schedule 4'!$F$89:$F$649,'Schedule 4'!$I$89:$I$649,'Well Cal.'!L$3,'Schedule 4'!$J$89:$J$649,'Well Cal.'!$E274)</f>
        <v>0</v>
      </c>
      <c r="M274" s="728">
        <f>SUMIFS('Schedule 4'!$F$89:$F$649,'Schedule 4'!$I$89:$I$649,'Well Cal.'!M$3,'Schedule 4'!$J$89:$J$649,'Well Cal.'!$E274)</f>
        <v>0</v>
      </c>
      <c r="N274" s="728">
        <f>SUMIFS('Schedule 4'!$F$89:$F$649,'Schedule 4'!$I$89:$I$649,'Well Cal.'!N$3,'Schedule 4'!$J$89:$J$649,'Well Cal.'!$E274)</f>
        <v>0</v>
      </c>
      <c r="O274" s="728">
        <f>SUMIFS('Schedule 4'!$F$89:$F$649,'Schedule 4'!$I$89:$I$649,'Well Cal.'!O$3,'Schedule 4'!$J$89:$J$649,'Well Cal.'!$E274)</f>
        <v>0</v>
      </c>
      <c r="P274" s="728">
        <f>SUMIFS('Schedule 4'!$F$89:$F$649,'Schedule 4'!$I$89:$I$649,'Well Cal.'!P$3,'Schedule 4'!$J$89:$J$649,'Well Cal.'!$E274)</f>
        <v>0</v>
      </c>
      <c r="Q274" s="728">
        <f>SUMIFS('Schedule 4'!$F$89:$F$649,'Schedule 4'!$I$89:$I$649,'Well Cal.'!Q$3,'Schedule 4'!$J$89:$J$649,'Well Cal.'!$E274)</f>
        <v>0</v>
      </c>
      <c r="R274" s="728">
        <f>SUMIFS('Schedule 4'!$F$89:$F$649,'Schedule 4'!$I$89:$I$649,'Well Cal.'!R$3,'Schedule 4'!$J$89:$J$649,'Well Cal.'!$E274)</f>
        <v>0</v>
      </c>
      <c r="S274" s="728">
        <f>SUMIFS('Schedule 4'!$F$89:$F$649,'Schedule 4'!$I$89:$I$649,'Well Cal.'!S$3,'Schedule 4'!$J$89:$J$649,'Well Cal.'!$E274)</f>
        <v>0</v>
      </c>
      <c r="T274" s="728">
        <f>SUMIFS('Schedule 4'!$F$89:$F$649,'Schedule 4'!$I$89:$I$649,'Well Cal.'!T$3,'Schedule 4'!$J$89:$J$649,'Well Cal.'!$E274)</f>
        <v>0</v>
      </c>
      <c r="U274" s="728">
        <f>SUMIFS('Schedule 4'!$F$89:$F$649,'Schedule 4'!$I$89:$I$649,'Well Cal.'!U$3,'Schedule 4'!$J$89:$J$649,'Well Cal.'!$E274)</f>
        <v>0</v>
      </c>
      <c r="V274" s="728">
        <f>SUMIFS('Schedule 4'!$F$89:$F$649,'Schedule 4'!$I$89:$I$649,'Well Cal.'!V$3,'Schedule 4'!$J$89:$J$649,'Well Cal.'!$E274)</f>
        <v>0</v>
      </c>
      <c r="W274" s="728">
        <f>SUMIFS('Schedule 4'!$F$89:$F$649,'Schedule 4'!$I$89:$I$649,'Well Cal.'!W$3,'Schedule 4'!$J$89:$J$649,'Well Cal.'!$E274)</f>
        <v>0</v>
      </c>
      <c r="X274" s="728">
        <f>SUMIFS('Schedule 4'!$F$89:$F$649,'Schedule 4'!$I$89:$I$649,'Well Cal.'!X$3,'Schedule 4'!$J$89:$J$649,'Well Cal.'!$E274)</f>
        <v>0</v>
      </c>
      <c r="Y274" s="728">
        <f>SUMIFS('Schedule 4'!$F$89:$F$649,'Schedule 4'!$I$89:$I$649,'Well Cal.'!Y$3,'Schedule 4'!$J$89:$J$649,'Well Cal.'!$E274)</f>
        <v>0</v>
      </c>
      <c r="Z274" s="728">
        <f>SUMIFS('Schedule 4'!$F$89:$F$649,'Schedule 4'!$I$89:$I$649,'Well Cal.'!Z$3,'Schedule 4'!$J$89:$J$649,'Well Cal.'!$E274)</f>
        <v>0</v>
      </c>
      <c r="AA274" s="728"/>
      <c r="AB274" s="1729">
        <f>SUM(F274:AA295)</f>
        <v>0</v>
      </c>
      <c r="AC274" s="1729">
        <f>D274-AB274</f>
        <v>0</v>
      </c>
    </row>
    <row r="275" spans="2:29" x14ac:dyDescent="0.3">
      <c r="B275" s="1724"/>
      <c r="C275" s="1727"/>
      <c r="D275" s="1721"/>
      <c r="E275" s="761" t="s">
        <v>3223</v>
      </c>
      <c r="F275" s="726">
        <f>SUMIFS('Schedule 4'!$F$89:$F$649,'Schedule 4'!$I$89:$I$649,'Well Cal.'!F$3,'Schedule 4'!$J$89:$J$649,'Well Cal.'!$E275)</f>
        <v>0</v>
      </c>
      <c r="G275" s="726">
        <f>SUMIFS('Schedule 4'!$F$89:$F$649,'Schedule 4'!$I$89:$I$649,'Well Cal.'!G$3,'Schedule 4'!$J$89:$J$649,'Well Cal.'!$E275)</f>
        <v>0</v>
      </c>
      <c r="H275" s="726">
        <f>SUMIFS('Schedule 4'!$F$89:$F$649,'Schedule 4'!$I$89:$I$649,'Well Cal.'!H$3,'Schedule 4'!$J$89:$J$649,'Well Cal.'!$E275)</f>
        <v>0</v>
      </c>
      <c r="I275" s="726">
        <f>SUMIFS('Schedule 4'!$F$89:$F$649,'Schedule 4'!$I$89:$I$649,'Well Cal.'!I$3,'Schedule 4'!$J$89:$J$649,'Well Cal.'!$E275)</f>
        <v>0</v>
      </c>
      <c r="J275" s="726">
        <f>SUMIFS('Schedule 4'!$F$89:$F$649,'Schedule 4'!$I$89:$I$649,'Well Cal.'!J$3,'Schedule 4'!$J$89:$J$649,'Well Cal.'!$E275)</f>
        <v>0</v>
      </c>
      <c r="K275" s="726">
        <f>SUMIFS('Schedule 4'!$F$89:$F$649,'Schedule 4'!$I$89:$I$649,'Well Cal.'!K$3,'Schedule 4'!$J$89:$J$649,'Well Cal.'!$E275)</f>
        <v>0</v>
      </c>
      <c r="L275" s="726">
        <f>SUMIFS('Schedule 4'!$F$89:$F$649,'Schedule 4'!$I$89:$I$649,'Well Cal.'!L$3,'Schedule 4'!$J$89:$J$649,'Well Cal.'!$E275)</f>
        <v>0</v>
      </c>
      <c r="M275" s="726">
        <f>SUMIFS('Schedule 4'!$F$89:$F$649,'Schedule 4'!$I$89:$I$649,'Well Cal.'!M$3,'Schedule 4'!$J$89:$J$649,'Well Cal.'!$E275)</f>
        <v>0</v>
      </c>
      <c r="N275" s="726">
        <f>SUMIFS('Schedule 4'!$F$89:$F$649,'Schedule 4'!$I$89:$I$649,'Well Cal.'!N$3,'Schedule 4'!$J$89:$J$649,'Well Cal.'!$E275)</f>
        <v>0</v>
      </c>
      <c r="O275" s="726">
        <f>SUMIFS('Schedule 4'!$F$89:$F$649,'Schedule 4'!$I$89:$I$649,'Well Cal.'!O$3,'Schedule 4'!$J$89:$J$649,'Well Cal.'!$E275)</f>
        <v>0</v>
      </c>
      <c r="P275" s="726">
        <f>SUMIFS('Schedule 4'!$F$89:$F$649,'Schedule 4'!$I$89:$I$649,'Well Cal.'!P$3,'Schedule 4'!$J$89:$J$649,'Well Cal.'!$E275)</f>
        <v>0</v>
      </c>
      <c r="Q275" s="726">
        <f>SUMIFS('Schedule 4'!$F$89:$F$649,'Schedule 4'!$I$89:$I$649,'Well Cal.'!Q$3,'Schedule 4'!$J$89:$J$649,'Well Cal.'!$E275)</f>
        <v>0</v>
      </c>
      <c r="R275" s="726">
        <f>SUMIFS('Schedule 4'!$F$89:$F$649,'Schedule 4'!$I$89:$I$649,'Well Cal.'!R$3,'Schedule 4'!$J$89:$J$649,'Well Cal.'!$E275)</f>
        <v>0</v>
      </c>
      <c r="S275" s="726">
        <f>SUMIFS('Schedule 4'!$F$89:$F$649,'Schedule 4'!$I$89:$I$649,'Well Cal.'!S$3,'Schedule 4'!$J$89:$J$649,'Well Cal.'!$E275)</f>
        <v>0</v>
      </c>
      <c r="T275" s="726">
        <f>SUMIFS('Schedule 4'!$F$89:$F$649,'Schedule 4'!$I$89:$I$649,'Well Cal.'!T$3,'Schedule 4'!$J$89:$J$649,'Well Cal.'!$E275)</f>
        <v>0</v>
      </c>
      <c r="U275" s="726">
        <f>SUMIFS('Schedule 4'!$F$89:$F$649,'Schedule 4'!$I$89:$I$649,'Well Cal.'!U$3,'Schedule 4'!$J$89:$J$649,'Well Cal.'!$E275)</f>
        <v>0</v>
      </c>
      <c r="V275" s="726">
        <f>SUMIFS('Schedule 4'!$F$89:$F$649,'Schedule 4'!$I$89:$I$649,'Well Cal.'!V$3,'Schedule 4'!$J$89:$J$649,'Well Cal.'!$E275)</f>
        <v>0</v>
      </c>
      <c r="W275" s="726">
        <f>SUMIFS('Schedule 4'!$F$89:$F$649,'Schedule 4'!$I$89:$I$649,'Well Cal.'!W$3,'Schedule 4'!$J$89:$J$649,'Well Cal.'!$E275)</f>
        <v>0</v>
      </c>
      <c r="X275" s="726">
        <f>SUMIFS('Schedule 4'!$F$89:$F$649,'Schedule 4'!$I$89:$I$649,'Well Cal.'!X$3,'Schedule 4'!$J$89:$J$649,'Well Cal.'!$E275)</f>
        <v>0</v>
      </c>
      <c r="Y275" s="726">
        <f>SUMIFS('Schedule 4'!$F$89:$F$649,'Schedule 4'!$I$89:$I$649,'Well Cal.'!Y$3,'Schedule 4'!$J$89:$J$649,'Well Cal.'!$E275)</f>
        <v>0</v>
      </c>
      <c r="Z275" s="726">
        <f>SUMIFS('Schedule 4'!$F$89:$F$649,'Schedule 4'!$I$89:$I$649,'Well Cal.'!Z$3,'Schedule 4'!$J$89:$J$649,'Well Cal.'!$E275)</f>
        <v>0</v>
      </c>
      <c r="AA275" s="726"/>
      <c r="AB275" s="1730"/>
      <c r="AC275" s="1730"/>
    </row>
    <row r="276" spans="2:29" x14ac:dyDescent="0.3">
      <c r="B276" s="1724"/>
      <c r="C276" s="1727"/>
      <c r="D276" s="1721"/>
      <c r="E276" s="761" t="s">
        <v>3293</v>
      </c>
      <c r="F276" s="726">
        <f>SUMIFS('Schedule 4'!$F$89:$F$649,'Schedule 4'!$I$89:$I$649,'Well Cal.'!F$3,'Schedule 4'!$J$89:$J$649,'Well Cal.'!$E276)</f>
        <v>0</v>
      </c>
      <c r="G276" s="726">
        <f>SUMIFS('Schedule 4'!$F$89:$F$649,'Schedule 4'!$I$89:$I$649,'Well Cal.'!G$3,'Schedule 4'!$J$89:$J$649,'Well Cal.'!$E276)</f>
        <v>0</v>
      </c>
      <c r="H276" s="726">
        <f>SUMIFS('Schedule 4'!$F$89:$F$649,'Schedule 4'!$I$89:$I$649,'Well Cal.'!H$3,'Schedule 4'!$J$89:$J$649,'Well Cal.'!$E276)</f>
        <v>0</v>
      </c>
      <c r="I276" s="726">
        <f>SUMIFS('Schedule 4'!$F$89:$F$649,'Schedule 4'!$I$89:$I$649,'Well Cal.'!I$3,'Schedule 4'!$J$89:$J$649,'Well Cal.'!$E276)</f>
        <v>0</v>
      </c>
      <c r="J276" s="726">
        <f>SUMIFS('Schedule 4'!$F$89:$F$649,'Schedule 4'!$I$89:$I$649,'Well Cal.'!J$3,'Schedule 4'!$J$89:$J$649,'Well Cal.'!$E276)</f>
        <v>0</v>
      </c>
      <c r="K276" s="726">
        <f>SUMIFS('Schedule 4'!$F$89:$F$649,'Schedule 4'!$I$89:$I$649,'Well Cal.'!K$3,'Schedule 4'!$J$89:$J$649,'Well Cal.'!$E276)</f>
        <v>0</v>
      </c>
      <c r="L276" s="726">
        <f>SUMIFS('Schedule 4'!$F$89:$F$649,'Schedule 4'!$I$89:$I$649,'Well Cal.'!L$3,'Schedule 4'!$J$89:$J$649,'Well Cal.'!$E276)</f>
        <v>0</v>
      </c>
      <c r="M276" s="726">
        <f>SUMIFS('Schedule 4'!$F$89:$F$649,'Schedule 4'!$I$89:$I$649,'Well Cal.'!M$3,'Schedule 4'!$J$89:$J$649,'Well Cal.'!$E276)</f>
        <v>0</v>
      </c>
      <c r="N276" s="726">
        <f>SUMIFS('Schedule 4'!$F$89:$F$649,'Schedule 4'!$I$89:$I$649,'Well Cal.'!N$3,'Schedule 4'!$J$89:$J$649,'Well Cal.'!$E276)</f>
        <v>0</v>
      </c>
      <c r="O276" s="726">
        <f>SUMIFS('Schedule 4'!$F$89:$F$649,'Schedule 4'!$I$89:$I$649,'Well Cal.'!O$3,'Schedule 4'!$J$89:$J$649,'Well Cal.'!$E276)</f>
        <v>0</v>
      </c>
      <c r="P276" s="726">
        <f>SUMIFS('Schedule 4'!$F$89:$F$649,'Schedule 4'!$I$89:$I$649,'Well Cal.'!P$3,'Schedule 4'!$J$89:$J$649,'Well Cal.'!$E276)</f>
        <v>0</v>
      </c>
      <c r="Q276" s="726">
        <f>SUMIFS('Schedule 4'!$F$89:$F$649,'Schedule 4'!$I$89:$I$649,'Well Cal.'!Q$3,'Schedule 4'!$J$89:$J$649,'Well Cal.'!$E276)</f>
        <v>0</v>
      </c>
      <c r="R276" s="726">
        <f>SUMIFS('Schedule 4'!$F$89:$F$649,'Schedule 4'!$I$89:$I$649,'Well Cal.'!R$3,'Schedule 4'!$J$89:$J$649,'Well Cal.'!$E276)</f>
        <v>0</v>
      </c>
      <c r="S276" s="726">
        <f>SUMIFS('Schedule 4'!$F$89:$F$649,'Schedule 4'!$I$89:$I$649,'Well Cal.'!S$3,'Schedule 4'!$J$89:$J$649,'Well Cal.'!$E276)</f>
        <v>0</v>
      </c>
      <c r="T276" s="726">
        <f>SUMIFS('Schedule 4'!$F$89:$F$649,'Schedule 4'!$I$89:$I$649,'Well Cal.'!T$3,'Schedule 4'!$J$89:$J$649,'Well Cal.'!$E276)</f>
        <v>0</v>
      </c>
      <c r="U276" s="726">
        <f>SUMIFS('Schedule 4'!$F$89:$F$649,'Schedule 4'!$I$89:$I$649,'Well Cal.'!U$3,'Schedule 4'!$J$89:$J$649,'Well Cal.'!$E276)</f>
        <v>0</v>
      </c>
      <c r="V276" s="726">
        <f>SUMIFS('Schedule 4'!$F$89:$F$649,'Schedule 4'!$I$89:$I$649,'Well Cal.'!V$3,'Schedule 4'!$J$89:$J$649,'Well Cal.'!$E276)</f>
        <v>0</v>
      </c>
      <c r="W276" s="726">
        <f>SUMIFS('Schedule 4'!$F$89:$F$649,'Schedule 4'!$I$89:$I$649,'Well Cal.'!W$3,'Schedule 4'!$J$89:$J$649,'Well Cal.'!$E276)</f>
        <v>0</v>
      </c>
      <c r="X276" s="726">
        <f>SUMIFS('Schedule 4'!$F$89:$F$649,'Schedule 4'!$I$89:$I$649,'Well Cal.'!X$3,'Schedule 4'!$J$89:$J$649,'Well Cal.'!$E276)</f>
        <v>0</v>
      </c>
      <c r="Y276" s="726">
        <f>SUMIFS('Schedule 4'!$F$89:$F$649,'Schedule 4'!$I$89:$I$649,'Well Cal.'!Y$3,'Schedule 4'!$J$89:$J$649,'Well Cal.'!$E276)</f>
        <v>0</v>
      </c>
      <c r="Z276" s="726">
        <f>SUMIFS('Schedule 4'!$F$89:$F$649,'Schedule 4'!$I$89:$I$649,'Well Cal.'!Z$3,'Schedule 4'!$J$89:$J$649,'Well Cal.'!$E276)</f>
        <v>0</v>
      </c>
      <c r="AA276" s="726"/>
      <c r="AB276" s="1730"/>
      <c r="AC276" s="1730"/>
    </row>
    <row r="277" spans="2:29" x14ac:dyDescent="0.3">
      <c r="B277" s="1724"/>
      <c r="C277" s="1727"/>
      <c r="D277" s="1721"/>
      <c r="E277" s="761" t="s">
        <v>3373</v>
      </c>
      <c r="F277" s="727">
        <f>SUMIFS('Schedule 4'!$F$89:$F$649,'Schedule 4'!$I$89:$I$649,'Well Cal.'!F$3,'Schedule 4'!$J$89:$J$649,'Well Cal.'!$E277)</f>
        <v>0</v>
      </c>
      <c r="G277" s="727">
        <f>SUMIFS('Schedule 4'!$F$89:$F$649,'Schedule 4'!$I$89:$I$649,'Well Cal.'!G$3,'Schedule 4'!$J$89:$J$649,'Well Cal.'!$E277)</f>
        <v>0</v>
      </c>
      <c r="H277" s="727">
        <f>SUMIFS('Schedule 4'!$F$89:$F$649,'Schedule 4'!$I$89:$I$649,'Well Cal.'!H$3,'Schedule 4'!$J$89:$J$649,'Well Cal.'!$E277)</f>
        <v>0</v>
      </c>
      <c r="I277" s="727">
        <f>SUMIFS('Schedule 4'!$F$89:$F$649,'Schedule 4'!$I$89:$I$649,'Well Cal.'!I$3,'Schedule 4'!$J$89:$J$649,'Well Cal.'!$E277)</f>
        <v>0</v>
      </c>
      <c r="J277" s="727">
        <f>SUMIFS('Schedule 4'!$F$89:$F$649,'Schedule 4'!$I$89:$I$649,'Well Cal.'!J$3,'Schedule 4'!$J$89:$J$649,'Well Cal.'!$E277)</f>
        <v>0</v>
      </c>
      <c r="K277" s="727">
        <f>SUMIFS('Schedule 4'!$F$89:$F$649,'Schedule 4'!$I$89:$I$649,'Well Cal.'!K$3,'Schedule 4'!$J$89:$J$649,'Well Cal.'!$E277)</f>
        <v>0</v>
      </c>
      <c r="L277" s="727">
        <f>SUMIFS('Schedule 4'!$F$89:$F$649,'Schedule 4'!$I$89:$I$649,'Well Cal.'!L$3,'Schedule 4'!$J$89:$J$649,'Well Cal.'!$E277)</f>
        <v>0</v>
      </c>
      <c r="M277" s="727">
        <f>SUMIFS('Schedule 4'!$F$89:$F$649,'Schedule 4'!$I$89:$I$649,'Well Cal.'!M$3,'Schedule 4'!$J$89:$J$649,'Well Cal.'!$E277)</f>
        <v>0</v>
      </c>
      <c r="N277" s="727">
        <f>SUMIFS('Schedule 4'!$F$89:$F$649,'Schedule 4'!$I$89:$I$649,'Well Cal.'!N$3,'Schedule 4'!$J$89:$J$649,'Well Cal.'!$E277)</f>
        <v>0</v>
      </c>
      <c r="O277" s="727">
        <f>SUMIFS('Schedule 4'!$F$89:$F$649,'Schedule 4'!$I$89:$I$649,'Well Cal.'!O$3,'Schedule 4'!$J$89:$J$649,'Well Cal.'!$E277)</f>
        <v>0</v>
      </c>
      <c r="P277" s="727">
        <f>SUMIFS('Schedule 4'!$F$89:$F$649,'Schedule 4'!$I$89:$I$649,'Well Cal.'!P$3,'Schedule 4'!$J$89:$J$649,'Well Cal.'!$E277)</f>
        <v>0</v>
      </c>
      <c r="Q277" s="727">
        <f>SUMIFS('Schedule 4'!$F$89:$F$649,'Schedule 4'!$I$89:$I$649,'Well Cal.'!Q$3,'Schedule 4'!$J$89:$J$649,'Well Cal.'!$E277)</f>
        <v>0</v>
      </c>
      <c r="R277" s="727">
        <f>SUMIFS('Schedule 4'!$F$89:$F$649,'Schedule 4'!$I$89:$I$649,'Well Cal.'!R$3,'Schedule 4'!$J$89:$J$649,'Well Cal.'!$E277)</f>
        <v>0</v>
      </c>
      <c r="S277" s="727">
        <f>SUMIFS('Schedule 4'!$F$89:$F$649,'Schedule 4'!$I$89:$I$649,'Well Cal.'!S$3,'Schedule 4'!$J$89:$J$649,'Well Cal.'!$E277)</f>
        <v>0</v>
      </c>
      <c r="T277" s="727">
        <f>SUMIFS('Schedule 4'!$F$89:$F$649,'Schedule 4'!$I$89:$I$649,'Well Cal.'!T$3,'Schedule 4'!$J$89:$J$649,'Well Cal.'!$E277)</f>
        <v>0</v>
      </c>
      <c r="U277" s="727">
        <f>SUMIFS('Schedule 4'!$F$89:$F$649,'Schedule 4'!$I$89:$I$649,'Well Cal.'!U$3,'Schedule 4'!$J$89:$J$649,'Well Cal.'!$E277)</f>
        <v>0</v>
      </c>
      <c r="V277" s="727">
        <f>SUMIFS('Schedule 4'!$F$89:$F$649,'Schedule 4'!$I$89:$I$649,'Well Cal.'!V$3,'Schedule 4'!$J$89:$J$649,'Well Cal.'!$E277)</f>
        <v>0</v>
      </c>
      <c r="W277" s="727">
        <f>SUMIFS('Schedule 4'!$F$89:$F$649,'Schedule 4'!$I$89:$I$649,'Well Cal.'!W$3,'Schedule 4'!$J$89:$J$649,'Well Cal.'!$E277)</f>
        <v>0</v>
      </c>
      <c r="X277" s="727">
        <f>SUMIFS('Schedule 4'!$F$89:$F$649,'Schedule 4'!$I$89:$I$649,'Well Cal.'!X$3,'Schedule 4'!$J$89:$J$649,'Well Cal.'!$E277)</f>
        <v>0</v>
      </c>
      <c r="Y277" s="727">
        <f>SUMIFS('Schedule 4'!$F$89:$F$649,'Schedule 4'!$I$89:$I$649,'Well Cal.'!Y$3,'Schedule 4'!$J$89:$J$649,'Well Cal.'!$E277)</f>
        <v>0</v>
      </c>
      <c r="Z277" s="727">
        <f>SUMIFS('Schedule 4'!$F$89:$F$649,'Schedule 4'!$I$89:$I$649,'Well Cal.'!Z$3,'Schedule 4'!$J$89:$J$649,'Well Cal.'!$E277)</f>
        <v>0</v>
      </c>
      <c r="AA277" s="727"/>
      <c r="AB277" s="1730"/>
      <c r="AC277" s="1730"/>
    </row>
    <row r="278" spans="2:29" x14ac:dyDescent="0.3">
      <c r="B278" s="1724"/>
      <c r="C278" s="1727"/>
      <c r="D278" s="1721"/>
      <c r="E278" s="775" t="s">
        <v>3459</v>
      </c>
      <c r="F278" s="727">
        <f>SUMIFS('Schedule 4'!$F$89:$F$649,'Schedule 4'!$I$89:$I$649,'Well Cal.'!F$3,'Schedule 4'!$J$89:$J$649,'Well Cal.'!$E278)</f>
        <v>0</v>
      </c>
      <c r="G278" s="727">
        <f>SUMIFS('Schedule 4'!$F$89:$F$649,'Schedule 4'!$I$89:$I$649,'Well Cal.'!G$3,'Schedule 4'!$J$89:$J$649,'Well Cal.'!$E278)</f>
        <v>0</v>
      </c>
      <c r="H278" s="727">
        <f>SUMIFS('Schedule 4'!$F$89:$F$649,'Schedule 4'!$I$89:$I$649,'Well Cal.'!H$3,'Schedule 4'!$J$89:$J$649,'Well Cal.'!$E278)</f>
        <v>0</v>
      </c>
      <c r="I278" s="727">
        <f>SUMIFS('Schedule 4'!$F$89:$F$649,'Schedule 4'!$I$89:$I$649,'Well Cal.'!I$3,'Schedule 4'!$J$89:$J$649,'Well Cal.'!$E278)</f>
        <v>0</v>
      </c>
      <c r="J278" s="727">
        <f>SUMIFS('Schedule 4'!$F$89:$F$649,'Schedule 4'!$I$89:$I$649,'Well Cal.'!J$3,'Schedule 4'!$J$89:$J$649,'Well Cal.'!$E278)</f>
        <v>0</v>
      </c>
      <c r="K278" s="727">
        <f>SUMIFS('Schedule 4'!$F$89:$F$649,'Schedule 4'!$I$89:$I$649,'Well Cal.'!K$3,'Schedule 4'!$J$89:$J$649,'Well Cal.'!$E278)</f>
        <v>0</v>
      </c>
      <c r="L278" s="727">
        <f>SUMIFS('Schedule 4'!$F$89:$F$649,'Schedule 4'!$I$89:$I$649,'Well Cal.'!L$3,'Schedule 4'!$J$89:$J$649,'Well Cal.'!$E278)</f>
        <v>0</v>
      </c>
      <c r="M278" s="727">
        <f>SUMIFS('Schedule 4'!$F$89:$F$649,'Schedule 4'!$I$89:$I$649,'Well Cal.'!M$3,'Schedule 4'!$J$89:$J$649,'Well Cal.'!$E278)</f>
        <v>0</v>
      </c>
      <c r="N278" s="727">
        <f>SUMIFS('Schedule 4'!$F$89:$F$649,'Schedule 4'!$I$89:$I$649,'Well Cal.'!N$3,'Schedule 4'!$J$89:$J$649,'Well Cal.'!$E278)</f>
        <v>0</v>
      </c>
      <c r="O278" s="727">
        <f>SUMIFS('Schedule 4'!$F$89:$F$649,'Schedule 4'!$I$89:$I$649,'Well Cal.'!O$3,'Schedule 4'!$J$89:$J$649,'Well Cal.'!$E278)</f>
        <v>0</v>
      </c>
      <c r="P278" s="727">
        <f>SUMIFS('Schedule 4'!$F$89:$F$649,'Schedule 4'!$I$89:$I$649,'Well Cal.'!P$3,'Schedule 4'!$J$89:$J$649,'Well Cal.'!$E278)</f>
        <v>0</v>
      </c>
      <c r="Q278" s="727">
        <f>SUMIFS('Schedule 4'!$F$89:$F$649,'Schedule 4'!$I$89:$I$649,'Well Cal.'!Q$3,'Schedule 4'!$J$89:$J$649,'Well Cal.'!$E278)</f>
        <v>0</v>
      </c>
      <c r="R278" s="727">
        <f>SUMIFS('Schedule 4'!$F$89:$F$649,'Schedule 4'!$I$89:$I$649,'Well Cal.'!R$3,'Schedule 4'!$J$89:$J$649,'Well Cal.'!$E278)</f>
        <v>0</v>
      </c>
      <c r="S278" s="727">
        <f>SUMIFS('Schedule 4'!$F$89:$F$649,'Schedule 4'!$I$89:$I$649,'Well Cal.'!S$3,'Schedule 4'!$J$89:$J$649,'Well Cal.'!$E278)</f>
        <v>0</v>
      </c>
      <c r="T278" s="727">
        <f>SUMIFS('Schedule 4'!$F$89:$F$649,'Schedule 4'!$I$89:$I$649,'Well Cal.'!T$3,'Schedule 4'!$J$89:$J$649,'Well Cal.'!$E278)</f>
        <v>0</v>
      </c>
      <c r="U278" s="727">
        <f>SUMIFS('Schedule 4'!$F$89:$F$649,'Schedule 4'!$I$89:$I$649,'Well Cal.'!U$3,'Schedule 4'!$J$89:$J$649,'Well Cal.'!$E278)</f>
        <v>0</v>
      </c>
      <c r="V278" s="727">
        <f>SUMIFS('Schedule 4'!$F$89:$F$649,'Schedule 4'!$I$89:$I$649,'Well Cal.'!V$3,'Schedule 4'!$J$89:$J$649,'Well Cal.'!$E278)</f>
        <v>0</v>
      </c>
      <c r="W278" s="727">
        <f>SUMIFS('Schedule 4'!$F$89:$F$649,'Schedule 4'!$I$89:$I$649,'Well Cal.'!W$3,'Schedule 4'!$J$89:$J$649,'Well Cal.'!$E278)</f>
        <v>0</v>
      </c>
      <c r="X278" s="727">
        <f>SUMIFS('Schedule 4'!$F$89:$F$649,'Schedule 4'!$I$89:$I$649,'Well Cal.'!X$3,'Schedule 4'!$J$89:$J$649,'Well Cal.'!$E278)</f>
        <v>0</v>
      </c>
      <c r="Y278" s="727">
        <f>SUMIFS('Schedule 4'!$F$89:$F$649,'Schedule 4'!$I$89:$I$649,'Well Cal.'!Y$3,'Schedule 4'!$J$89:$J$649,'Well Cal.'!$E278)</f>
        <v>0</v>
      </c>
      <c r="Z278" s="727">
        <f>SUMIFS('Schedule 4'!$F$89:$F$649,'Schedule 4'!$I$89:$I$649,'Well Cal.'!Z$3,'Schedule 4'!$J$89:$J$649,'Well Cal.'!$E278)</f>
        <v>0</v>
      </c>
      <c r="AA278" s="727"/>
      <c r="AB278" s="1730"/>
      <c r="AC278" s="1730"/>
    </row>
    <row r="279" spans="2:29" x14ac:dyDescent="0.3">
      <c r="B279" s="1724"/>
      <c r="C279" s="1727"/>
      <c r="D279" s="1721"/>
      <c r="E279" s="775" t="s">
        <v>3530</v>
      </c>
      <c r="F279" s="727">
        <f>SUMIFS('Schedule 4'!$F$89:$F$649,'Schedule 4'!$I$89:$I$649,'Well Cal.'!F$3,'Schedule 4'!$J$89:$J$649,'Well Cal.'!$E279)</f>
        <v>0</v>
      </c>
      <c r="G279" s="727">
        <f>SUMIFS('Schedule 4'!$F$89:$F$649,'Schedule 4'!$I$89:$I$649,'Well Cal.'!G$3,'Schedule 4'!$J$89:$J$649,'Well Cal.'!$E279)</f>
        <v>0</v>
      </c>
      <c r="H279" s="727">
        <f>SUMIFS('Schedule 4'!$F$89:$F$649,'Schedule 4'!$I$89:$I$649,'Well Cal.'!H$3,'Schedule 4'!$J$89:$J$649,'Well Cal.'!$E279)</f>
        <v>0</v>
      </c>
      <c r="I279" s="727">
        <f>SUMIFS('Schedule 4'!$F$89:$F$649,'Schedule 4'!$I$89:$I$649,'Well Cal.'!I$3,'Schedule 4'!$J$89:$J$649,'Well Cal.'!$E279)</f>
        <v>0</v>
      </c>
      <c r="J279" s="727">
        <f>SUMIFS('Schedule 4'!$F$89:$F$649,'Schedule 4'!$I$89:$I$649,'Well Cal.'!J$3,'Schedule 4'!$J$89:$J$649,'Well Cal.'!$E279)</f>
        <v>0</v>
      </c>
      <c r="K279" s="727">
        <f>SUMIFS('Schedule 4'!$F$89:$F$649,'Schedule 4'!$I$89:$I$649,'Well Cal.'!K$3,'Schedule 4'!$J$89:$J$649,'Well Cal.'!$E279)</f>
        <v>0</v>
      </c>
      <c r="L279" s="727">
        <f>SUMIFS('Schedule 4'!$F$89:$F$649,'Schedule 4'!$I$89:$I$649,'Well Cal.'!L$3,'Schedule 4'!$J$89:$J$649,'Well Cal.'!$E279)</f>
        <v>0</v>
      </c>
      <c r="M279" s="727">
        <f>SUMIFS('Schedule 4'!$F$89:$F$649,'Schedule 4'!$I$89:$I$649,'Well Cal.'!M$3,'Schedule 4'!$J$89:$J$649,'Well Cal.'!$E279)</f>
        <v>0</v>
      </c>
      <c r="N279" s="727">
        <f>SUMIFS('Schedule 4'!$F$89:$F$649,'Schedule 4'!$I$89:$I$649,'Well Cal.'!N$3,'Schedule 4'!$J$89:$J$649,'Well Cal.'!$E279)</f>
        <v>0</v>
      </c>
      <c r="O279" s="727">
        <f>SUMIFS('Schedule 4'!$F$89:$F$649,'Schedule 4'!$I$89:$I$649,'Well Cal.'!O$3,'Schedule 4'!$J$89:$J$649,'Well Cal.'!$E279)</f>
        <v>0</v>
      </c>
      <c r="P279" s="727">
        <f>SUMIFS('Schedule 4'!$F$89:$F$649,'Schedule 4'!$I$89:$I$649,'Well Cal.'!P$3,'Schedule 4'!$J$89:$J$649,'Well Cal.'!$E279)</f>
        <v>0</v>
      </c>
      <c r="Q279" s="727">
        <f>SUMIFS('Schedule 4'!$F$89:$F$649,'Schedule 4'!$I$89:$I$649,'Well Cal.'!Q$3,'Schedule 4'!$J$89:$J$649,'Well Cal.'!$E279)</f>
        <v>0</v>
      </c>
      <c r="R279" s="727">
        <f>SUMIFS('Schedule 4'!$F$89:$F$649,'Schedule 4'!$I$89:$I$649,'Well Cal.'!R$3,'Schedule 4'!$J$89:$J$649,'Well Cal.'!$E279)</f>
        <v>0</v>
      </c>
      <c r="S279" s="727">
        <f>SUMIFS('Schedule 4'!$F$89:$F$649,'Schedule 4'!$I$89:$I$649,'Well Cal.'!S$3,'Schedule 4'!$J$89:$J$649,'Well Cal.'!$E279)</f>
        <v>0</v>
      </c>
      <c r="T279" s="727">
        <f>SUMIFS('Schedule 4'!$F$89:$F$649,'Schedule 4'!$I$89:$I$649,'Well Cal.'!T$3,'Schedule 4'!$J$89:$J$649,'Well Cal.'!$E279)</f>
        <v>0</v>
      </c>
      <c r="U279" s="727">
        <f>SUMIFS('Schedule 4'!$F$89:$F$649,'Schedule 4'!$I$89:$I$649,'Well Cal.'!U$3,'Schedule 4'!$J$89:$J$649,'Well Cal.'!$E279)</f>
        <v>0</v>
      </c>
      <c r="V279" s="727">
        <f>SUMIFS('Schedule 4'!$F$89:$F$649,'Schedule 4'!$I$89:$I$649,'Well Cal.'!V$3,'Schedule 4'!$J$89:$J$649,'Well Cal.'!$E279)</f>
        <v>0</v>
      </c>
      <c r="W279" s="727">
        <f>SUMIFS('Schedule 4'!$F$89:$F$649,'Schedule 4'!$I$89:$I$649,'Well Cal.'!W$3,'Schedule 4'!$J$89:$J$649,'Well Cal.'!$E279)</f>
        <v>0</v>
      </c>
      <c r="X279" s="727">
        <f>SUMIFS('Schedule 4'!$F$89:$F$649,'Schedule 4'!$I$89:$I$649,'Well Cal.'!X$3,'Schedule 4'!$J$89:$J$649,'Well Cal.'!$E279)</f>
        <v>0</v>
      </c>
      <c r="Y279" s="727">
        <f>SUMIFS('Schedule 4'!$F$89:$F$649,'Schedule 4'!$I$89:$I$649,'Well Cal.'!Y$3,'Schedule 4'!$J$89:$J$649,'Well Cal.'!$E279)</f>
        <v>0</v>
      </c>
      <c r="Z279" s="727">
        <f>SUMIFS('Schedule 4'!$F$89:$F$649,'Schedule 4'!$I$89:$I$649,'Well Cal.'!Z$3,'Schedule 4'!$J$89:$J$649,'Well Cal.'!$E279)</f>
        <v>0</v>
      </c>
      <c r="AA279" s="727"/>
      <c r="AB279" s="1730"/>
      <c r="AC279" s="1730"/>
    </row>
    <row r="280" spans="2:29" x14ac:dyDescent="0.3">
      <c r="B280" s="1724"/>
      <c r="C280" s="1727"/>
      <c r="D280" s="1721"/>
      <c r="E280" s="775" t="s">
        <v>3599</v>
      </c>
      <c r="F280" s="727">
        <f>SUMIFS('Schedule 4'!$F$89:$F$649,'Schedule 4'!$I$89:$I$649,'Well Cal.'!F$3,'Schedule 4'!$J$89:$J$649,'Well Cal.'!$E280)</f>
        <v>0</v>
      </c>
      <c r="G280" s="727">
        <f>SUMIFS('Schedule 4'!$F$89:$F$649,'Schedule 4'!$I$89:$I$649,'Well Cal.'!G$3,'Schedule 4'!$J$89:$J$649,'Well Cal.'!$E280)</f>
        <v>0</v>
      </c>
      <c r="H280" s="727">
        <f>SUMIFS('Schedule 4'!$F$89:$F$649,'Schedule 4'!$I$89:$I$649,'Well Cal.'!H$3,'Schedule 4'!$J$89:$J$649,'Well Cal.'!$E280)</f>
        <v>0</v>
      </c>
      <c r="I280" s="727">
        <f>SUMIFS('Schedule 4'!$F$89:$F$649,'Schedule 4'!$I$89:$I$649,'Well Cal.'!I$3,'Schedule 4'!$J$89:$J$649,'Well Cal.'!$E280)</f>
        <v>0</v>
      </c>
      <c r="J280" s="727">
        <f>SUMIFS('Schedule 4'!$F$89:$F$649,'Schedule 4'!$I$89:$I$649,'Well Cal.'!J$3,'Schedule 4'!$J$89:$J$649,'Well Cal.'!$E280)</f>
        <v>0</v>
      </c>
      <c r="K280" s="727">
        <f>SUMIFS('Schedule 4'!$F$89:$F$649,'Schedule 4'!$I$89:$I$649,'Well Cal.'!K$3,'Schedule 4'!$J$89:$J$649,'Well Cal.'!$E280)</f>
        <v>0</v>
      </c>
      <c r="L280" s="727">
        <f>SUMIFS('Schedule 4'!$F$89:$F$649,'Schedule 4'!$I$89:$I$649,'Well Cal.'!L$3,'Schedule 4'!$J$89:$J$649,'Well Cal.'!$E280)</f>
        <v>0</v>
      </c>
      <c r="M280" s="727">
        <f>SUMIFS('Schedule 4'!$F$89:$F$649,'Schedule 4'!$I$89:$I$649,'Well Cal.'!M$3,'Schedule 4'!$J$89:$J$649,'Well Cal.'!$E280)</f>
        <v>0</v>
      </c>
      <c r="N280" s="727">
        <f>SUMIFS('Schedule 4'!$F$89:$F$649,'Schedule 4'!$I$89:$I$649,'Well Cal.'!N$3,'Schedule 4'!$J$89:$J$649,'Well Cal.'!$E280)</f>
        <v>0</v>
      </c>
      <c r="O280" s="727">
        <f>SUMIFS('Schedule 4'!$F$89:$F$649,'Schedule 4'!$I$89:$I$649,'Well Cal.'!O$3,'Schedule 4'!$J$89:$J$649,'Well Cal.'!$E280)</f>
        <v>0</v>
      </c>
      <c r="P280" s="727">
        <f>SUMIFS('Schedule 4'!$F$89:$F$649,'Schedule 4'!$I$89:$I$649,'Well Cal.'!P$3,'Schedule 4'!$J$89:$J$649,'Well Cal.'!$E280)</f>
        <v>0</v>
      </c>
      <c r="Q280" s="727">
        <f>SUMIFS('Schedule 4'!$F$89:$F$649,'Schedule 4'!$I$89:$I$649,'Well Cal.'!Q$3,'Schedule 4'!$J$89:$J$649,'Well Cal.'!$E280)</f>
        <v>0</v>
      </c>
      <c r="R280" s="727">
        <f>SUMIFS('Schedule 4'!$F$89:$F$649,'Schedule 4'!$I$89:$I$649,'Well Cal.'!R$3,'Schedule 4'!$J$89:$J$649,'Well Cal.'!$E280)</f>
        <v>0</v>
      </c>
      <c r="S280" s="727">
        <f>SUMIFS('Schedule 4'!$F$89:$F$649,'Schedule 4'!$I$89:$I$649,'Well Cal.'!S$3,'Schedule 4'!$J$89:$J$649,'Well Cal.'!$E280)</f>
        <v>0</v>
      </c>
      <c r="T280" s="727">
        <f>SUMIFS('Schedule 4'!$F$89:$F$649,'Schedule 4'!$I$89:$I$649,'Well Cal.'!T$3,'Schedule 4'!$J$89:$J$649,'Well Cal.'!$E280)</f>
        <v>0</v>
      </c>
      <c r="U280" s="727">
        <f>SUMIFS('Schedule 4'!$F$89:$F$649,'Schedule 4'!$I$89:$I$649,'Well Cal.'!U$3,'Schedule 4'!$J$89:$J$649,'Well Cal.'!$E280)</f>
        <v>0</v>
      </c>
      <c r="V280" s="727">
        <f>SUMIFS('Schedule 4'!$F$89:$F$649,'Schedule 4'!$I$89:$I$649,'Well Cal.'!V$3,'Schedule 4'!$J$89:$J$649,'Well Cal.'!$E280)</f>
        <v>0</v>
      </c>
      <c r="W280" s="727">
        <f>SUMIFS('Schedule 4'!$F$89:$F$649,'Schedule 4'!$I$89:$I$649,'Well Cal.'!W$3,'Schedule 4'!$J$89:$J$649,'Well Cal.'!$E280)</f>
        <v>0</v>
      </c>
      <c r="X280" s="727">
        <f>SUMIFS('Schedule 4'!$F$89:$F$649,'Schedule 4'!$I$89:$I$649,'Well Cal.'!X$3,'Schedule 4'!$J$89:$J$649,'Well Cal.'!$E280)</f>
        <v>0</v>
      </c>
      <c r="Y280" s="727">
        <f>SUMIFS('Schedule 4'!$F$89:$F$649,'Schedule 4'!$I$89:$I$649,'Well Cal.'!Y$3,'Schedule 4'!$J$89:$J$649,'Well Cal.'!$E280)</f>
        <v>0</v>
      </c>
      <c r="Z280" s="727">
        <f>SUMIFS('Schedule 4'!$F$89:$F$649,'Schedule 4'!$I$89:$I$649,'Well Cal.'!Z$3,'Schedule 4'!$J$89:$J$649,'Well Cal.'!$E280)</f>
        <v>0</v>
      </c>
      <c r="AA280" s="727"/>
      <c r="AB280" s="1730"/>
      <c r="AC280" s="1730"/>
    </row>
    <row r="281" spans="2:29" x14ac:dyDescent="0.3">
      <c r="B281" s="1724"/>
      <c r="C281" s="1727"/>
      <c r="D281" s="1721"/>
      <c r="E281" s="775" t="s">
        <v>3687</v>
      </c>
      <c r="F281" s="727">
        <f>SUMIFS('Schedule 4'!$F$89:$F$649,'Schedule 4'!$I$89:$I$649,'Well Cal.'!F$3,'Schedule 4'!$J$89:$J$649,'Well Cal.'!$E281)</f>
        <v>0</v>
      </c>
      <c r="G281" s="727">
        <f>SUMIFS('Schedule 4'!$F$89:$F$649,'Schedule 4'!$I$89:$I$649,'Well Cal.'!G$3,'Schedule 4'!$J$89:$J$649,'Well Cal.'!$E281)</f>
        <v>0</v>
      </c>
      <c r="H281" s="727">
        <f>SUMIFS('Schedule 4'!$F$89:$F$649,'Schedule 4'!$I$89:$I$649,'Well Cal.'!H$3,'Schedule 4'!$J$89:$J$649,'Well Cal.'!$E281)</f>
        <v>0</v>
      </c>
      <c r="I281" s="727">
        <f>SUMIFS('Schedule 4'!$F$89:$F$649,'Schedule 4'!$I$89:$I$649,'Well Cal.'!I$3,'Schedule 4'!$J$89:$J$649,'Well Cal.'!$E281)</f>
        <v>0</v>
      </c>
      <c r="J281" s="727">
        <f>SUMIFS('Schedule 4'!$F$89:$F$649,'Schedule 4'!$I$89:$I$649,'Well Cal.'!J$3,'Schedule 4'!$J$89:$J$649,'Well Cal.'!$E281)</f>
        <v>0</v>
      </c>
      <c r="K281" s="727">
        <f>SUMIFS('Schedule 4'!$F$89:$F$649,'Schedule 4'!$I$89:$I$649,'Well Cal.'!K$3,'Schedule 4'!$J$89:$J$649,'Well Cal.'!$E281)</f>
        <v>0</v>
      </c>
      <c r="L281" s="727">
        <f>SUMIFS('Schedule 4'!$F$89:$F$649,'Schedule 4'!$I$89:$I$649,'Well Cal.'!L$3,'Schedule 4'!$J$89:$J$649,'Well Cal.'!$E281)</f>
        <v>0</v>
      </c>
      <c r="M281" s="727">
        <f>SUMIFS('Schedule 4'!$F$89:$F$649,'Schedule 4'!$I$89:$I$649,'Well Cal.'!M$3,'Schedule 4'!$J$89:$J$649,'Well Cal.'!$E281)</f>
        <v>0</v>
      </c>
      <c r="N281" s="727">
        <f>SUMIFS('Schedule 4'!$F$89:$F$649,'Schedule 4'!$I$89:$I$649,'Well Cal.'!N$3,'Schedule 4'!$J$89:$J$649,'Well Cal.'!$E281)</f>
        <v>0</v>
      </c>
      <c r="O281" s="727">
        <f>SUMIFS('Schedule 4'!$F$89:$F$649,'Schedule 4'!$I$89:$I$649,'Well Cal.'!O$3,'Schedule 4'!$J$89:$J$649,'Well Cal.'!$E281)</f>
        <v>0</v>
      </c>
      <c r="P281" s="727">
        <f>SUMIFS('Schedule 4'!$F$89:$F$649,'Schedule 4'!$I$89:$I$649,'Well Cal.'!P$3,'Schedule 4'!$J$89:$J$649,'Well Cal.'!$E281)</f>
        <v>0</v>
      </c>
      <c r="Q281" s="727">
        <f>SUMIFS('Schedule 4'!$F$89:$F$649,'Schedule 4'!$I$89:$I$649,'Well Cal.'!Q$3,'Schedule 4'!$J$89:$J$649,'Well Cal.'!$E281)</f>
        <v>0</v>
      </c>
      <c r="R281" s="727">
        <f>SUMIFS('Schedule 4'!$F$89:$F$649,'Schedule 4'!$I$89:$I$649,'Well Cal.'!R$3,'Schedule 4'!$J$89:$J$649,'Well Cal.'!$E281)</f>
        <v>0</v>
      </c>
      <c r="S281" s="727">
        <f>SUMIFS('Schedule 4'!$F$89:$F$649,'Schedule 4'!$I$89:$I$649,'Well Cal.'!S$3,'Schedule 4'!$J$89:$J$649,'Well Cal.'!$E281)</f>
        <v>0</v>
      </c>
      <c r="T281" s="727">
        <f>SUMIFS('Schedule 4'!$F$89:$F$649,'Schedule 4'!$I$89:$I$649,'Well Cal.'!T$3,'Schedule 4'!$J$89:$J$649,'Well Cal.'!$E281)</f>
        <v>0</v>
      </c>
      <c r="U281" s="727">
        <f>SUMIFS('Schedule 4'!$F$89:$F$649,'Schedule 4'!$I$89:$I$649,'Well Cal.'!U$3,'Schedule 4'!$J$89:$J$649,'Well Cal.'!$E281)</f>
        <v>0</v>
      </c>
      <c r="V281" s="727">
        <f>SUMIFS('Schedule 4'!$F$89:$F$649,'Schedule 4'!$I$89:$I$649,'Well Cal.'!V$3,'Schedule 4'!$J$89:$J$649,'Well Cal.'!$E281)</f>
        <v>0</v>
      </c>
      <c r="W281" s="727">
        <f>SUMIFS('Schedule 4'!$F$89:$F$649,'Schedule 4'!$I$89:$I$649,'Well Cal.'!W$3,'Schedule 4'!$J$89:$J$649,'Well Cal.'!$E281)</f>
        <v>0</v>
      </c>
      <c r="X281" s="727">
        <f>SUMIFS('Schedule 4'!$F$89:$F$649,'Schedule 4'!$I$89:$I$649,'Well Cal.'!X$3,'Schedule 4'!$J$89:$J$649,'Well Cal.'!$E281)</f>
        <v>0</v>
      </c>
      <c r="Y281" s="727">
        <f>SUMIFS('Schedule 4'!$F$89:$F$649,'Schedule 4'!$I$89:$I$649,'Well Cal.'!Y$3,'Schedule 4'!$J$89:$J$649,'Well Cal.'!$E281)</f>
        <v>0</v>
      </c>
      <c r="Z281" s="727">
        <f>SUMIFS('Schedule 4'!$F$89:$F$649,'Schedule 4'!$I$89:$I$649,'Well Cal.'!Z$3,'Schedule 4'!$J$89:$J$649,'Well Cal.'!$E281)</f>
        <v>0</v>
      </c>
      <c r="AA281" s="727"/>
      <c r="AB281" s="1731"/>
      <c r="AC281" s="1731"/>
    </row>
    <row r="282" spans="2:29" x14ac:dyDescent="0.3">
      <c r="B282" s="1724"/>
      <c r="C282" s="1727"/>
      <c r="D282" s="1721"/>
      <c r="E282" s="775" t="s">
        <v>3749</v>
      </c>
      <c r="F282" s="727">
        <f>SUMIFS('Schedule 4'!$F$89:$F$649,'Schedule 4'!$I$89:$I$649,'Well Cal.'!F$3,'Schedule 4'!$J$89:$J$649,'Well Cal.'!$E282)</f>
        <v>0</v>
      </c>
      <c r="G282" s="727">
        <f>SUMIFS('Schedule 4'!$F$89:$F$649,'Schedule 4'!$I$89:$I$649,'Well Cal.'!G$3,'Schedule 4'!$J$89:$J$649,'Well Cal.'!$E282)</f>
        <v>0</v>
      </c>
      <c r="H282" s="727">
        <f>SUMIFS('Schedule 4'!$F$89:$F$649,'Schedule 4'!$I$89:$I$649,'Well Cal.'!H$3,'Schedule 4'!$J$89:$J$649,'Well Cal.'!$E282)</f>
        <v>0</v>
      </c>
      <c r="I282" s="727">
        <f>SUMIFS('Schedule 4'!$F$89:$F$649,'Schedule 4'!$I$89:$I$649,'Well Cal.'!I$3,'Schedule 4'!$J$89:$J$649,'Well Cal.'!$E282)</f>
        <v>0</v>
      </c>
      <c r="J282" s="727">
        <f>SUMIFS('Schedule 4'!$F$89:$F$649,'Schedule 4'!$I$89:$I$649,'Well Cal.'!J$3,'Schedule 4'!$J$89:$J$649,'Well Cal.'!$E282)</f>
        <v>0</v>
      </c>
      <c r="K282" s="727">
        <f>SUMIFS('Schedule 4'!$F$89:$F$649,'Schedule 4'!$I$89:$I$649,'Well Cal.'!K$3,'Schedule 4'!$J$89:$J$649,'Well Cal.'!$E282)</f>
        <v>0</v>
      </c>
      <c r="L282" s="727">
        <f>SUMIFS('Schedule 4'!$F$89:$F$649,'Schedule 4'!$I$89:$I$649,'Well Cal.'!L$3,'Schedule 4'!$J$89:$J$649,'Well Cal.'!$E282)</f>
        <v>0</v>
      </c>
      <c r="M282" s="727">
        <f>SUMIFS('Schedule 4'!$F$89:$F$649,'Schedule 4'!$I$89:$I$649,'Well Cal.'!M$3,'Schedule 4'!$J$89:$J$649,'Well Cal.'!$E282)</f>
        <v>0</v>
      </c>
      <c r="N282" s="727">
        <f>SUMIFS('Schedule 4'!$F$89:$F$649,'Schedule 4'!$I$89:$I$649,'Well Cal.'!N$3,'Schedule 4'!$J$89:$J$649,'Well Cal.'!$E282)</f>
        <v>0</v>
      </c>
      <c r="O282" s="727">
        <f>SUMIFS('Schedule 4'!$F$89:$F$649,'Schedule 4'!$I$89:$I$649,'Well Cal.'!O$3,'Schedule 4'!$J$89:$J$649,'Well Cal.'!$E282)</f>
        <v>0</v>
      </c>
      <c r="P282" s="727">
        <f>SUMIFS('Schedule 4'!$F$89:$F$649,'Schedule 4'!$I$89:$I$649,'Well Cal.'!P$3,'Schedule 4'!$J$89:$J$649,'Well Cal.'!$E282)</f>
        <v>0</v>
      </c>
      <c r="Q282" s="727">
        <f>SUMIFS('Schedule 4'!$F$89:$F$649,'Schedule 4'!$I$89:$I$649,'Well Cal.'!Q$3,'Schedule 4'!$J$89:$J$649,'Well Cal.'!$E282)</f>
        <v>0</v>
      </c>
      <c r="R282" s="727">
        <f>SUMIFS('Schedule 4'!$F$89:$F$649,'Schedule 4'!$I$89:$I$649,'Well Cal.'!R$3,'Schedule 4'!$J$89:$J$649,'Well Cal.'!$E282)</f>
        <v>0</v>
      </c>
      <c r="S282" s="727">
        <f>SUMIFS('Schedule 4'!$F$89:$F$649,'Schedule 4'!$I$89:$I$649,'Well Cal.'!S$3,'Schedule 4'!$J$89:$J$649,'Well Cal.'!$E282)</f>
        <v>0</v>
      </c>
      <c r="T282" s="727">
        <f>SUMIFS('Schedule 4'!$F$89:$F$649,'Schedule 4'!$I$89:$I$649,'Well Cal.'!T$3,'Schedule 4'!$J$89:$J$649,'Well Cal.'!$E282)</f>
        <v>0</v>
      </c>
      <c r="U282" s="727">
        <f>SUMIFS('Schedule 4'!$F$89:$F$649,'Schedule 4'!$I$89:$I$649,'Well Cal.'!U$3,'Schedule 4'!$J$89:$J$649,'Well Cal.'!$E282)</f>
        <v>0</v>
      </c>
      <c r="V282" s="727">
        <f>SUMIFS('Schedule 4'!$F$89:$F$649,'Schedule 4'!$I$89:$I$649,'Well Cal.'!V$3,'Schedule 4'!$J$89:$J$649,'Well Cal.'!$E282)</f>
        <v>0</v>
      </c>
      <c r="W282" s="727">
        <f>SUMIFS('Schedule 4'!$F$89:$F$649,'Schedule 4'!$I$89:$I$649,'Well Cal.'!W$3,'Schedule 4'!$J$89:$J$649,'Well Cal.'!$E282)</f>
        <v>0</v>
      </c>
      <c r="X282" s="727">
        <f>SUMIFS('Schedule 4'!$F$89:$F$649,'Schedule 4'!$I$89:$I$649,'Well Cal.'!X$3,'Schedule 4'!$J$89:$J$649,'Well Cal.'!$E282)</f>
        <v>0</v>
      </c>
      <c r="Y282" s="727">
        <f>SUMIFS('Schedule 4'!$F$89:$F$649,'Schedule 4'!$I$89:$I$649,'Well Cal.'!Y$3,'Schedule 4'!$J$89:$J$649,'Well Cal.'!$E282)</f>
        <v>0</v>
      </c>
      <c r="Z282" s="727">
        <f>SUMIFS('Schedule 4'!$F$89:$F$649,'Schedule 4'!$I$89:$I$649,'Well Cal.'!Z$3,'Schedule 4'!$J$89:$J$649,'Well Cal.'!$E282)</f>
        <v>0</v>
      </c>
      <c r="AA282" s="727"/>
      <c r="AB282" s="1731"/>
      <c r="AC282" s="1731"/>
    </row>
    <row r="283" spans="2:29" x14ac:dyDescent="0.3">
      <c r="B283" s="1724"/>
      <c r="C283" s="1727"/>
      <c r="D283" s="1721"/>
      <c r="E283" s="775" t="s">
        <v>3807</v>
      </c>
      <c r="F283" s="727">
        <f>SUMIFS('Schedule 4'!$F$89:$F$649,'Schedule 4'!$I$89:$I$649,'Well Cal.'!F$3,'Schedule 4'!$J$89:$J$649,'Well Cal.'!$E283)</f>
        <v>0</v>
      </c>
      <c r="G283" s="727">
        <f>SUMIFS('Schedule 4'!$F$89:$F$649,'Schedule 4'!$I$89:$I$649,'Well Cal.'!G$3,'Schedule 4'!$J$89:$J$649,'Well Cal.'!$E283)</f>
        <v>0</v>
      </c>
      <c r="H283" s="727">
        <f>SUMIFS('Schedule 4'!$F$89:$F$649,'Schedule 4'!$I$89:$I$649,'Well Cal.'!H$3,'Schedule 4'!$J$89:$J$649,'Well Cal.'!$E283)</f>
        <v>0</v>
      </c>
      <c r="I283" s="727">
        <f>SUMIFS('Schedule 4'!$F$89:$F$649,'Schedule 4'!$I$89:$I$649,'Well Cal.'!I$3,'Schedule 4'!$J$89:$J$649,'Well Cal.'!$E283)</f>
        <v>0</v>
      </c>
      <c r="J283" s="727">
        <f>SUMIFS('Schedule 4'!$F$89:$F$649,'Schedule 4'!$I$89:$I$649,'Well Cal.'!J$3,'Schedule 4'!$J$89:$J$649,'Well Cal.'!$E283)</f>
        <v>0</v>
      </c>
      <c r="K283" s="727">
        <f>SUMIFS('Schedule 4'!$F$89:$F$649,'Schedule 4'!$I$89:$I$649,'Well Cal.'!K$3,'Schedule 4'!$J$89:$J$649,'Well Cal.'!$E283)</f>
        <v>0</v>
      </c>
      <c r="L283" s="727">
        <f>SUMIFS('Schedule 4'!$F$89:$F$649,'Schedule 4'!$I$89:$I$649,'Well Cal.'!L$3,'Schedule 4'!$J$89:$J$649,'Well Cal.'!$E283)</f>
        <v>0</v>
      </c>
      <c r="M283" s="727">
        <f>SUMIFS('Schedule 4'!$F$89:$F$649,'Schedule 4'!$I$89:$I$649,'Well Cal.'!M$3,'Schedule 4'!$J$89:$J$649,'Well Cal.'!$E283)</f>
        <v>0</v>
      </c>
      <c r="N283" s="727">
        <f>SUMIFS('Schedule 4'!$F$89:$F$649,'Schedule 4'!$I$89:$I$649,'Well Cal.'!N$3,'Schedule 4'!$J$89:$J$649,'Well Cal.'!$E283)</f>
        <v>0</v>
      </c>
      <c r="O283" s="727">
        <f>SUMIFS('Schedule 4'!$F$89:$F$649,'Schedule 4'!$I$89:$I$649,'Well Cal.'!O$3,'Schedule 4'!$J$89:$J$649,'Well Cal.'!$E283)</f>
        <v>0</v>
      </c>
      <c r="P283" s="727">
        <f>SUMIFS('Schedule 4'!$F$89:$F$649,'Schedule 4'!$I$89:$I$649,'Well Cal.'!P$3,'Schedule 4'!$J$89:$J$649,'Well Cal.'!$E283)</f>
        <v>0</v>
      </c>
      <c r="Q283" s="727">
        <f>SUMIFS('Schedule 4'!$F$89:$F$649,'Schedule 4'!$I$89:$I$649,'Well Cal.'!Q$3,'Schedule 4'!$J$89:$J$649,'Well Cal.'!$E283)</f>
        <v>0</v>
      </c>
      <c r="R283" s="727">
        <f>SUMIFS('Schedule 4'!$F$89:$F$649,'Schedule 4'!$I$89:$I$649,'Well Cal.'!R$3,'Schedule 4'!$J$89:$J$649,'Well Cal.'!$E283)</f>
        <v>0</v>
      </c>
      <c r="S283" s="727">
        <f>SUMIFS('Schedule 4'!$F$89:$F$649,'Schedule 4'!$I$89:$I$649,'Well Cal.'!S$3,'Schedule 4'!$J$89:$J$649,'Well Cal.'!$E283)</f>
        <v>0</v>
      </c>
      <c r="T283" s="727">
        <f>SUMIFS('Schedule 4'!$F$89:$F$649,'Schedule 4'!$I$89:$I$649,'Well Cal.'!T$3,'Schedule 4'!$J$89:$J$649,'Well Cal.'!$E283)</f>
        <v>0</v>
      </c>
      <c r="U283" s="727">
        <f>SUMIFS('Schedule 4'!$F$89:$F$649,'Schedule 4'!$I$89:$I$649,'Well Cal.'!U$3,'Schedule 4'!$J$89:$J$649,'Well Cal.'!$E283)</f>
        <v>0</v>
      </c>
      <c r="V283" s="727">
        <f>SUMIFS('Schedule 4'!$F$89:$F$649,'Schedule 4'!$I$89:$I$649,'Well Cal.'!V$3,'Schedule 4'!$J$89:$J$649,'Well Cal.'!$E283)</f>
        <v>0</v>
      </c>
      <c r="W283" s="727">
        <f>SUMIFS('Schedule 4'!$F$89:$F$649,'Schedule 4'!$I$89:$I$649,'Well Cal.'!W$3,'Schedule 4'!$J$89:$J$649,'Well Cal.'!$E283)</f>
        <v>0</v>
      </c>
      <c r="X283" s="727">
        <f>SUMIFS('Schedule 4'!$F$89:$F$649,'Schedule 4'!$I$89:$I$649,'Well Cal.'!X$3,'Schedule 4'!$J$89:$J$649,'Well Cal.'!$E283)</f>
        <v>0</v>
      </c>
      <c r="Y283" s="727">
        <f>SUMIFS('Schedule 4'!$F$89:$F$649,'Schedule 4'!$I$89:$I$649,'Well Cal.'!Y$3,'Schedule 4'!$J$89:$J$649,'Well Cal.'!$E283)</f>
        <v>0</v>
      </c>
      <c r="Z283" s="727">
        <f>SUMIFS('Schedule 4'!$F$89:$F$649,'Schedule 4'!$I$89:$I$649,'Well Cal.'!Z$3,'Schedule 4'!$J$89:$J$649,'Well Cal.'!$E283)</f>
        <v>0</v>
      </c>
      <c r="AA283" s="727"/>
      <c r="AB283" s="1731"/>
      <c r="AC283" s="1731"/>
    </row>
    <row r="284" spans="2:29" x14ac:dyDescent="0.3">
      <c r="B284" s="1724"/>
      <c r="C284" s="1727"/>
      <c r="D284" s="1721"/>
      <c r="E284" s="775" t="s">
        <v>3903</v>
      </c>
      <c r="F284" s="727">
        <f>SUMIFS('Schedule 4'!$F$89:$F$649,'Schedule 4'!$I$89:$I$649,'Well Cal.'!F$3,'Schedule 4'!$J$89:$J$649,'Well Cal.'!$E284)</f>
        <v>0</v>
      </c>
      <c r="G284" s="727">
        <f>SUMIFS('Schedule 4'!$F$89:$F$649,'Schedule 4'!$I$89:$I$649,'Well Cal.'!G$3,'Schedule 4'!$J$89:$J$649,'Well Cal.'!$E284)</f>
        <v>0</v>
      </c>
      <c r="H284" s="727">
        <f>SUMIFS('Schedule 4'!$F$89:$F$649,'Schedule 4'!$I$89:$I$649,'Well Cal.'!H$3,'Schedule 4'!$J$89:$J$649,'Well Cal.'!$E284)</f>
        <v>0</v>
      </c>
      <c r="I284" s="727">
        <f>SUMIFS('Schedule 4'!$F$89:$F$649,'Schedule 4'!$I$89:$I$649,'Well Cal.'!I$3,'Schedule 4'!$J$89:$J$649,'Well Cal.'!$E284)</f>
        <v>0</v>
      </c>
      <c r="J284" s="727">
        <f>SUMIFS('Schedule 4'!$F$89:$F$649,'Schedule 4'!$I$89:$I$649,'Well Cal.'!J$3,'Schedule 4'!$J$89:$J$649,'Well Cal.'!$E284)</f>
        <v>0</v>
      </c>
      <c r="K284" s="727">
        <f>SUMIFS('Schedule 4'!$F$89:$F$649,'Schedule 4'!$I$89:$I$649,'Well Cal.'!K$3,'Schedule 4'!$J$89:$J$649,'Well Cal.'!$E284)</f>
        <v>0</v>
      </c>
      <c r="L284" s="727">
        <f>SUMIFS('Schedule 4'!$F$89:$F$649,'Schedule 4'!$I$89:$I$649,'Well Cal.'!L$3,'Schedule 4'!$J$89:$J$649,'Well Cal.'!$E284)</f>
        <v>0</v>
      </c>
      <c r="M284" s="727">
        <f>SUMIFS('Schedule 4'!$F$89:$F$649,'Schedule 4'!$I$89:$I$649,'Well Cal.'!M$3,'Schedule 4'!$J$89:$J$649,'Well Cal.'!$E284)</f>
        <v>0</v>
      </c>
      <c r="N284" s="727">
        <f>SUMIFS('Schedule 4'!$F$89:$F$649,'Schedule 4'!$I$89:$I$649,'Well Cal.'!N$3,'Schedule 4'!$J$89:$J$649,'Well Cal.'!$E284)</f>
        <v>0</v>
      </c>
      <c r="O284" s="727">
        <f>SUMIFS('Schedule 4'!$F$89:$F$649,'Schedule 4'!$I$89:$I$649,'Well Cal.'!O$3,'Schedule 4'!$J$89:$J$649,'Well Cal.'!$E284)</f>
        <v>0</v>
      </c>
      <c r="P284" s="727">
        <f>SUMIFS('Schedule 4'!$F$89:$F$649,'Schedule 4'!$I$89:$I$649,'Well Cal.'!P$3,'Schedule 4'!$J$89:$J$649,'Well Cal.'!$E284)</f>
        <v>0</v>
      </c>
      <c r="Q284" s="727">
        <f>SUMIFS('Schedule 4'!$F$89:$F$649,'Schedule 4'!$I$89:$I$649,'Well Cal.'!Q$3,'Schedule 4'!$J$89:$J$649,'Well Cal.'!$E284)</f>
        <v>0</v>
      </c>
      <c r="R284" s="727">
        <f>SUMIFS('Schedule 4'!$F$89:$F$649,'Schedule 4'!$I$89:$I$649,'Well Cal.'!R$3,'Schedule 4'!$J$89:$J$649,'Well Cal.'!$E284)</f>
        <v>0</v>
      </c>
      <c r="S284" s="727">
        <f>SUMIFS('Schedule 4'!$F$89:$F$649,'Schedule 4'!$I$89:$I$649,'Well Cal.'!S$3,'Schedule 4'!$J$89:$J$649,'Well Cal.'!$E284)</f>
        <v>0</v>
      </c>
      <c r="T284" s="727">
        <f>SUMIFS('Schedule 4'!$F$89:$F$649,'Schedule 4'!$I$89:$I$649,'Well Cal.'!T$3,'Schedule 4'!$J$89:$J$649,'Well Cal.'!$E284)</f>
        <v>0</v>
      </c>
      <c r="U284" s="727">
        <f>SUMIFS('Schedule 4'!$F$89:$F$649,'Schedule 4'!$I$89:$I$649,'Well Cal.'!U$3,'Schedule 4'!$J$89:$J$649,'Well Cal.'!$E284)</f>
        <v>0</v>
      </c>
      <c r="V284" s="727">
        <f>SUMIFS('Schedule 4'!$F$89:$F$649,'Schedule 4'!$I$89:$I$649,'Well Cal.'!V$3,'Schedule 4'!$J$89:$J$649,'Well Cal.'!$E284)</f>
        <v>0</v>
      </c>
      <c r="W284" s="727">
        <f>SUMIFS('Schedule 4'!$F$89:$F$649,'Schedule 4'!$I$89:$I$649,'Well Cal.'!W$3,'Schedule 4'!$J$89:$J$649,'Well Cal.'!$E284)</f>
        <v>0</v>
      </c>
      <c r="X284" s="727">
        <f>SUMIFS('Schedule 4'!$F$89:$F$649,'Schedule 4'!$I$89:$I$649,'Well Cal.'!X$3,'Schedule 4'!$J$89:$J$649,'Well Cal.'!$E284)</f>
        <v>0</v>
      </c>
      <c r="Y284" s="727">
        <f>SUMIFS('Schedule 4'!$F$89:$F$649,'Schedule 4'!$I$89:$I$649,'Well Cal.'!Y$3,'Schedule 4'!$J$89:$J$649,'Well Cal.'!$E284)</f>
        <v>0</v>
      </c>
      <c r="Z284" s="727">
        <f>SUMIFS('Schedule 4'!$F$89:$F$649,'Schedule 4'!$I$89:$I$649,'Well Cal.'!Z$3,'Schedule 4'!$J$89:$J$649,'Well Cal.'!$E284)</f>
        <v>0</v>
      </c>
      <c r="AA284" s="727"/>
      <c r="AB284" s="1731"/>
      <c r="AC284" s="1731"/>
    </row>
    <row r="285" spans="2:29" x14ac:dyDescent="0.3">
      <c r="B285" s="1724"/>
      <c r="C285" s="1727"/>
      <c r="D285" s="1721"/>
      <c r="E285" s="775" t="s">
        <v>3962</v>
      </c>
      <c r="F285" s="727">
        <f>SUMIFS('Schedule 4'!$F$89:$F$649,'Schedule 4'!$I$89:$I$649,'Well Cal.'!F$3,'Schedule 4'!$J$89:$J$649,'Well Cal.'!$E285)</f>
        <v>0</v>
      </c>
      <c r="G285" s="727">
        <f>SUMIFS('Schedule 4'!$F$89:$F$649,'Schedule 4'!$I$89:$I$649,'Well Cal.'!G$3,'Schedule 4'!$J$89:$J$649,'Well Cal.'!$E285)</f>
        <v>0</v>
      </c>
      <c r="H285" s="727">
        <f>SUMIFS('Schedule 4'!$F$89:$F$649,'Schedule 4'!$I$89:$I$649,'Well Cal.'!H$3,'Schedule 4'!$J$89:$J$649,'Well Cal.'!$E285)</f>
        <v>0</v>
      </c>
      <c r="I285" s="727">
        <f>SUMIFS('Schedule 4'!$F$89:$F$649,'Schedule 4'!$I$89:$I$649,'Well Cal.'!I$3,'Schedule 4'!$J$89:$J$649,'Well Cal.'!$E285)</f>
        <v>0</v>
      </c>
      <c r="J285" s="727">
        <f>SUMIFS('Schedule 4'!$F$89:$F$649,'Schedule 4'!$I$89:$I$649,'Well Cal.'!J$3,'Schedule 4'!$J$89:$J$649,'Well Cal.'!$E285)</f>
        <v>0</v>
      </c>
      <c r="K285" s="727">
        <f>SUMIFS('Schedule 4'!$F$89:$F$649,'Schedule 4'!$I$89:$I$649,'Well Cal.'!K$3,'Schedule 4'!$J$89:$J$649,'Well Cal.'!$E285)</f>
        <v>0</v>
      </c>
      <c r="L285" s="727">
        <f>SUMIFS('Schedule 4'!$F$89:$F$649,'Schedule 4'!$I$89:$I$649,'Well Cal.'!L$3,'Schedule 4'!$J$89:$J$649,'Well Cal.'!$E285)</f>
        <v>0</v>
      </c>
      <c r="M285" s="727">
        <f>SUMIFS('Schedule 4'!$F$89:$F$649,'Schedule 4'!$I$89:$I$649,'Well Cal.'!M$3,'Schedule 4'!$J$89:$J$649,'Well Cal.'!$E285)</f>
        <v>0</v>
      </c>
      <c r="N285" s="727">
        <f>SUMIFS('Schedule 4'!$F$89:$F$649,'Schedule 4'!$I$89:$I$649,'Well Cal.'!N$3,'Schedule 4'!$J$89:$J$649,'Well Cal.'!$E285)</f>
        <v>0</v>
      </c>
      <c r="O285" s="727">
        <f>SUMIFS('Schedule 4'!$F$89:$F$649,'Schedule 4'!$I$89:$I$649,'Well Cal.'!O$3,'Schedule 4'!$J$89:$J$649,'Well Cal.'!$E285)</f>
        <v>0</v>
      </c>
      <c r="P285" s="727">
        <f>SUMIFS('Schedule 4'!$F$89:$F$649,'Schedule 4'!$I$89:$I$649,'Well Cal.'!P$3,'Schedule 4'!$J$89:$J$649,'Well Cal.'!$E285)</f>
        <v>0</v>
      </c>
      <c r="Q285" s="727">
        <f>SUMIFS('Schedule 4'!$F$89:$F$649,'Schedule 4'!$I$89:$I$649,'Well Cal.'!Q$3,'Schedule 4'!$J$89:$J$649,'Well Cal.'!$E285)</f>
        <v>0</v>
      </c>
      <c r="R285" s="727">
        <f>SUMIFS('Schedule 4'!$F$89:$F$649,'Schedule 4'!$I$89:$I$649,'Well Cal.'!R$3,'Schedule 4'!$J$89:$J$649,'Well Cal.'!$E285)</f>
        <v>0</v>
      </c>
      <c r="S285" s="727">
        <f>SUMIFS('Schedule 4'!$F$89:$F$649,'Schedule 4'!$I$89:$I$649,'Well Cal.'!S$3,'Schedule 4'!$J$89:$J$649,'Well Cal.'!$E285)</f>
        <v>0</v>
      </c>
      <c r="T285" s="727">
        <f>SUMIFS('Schedule 4'!$F$89:$F$649,'Schedule 4'!$I$89:$I$649,'Well Cal.'!T$3,'Schedule 4'!$J$89:$J$649,'Well Cal.'!$E285)</f>
        <v>0</v>
      </c>
      <c r="U285" s="727">
        <f>SUMIFS('Schedule 4'!$F$89:$F$649,'Schedule 4'!$I$89:$I$649,'Well Cal.'!U$3,'Schedule 4'!$J$89:$J$649,'Well Cal.'!$E285)</f>
        <v>0</v>
      </c>
      <c r="V285" s="727">
        <f>SUMIFS('Schedule 4'!$F$89:$F$649,'Schedule 4'!$I$89:$I$649,'Well Cal.'!V$3,'Schedule 4'!$J$89:$J$649,'Well Cal.'!$E285)</f>
        <v>0</v>
      </c>
      <c r="W285" s="727">
        <f>SUMIFS('Schedule 4'!$F$89:$F$649,'Schedule 4'!$I$89:$I$649,'Well Cal.'!W$3,'Schedule 4'!$J$89:$J$649,'Well Cal.'!$E285)</f>
        <v>0</v>
      </c>
      <c r="X285" s="727">
        <f>SUMIFS('Schedule 4'!$F$89:$F$649,'Schedule 4'!$I$89:$I$649,'Well Cal.'!X$3,'Schedule 4'!$J$89:$J$649,'Well Cal.'!$E285)</f>
        <v>0</v>
      </c>
      <c r="Y285" s="727">
        <f>SUMIFS('Schedule 4'!$F$89:$F$649,'Schedule 4'!$I$89:$I$649,'Well Cal.'!Y$3,'Schedule 4'!$J$89:$J$649,'Well Cal.'!$E285)</f>
        <v>0</v>
      </c>
      <c r="Z285" s="727">
        <f>SUMIFS('Schedule 4'!$F$89:$F$649,'Schedule 4'!$I$89:$I$649,'Well Cal.'!Z$3,'Schedule 4'!$J$89:$J$649,'Well Cal.'!$E285)</f>
        <v>0</v>
      </c>
      <c r="AA285" s="727"/>
      <c r="AB285" s="1731"/>
      <c r="AC285" s="1731"/>
    </row>
    <row r="286" spans="2:29" x14ac:dyDescent="0.3">
      <c r="B286" s="1724"/>
      <c r="C286" s="1727"/>
      <c r="D286" s="1721"/>
      <c r="E286" s="775" t="s">
        <v>4039</v>
      </c>
      <c r="F286" s="727">
        <f>SUMIFS('Schedule 4'!$F$89:$F$649,'Schedule 4'!$I$89:$I$649,'Well Cal.'!F$3,'Schedule 4'!$J$89:$J$649,'Well Cal.'!$E286)</f>
        <v>0</v>
      </c>
      <c r="G286" s="727">
        <f>SUMIFS('Schedule 4'!$F$89:$F$649,'Schedule 4'!$I$89:$I$649,'Well Cal.'!G$3,'Schedule 4'!$J$89:$J$649,'Well Cal.'!$E286)</f>
        <v>0</v>
      </c>
      <c r="H286" s="727">
        <f>SUMIFS('Schedule 4'!$F$89:$F$649,'Schedule 4'!$I$89:$I$649,'Well Cal.'!H$3,'Schedule 4'!$J$89:$J$649,'Well Cal.'!$E286)</f>
        <v>0</v>
      </c>
      <c r="I286" s="727">
        <f>SUMIFS('Schedule 4'!$F$89:$F$649,'Schedule 4'!$I$89:$I$649,'Well Cal.'!I$3,'Schedule 4'!$J$89:$J$649,'Well Cal.'!$E286)</f>
        <v>0</v>
      </c>
      <c r="J286" s="727">
        <f>SUMIFS('Schedule 4'!$F$89:$F$649,'Schedule 4'!$I$89:$I$649,'Well Cal.'!J$3,'Schedule 4'!$J$89:$J$649,'Well Cal.'!$E286)</f>
        <v>0</v>
      </c>
      <c r="K286" s="727">
        <f>SUMIFS('Schedule 4'!$F$89:$F$649,'Schedule 4'!$I$89:$I$649,'Well Cal.'!K$3,'Schedule 4'!$J$89:$J$649,'Well Cal.'!$E286)</f>
        <v>0</v>
      </c>
      <c r="L286" s="727">
        <f>SUMIFS('Schedule 4'!$F$89:$F$649,'Schedule 4'!$I$89:$I$649,'Well Cal.'!L$3,'Schedule 4'!$J$89:$J$649,'Well Cal.'!$E286)</f>
        <v>0</v>
      </c>
      <c r="M286" s="727">
        <f>SUMIFS('Schedule 4'!$F$89:$F$649,'Schedule 4'!$I$89:$I$649,'Well Cal.'!M$3,'Schedule 4'!$J$89:$J$649,'Well Cal.'!$E286)</f>
        <v>0</v>
      </c>
      <c r="N286" s="727">
        <f>SUMIFS('Schedule 4'!$F$89:$F$649,'Schedule 4'!$I$89:$I$649,'Well Cal.'!N$3,'Schedule 4'!$J$89:$J$649,'Well Cal.'!$E286)</f>
        <v>0</v>
      </c>
      <c r="O286" s="727">
        <f>SUMIFS('Schedule 4'!$F$89:$F$649,'Schedule 4'!$I$89:$I$649,'Well Cal.'!O$3,'Schedule 4'!$J$89:$J$649,'Well Cal.'!$E286)</f>
        <v>0</v>
      </c>
      <c r="P286" s="727">
        <f>SUMIFS('Schedule 4'!$F$89:$F$649,'Schedule 4'!$I$89:$I$649,'Well Cal.'!P$3,'Schedule 4'!$J$89:$J$649,'Well Cal.'!$E286)</f>
        <v>0</v>
      </c>
      <c r="Q286" s="727">
        <f>SUMIFS('Schedule 4'!$F$89:$F$649,'Schedule 4'!$I$89:$I$649,'Well Cal.'!Q$3,'Schedule 4'!$J$89:$J$649,'Well Cal.'!$E286)</f>
        <v>0</v>
      </c>
      <c r="R286" s="727">
        <f>SUMIFS('Schedule 4'!$F$89:$F$649,'Schedule 4'!$I$89:$I$649,'Well Cal.'!R$3,'Schedule 4'!$J$89:$J$649,'Well Cal.'!$E286)</f>
        <v>0</v>
      </c>
      <c r="S286" s="727">
        <f>SUMIFS('Schedule 4'!$F$89:$F$649,'Schedule 4'!$I$89:$I$649,'Well Cal.'!S$3,'Schedule 4'!$J$89:$J$649,'Well Cal.'!$E286)</f>
        <v>0</v>
      </c>
      <c r="T286" s="727">
        <f>SUMIFS('Schedule 4'!$F$89:$F$649,'Schedule 4'!$I$89:$I$649,'Well Cal.'!T$3,'Schedule 4'!$J$89:$J$649,'Well Cal.'!$E286)</f>
        <v>0</v>
      </c>
      <c r="U286" s="727">
        <f>SUMIFS('Schedule 4'!$F$89:$F$649,'Schedule 4'!$I$89:$I$649,'Well Cal.'!U$3,'Schedule 4'!$J$89:$J$649,'Well Cal.'!$E286)</f>
        <v>0</v>
      </c>
      <c r="V286" s="727">
        <f>SUMIFS('Schedule 4'!$F$89:$F$649,'Schedule 4'!$I$89:$I$649,'Well Cal.'!V$3,'Schedule 4'!$J$89:$J$649,'Well Cal.'!$E286)</f>
        <v>0</v>
      </c>
      <c r="W286" s="727">
        <f>SUMIFS('Schedule 4'!$F$89:$F$649,'Schedule 4'!$I$89:$I$649,'Well Cal.'!W$3,'Schedule 4'!$J$89:$J$649,'Well Cal.'!$E286)</f>
        <v>0</v>
      </c>
      <c r="X286" s="727">
        <f>SUMIFS('Schedule 4'!$F$89:$F$649,'Schedule 4'!$I$89:$I$649,'Well Cal.'!X$3,'Schedule 4'!$J$89:$J$649,'Well Cal.'!$E286)</f>
        <v>0</v>
      </c>
      <c r="Y286" s="727">
        <f>SUMIFS('Schedule 4'!$F$89:$F$649,'Schedule 4'!$I$89:$I$649,'Well Cal.'!Y$3,'Schedule 4'!$J$89:$J$649,'Well Cal.'!$E286)</f>
        <v>0</v>
      </c>
      <c r="Z286" s="727">
        <f>SUMIFS('Schedule 4'!$F$89:$F$649,'Schedule 4'!$I$89:$I$649,'Well Cal.'!Z$3,'Schedule 4'!$J$89:$J$649,'Well Cal.'!$E286)</f>
        <v>0</v>
      </c>
      <c r="AA286" s="727"/>
      <c r="AB286" s="1731"/>
      <c r="AC286" s="1731"/>
    </row>
    <row r="287" spans="2:29" x14ac:dyDescent="0.3">
      <c r="B287" s="1724"/>
      <c r="C287" s="1727"/>
      <c r="D287" s="1721"/>
      <c r="E287" s="775" t="s">
        <v>4107</v>
      </c>
      <c r="F287" s="727">
        <f>SUMIFS('Schedule 4'!$F$89:$F$649,'Schedule 4'!$I$89:$I$649,'Well Cal.'!F$3,'Schedule 4'!$J$89:$J$649,'Well Cal.'!$E287)</f>
        <v>0</v>
      </c>
      <c r="G287" s="727">
        <f>SUMIFS('Schedule 4'!$F$89:$F$649,'Schedule 4'!$I$89:$I$649,'Well Cal.'!G$3,'Schedule 4'!$J$89:$J$649,'Well Cal.'!$E287)</f>
        <v>0</v>
      </c>
      <c r="H287" s="727">
        <f>SUMIFS('Schedule 4'!$F$89:$F$649,'Schedule 4'!$I$89:$I$649,'Well Cal.'!H$3,'Schedule 4'!$J$89:$J$649,'Well Cal.'!$E287)</f>
        <v>0</v>
      </c>
      <c r="I287" s="727">
        <f>SUMIFS('Schedule 4'!$F$89:$F$649,'Schedule 4'!$I$89:$I$649,'Well Cal.'!I$3,'Schedule 4'!$J$89:$J$649,'Well Cal.'!$E287)</f>
        <v>0</v>
      </c>
      <c r="J287" s="727">
        <f>SUMIFS('Schedule 4'!$F$89:$F$649,'Schedule 4'!$I$89:$I$649,'Well Cal.'!J$3,'Schedule 4'!$J$89:$J$649,'Well Cal.'!$E287)</f>
        <v>0</v>
      </c>
      <c r="K287" s="727">
        <f>SUMIFS('Schedule 4'!$F$89:$F$649,'Schedule 4'!$I$89:$I$649,'Well Cal.'!K$3,'Schedule 4'!$J$89:$J$649,'Well Cal.'!$E287)</f>
        <v>0</v>
      </c>
      <c r="L287" s="727">
        <f>SUMIFS('Schedule 4'!$F$89:$F$649,'Schedule 4'!$I$89:$I$649,'Well Cal.'!L$3,'Schedule 4'!$J$89:$J$649,'Well Cal.'!$E287)</f>
        <v>0</v>
      </c>
      <c r="M287" s="727">
        <f>SUMIFS('Schedule 4'!$F$89:$F$649,'Schedule 4'!$I$89:$I$649,'Well Cal.'!M$3,'Schedule 4'!$J$89:$J$649,'Well Cal.'!$E287)</f>
        <v>0</v>
      </c>
      <c r="N287" s="727">
        <f>SUMIFS('Schedule 4'!$F$89:$F$649,'Schedule 4'!$I$89:$I$649,'Well Cal.'!N$3,'Schedule 4'!$J$89:$J$649,'Well Cal.'!$E287)</f>
        <v>0</v>
      </c>
      <c r="O287" s="727">
        <f>SUMIFS('Schedule 4'!$F$89:$F$649,'Schedule 4'!$I$89:$I$649,'Well Cal.'!O$3,'Schedule 4'!$J$89:$J$649,'Well Cal.'!$E287)</f>
        <v>0</v>
      </c>
      <c r="P287" s="727">
        <f>SUMIFS('Schedule 4'!$F$89:$F$649,'Schedule 4'!$I$89:$I$649,'Well Cal.'!P$3,'Schedule 4'!$J$89:$J$649,'Well Cal.'!$E287)</f>
        <v>0</v>
      </c>
      <c r="Q287" s="727">
        <f>SUMIFS('Schedule 4'!$F$89:$F$649,'Schedule 4'!$I$89:$I$649,'Well Cal.'!Q$3,'Schedule 4'!$J$89:$J$649,'Well Cal.'!$E287)</f>
        <v>0</v>
      </c>
      <c r="R287" s="727">
        <f>SUMIFS('Schedule 4'!$F$89:$F$649,'Schedule 4'!$I$89:$I$649,'Well Cal.'!R$3,'Schedule 4'!$J$89:$J$649,'Well Cal.'!$E287)</f>
        <v>0</v>
      </c>
      <c r="S287" s="727">
        <f>SUMIFS('Schedule 4'!$F$89:$F$649,'Schedule 4'!$I$89:$I$649,'Well Cal.'!S$3,'Schedule 4'!$J$89:$J$649,'Well Cal.'!$E287)</f>
        <v>0</v>
      </c>
      <c r="T287" s="727">
        <f>SUMIFS('Schedule 4'!$F$89:$F$649,'Schedule 4'!$I$89:$I$649,'Well Cal.'!T$3,'Schedule 4'!$J$89:$J$649,'Well Cal.'!$E287)</f>
        <v>0</v>
      </c>
      <c r="U287" s="727">
        <f>SUMIFS('Schedule 4'!$F$89:$F$649,'Schedule 4'!$I$89:$I$649,'Well Cal.'!U$3,'Schedule 4'!$J$89:$J$649,'Well Cal.'!$E287)</f>
        <v>0</v>
      </c>
      <c r="V287" s="727">
        <f>SUMIFS('Schedule 4'!$F$89:$F$649,'Schedule 4'!$I$89:$I$649,'Well Cal.'!V$3,'Schedule 4'!$J$89:$J$649,'Well Cal.'!$E287)</f>
        <v>0</v>
      </c>
      <c r="W287" s="727">
        <f>SUMIFS('Schedule 4'!$F$89:$F$649,'Schedule 4'!$I$89:$I$649,'Well Cal.'!W$3,'Schedule 4'!$J$89:$J$649,'Well Cal.'!$E287)</f>
        <v>0</v>
      </c>
      <c r="X287" s="727">
        <f>SUMIFS('Schedule 4'!$F$89:$F$649,'Schedule 4'!$I$89:$I$649,'Well Cal.'!X$3,'Schedule 4'!$J$89:$J$649,'Well Cal.'!$E287)</f>
        <v>0</v>
      </c>
      <c r="Y287" s="727">
        <f>SUMIFS('Schedule 4'!$F$89:$F$649,'Schedule 4'!$I$89:$I$649,'Well Cal.'!Y$3,'Schedule 4'!$J$89:$J$649,'Well Cal.'!$E287)</f>
        <v>0</v>
      </c>
      <c r="Z287" s="727">
        <f>SUMIFS('Schedule 4'!$F$89:$F$649,'Schedule 4'!$I$89:$I$649,'Well Cal.'!Z$3,'Schedule 4'!$J$89:$J$649,'Well Cal.'!$E287)</f>
        <v>0</v>
      </c>
      <c r="AA287" s="727"/>
      <c r="AB287" s="1731"/>
      <c r="AC287" s="1731"/>
    </row>
    <row r="288" spans="2:29" x14ac:dyDescent="0.3">
      <c r="B288" s="1724"/>
      <c r="C288" s="1727"/>
      <c r="D288" s="1721"/>
      <c r="E288" s="775" t="s">
        <v>4178</v>
      </c>
      <c r="F288" s="727">
        <f>SUMIFS('Schedule 4'!$F$89:$F$649,'Schedule 4'!$I$89:$I$649,'Well Cal.'!F$3,'Schedule 4'!$J$89:$J$649,'Well Cal.'!$E288)</f>
        <v>0</v>
      </c>
      <c r="G288" s="727">
        <f>SUMIFS('Schedule 4'!$F$89:$F$649,'Schedule 4'!$I$89:$I$649,'Well Cal.'!G$3,'Schedule 4'!$J$89:$J$649,'Well Cal.'!$E288)</f>
        <v>0</v>
      </c>
      <c r="H288" s="727">
        <f>SUMIFS('Schedule 4'!$F$89:$F$649,'Schedule 4'!$I$89:$I$649,'Well Cal.'!H$3,'Schedule 4'!$J$89:$J$649,'Well Cal.'!$E288)</f>
        <v>0</v>
      </c>
      <c r="I288" s="727">
        <f>SUMIFS('Schedule 4'!$F$89:$F$649,'Schedule 4'!$I$89:$I$649,'Well Cal.'!I$3,'Schedule 4'!$J$89:$J$649,'Well Cal.'!$E288)</f>
        <v>0</v>
      </c>
      <c r="J288" s="727">
        <f>SUMIFS('Schedule 4'!$F$89:$F$649,'Schedule 4'!$I$89:$I$649,'Well Cal.'!J$3,'Schedule 4'!$J$89:$J$649,'Well Cal.'!$E288)</f>
        <v>0</v>
      </c>
      <c r="K288" s="727">
        <f>SUMIFS('Schedule 4'!$F$89:$F$649,'Schedule 4'!$I$89:$I$649,'Well Cal.'!K$3,'Schedule 4'!$J$89:$J$649,'Well Cal.'!$E288)</f>
        <v>0</v>
      </c>
      <c r="L288" s="727">
        <f>SUMIFS('Schedule 4'!$F$89:$F$649,'Schedule 4'!$I$89:$I$649,'Well Cal.'!L$3,'Schedule 4'!$J$89:$J$649,'Well Cal.'!$E288)</f>
        <v>0</v>
      </c>
      <c r="M288" s="727">
        <f>SUMIFS('Schedule 4'!$F$89:$F$649,'Schedule 4'!$I$89:$I$649,'Well Cal.'!M$3,'Schedule 4'!$J$89:$J$649,'Well Cal.'!$E288)</f>
        <v>0</v>
      </c>
      <c r="N288" s="727">
        <f>SUMIFS('Schedule 4'!$F$89:$F$649,'Schedule 4'!$I$89:$I$649,'Well Cal.'!N$3,'Schedule 4'!$J$89:$J$649,'Well Cal.'!$E288)</f>
        <v>0</v>
      </c>
      <c r="O288" s="727">
        <f>SUMIFS('Schedule 4'!$F$89:$F$649,'Schedule 4'!$I$89:$I$649,'Well Cal.'!O$3,'Schedule 4'!$J$89:$J$649,'Well Cal.'!$E288)</f>
        <v>0</v>
      </c>
      <c r="P288" s="727">
        <f>SUMIFS('Schedule 4'!$F$89:$F$649,'Schedule 4'!$I$89:$I$649,'Well Cal.'!P$3,'Schedule 4'!$J$89:$J$649,'Well Cal.'!$E288)</f>
        <v>0</v>
      </c>
      <c r="Q288" s="727">
        <f>SUMIFS('Schedule 4'!$F$89:$F$649,'Schedule 4'!$I$89:$I$649,'Well Cal.'!Q$3,'Schedule 4'!$J$89:$J$649,'Well Cal.'!$E288)</f>
        <v>0</v>
      </c>
      <c r="R288" s="727">
        <f>SUMIFS('Schedule 4'!$F$89:$F$649,'Schedule 4'!$I$89:$I$649,'Well Cal.'!R$3,'Schedule 4'!$J$89:$J$649,'Well Cal.'!$E288)</f>
        <v>0</v>
      </c>
      <c r="S288" s="727">
        <f>SUMIFS('Schedule 4'!$F$89:$F$649,'Schedule 4'!$I$89:$I$649,'Well Cal.'!S$3,'Schedule 4'!$J$89:$J$649,'Well Cal.'!$E288)</f>
        <v>0</v>
      </c>
      <c r="T288" s="727">
        <f>SUMIFS('Schedule 4'!$F$89:$F$649,'Schedule 4'!$I$89:$I$649,'Well Cal.'!T$3,'Schedule 4'!$J$89:$J$649,'Well Cal.'!$E288)</f>
        <v>0</v>
      </c>
      <c r="U288" s="727">
        <f>SUMIFS('Schedule 4'!$F$89:$F$649,'Schedule 4'!$I$89:$I$649,'Well Cal.'!U$3,'Schedule 4'!$J$89:$J$649,'Well Cal.'!$E288)</f>
        <v>0</v>
      </c>
      <c r="V288" s="727">
        <f>SUMIFS('Schedule 4'!$F$89:$F$649,'Schedule 4'!$I$89:$I$649,'Well Cal.'!V$3,'Schedule 4'!$J$89:$J$649,'Well Cal.'!$E288)</f>
        <v>0</v>
      </c>
      <c r="W288" s="727">
        <f>SUMIFS('Schedule 4'!$F$89:$F$649,'Schedule 4'!$I$89:$I$649,'Well Cal.'!W$3,'Schedule 4'!$J$89:$J$649,'Well Cal.'!$E288)</f>
        <v>0</v>
      </c>
      <c r="X288" s="727">
        <f>SUMIFS('Schedule 4'!$F$89:$F$649,'Schedule 4'!$I$89:$I$649,'Well Cal.'!X$3,'Schedule 4'!$J$89:$J$649,'Well Cal.'!$E288)</f>
        <v>0</v>
      </c>
      <c r="Y288" s="727">
        <f>SUMIFS('Schedule 4'!$F$89:$F$649,'Schedule 4'!$I$89:$I$649,'Well Cal.'!Y$3,'Schedule 4'!$J$89:$J$649,'Well Cal.'!$E288)</f>
        <v>0</v>
      </c>
      <c r="Z288" s="727">
        <f>SUMIFS('Schedule 4'!$F$89:$F$649,'Schedule 4'!$I$89:$I$649,'Well Cal.'!Z$3,'Schedule 4'!$J$89:$J$649,'Well Cal.'!$E288)</f>
        <v>0</v>
      </c>
      <c r="AA288" s="727"/>
      <c r="AB288" s="1731"/>
      <c r="AC288" s="1731"/>
    </row>
    <row r="289" spans="2:29" x14ac:dyDescent="0.3">
      <c r="B289" s="1724"/>
      <c r="C289" s="1727"/>
      <c r="D289" s="1721"/>
      <c r="E289" s="775" t="s">
        <v>4243</v>
      </c>
      <c r="F289" s="727">
        <f>SUMIFS('Schedule 4'!$F$89:$F$649,'Schedule 4'!$I$89:$I$649,'Well Cal.'!F$3,'Schedule 4'!$J$89:$J$649,'Well Cal.'!$E289)</f>
        <v>0</v>
      </c>
      <c r="G289" s="727">
        <f>SUMIFS('Schedule 4'!$F$89:$F$649,'Schedule 4'!$I$89:$I$649,'Well Cal.'!G$3,'Schedule 4'!$J$89:$J$649,'Well Cal.'!$E289)</f>
        <v>0</v>
      </c>
      <c r="H289" s="727">
        <f>SUMIFS('Schedule 4'!$F$89:$F$649,'Schedule 4'!$I$89:$I$649,'Well Cal.'!H$3,'Schedule 4'!$J$89:$J$649,'Well Cal.'!$E289)</f>
        <v>0</v>
      </c>
      <c r="I289" s="727">
        <f>SUMIFS('Schedule 4'!$F$89:$F$649,'Schedule 4'!$I$89:$I$649,'Well Cal.'!I$3,'Schedule 4'!$J$89:$J$649,'Well Cal.'!$E289)</f>
        <v>0</v>
      </c>
      <c r="J289" s="727">
        <f>SUMIFS('Schedule 4'!$F$89:$F$649,'Schedule 4'!$I$89:$I$649,'Well Cal.'!J$3,'Schedule 4'!$J$89:$J$649,'Well Cal.'!$E289)</f>
        <v>0</v>
      </c>
      <c r="K289" s="727">
        <f>SUMIFS('Schedule 4'!$F$89:$F$649,'Schedule 4'!$I$89:$I$649,'Well Cal.'!K$3,'Schedule 4'!$J$89:$J$649,'Well Cal.'!$E289)</f>
        <v>0</v>
      </c>
      <c r="L289" s="727">
        <f>SUMIFS('Schedule 4'!$F$89:$F$649,'Schedule 4'!$I$89:$I$649,'Well Cal.'!L$3,'Schedule 4'!$J$89:$J$649,'Well Cal.'!$E289)</f>
        <v>0</v>
      </c>
      <c r="M289" s="727">
        <f>SUMIFS('Schedule 4'!$F$89:$F$649,'Schedule 4'!$I$89:$I$649,'Well Cal.'!M$3,'Schedule 4'!$J$89:$J$649,'Well Cal.'!$E289)</f>
        <v>0</v>
      </c>
      <c r="N289" s="727">
        <f>SUMIFS('Schedule 4'!$F$89:$F$649,'Schedule 4'!$I$89:$I$649,'Well Cal.'!N$3,'Schedule 4'!$J$89:$J$649,'Well Cal.'!$E289)</f>
        <v>0</v>
      </c>
      <c r="O289" s="727">
        <f>SUMIFS('Schedule 4'!$F$89:$F$649,'Schedule 4'!$I$89:$I$649,'Well Cal.'!O$3,'Schedule 4'!$J$89:$J$649,'Well Cal.'!$E289)</f>
        <v>0</v>
      </c>
      <c r="P289" s="727">
        <f>SUMIFS('Schedule 4'!$F$89:$F$649,'Schedule 4'!$I$89:$I$649,'Well Cal.'!P$3,'Schedule 4'!$J$89:$J$649,'Well Cal.'!$E289)</f>
        <v>0</v>
      </c>
      <c r="Q289" s="727">
        <f>SUMIFS('Schedule 4'!$F$89:$F$649,'Schedule 4'!$I$89:$I$649,'Well Cal.'!Q$3,'Schedule 4'!$J$89:$J$649,'Well Cal.'!$E289)</f>
        <v>0</v>
      </c>
      <c r="R289" s="727">
        <f>SUMIFS('Schedule 4'!$F$89:$F$649,'Schedule 4'!$I$89:$I$649,'Well Cal.'!R$3,'Schedule 4'!$J$89:$J$649,'Well Cal.'!$E289)</f>
        <v>0</v>
      </c>
      <c r="S289" s="727">
        <f>SUMIFS('Schedule 4'!$F$89:$F$649,'Schedule 4'!$I$89:$I$649,'Well Cal.'!S$3,'Schedule 4'!$J$89:$J$649,'Well Cal.'!$E289)</f>
        <v>0</v>
      </c>
      <c r="T289" s="727">
        <f>SUMIFS('Schedule 4'!$F$89:$F$649,'Schedule 4'!$I$89:$I$649,'Well Cal.'!T$3,'Schedule 4'!$J$89:$J$649,'Well Cal.'!$E289)</f>
        <v>0</v>
      </c>
      <c r="U289" s="727">
        <f>SUMIFS('Schedule 4'!$F$89:$F$649,'Schedule 4'!$I$89:$I$649,'Well Cal.'!U$3,'Schedule 4'!$J$89:$J$649,'Well Cal.'!$E289)</f>
        <v>0</v>
      </c>
      <c r="V289" s="727">
        <f>SUMIFS('Schedule 4'!$F$89:$F$649,'Schedule 4'!$I$89:$I$649,'Well Cal.'!V$3,'Schedule 4'!$J$89:$J$649,'Well Cal.'!$E289)</f>
        <v>0</v>
      </c>
      <c r="W289" s="727">
        <f>SUMIFS('Schedule 4'!$F$89:$F$649,'Schedule 4'!$I$89:$I$649,'Well Cal.'!W$3,'Schedule 4'!$J$89:$J$649,'Well Cal.'!$E289)</f>
        <v>0</v>
      </c>
      <c r="X289" s="727">
        <f>SUMIFS('Schedule 4'!$F$89:$F$649,'Schedule 4'!$I$89:$I$649,'Well Cal.'!X$3,'Schedule 4'!$J$89:$J$649,'Well Cal.'!$E289)</f>
        <v>0</v>
      </c>
      <c r="Y289" s="727">
        <f>SUMIFS('Schedule 4'!$F$89:$F$649,'Schedule 4'!$I$89:$I$649,'Well Cal.'!Y$3,'Schedule 4'!$J$89:$J$649,'Well Cal.'!$E289)</f>
        <v>0</v>
      </c>
      <c r="Z289" s="727">
        <f>SUMIFS('Schedule 4'!$F$89:$F$649,'Schedule 4'!$I$89:$I$649,'Well Cal.'!Z$3,'Schedule 4'!$J$89:$J$649,'Well Cal.'!$E289)</f>
        <v>0</v>
      </c>
      <c r="AA289" s="727"/>
      <c r="AB289" s="1731"/>
      <c r="AC289" s="1731"/>
    </row>
    <row r="290" spans="2:29" x14ac:dyDescent="0.3">
      <c r="B290" s="1724"/>
      <c r="C290" s="1727"/>
      <c r="D290" s="1721"/>
      <c r="E290" s="775" t="s">
        <v>4313</v>
      </c>
      <c r="F290" s="727">
        <f>SUMIFS('Schedule 4'!$F$89:$F$649,'Schedule 4'!$I$89:$I$649,'Well Cal.'!F$3,'Schedule 4'!$J$89:$J$649,'Well Cal.'!$E290)</f>
        <v>0</v>
      </c>
      <c r="G290" s="727">
        <f>SUMIFS('Schedule 4'!$F$89:$F$649,'Schedule 4'!$I$89:$I$649,'Well Cal.'!G$3,'Schedule 4'!$J$89:$J$649,'Well Cal.'!$E290)</f>
        <v>0</v>
      </c>
      <c r="H290" s="727">
        <f>SUMIFS('Schedule 4'!$F$89:$F$649,'Schedule 4'!$I$89:$I$649,'Well Cal.'!H$3,'Schedule 4'!$J$89:$J$649,'Well Cal.'!$E290)</f>
        <v>0</v>
      </c>
      <c r="I290" s="727">
        <f>SUMIFS('Schedule 4'!$F$89:$F$649,'Schedule 4'!$I$89:$I$649,'Well Cal.'!I$3,'Schedule 4'!$J$89:$J$649,'Well Cal.'!$E290)</f>
        <v>0</v>
      </c>
      <c r="J290" s="727">
        <f>SUMIFS('Schedule 4'!$F$89:$F$649,'Schedule 4'!$I$89:$I$649,'Well Cal.'!J$3,'Schedule 4'!$J$89:$J$649,'Well Cal.'!$E290)</f>
        <v>0</v>
      </c>
      <c r="K290" s="727">
        <f>SUMIFS('Schedule 4'!$F$89:$F$649,'Schedule 4'!$I$89:$I$649,'Well Cal.'!K$3,'Schedule 4'!$J$89:$J$649,'Well Cal.'!$E290)</f>
        <v>0</v>
      </c>
      <c r="L290" s="727">
        <f>SUMIFS('Schedule 4'!$F$89:$F$649,'Schedule 4'!$I$89:$I$649,'Well Cal.'!L$3,'Schedule 4'!$J$89:$J$649,'Well Cal.'!$E290)</f>
        <v>0</v>
      </c>
      <c r="M290" s="727">
        <f>SUMIFS('Schedule 4'!$F$89:$F$649,'Schedule 4'!$I$89:$I$649,'Well Cal.'!M$3,'Schedule 4'!$J$89:$J$649,'Well Cal.'!$E290)</f>
        <v>0</v>
      </c>
      <c r="N290" s="727">
        <f>SUMIFS('Schedule 4'!$F$89:$F$649,'Schedule 4'!$I$89:$I$649,'Well Cal.'!N$3,'Schedule 4'!$J$89:$J$649,'Well Cal.'!$E290)</f>
        <v>0</v>
      </c>
      <c r="O290" s="727">
        <f>SUMIFS('Schedule 4'!$F$89:$F$649,'Schedule 4'!$I$89:$I$649,'Well Cal.'!O$3,'Schedule 4'!$J$89:$J$649,'Well Cal.'!$E290)</f>
        <v>0</v>
      </c>
      <c r="P290" s="727">
        <f>SUMIFS('Schedule 4'!$F$89:$F$649,'Schedule 4'!$I$89:$I$649,'Well Cal.'!P$3,'Schedule 4'!$J$89:$J$649,'Well Cal.'!$E290)</f>
        <v>0</v>
      </c>
      <c r="Q290" s="727">
        <f>SUMIFS('Schedule 4'!$F$89:$F$649,'Schedule 4'!$I$89:$I$649,'Well Cal.'!Q$3,'Schedule 4'!$J$89:$J$649,'Well Cal.'!$E290)</f>
        <v>0</v>
      </c>
      <c r="R290" s="727">
        <f>SUMIFS('Schedule 4'!$F$89:$F$649,'Schedule 4'!$I$89:$I$649,'Well Cal.'!R$3,'Schedule 4'!$J$89:$J$649,'Well Cal.'!$E290)</f>
        <v>0</v>
      </c>
      <c r="S290" s="727">
        <f>SUMIFS('Schedule 4'!$F$89:$F$649,'Schedule 4'!$I$89:$I$649,'Well Cal.'!S$3,'Schedule 4'!$J$89:$J$649,'Well Cal.'!$E290)</f>
        <v>0</v>
      </c>
      <c r="T290" s="727">
        <f>SUMIFS('Schedule 4'!$F$89:$F$649,'Schedule 4'!$I$89:$I$649,'Well Cal.'!T$3,'Schedule 4'!$J$89:$J$649,'Well Cal.'!$E290)</f>
        <v>0</v>
      </c>
      <c r="U290" s="727">
        <f>SUMIFS('Schedule 4'!$F$89:$F$649,'Schedule 4'!$I$89:$I$649,'Well Cal.'!U$3,'Schedule 4'!$J$89:$J$649,'Well Cal.'!$E290)</f>
        <v>0</v>
      </c>
      <c r="V290" s="727">
        <f>SUMIFS('Schedule 4'!$F$89:$F$649,'Schedule 4'!$I$89:$I$649,'Well Cal.'!V$3,'Schedule 4'!$J$89:$J$649,'Well Cal.'!$E290)</f>
        <v>0</v>
      </c>
      <c r="W290" s="727">
        <f>SUMIFS('Schedule 4'!$F$89:$F$649,'Schedule 4'!$I$89:$I$649,'Well Cal.'!W$3,'Schedule 4'!$J$89:$J$649,'Well Cal.'!$E290)</f>
        <v>0</v>
      </c>
      <c r="X290" s="727">
        <f>SUMIFS('Schedule 4'!$F$89:$F$649,'Schedule 4'!$I$89:$I$649,'Well Cal.'!X$3,'Schedule 4'!$J$89:$J$649,'Well Cal.'!$E290)</f>
        <v>0</v>
      </c>
      <c r="Y290" s="727">
        <f>SUMIFS('Schedule 4'!$F$89:$F$649,'Schedule 4'!$I$89:$I$649,'Well Cal.'!Y$3,'Schedule 4'!$J$89:$J$649,'Well Cal.'!$E290)</f>
        <v>0</v>
      </c>
      <c r="Z290" s="727">
        <f>SUMIFS('Schedule 4'!$F$89:$F$649,'Schedule 4'!$I$89:$I$649,'Well Cal.'!Z$3,'Schedule 4'!$J$89:$J$649,'Well Cal.'!$E290)</f>
        <v>0</v>
      </c>
      <c r="AA290" s="727"/>
      <c r="AB290" s="1731"/>
      <c r="AC290" s="1731"/>
    </row>
    <row r="291" spans="2:29" x14ac:dyDescent="0.3">
      <c r="B291" s="1724"/>
      <c r="C291" s="1727"/>
      <c r="D291" s="1721"/>
      <c r="E291" s="775" t="s">
        <v>4375</v>
      </c>
      <c r="F291" s="727">
        <f>SUMIFS('Schedule 4'!$F$89:$F$649,'Schedule 4'!$I$89:$I$649,'Well Cal.'!F$3,'Schedule 4'!$J$89:$J$649,'Well Cal.'!$E291)</f>
        <v>0</v>
      </c>
      <c r="G291" s="727">
        <f>SUMIFS('Schedule 4'!$F$89:$F$649,'Schedule 4'!$I$89:$I$649,'Well Cal.'!G$3,'Schedule 4'!$J$89:$J$649,'Well Cal.'!$E291)</f>
        <v>0</v>
      </c>
      <c r="H291" s="727">
        <f>SUMIFS('Schedule 4'!$F$89:$F$649,'Schedule 4'!$I$89:$I$649,'Well Cal.'!H$3,'Schedule 4'!$J$89:$J$649,'Well Cal.'!$E291)</f>
        <v>0</v>
      </c>
      <c r="I291" s="727">
        <f>SUMIFS('Schedule 4'!$F$89:$F$649,'Schedule 4'!$I$89:$I$649,'Well Cal.'!I$3,'Schedule 4'!$J$89:$J$649,'Well Cal.'!$E291)</f>
        <v>0</v>
      </c>
      <c r="J291" s="727">
        <f>SUMIFS('Schedule 4'!$F$89:$F$649,'Schedule 4'!$I$89:$I$649,'Well Cal.'!J$3,'Schedule 4'!$J$89:$J$649,'Well Cal.'!$E291)</f>
        <v>0</v>
      </c>
      <c r="K291" s="727">
        <f>SUMIFS('Schedule 4'!$F$89:$F$649,'Schedule 4'!$I$89:$I$649,'Well Cal.'!K$3,'Schedule 4'!$J$89:$J$649,'Well Cal.'!$E291)</f>
        <v>0</v>
      </c>
      <c r="L291" s="727">
        <f>SUMIFS('Schedule 4'!$F$89:$F$649,'Schedule 4'!$I$89:$I$649,'Well Cal.'!L$3,'Schedule 4'!$J$89:$J$649,'Well Cal.'!$E291)</f>
        <v>0</v>
      </c>
      <c r="M291" s="727">
        <f>SUMIFS('Schedule 4'!$F$89:$F$649,'Schedule 4'!$I$89:$I$649,'Well Cal.'!M$3,'Schedule 4'!$J$89:$J$649,'Well Cal.'!$E291)</f>
        <v>0</v>
      </c>
      <c r="N291" s="727">
        <f>SUMIFS('Schedule 4'!$F$89:$F$649,'Schedule 4'!$I$89:$I$649,'Well Cal.'!N$3,'Schedule 4'!$J$89:$J$649,'Well Cal.'!$E291)</f>
        <v>0</v>
      </c>
      <c r="O291" s="727">
        <f>SUMIFS('Schedule 4'!$F$89:$F$649,'Schedule 4'!$I$89:$I$649,'Well Cal.'!O$3,'Schedule 4'!$J$89:$J$649,'Well Cal.'!$E291)</f>
        <v>0</v>
      </c>
      <c r="P291" s="727">
        <f>SUMIFS('Schedule 4'!$F$89:$F$649,'Schedule 4'!$I$89:$I$649,'Well Cal.'!P$3,'Schedule 4'!$J$89:$J$649,'Well Cal.'!$E291)</f>
        <v>0</v>
      </c>
      <c r="Q291" s="727">
        <f>SUMIFS('Schedule 4'!$F$89:$F$649,'Schedule 4'!$I$89:$I$649,'Well Cal.'!Q$3,'Schedule 4'!$J$89:$J$649,'Well Cal.'!$E291)</f>
        <v>0</v>
      </c>
      <c r="R291" s="727">
        <f>SUMIFS('Schedule 4'!$F$89:$F$649,'Schedule 4'!$I$89:$I$649,'Well Cal.'!R$3,'Schedule 4'!$J$89:$J$649,'Well Cal.'!$E291)</f>
        <v>0</v>
      </c>
      <c r="S291" s="727">
        <f>SUMIFS('Schedule 4'!$F$89:$F$649,'Schedule 4'!$I$89:$I$649,'Well Cal.'!S$3,'Schedule 4'!$J$89:$J$649,'Well Cal.'!$E291)</f>
        <v>0</v>
      </c>
      <c r="T291" s="727">
        <f>SUMIFS('Schedule 4'!$F$89:$F$649,'Schedule 4'!$I$89:$I$649,'Well Cal.'!T$3,'Schedule 4'!$J$89:$J$649,'Well Cal.'!$E291)</f>
        <v>0</v>
      </c>
      <c r="U291" s="727">
        <f>SUMIFS('Schedule 4'!$F$89:$F$649,'Schedule 4'!$I$89:$I$649,'Well Cal.'!U$3,'Schedule 4'!$J$89:$J$649,'Well Cal.'!$E291)</f>
        <v>0</v>
      </c>
      <c r="V291" s="727">
        <f>SUMIFS('Schedule 4'!$F$89:$F$649,'Schedule 4'!$I$89:$I$649,'Well Cal.'!V$3,'Schedule 4'!$J$89:$J$649,'Well Cal.'!$E291)</f>
        <v>0</v>
      </c>
      <c r="W291" s="727">
        <f>SUMIFS('Schedule 4'!$F$89:$F$649,'Schedule 4'!$I$89:$I$649,'Well Cal.'!W$3,'Schedule 4'!$J$89:$J$649,'Well Cal.'!$E291)</f>
        <v>0</v>
      </c>
      <c r="X291" s="727">
        <f>SUMIFS('Schedule 4'!$F$89:$F$649,'Schedule 4'!$I$89:$I$649,'Well Cal.'!X$3,'Schedule 4'!$J$89:$J$649,'Well Cal.'!$E291)</f>
        <v>0</v>
      </c>
      <c r="Y291" s="727">
        <f>SUMIFS('Schedule 4'!$F$89:$F$649,'Schedule 4'!$I$89:$I$649,'Well Cal.'!Y$3,'Schedule 4'!$J$89:$J$649,'Well Cal.'!$E291)</f>
        <v>0</v>
      </c>
      <c r="Z291" s="727">
        <f>SUMIFS('Schedule 4'!$F$89:$F$649,'Schedule 4'!$I$89:$I$649,'Well Cal.'!Z$3,'Schedule 4'!$J$89:$J$649,'Well Cal.'!$E291)</f>
        <v>0</v>
      </c>
      <c r="AA291" s="727"/>
      <c r="AB291" s="1731"/>
      <c r="AC291" s="1731"/>
    </row>
    <row r="292" spans="2:29" x14ac:dyDescent="0.3">
      <c r="B292" s="1724"/>
      <c r="C292" s="1727"/>
      <c r="D292" s="1721"/>
      <c r="E292" s="775" t="s">
        <v>4427</v>
      </c>
      <c r="F292" s="727">
        <f>SUMIFS('Schedule 4'!$F$89:$F$649,'Schedule 4'!$I$89:$I$649,'Well Cal.'!F$3,'Schedule 4'!$J$89:$J$649,'Well Cal.'!$E292)</f>
        <v>0</v>
      </c>
      <c r="G292" s="727">
        <f>SUMIFS('Schedule 4'!$F$89:$F$649,'Schedule 4'!$I$89:$I$649,'Well Cal.'!G$3,'Schedule 4'!$J$89:$J$649,'Well Cal.'!$E292)</f>
        <v>0</v>
      </c>
      <c r="H292" s="727">
        <f>SUMIFS('Schedule 4'!$F$89:$F$649,'Schedule 4'!$I$89:$I$649,'Well Cal.'!H$3,'Schedule 4'!$J$89:$J$649,'Well Cal.'!$E292)</f>
        <v>0</v>
      </c>
      <c r="I292" s="727">
        <f>SUMIFS('Schedule 4'!$F$89:$F$649,'Schedule 4'!$I$89:$I$649,'Well Cal.'!I$3,'Schedule 4'!$J$89:$J$649,'Well Cal.'!$E292)</f>
        <v>0</v>
      </c>
      <c r="J292" s="727">
        <f>SUMIFS('Schedule 4'!$F$89:$F$649,'Schedule 4'!$I$89:$I$649,'Well Cal.'!J$3,'Schedule 4'!$J$89:$J$649,'Well Cal.'!$E292)</f>
        <v>0</v>
      </c>
      <c r="K292" s="727">
        <f>SUMIFS('Schedule 4'!$F$89:$F$649,'Schedule 4'!$I$89:$I$649,'Well Cal.'!K$3,'Schedule 4'!$J$89:$J$649,'Well Cal.'!$E292)</f>
        <v>0</v>
      </c>
      <c r="L292" s="727">
        <f>SUMIFS('Schedule 4'!$F$89:$F$649,'Schedule 4'!$I$89:$I$649,'Well Cal.'!L$3,'Schedule 4'!$J$89:$J$649,'Well Cal.'!$E292)</f>
        <v>0</v>
      </c>
      <c r="M292" s="727">
        <f>SUMIFS('Schedule 4'!$F$89:$F$649,'Schedule 4'!$I$89:$I$649,'Well Cal.'!M$3,'Schedule 4'!$J$89:$J$649,'Well Cal.'!$E292)</f>
        <v>0</v>
      </c>
      <c r="N292" s="727">
        <f>SUMIFS('Schedule 4'!$F$89:$F$649,'Schedule 4'!$I$89:$I$649,'Well Cal.'!N$3,'Schedule 4'!$J$89:$J$649,'Well Cal.'!$E292)</f>
        <v>0</v>
      </c>
      <c r="O292" s="727">
        <f>SUMIFS('Schedule 4'!$F$89:$F$649,'Schedule 4'!$I$89:$I$649,'Well Cal.'!O$3,'Schedule 4'!$J$89:$J$649,'Well Cal.'!$E292)</f>
        <v>0</v>
      </c>
      <c r="P292" s="727">
        <f>SUMIFS('Schedule 4'!$F$89:$F$649,'Schedule 4'!$I$89:$I$649,'Well Cal.'!P$3,'Schedule 4'!$J$89:$J$649,'Well Cal.'!$E292)</f>
        <v>0</v>
      </c>
      <c r="Q292" s="727">
        <f>SUMIFS('Schedule 4'!$F$89:$F$649,'Schedule 4'!$I$89:$I$649,'Well Cal.'!Q$3,'Schedule 4'!$J$89:$J$649,'Well Cal.'!$E292)</f>
        <v>0</v>
      </c>
      <c r="R292" s="727">
        <f>SUMIFS('Schedule 4'!$F$89:$F$649,'Schedule 4'!$I$89:$I$649,'Well Cal.'!R$3,'Schedule 4'!$J$89:$J$649,'Well Cal.'!$E292)</f>
        <v>0</v>
      </c>
      <c r="S292" s="727">
        <f>SUMIFS('Schedule 4'!$F$89:$F$649,'Schedule 4'!$I$89:$I$649,'Well Cal.'!S$3,'Schedule 4'!$J$89:$J$649,'Well Cal.'!$E292)</f>
        <v>0</v>
      </c>
      <c r="T292" s="727">
        <f>SUMIFS('Schedule 4'!$F$89:$F$649,'Schedule 4'!$I$89:$I$649,'Well Cal.'!T$3,'Schedule 4'!$J$89:$J$649,'Well Cal.'!$E292)</f>
        <v>0</v>
      </c>
      <c r="U292" s="727">
        <f>SUMIFS('Schedule 4'!$F$89:$F$649,'Schedule 4'!$I$89:$I$649,'Well Cal.'!U$3,'Schedule 4'!$J$89:$J$649,'Well Cal.'!$E292)</f>
        <v>0</v>
      </c>
      <c r="V292" s="727">
        <f>SUMIFS('Schedule 4'!$F$89:$F$649,'Schedule 4'!$I$89:$I$649,'Well Cal.'!V$3,'Schedule 4'!$J$89:$J$649,'Well Cal.'!$E292)</f>
        <v>0</v>
      </c>
      <c r="W292" s="727">
        <f>SUMIFS('Schedule 4'!$F$89:$F$649,'Schedule 4'!$I$89:$I$649,'Well Cal.'!W$3,'Schedule 4'!$J$89:$J$649,'Well Cal.'!$E292)</f>
        <v>0</v>
      </c>
      <c r="X292" s="727">
        <f>SUMIFS('Schedule 4'!$F$89:$F$649,'Schedule 4'!$I$89:$I$649,'Well Cal.'!X$3,'Schedule 4'!$J$89:$J$649,'Well Cal.'!$E292)</f>
        <v>0</v>
      </c>
      <c r="Y292" s="727">
        <f>SUMIFS('Schedule 4'!$F$89:$F$649,'Schedule 4'!$I$89:$I$649,'Well Cal.'!Y$3,'Schedule 4'!$J$89:$J$649,'Well Cal.'!$E292)</f>
        <v>0</v>
      </c>
      <c r="Z292" s="727">
        <f>SUMIFS('Schedule 4'!$F$89:$F$649,'Schedule 4'!$I$89:$I$649,'Well Cal.'!Z$3,'Schedule 4'!$J$89:$J$649,'Well Cal.'!$E292)</f>
        <v>0</v>
      </c>
      <c r="AA292" s="727"/>
      <c r="AB292" s="1731"/>
      <c r="AC292" s="1731"/>
    </row>
    <row r="293" spans="2:29" x14ac:dyDescent="0.3">
      <c r="B293" s="1724"/>
      <c r="C293" s="1727"/>
      <c r="D293" s="1721"/>
      <c r="E293" s="775" t="s">
        <v>4484</v>
      </c>
      <c r="F293" s="727">
        <f>SUMIFS('Schedule 4'!$F$89:$F$649,'Schedule 4'!$I$89:$I$649,'Well Cal.'!F$3,'Schedule 4'!$J$89:$J$649,'Well Cal.'!$E293)</f>
        <v>0</v>
      </c>
      <c r="G293" s="727">
        <f>SUMIFS('Schedule 4'!$F$89:$F$649,'Schedule 4'!$I$89:$I$649,'Well Cal.'!G$3,'Schedule 4'!$J$89:$J$649,'Well Cal.'!$E293)</f>
        <v>0</v>
      </c>
      <c r="H293" s="727">
        <f>SUMIFS('Schedule 4'!$F$89:$F$649,'Schedule 4'!$I$89:$I$649,'Well Cal.'!H$3,'Schedule 4'!$J$89:$J$649,'Well Cal.'!$E293)</f>
        <v>0</v>
      </c>
      <c r="I293" s="727">
        <f>SUMIFS('Schedule 4'!$F$89:$F$649,'Schedule 4'!$I$89:$I$649,'Well Cal.'!I$3,'Schedule 4'!$J$89:$J$649,'Well Cal.'!$E293)</f>
        <v>0</v>
      </c>
      <c r="J293" s="727">
        <f>SUMIFS('Schedule 4'!$F$89:$F$649,'Schedule 4'!$I$89:$I$649,'Well Cal.'!J$3,'Schedule 4'!$J$89:$J$649,'Well Cal.'!$E293)</f>
        <v>0</v>
      </c>
      <c r="K293" s="727">
        <f>SUMIFS('Schedule 4'!$F$89:$F$649,'Schedule 4'!$I$89:$I$649,'Well Cal.'!K$3,'Schedule 4'!$J$89:$J$649,'Well Cal.'!$E293)</f>
        <v>0</v>
      </c>
      <c r="L293" s="727">
        <f>SUMIFS('Schedule 4'!$F$89:$F$649,'Schedule 4'!$I$89:$I$649,'Well Cal.'!L$3,'Schedule 4'!$J$89:$J$649,'Well Cal.'!$E293)</f>
        <v>0</v>
      </c>
      <c r="M293" s="727">
        <f>SUMIFS('Schedule 4'!$F$89:$F$649,'Schedule 4'!$I$89:$I$649,'Well Cal.'!M$3,'Schedule 4'!$J$89:$J$649,'Well Cal.'!$E293)</f>
        <v>0</v>
      </c>
      <c r="N293" s="727">
        <f>SUMIFS('Schedule 4'!$F$89:$F$649,'Schedule 4'!$I$89:$I$649,'Well Cal.'!N$3,'Schedule 4'!$J$89:$J$649,'Well Cal.'!$E293)</f>
        <v>0</v>
      </c>
      <c r="O293" s="727">
        <f>SUMIFS('Schedule 4'!$F$89:$F$649,'Schedule 4'!$I$89:$I$649,'Well Cal.'!O$3,'Schedule 4'!$J$89:$J$649,'Well Cal.'!$E293)</f>
        <v>0</v>
      </c>
      <c r="P293" s="727">
        <f>SUMIFS('Schedule 4'!$F$89:$F$649,'Schedule 4'!$I$89:$I$649,'Well Cal.'!P$3,'Schedule 4'!$J$89:$J$649,'Well Cal.'!$E293)</f>
        <v>0</v>
      </c>
      <c r="Q293" s="727">
        <f>SUMIFS('Schedule 4'!$F$89:$F$649,'Schedule 4'!$I$89:$I$649,'Well Cal.'!Q$3,'Schedule 4'!$J$89:$J$649,'Well Cal.'!$E293)</f>
        <v>0</v>
      </c>
      <c r="R293" s="727">
        <f>SUMIFS('Schedule 4'!$F$89:$F$649,'Schedule 4'!$I$89:$I$649,'Well Cal.'!R$3,'Schedule 4'!$J$89:$J$649,'Well Cal.'!$E293)</f>
        <v>0</v>
      </c>
      <c r="S293" s="727">
        <f>SUMIFS('Schedule 4'!$F$89:$F$649,'Schedule 4'!$I$89:$I$649,'Well Cal.'!S$3,'Schedule 4'!$J$89:$J$649,'Well Cal.'!$E293)</f>
        <v>0</v>
      </c>
      <c r="T293" s="727">
        <f>SUMIFS('Schedule 4'!$F$89:$F$649,'Schedule 4'!$I$89:$I$649,'Well Cal.'!T$3,'Schedule 4'!$J$89:$J$649,'Well Cal.'!$E293)</f>
        <v>0</v>
      </c>
      <c r="U293" s="727">
        <f>SUMIFS('Schedule 4'!$F$89:$F$649,'Schedule 4'!$I$89:$I$649,'Well Cal.'!U$3,'Schedule 4'!$J$89:$J$649,'Well Cal.'!$E293)</f>
        <v>0</v>
      </c>
      <c r="V293" s="727">
        <f>SUMIFS('Schedule 4'!$F$89:$F$649,'Schedule 4'!$I$89:$I$649,'Well Cal.'!V$3,'Schedule 4'!$J$89:$J$649,'Well Cal.'!$E293)</f>
        <v>0</v>
      </c>
      <c r="W293" s="727">
        <f>SUMIFS('Schedule 4'!$F$89:$F$649,'Schedule 4'!$I$89:$I$649,'Well Cal.'!W$3,'Schedule 4'!$J$89:$J$649,'Well Cal.'!$E293)</f>
        <v>0</v>
      </c>
      <c r="X293" s="727">
        <f>SUMIFS('Schedule 4'!$F$89:$F$649,'Schedule 4'!$I$89:$I$649,'Well Cal.'!X$3,'Schedule 4'!$J$89:$J$649,'Well Cal.'!$E293)</f>
        <v>0</v>
      </c>
      <c r="Y293" s="727">
        <f>SUMIFS('Schedule 4'!$F$89:$F$649,'Schedule 4'!$I$89:$I$649,'Well Cal.'!Y$3,'Schedule 4'!$J$89:$J$649,'Well Cal.'!$E293)</f>
        <v>0</v>
      </c>
      <c r="Z293" s="727">
        <f>SUMIFS('Schedule 4'!$F$89:$F$649,'Schedule 4'!$I$89:$I$649,'Well Cal.'!Z$3,'Schedule 4'!$J$89:$J$649,'Well Cal.'!$E293)</f>
        <v>0</v>
      </c>
      <c r="AA293" s="727"/>
      <c r="AB293" s="1731"/>
      <c r="AC293" s="1731"/>
    </row>
    <row r="294" spans="2:29" x14ac:dyDescent="0.3">
      <c r="B294" s="1724"/>
      <c r="C294" s="1727"/>
      <c r="D294" s="1721"/>
      <c r="E294" s="775" t="s">
        <v>4528</v>
      </c>
      <c r="F294" s="727">
        <f>SUMIFS('Schedule 4'!$F$89:$F$649,'Schedule 4'!$I$89:$I$649,'Well Cal.'!F$3,'Schedule 4'!$J$89:$J$649,'Well Cal.'!$E294)</f>
        <v>0</v>
      </c>
      <c r="G294" s="727">
        <f>SUMIFS('Schedule 4'!$F$89:$F$649,'Schedule 4'!$I$89:$I$649,'Well Cal.'!G$3,'Schedule 4'!$J$89:$J$649,'Well Cal.'!$E294)</f>
        <v>0</v>
      </c>
      <c r="H294" s="727">
        <f>SUMIFS('Schedule 4'!$F$89:$F$649,'Schedule 4'!$I$89:$I$649,'Well Cal.'!H$3,'Schedule 4'!$J$89:$J$649,'Well Cal.'!$E294)</f>
        <v>0</v>
      </c>
      <c r="I294" s="727">
        <f>SUMIFS('Schedule 4'!$F$89:$F$649,'Schedule 4'!$I$89:$I$649,'Well Cal.'!I$3,'Schedule 4'!$J$89:$J$649,'Well Cal.'!$E294)</f>
        <v>0</v>
      </c>
      <c r="J294" s="727">
        <f>SUMIFS('Schedule 4'!$F$89:$F$649,'Schedule 4'!$I$89:$I$649,'Well Cal.'!J$3,'Schedule 4'!$J$89:$J$649,'Well Cal.'!$E294)</f>
        <v>0</v>
      </c>
      <c r="K294" s="727">
        <f>SUMIFS('Schedule 4'!$F$89:$F$649,'Schedule 4'!$I$89:$I$649,'Well Cal.'!K$3,'Schedule 4'!$J$89:$J$649,'Well Cal.'!$E294)</f>
        <v>0</v>
      </c>
      <c r="L294" s="727">
        <f>SUMIFS('Schedule 4'!$F$89:$F$649,'Schedule 4'!$I$89:$I$649,'Well Cal.'!L$3,'Schedule 4'!$J$89:$J$649,'Well Cal.'!$E294)</f>
        <v>0</v>
      </c>
      <c r="M294" s="727">
        <f>SUMIFS('Schedule 4'!$F$89:$F$649,'Schedule 4'!$I$89:$I$649,'Well Cal.'!M$3,'Schedule 4'!$J$89:$J$649,'Well Cal.'!$E294)</f>
        <v>0</v>
      </c>
      <c r="N294" s="727">
        <f>SUMIFS('Schedule 4'!$F$89:$F$649,'Schedule 4'!$I$89:$I$649,'Well Cal.'!N$3,'Schedule 4'!$J$89:$J$649,'Well Cal.'!$E294)</f>
        <v>0</v>
      </c>
      <c r="O294" s="727">
        <f>SUMIFS('Schedule 4'!$F$89:$F$649,'Schedule 4'!$I$89:$I$649,'Well Cal.'!O$3,'Schedule 4'!$J$89:$J$649,'Well Cal.'!$E294)</f>
        <v>0</v>
      </c>
      <c r="P294" s="727">
        <f>SUMIFS('Schedule 4'!$F$89:$F$649,'Schedule 4'!$I$89:$I$649,'Well Cal.'!P$3,'Schedule 4'!$J$89:$J$649,'Well Cal.'!$E294)</f>
        <v>0</v>
      </c>
      <c r="Q294" s="727">
        <f>SUMIFS('Schedule 4'!$F$89:$F$649,'Schedule 4'!$I$89:$I$649,'Well Cal.'!Q$3,'Schedule 4'!$J$89:$J$649,'Well Cal.'!$E294)</f>
        <v>0</v>
      </c>
      <c r="R294" s="727">
        <f>SUMIFS('Schedule 4'!$F$89:$F$649,'Schedule 4'!$I$89:$I$649,'Well Cal.'!R$3,'Schedule 4'!$J$89:$J$649,'Well Cal.'!$E294)</f>
        <v>0</v>
      </c>
      <c r="S294" s="727">
        <f>SUMIFS('Schedule 4'!$F$89:$F$649,'Schedule 4'!$I$89:$I$649,'Well Cal.'!S$3,'Schedule 4'!$J$89:$J$649,'Well Cal.'!$E294)</f>
        <v>0</v>
      </c>
      <c r="T294" s="727">
        <f>SUMIFS('Schedule 4'!$F$89:$F$649,'Schedule 4'!$I$89:$I$649,'Well Cal.'!T$3,'Schedule 4'!$J$89:$J$649,'Well Cal.'!$E294)</f>
        <v>0</v>
      </c>
      <c r="U294" s="727">
        <f>SUMIFS('Schedule 4'!$F$89:$F$649,'Schedule 4'!$I$89:$I$649,'Well Cal.'!U$3,'Schedule 4'!$J$89:$J$649,'Well Cal.'!$E294)</f>
        <v>0</v>
      </c>
      <c r="V294" s="727">
        <f>SUMIFS('Schedule 4'!$F$89:$F$649,'Schedule 4'!$I$89:$I$649,'Well Cal.'!V$3,'Schedule 4'!$J$89:$J$649,'Well Cal.'!$E294)</f>
        <v>0</v>
      </c>
      <c r="W294" s="727">
        <f>SUMIFS('Schedule 4'!$F$89:$F$649,'Schedule 4'!$I$89:$I$649,'Well Cal.'!W$3,'Schedule 4'!$J$89:$J$649,'Well Cal.'!$E294)</f>
        <v>0</v>
      </c>
      <c r="X294" s="727">
        <f>SUMIFS('Schedule 4'!$F$89:$F$649,'Schedule 4'!$I$89:$I$649,'Well Cal.'!X$3,'Schedule 4'!$J$89:$J$649,'Well Cal.'!$E294)</f>
        <v>0</v>
      </c>
      <c r="Y294" s="727">
        <f>SUMIFS('Schedule 4'!$F$89:$F$649,'Schedule 4'!$I$89:$I$649,'Well Cal.'!Y$3,'Schedule 4'!$J$89:$J$649,'Well Cal.'!$E294)</f>
        <v>0</v>
      </c>
      <c r="Z294" s="727">
        <f>SUMIFS('Schedule 4'!$F$89:$F$649,'Schedule 4'!$I$89:$I$649,'Well Cal.'!Z$3,'Schedule 4'!$J$89:$J$649,'Well Cal.'!$E294)</f>
        <v>0</v>
      </c>
      <c r="AA294" s="727"/>
      <c r="AB294" s="1731"/>
      <c r="AC294" s="1731"/>
    </row>
    <row r="295" spans="2:29" x14ac:dyDescent="0.3">
      <c r="B295" s="1725"/>
      <c r="C295" s="1728"/>
      <c r="D295" s="1722"/>
      <c r="E295" s="776"/>
      <c r="F295" s="777"/>
      <c r="G295" s="777"/>
      <c r="H295" s="777"/>
      <c r="I295" s="777"/>
      <c r="J295" s="777"/>
      <c r="K295" s="777"/>
      <c r="L295" s="777"/>
      <c r="M295" s="777"/>
      <c r="N295" s="777"/>
      <c r="O295" s="777"/>
      <c r="P295" s="777"/>
      <c r="Q295" s="777"/>
      <c r="R295" s="777"/>
      <c r="S295" s="777"/>
      <c r="T295" s="777"/>
      <c r="U295" s="777"/>
      <c r="V295" s="777"/>
      <c r="W295" s="777"/>
      <c r="X295" s="777"/>
      <c r="Y295" s="777"/>
      <c r="Z295" s="777"/>
      <c r="AA295" s="777"/>
      <c r="AB295" s="1732"/>
      <c r="AC295" s="1732"/>
    </row>
    <row r="296" spans="2:29" x14ac:dyDescent="0.3">
      <c r="B296" s="1723" t="s">
        <v>1908</v>
      </c>
      <c r="C296" s="1726">
        <v>54.05</v>
      </c>
      <c r="D296" s="1720">
        <f>SUMIFS('Schedule 4'!$F$89:$F$649,'Schedule 4'!$K$89:$K$649,'Well Cal.'!$B296)</f>
        <v>0</v>
      </c>
      <c r="E296" s="754" t="s">
        <v>3156</v>
      </c>
      <c r="F296" s="728">
        <f>SUMIFS('Schedule 4'!$F$89:$F$649,'Schedule 4'!$I$89:$I$649,'Well Cal.'!F$3,'Schedule 4'!$J$89:$J$649,'Well Cal.'!$E296)</f>
        <v>0</v>
      </c>
      <c r="G296" s="728">
        <f>SUMIFS('Schedule 4'!$F$89:$F$649,'Schedule 4'!$I$89:$I$649,'Well Cal.'!G$3,'Schedule 4'!$J$89:$J$649,'Well Cal.'!$E296)</f>
        <v>0</v>
      </c>
      <c r="H296" s="728">
        <f>SUMIFS('Schedule 4'!$F$89:$F$649,'Schedule 4'!$I$89:$I$649,'Well Cal.'!H$3,'Schedule 4'!$J$89:$J$649,'Well Cal.'!$E296)</f>
        <v>0</v>
      </c>
      <c r="I296" s="728">
        <f>SUMIFS('Schedule 4'!$F$89:$F$649,'Schedule 4'!$I$89:$I$649,'Well Cal.'!I$3,'Schedule 4'!$J$89:$J$649,'Well Cal.'!$E296)</f>
        <v>0</v>
      </c>
      <c r="J296" s="728">
        <f>SUMIFS('Schedule 4'!$F$89:$F$649,'Schedule 4'!$I$89:$I$649,'Well Cal.'!J$3,'Schedule 4'!$J$89:$J$649,'Well Cal.'!$E296)</f>
        <v>0</v>
      </c>
      <c r="K296" s="728">
        <f>SUMIFS('Schedule 4'!$F$89:$F$649,'Schedule 4'!$I$89:$I$649,'Well Cal.'!K$3,'Schedule 4'!$J$89:$J$649,'Well Cal.'!$E296)</f>
        <v>0</v>
      </c>
      <c r="L296" s="728">
        <f>SUMIFS('Schedule 4'!$F$89:$F$649,'Schedule 4'!$I$89:$I$649,'Well Cal.'!L$3,'Schedule 4'!$J$89:$J$649,'Well Cal.'!$E296)</f>
        <v>0</v>
      </c>
      <c r="M296" s="728">
        <f>SUMIFS('Schedule 4'!$F$89:$F$649,'Schedule 4'!$I$89:$I$649,'Well Cal.'!M$3,'Schedule 4'!$J$89:$J$649,'Well Cal.'!$E296)</f>
        <v>0</v>
      </c>
      <c r="N296" s="728">
        <f>SUMIFS('Schedule 4'!$F$89:$F$649,'Schedule 4'!$I$89:$I$649,'Well Cal.'!N$3,'Schedule 4'!$J$89:$J$649,'Well Cal.'!$E296)</f>
        <v>0</v>
      </c>
      <c r="O296" s="728">
        <f>SUMIFS('Schedule 4'!$F$89:$F$649,'Schedule 4'!$I$89:$I$649,'Well Cal.'!O$3,'Schedule 4'!$J$89:$J$649,'Well Cal.'!$E296)</f>
        <v>0</v>
      </c>
      <c r="P296" s="728">
        <f>SUMIFS('Schedule 4'!$F$89:$F$649,'Schedule 4'!$I$89:$I$649,'Well Cal.'!P$3,'Schedule 4'!$J$89:$J$649,'Well Cal.'!$E296)</f>
        <v>0</v>
      </c>
      <c r="Q296" s="728">
        <f>SUMIFS('Schedule 4'!$F$89:$F$649,'Schedule 4'!$I$89:$I$649,'Well Cal.'!Q$3,'Schedule 4'!$J$89:$J$649,'Well Cal.'!$E296)</f>
        <v>0</v>
      </c>
      <c r="R296" s="728">
        <f>SUMIFS('Schedule 4'!$F$89:$F$649,'Schedule 4'!$I$89:$I$649,'Well Cal.'!R$3,'Schedule 4'!$J$89:$J$649,'Well Cal.'!$E296)</f>
        <v>0</v>
      </c>
      <c r="S296" s="728">
        <f>SUMIFS('Schedule 4'!$F$89:$F$649,'Schedule 4'!$I$89:$I$649,'Well Cal.'!S$3,'Schedule 4'!$J$89:$J$649,'Well Cal.'!$E296)</f>
        <v>0</v>
      </c>
      <c r="T296" s="728">
        <f>SUMIFS('Schedule 4'!$F$89:$F$649,'Schedule 4'!$I$89:$I$649,'Well Cal.'!T$3,'Schedule 4'!$J$89:$J$649,'Well Cal.'!$E296)</f>
        <v>0</v>
      </c>
      <c r="U296" s="728">
        <f>SUMIFS('Schedule 4'!$F$89:$F$649,'Schedule 4'!$I$89:$I$649,'Well Cal.'!U$3,'Schedule 4'!$J$89:$J$649,'Well Cal.'!$E296)</f>
        <v>0</v>
      </c>
      <c r="V296" s="728">
        <f>SUMIFS('Schedule 4'!$F$89:$F$649,'Schedule 4'!$I$89:$I$649,'Well Cal.'!V$3,'Schedule 4'!$J$89:$J$649,'Well Cal.'!$E296)</f>
        <v>0</v>
      </c>
      <c r="W296" s="728">
        <f>SUMIFS('Schedule 4'!$F$89:$F$649,'Schedule 4'!$I$89:$I$649,'Well Cal.'!W$3,'Schedule 4'!$J$89:$J$649,'Well Cal.'!$E296)</f>
        <v>0</v>
      </c>
      <c r="X296" s="728">
        <f>SUMIFS('Schedule 4'!$F$89:$F$649,'Schedule 4'!$I$89:$I$649,'Well Cal.'!X$3,'Schedule 4'!$J$89:$J$649,'Well Cal.'!$E296)</f>
        <v>0</v>
      </c>
      <c r="Y296" s="728">
        <f>SUMIFS('Schedule 4'!$F$89:$F$649,'Schedule 4'!$I$89:$I$649,'Well Cal.'!Y$3,'Schedule 4'!$J$89:$J$649,'Well Cal.'!$E296)</f>
        <v>0</v>
      </c>
      <c r="Z296" s="728">
        <f>SUMIFS('Schedule 4'!$F$89:$F$649,'Schedule 4'!$I$89:$I$649,'Well Cal.'!Z$3,'Schedule 4'!$J$89:$J$649,'Well Cal.'!$E296)</f>
        <v>0</v>
      </c>
      <c r="AA296" s="728"/>
      <c r="AB296" s="1729">
        <f>SUM(F296:AA318)</f>
        <v>0</v>
      </c>
      <c r="AC296" s="1729">
        <f>D296-AB296</f>
        <v>0</v>
      </c>
    </row>
    <row r="297" spans="2:29" x14ac:dyDescent="0.3">
      <c r="B297" s="1724"/>
      <c r="C297" s="1727"/>
      <c r="D297" s="1721"/>
      <c r="E297" s="761" t="s">
        <v>3246</v>
      </c>
      <c r="F297" s="726">
        <f>SUMIFS('Schedule 4'!$F$89:$F$649,'Schedule 4'!$I$89:$I$649,'Well Cal.'!F$3,'Schedule 4'!$J$89:$J$649,'Well Cal.'!$E297)</f>
        <v>0</v>
      </c>
      <c r="G297" s="726">
        <f>SUMIFS('Schedule 4'!$F$89:$F$649,'Schedule 4'!$I$89:$I$649,'Well Cal.'!G$3,'Schedule 4'!$J$89:$J$649,'Well Cal.'!$E297)</f>
        <v>0</v>
      </c>
      <c r="H297" s="726">
        <f>SUMIFS('Schedule 4'!$F$89:$F$649,'Schedule 4'!$I$89:$I$649,'Well Cal.'!H$3,'Schedule 4'!$J$89:$J$649,'Well Cal.'!$E297)</f>
        <v>0</v>
      </c>
      <c r="I297" s="726">
        <f>SUMIFS('Schedule 4'!$F$89:$F$649,'Schedule 4'!$I$89:$I$649,'Well Cal.'!I$3,'Schedule 4'!$J$89:$J$649,'Well Cal.'!$E297)</f>
        <v>0</v>
      </c>
      <c r="J297" s="726">
        <f>SUMIFS('Schedule 4'!$F$89:$F$649,'Schedule 4'!$I$89:$I$649,'Well Cal.'!J$3,'Schedule 4'!$J$89:$J$649,'Well Cal.'!$E297)</f>
        <v>0</v>
      </c>
      <c r="K297" s="726">
        <f>SUMIFS('Schedule 4'!$F$89:$F$649,'Schedule 4'!$I$89:$I$649,'Well Cal.'!K$3,'Schedule 4'!$J$89:$J$649,'Well Cal.'!$E297)</f>
        <v>0</v>
      </c>
      <c r="L297" s="726">
        <f>SUMIFS('Schedule 4'!$F$89:$F$649,'Schedule 4'!$I$89:$I$649,'Well Cal.'!L$3,'Schedule 4'!$J$89:$J$649,'Well Cal.'!$E297)</f>
        <v>0</v>
      </c>
      <c r="M297" s="726">
        <f>SUMIFS('Schedule 4'!$F$89:$F$649,'Schedule 4'!$I$89:$I$649,'Well Cal.'!M$3,'Schedule 4'!$J$89:$J$649,'Well Cal.'!$E297)</f>
        <v>0</v>
      </c>
      <c r="N297" s="726">
        <f>SUMIFS('Schedule 4'!$F$89:$F$649,'Schedule 4'!$I$89:$I$649,'Well Cal.'!N$3,'Schedule 4'!$J$89:$J$649,'Well Cal.'!$E297)</f>
        <v>0</v>
      </c>
      <c r="O297" s="726">
        <f>SUMIFS('Schedule 4'!$F$89:$F$649,'Schedule 4'!$I$89:$I$649,'Well Cal.'!O$3,'Schedule 4'!$J$89:$J$649,'Well Cal.'!$E297)</f>
        <v>0</v>
      </c>
      <c r="P297" s="726">
        <f>SUMIFS('Schedule 4'!$F$89:$F$649,'Schedule 4'!$I$89:$I$649,'Well Cal.'!P$3,'Schedule 4'!$J$89:$J$649,'Well Cal.'!$E297)</f>
        <v>0</v>
      </c>
      <c r="Q297" s="726">
        <f>SUMIFS('Schedule 4'!$F$89:$F$649,'Schedule 4'!$I$89:$I$649,'Well Cal.'!Q$3,'Schedule 4'!$J$89:$J$649,'Well Cal.'!$E297)</f>
        <v>0</v>
      </c>
      <c r="R297" s="726">
        <f>SUMIFS('Schedule 4'!$F$89:$F$649,'Schedule 4'!$I$89:$I$649,'Well Cal.'!R$3,'Schedule 4'!$J$89:$J$649,'Well Cal.'!$E297)</f>
        <v>0</v>
      </c>
      <c r="S297" s="726">
        <f>SUMIFS('Schedule 4'!$F$89:$F$649,'Schedule 4'!$I$89:$I$649,'Well Cal.'!S$3,'Schedule 4'!$J$89:$J$649,'Well Cal.'!$E297)</f>
        <v>0</v>
      </c>
      <c r="T297" s="726">
        <f>SUMIFS('Schedule 4'!$F$89:$F$649,'Schedule 4'!$I$89:$I$649,'Well Cal.'!T$3,'Schedule 4'!$J$89:$J$649,'Well Cal.'!$E297)</f>
        <v>0</v>
      </c>
      <c r="U297" s="726">
        <f>SUMIFS('Schedule 4'!$F$89:$F$649,'Schedule 4'!$I$89:$I$649,'Well Cal.'!U$3,'Schedule 4'!$J$89:$J$649,'Well Cal.'!$E297)</f>
        <v>0</v>
      </c>
      <c r="V297" s="726">
        <f>SUMIFS('Schedule 4'!$F$89:$F$649,'Schedule 4'!$I$89:$I$649,'Well Cal.'!V$3,'Schedule 4'!$J$89:$J$649,'Well Cal.'!$E297)</f>
        <v>0</v>
      </c>
      <c r="W297" s="726">
        <f>SUMIFS('Schedule 4'!$F$89:$F$649,'Schedule 4'!$I$89:$I$649,'Well Cal.'!W$3,'Schedule 4'!$J$89:$J$649,'Well Cal.'!$E297)</f>
        <v>0</v>
      </c>
      <c r="X297" s="726">
        <f>SUMIFS('Schedule 4'!$F$89:$F$649,'Schedule 4'!$I$89:$I$649,'Well Cal.'!X$3,'Schedule 4'!$J$89:$J$649,'Well Cal.'!$E297)</f>
        <v>0</v>
      </c>
      <c r="Y297" s="726">
        <f>SUMIFS('Schedule 4'!$F$89:$F$649,'Schedule 4'!$I$89:$I$649,'Well Cal.'!Y$3,'Schedule 4'!$J$89:$J$649,'Well Cal.'!$E297)</f>
        <v>0</v>
      </c>
      <c r="Z297" s="726">
        <f>SUMIFS('Schedule 4'!$F$89:$F$649,'Schedule 4'!$I$89:$I$649,'Well Cal.'!Z$3,'Schedule 4'!$J$89:$J$649,'Well Cal.'!$E297)</f>
        <v>0</v>
      </c>
      <c r="AA297" s="726"/>
      <c r="AB297" s="1730"/>
      <c r="AC297" s="1730"/>
    </row>
    <row r="298" spans="2:29" x14ac:dyDescent="0.3">
      <c r="B298" s="1724"/>
      <c r="C298" s="1727"/>
      <c r="D298" s="1721"/>
      <c r="E298" s="761" t="s">
        <v>3318</v>
      </c>
      <c r="F298" s="726">
        <f>SUMIFS('Schedule 4'!$F$89:$F$649,'Schedule 4'!$I$89:$I$649,'Well Cal.'!F$3,'Schedule 4'!$J$89:$J$649,'Well Cal.'!$E298)</f>
        <v>0</v>
      </c>
      <c r="G298" s="726">
        <f>SUMIFS('Schedule 4'!$F$89:$F$649,'Schedule 4'!$I$89:$I$649,'Well Cal.'!G$3,'Schedule 4'!$J$89:$J$649,'Well Cal.'!$E298)</f>
        <v>0</v>
      </c>
      <c r="H298" s="726">
        <f>SUMIFS('Schedule 4'!$F$89:$F$649,'Schedule 4'!$I$89:$I$649,'Well Cal.'!H$3,'Schedule 4'!$J$89:$J$649,'Well Cal.'!$E298)</f>
        <v>0</v>
      </c>
      <c r="I298" s="726">
        <f>SUMIFS('Schedule 4'!$F$89:$F$649,'Schedule 4'!$I$89:$I$649,'Well Cal.'!I$3,'Schedule 4'!$J$89:$J$649,'Well Cal.'!$E298)</f>
        <v>0</v>
      </c>
      <c r="J298" s="726">
        <f>SUMIFS('Schedule 4'!$F$89:$F$649,'Schedule 4'!$I$89:$I$649,'Well Cal.'!J$3,'Schedule 4'!$J$89:$J$649,'Well Cal.'!$E298)</f>
        <v>0</v>
      </c>
      <c r="K298" s="726">
        <f>SUMIFS('Schedule 4'!$F$89:$F$649,'Schedule 4'!$I$89:$I$649,'Well Cal.'!K$3,'Schedule 4'!$J$89:$J$649,'Well Cal.'!$E298)</f>
        <v>0</v>
      </c>
      <c r="L298" s="726">
        <f>SUMIFS('Schedule 4'!$F$89:$F$649,'Schedule 4'!$I$89:$I$649,'Well Cal.'!L$3,'Schedule 4'!$J$89:$J$649,'Well Cal.'!$E298)</f>
        <v>0</v>
      </c>
      <c r="M298" s="726">
        <f>SUMIFS('Schedule 4'!$F$89:$F$649,'Schedule 4'!$I$89:$I$649,'Well Cal.'!M$3,'Schedule 4'!$J$89:$J$649,'Well Cal.'!$E298)</f>
        <v>0</v>
      </c>
      <c r="N298" s="726">
        <f>SUMIFS('Schedule 4'!$F$89:$F$649,'Schedule 4'!$I$89:$I$649,'Well Cal.'!N$3,'Schedule 4'!$J$89:$J$649,'Well Cal.'!$E298)</f>
        <v>0</v>
      </c>
      <c r="O298" s="726">
        <f>SUMIFS('Schedule 4'!$F$89:$F$649,'Schedule 4'!$I$89:$I$649,'Well Cal.'!O$3,'Schedule 4'!$J$89:$J$649,'Well Cal.'!$E298)</f>
        <v>0</v>
      </c>
      <c r="P298" s="726">
        <f>SUMIFS('Schedule 4'!$F$89:$F$649,'Schedule 4'!$I$89:$I$649,'Well Cal.'!P$3,'Schedule 4'!$J$89:$J$649,'Well Cal.'!$E298)</f>
        <v>0</v>
      </c>
      <c r="Q298" s="726">
        <f>SUMIFS('Schedule 4'!$F$89:$F$649,'Schedule 4'!$I$89:$I$649,'Well Cal.'!Q$3,'Schedule 4'!$J$89:$J$649,'Well Cal.'!$E298)</f>
        <v>0</v>
      </c>
      <c r="R298" s="726">
        <f>SUMIFS('Schedule 4'!$F$89:$F$649,'Schedule 4'!$I$89:$I$649,'Well Cal.'!R$3,'Schedule 4'!$J$89:$J$649,'Well Cal.'!$E298)</f>
        <v>0</v>
      </c>
      <c r="S298" s="726">
        <f>SUMIFS('Schedule 4'!$F$89:$F$649,'Schedule 4'!$I$89:$I$649,'Well Cal.'!S$3,'Schedule 4'!$J$89:$J$649,'Well Cal.'!$E298)</f>
        <v>0</v>
      </c>
      <c r="T298" s="726">
        <f>SUMIFS('Schedule 4'!$F$89:$F$649,'Schedule 4'!$I$89:$I$649,'Well Cal.'!T$3,'Schedule 4'!$J$89:$J$649,'Well Cal.'!$E298)</f>
        <v>0</v>
      </c>
      <c r="U298" s="726">
        <f>SUMIFS('Schedule 4'!$F$89:$F$649,'Schedule 4'!$I$89:$I$649,'Well Cal.'!U$3,'Schedule 4'!$J$89:$J$649,'Well Cal.'!$E298)</f>
        <v>0</v>
      </c>
      <c r="V298" s="726">
        <f>SUMIFS('Schedule 4'!$F$89:$F$649,'Schedule 4'!$I$89:$I$649,'Well Cal.'!V$3,'Schedule 4'!$J$89:$J$649,'Well Cal.'!$E298)</f>
        <v>0</v>
      </c>
      <c r="W298" s="726">
        <f>SUMIFS('Schedule 4'!$F$89:$F$649,'Schedule 4'!$I$89:$I$649,'Well Cal.'!W$3,'Schedule 4'!$J$89:$J$649,'Well Cal.'!$E298)</f>
        <v>0</v>
      </c>
      <c r="X298" s="726">
        <f>SUMIFS('Schedule 4'!$F$89:$F$649,'Schedule 4'!$I$89:$I$649,'Well Cal.'!X$3,'Schedule 4'!$J$89:$J$649,'Well Cal.'!$E298)</f>
        <v>0</v>
      </c>
      <c r="Y298" s="726">
        <f>SUMIFS('Schedule 4'!$F$89:$F$649,'Schedule 4'!$I$89:$I$649,'Well Cal.'!Y$3,'Schedule 4'!$J$89:$J$649,'Well Cal.'!$E298)</f>
        <v>0</v>
      </c>
      <c r="Z298" s="726">
        <f>SUMIFS('Schedule 4'!$F$89:$F$649,'Schedule 4'!$I$89:$I$649,'Well Cal.'!Z$3,'Schedule 4'!$J$89:$J$649,'Well Cal.'!$E298)</f>
        <v>0</v>
      </c>
      <c r="AA298" s="726"/>
      <c r="AB298" s="1730"/>
      <c r="AC298" s="1730"/>
    </row>
    <row r="299" spans="2:29" x14ac:dyDescent="0.3">
      <c r="B299" s="1724"/>
      <c r="C299" s="1727"/>
      <c r="D299" s="1721"/>
      <c r="E299" s="761" t="s">
        <v>3388</v>
      </c>
      <c r="F299" s="727">
        <f>SUMIFS('Schedule 4'!$F$89:$F$649,'Schedule 4'!$I$89:$I$649,'Well Cal.'!F$3,'Schedule 4'!$J$89:$J$649,'Well Cal.'!$E299)</f>
        <v>0</v>
      </c>
      <c r="G299" s="727">
        <f>SUMIFS('Schedule 4'!$F$89:$F$649,'Schedule 4'!$I$89:$I$649,'Well Cal.'!G$3,'Schedule 4'!$J$89:$J$649,'Well Cal.'!$E299)</f>
        <v>0</v>
      </c>
      <c r="H299" s="727">
        <f>SUMIFS('Schedule 4'!$F$89:$F$649,'Schedule 4'!$I$89:$I$649,'Well Cal.'!H$3,'Schedule 4'!$J$89:$J$649,'Well Cal.'!$E299)</f>
        <v>0</v>
      </c>
      <c r="I299" s="727">
        <f>SUMIFS('Schedule 4'!$F$89:$F$649,'Schedule 4'!$I$89:$I$649,'Well Cal.'!I$3,'Schedule 4'!$J$89:$J$649,'Well Cal.'!$E299)</f>
        <v>0</v>
      </c>
      <c r="J299" s="727">
        <f>SUMIFS('Schedule 4'!$F$89:$F$649,'Schedule 4'!$I$89:$I$649,'Well Cal.'!J$3,'Schedule 4'!$J$89:$J$649,'Well Cal.'!$E299)</f>
        <v>0</v>
      </c>
      <c r="K299" s="727">
        <f>SUMIFS('Schedule 4'!$F$89:$F$649,'Schedule 4'!$I$89:$I$649,'Well Cal.'!K$3,'Schedule 4'!$J$89:$J$649,'Well Cal.'!$E299)</f>
        <v>0</v>
      </c>
      <c r="L299" s="727">
        <f>SUMIFS('Schedule 4'!$F$89:$F$649,'Schedule 4'!$I$89:$I$649,'Well Cal.'!L$3,'Schedule 4'!$J$89:$J$649,'Well Cal.'!$E299)</f>
        <v>0</v>
      </c>
      <c r="M299" s="727">
        <f>SUMIFS('Schedule 4'!$F$89:$F$649,'Schedule 4'!$I$89:$I$649,'Well Cal.'!M$3,'Schedule 4'!$J$89:$J$649,'Well Cal.'!$E299)</f>
        <v>0</v>
      </c>
      <c r="N299" s="727">
        <f>SUMIFS('Schedule 4'!$F$89:$F$649,'Schedule 4'!$I$89:$I$649,'Well Cal.'!N$3,'Schedule 4'!$J$89:$J$649,'Well Cal.'!$E299)</f>
        <v>0</v>
      </c>
      <c r="O299" s="727">
        <f>SUMIFS('Schedule 4'!$F$89:$F$649,'Schedule 4'!$I$89:$I$649,'Well Cal.'!O$3,'Schedule 4'!$J$89:$J$649,'Well Cal.'!$E299)</f>
        <v>0</v>
      </c>
      <c r="P299" s="727">
        <f>SUMIFS('Schedule 4'!$F$89:$F$649,'Schedule 4'!$I$89:$I$649,'Well Cal.'!P$3,'Schedule 4'!$J$89:$J$649,'Well Cal.'!$E299)</f>
        <v>0</v>
      </c>
      <c r="Q299" s="727">
        <f>SUMIFS('Schedule 4'!$F$89:$F$649,'Schedule 4'!$I$89:$I$649,'Well Cal.'!Q$3,'Schedule 4'!$J$89:$J$649,'Well Cal.'!$E299)</f>
        <v>0</v>
      </c>
      <c r="R299" s="727">
        <f>SUMIFS('Schedule 4'!$F$89:$F$649,'Schedule 4'!$I$89:$I$649,'Well Cal.'!R$3,'Schedule 4'!$J$89:$J$649,'Well Cal.'!$E299)</f>
        <v>0</v>
      </c>
      <c r="S299" s="727">
        <f>SUMIFS('Schedule 4'!$F$89:$F$649,'Schedule 4'!$I$89:$I$649,'Well Cal.'!S$3,'Schedule 4'!$J$89:$J$649,'Well Cal.'!$E299)</f>
        <v>0</v>
      </c>
      <c r="T299" s="727">
        <f>SUMIFS('Schedule 4'!$F$89:$F$649,'Schedule 4'!$I$89:$I$649,'Well Cal.'!T$3,'Schedule 4'!$J$89:$J$649,'Well Cal.'!$E299)</f>
        <v>0</v>
      </c>
      <c r="U299" s="727">
        <f>SUMIFS('Schedule 4'!$F$89:$F$649,'Schedule 4'!$I$89:$I$649,'Well Cal.'!U$3,'Schedule 4'!$J$89:$J$649,'Well Cal.'!$E299)</f>
        <v>0</v>
      </c>
      <c r="V299" s="727">
        <f>SUMIFS('Schedule 4'!$F$89:$F$649,'Schedule 4'!$I$89:$I$649,'Well Cal.'!V$3,'Schedule 4'!$J$89:$J$649,'Well Cal.'!$E299)</f>
        <v>0</v>
      </c>
      <c r="W299" s="727">
        <f>SUMIFS('Schedule 4'!$F$89:$F$649,'Schedule 4'!$I$89:$I$649,'Well Cal.'!W$3,'Schedule 4'!$J$89:$J$649,'Well Cal.'!$E299)</f>
        <v>0</v>
      </c>
      <c r="X299" s="727">
        <f>SUMIFS('Schedule 4'!$F$89:$F$649,'Schedule 4'!$I$89:$I$649,'Well Cal.'!X$3,'Schedule 4'!$J$89:$J$649,'Well Cal.'!$E299)</f>
        <v>0</v>
      </c>
      <c r="Y299" s="727">
        <f>SUMIFS('Schedule 4'!$F$89:$F$649,'Schedule 4'!$I$89:$I$649,'Well Cal.'!Y$3,'Schedule 4'!$J$89:$J$649,'Well Cal.'!$E299)</f>
        <v>0</v>
      </c>
      <c r="Z299" s="727">
        <f>SUMIFS('Schedule 4'!$F$89:$F$649,'Schedule 4'!$I$89:$I$649,'Well Cal.'!Z$3,'Schedule 4'!$J$89:$J$649,'Well Cal.'!$E299)</f>
        <v>0</v>
      </c>
      <c r="AA299" s="727"/>
      <c r="AB299" s="1730"/>
      <c r="AC299" s="1730"/>
    </row>
    <row r="300" spans="2:29" x14ac:dyDescent="0.3">
      <c r="B300" s="1724"/>
      <c r="C300" s="1727"/>
      <c r="D300" s="1721"/>
      <c r="E300" s="775" t="s">
        <v>3481</v>
      </c>
      <c r="F300" s="727">
        <f>SUMIFS('Schedule 4'!$F$89:$F$649,'Schedule 4'!$I$89:$I$649,'Well Cal.'!F$3,'Schedule 4'!$J$89:$J$649,'Well Cal.'!$E300)</f>
        <v>0</v>
      </c>
      <c r="G300" s="727">
        <f>SUMIFS('Schedule 4'!$F$89:$F$649,'Schedule 4'!$I$89:$I$649,'Well Cal.'!G$3,'Schedule 4'!$J$89:$J$649,'Well Cal.'!$E300)</f>
        <v>0</v>
      </c>
      <c r="H300" s="727">
        <f>SUMIFS('Schedule 4'!$F$89:$F$649,'Schedule 4'!$I$89:$I$649,'Well Cal.'!H$3,'Schedule 4'!$J$89:$J$649,'Well Cal.'!$E300)</f>
        <v>0</v>
      </c>
      <c r="I300" s="727">
        <f>SUMIFS('Schedule 4'!$F$89:$F$649,'Schedule 4'!$I$89:$I$649,'Well Cal.'!I$3,'Schedule 4'!$J$89:$J$649,'Well Cal.'!$E300)</f>
        <v>0</v>
      </c>
      <c r="J300" s="727">
        <f>SUMIFS('Schedule 4'!$F$89:$F$649,'Schedule 4'!$I$89:$I$649,'Well Cal.'!J$3,'Schedule 4'!$J$89:$J$649,'Well Cal.'!$E300)</f>
        <v>0</v>
      </c>
      <c r="K300" s="727">
        <f>SUMIFS('Schedule 4'!$F$89:$F$649,'Schedule 4'!$I$89:$I$649,'Well Cal.'!K$3,'Schedule 4'!$J$89:$J$649,'Well Cal.'!$E300)</f>
        <v>0</v>
      </c>
      <c r="L300" s="727">
        <f>SUMIFS('Schedule 4'!$F$89:$F$649,'Schedule 4'!$I$89:$I$649,'Well Cal.'!L$3,'Schedule 4'!$J$89:$J$649,'Well Cal.'!$E300)</f>
        <v>0</v>
      </c>
      <c r="M300" s="727">
        <f>SUMIFS('Schedule 4'!$F$89:$F$649,'Schedule 4'!$I$89:$I$649,'Well Cal.'!M$3,'Schedule 4'!$J$89:$J$649,'Well Cal.'!$E300)</f>
        <v>0</v>
      </c>
      <c r="N300" s="727">
        <f>SUMIFS('Schedule 4'!$F$89:$F$649,'Schedule 4'!$I$89:$I$649,'Well Cal.'!N$3,'Schedule 4'!$J$89:$J$649,'Well Cal.'!$E300)</f>
        <v>0</v>
      </c>
      <c r="O300" s="727">
        <f>SUMIFS('Schedule 4'!$F$89:$F$649,'Schedule 4'!$I$89:$I$649,'Well Cal.'!O$3,'Schedule 4'!$J$89:$J$649,'Well Cal.'!$E300)</f>
        <v>0</v>
      </c>
      <c r="P300" s="727">
        <f>SUMIFS('Schedule 4'!$F$89:$F$649,'Schedule 4'!$I$89:$I$649,'Well Cal.'!P$3,'Schedule 4'!$J$89:$J$649,'Well Cal.'!$E300)</f>
        <v>0</v>
      </c>
      <c r="Q300" s="727">
        <f>SUMIFS('Schedule 4'!$F$89:$F$649,'Schedule 4'!$I$89:$I$649,'Well Cal.'!Q$3,'Schedule 4'!$J$89:$J$649,'Well Cal.'!$E300)</f>
        <v>0</v>
      </c>
      <c r="R300" s="727">
        <f>SUMIFS('Schedule 4'!$F$89:$F$649,'Schedule 4'!$I$89:$I$649,'Well Cal.'!R$3,'Schedule 4'!$J$89:$J$649,'Well Cal.'!$E300)</f>
        <v>0</v>
      </c>
      <c r="S300" s="727">
        <f>SUMIFS('Schedule 4'!$F$89:$F$649,'Schedule 4'!$I$89:$I$649,'Well Cal.'!S$3,'Schedule 4'!$J$89:$J$649,'Well Cal.'!$E300)</f>
        <v>0</v>
      </c>
      <c r="T300" s="727">
        <f>SUMIFS('Schedule 4'!$F$89:$F$649,'Schedule 4'!$I$89:$I$649,'Well Cal.'!T$3,'Schedule 4'!$J$89:$J$649,'Well Cal.'!$E300)</f>
        <v>0</v>
      </c>
      <c r="U300" s="727">
        <f>SUMIFS('Schedule 4'!$F$89:$F$649,'Schedule 4'!$I$89:$I$649,'Well Cal.'!U$3,'Schedule 4'!$J$89:$J$649,'Well Cal.'!$E300)</f>
        <v>0</v>
      </c>
      <c r="V300" s="727">
        <f>SUMIFS('Schedule 4'!$F$89:$F$649,'Schedule 4'!$I$89:$I$649,'Well Cal.'!V$3,'Schedule 4'!$J$89:$J$649,'Well Cal.'!$E300)</f>
        <v>0</v>
      </c>
      <c r="W300" s="727">
        <f>SUMIFS('Schedule 4'!$F$89:$F$649,'Schedule 4'!$I$89:$I$649,'Well Cal.'!W$3,'Schedule 4'!$J$89:$J$649,'Well Cal.'!$E300)</f>
        <v>0</v>
      </c>
      <c r="X300" s="727">
        <f>SUMIFS('Schedule 4'!$F$89:$F$649,'Schedule 4'!$I$89:$I$649,'Well Cal.'!X$3,'Schedule 4'!$J$89:$J$649,'Well Cal.'!$E300)</f>
        <v>0</v>
      </c>
      <c r="Y300" s="727">
        <f>SUMIFS('Schedule 4'!$F$89:$F$649,'Schedule 4'!$I$89:$I$649,'Well Cal.'!Y$3,'Schedule 4'!$J$89:$J$649,'Well Cal.'!$E300)</f>
        <v>0</v>
      </c>
      <c r="Z300" s="727">
        <f>SUMIFS('Schedule 4'!$F$89:$F$649,'Schedule 4'!$I$89:$I$649,'Well Cal.'!Z$3,'Schedule 4'!$J$89:$J$649,'Well Cal.'!$E300)</f>
        <v>0</v>
      </c>
      <c r="AA300" s="727"/>
      <c r="AB300" s="1730"/>
      <c r="AC300" s="1730"/>
    </row>
    <row r="301" spans="2:29" x14ac:dyDescent="0.3">
      <c r="B301" s="1724"/>
      <c r="C301" s="1727"/>
      <c r="D301" s="1721"/>
      <c r="E301" s="775" t="s">
        <v>3547</v>
      </c>
      <c r="F301" s="727">
        <f>SUMIFS('Schedule 4'!$F$89:$F$649,'Schedule 4'!$I$89:$I$649,'Well Cal.'!F$3,'Schedule 4'!$J$89:$J$649,'Well Cal.'!$E301)</f>
        <v>0</v>
      </c>
      <c r="G301" s="727">
        <f>SUMIFS('Schedule 4'!$F$89:$F$649,'Schedule 4'!$I$89:$I$649,'Well Cal.'!G$3,'Schedule 4'!$J$89:$J$649,'Well Cal.'!$E301)</f>
        <v>0</v>
      </c>
      <c r="H301" s="727">
        <f>SUMIFS('Schedule 4'!$F$89:$F$649,'Schedule 4'!$I$89:$I$649,'Well Cal.'!H$3,'Schedule 4'!$J$89:$J$649,'Well Cal.'!$E301)</f>
        <v>0</v>
      </c>
      <c r="I301" s="727">
        <f>SUMIFS('Schedule 4'!$F$89:$F$649,'Schedule 4'!$I$89:$I$649,'Well Cal.'!I$3,'Schedule 4'!$J$89:$J$649,'Well Cal.'!$E301)</f>
        <v>0</v>
      </c>
      <c r="J301" s="727">
        <f>SUMIFS('Schedule 4'!$F$89:$F$649,'Schedule 4'!$I$89:$I$649,'Well Cal.'!J$3,'Schedule 4'!$J$89:$J$649,'Well Cal.'!$E301)</f>
        <v>0</v>
      </c>
      <c r="K301" s="727">
        <f>SUMIFS('Schedule 4'!$F$89:$F$649,'Schedule 4'!$I$89:$I$649,'Well Cal.'!K$3,'Schedule 4'!$J$89:$J$649,'Well Cal.'!$E301)</f>
        <v>0</v>
      </c>
      <c r="L301" s="727">
        <f>SUMIFS('Schedule 4'!$F$89:$F$649,'Schedule 4'!$I$89:$I$649,'Well Cal.'!L$3,'Schedule 4'!$J$89:$J$649,'Well Cal.'!$E301)</f>
        <v>0</v>
      </c>
      <c r="M301" s="727">
        <f>SUMIFS('Schedule 4'!$F$89:$F$649,'Schedule 4'!$I$89:$I$649,'Well Cal.'!M$3,'Schedule 4'!$J$89:$J$649,'Well Cal.'!$E301)</f>
        <v>0</v>
      </c>
      <c r="N301" s="727">
        <f>SUMIFS('Schedule 4'!$F$89:$F$649,'Schedule 4'!$I$89:$I$649,'Well Cal.'!N$3,'Schedule 4'!$J$89:$J$649,'Well Cal.'!$E301)</f>
        <v>0</v>
      </c>
      <c r="O301" s="727">
        <f>SUMIFS('Schedule 4'!$F$89:$F$649,'Schedule 4'!$I$89:$I$649,'Well Cal.'!O$3,'Schedule 4'!$J$89:$J$649,'Well Cal.'!$E301)</f>
        <v>0</v>
      </c>
      <c r="P301" s="727">
        <f>SUMIFS('Schedule 4'!$F$89:$F$649,'Schedule 4'!$I$89:$I$649,'Well Cal.'!P$3,'Schedule 4'!$J$89:$J$649,'Well Cal.'!$E301)</f>
        <v>0</v>
      </c>
      <c r="Q301" s="727">
        <f>SUMIFS('Schedule 4'!$F$89:$F$649,'Schedule 4'!$I$89:$I$649,'Well Cal.'!Q$3,'Schedule 4'!$J$89:$J$649,'Well Cal.'!$E301)</f>
        <v>0</v>
      </c>
      <c r="R301" s="727">
        <f>SUMIFS('Schedule 4'!$F$89:$F$649,'Schedule 4'!$I$89:$I$649,'Well Cal.'!R$3,'Schedule 4'!$J$89:$J$649,'Well Cal.'!$E301)</f>
        <v>0</v>
      </c>
      <c r="S301" s="727">
        <f>SUMIFS('Schedule 4'!$F$89:$F$649,'Schedule 4'!$I$89:$I$649,'Well Cal.'!S$3,'Schedule 4'!$J$89:$J$649,'Well Cal.'!$E301)</f>
        <v>0</v>
      </c>
      <c r="T301" s="727">
        <f>SUMIFS('Schedule 4'!$F$89:$F$649,'Schedule 4'!$I$89:$I$649,'Well Cal.'!T$3,'Schedule 4'!$J$89:$J$649,'Well Cal.'!$E301)</f>
        <v>0</v>
      </c>
      <c r="U301" s="727">
        <f>SUMIFS('Schedule 4'!$F$89:$F$649,'Schedule 4'!$I$89:$I$649,'Well Cal.'!U$3,'Schedule 4'!$J$89:$J$649,'Well Cal.'!$E301)</f>
        <v>0</v>
      </c>
      <c r="V301" s="727">
        <f>SUMIFS('Schedule 4'!$F$89:$F$649,'Schedule 4'!$I$89:$I$649,'Well Cal.'!V$3,'Schedule 4'!$J$89:$J$649,'Well Cal.'!$E301)</f>
        <v>0</v>
      </c>
      <c r="W301" s="727">
        <f>SUMIFS('Schedule 4'!$F$89:$F$649,'Schedule 4'!$I$89:$I$649,'Well Cal.'!W$3,'Schedule 4'!$J$89:$J$649,'Well Cal.'!$E301)</f>
        <v>0</v>
      </c>
      <c r="X301" s="727">
        <f>SUMIFS('Schedule 4'!$F$89:$F$649,'Schedule 4'!$I$89:$I$649,'Well Cal.'!X$3,'Schedule 4'!$J$89:$J$649,'Well Cal.'!$E301)</f>
        <v>0</v>
      </c>
      <c r="Y301" s="727">
        <f>SUMIFS('Schedule 4'!$F$89:$F$649,'Schedule 4'!$I$89:$I$649,'Well Cal.'!Y$3,'Schedule 4'!$J$89:$J$649,'Well Cal.'!$E301)</f>
        <v>0</v>
      </c>
      <c r="Z301" s="727">
        <f>SUMIFS('Schedule 4'!$F$89:$F$649,'Schedule 4'!$I$89:$I$649,'Well Cal.'!Z$3,'Schedule 4'!$J$89:$J$649,'Well Cal.'!$E301)</f>
        <v>0</v>
      </c>
      <c r="AA301" s="727"/>
      <c r="AB301" s="1730"/>
      <c r="AC301" s="1730"/>
    </row>
    <row r="302" spans="2:29" x14ac:dyDescent="0.3">
      <c r="B302" s="1724"/>
      <c r="C302" s="1727"/>
      <c r="D302" s="1721"/>
      <c r="E302" s="775" t="s">
        <v>3613</v>
      </c>
      <c r="F302" s="727">
        <f>SUMIFS('Schedule 4'!$F$89:$F$649,'Schedule 4'!$I$89:$I$649,'Well Cal.'!F$3,'Schedule 4'!$J$89:$J$649,'Well Cal.'!$E302)</f>
        <v>0</v>
      </c>
      <c r="G302" s="727">
        <f>SUMIFS('Schedule 4'!$F$89:$F$649,'Schedule 4'!$I$89:$I$649,'Well Cal.'!G$3,'Schedule 4'!$J$89:$J$649,'Well Cal.'!$E302)</f>
        <v>0</v>
      </c>
      <c r="H302" s="727">
        <f>SUMIFS('Schedule 4'!$F$89:$F$649,'Schedule 4'!$I$89:$I$649,'Well Cal.'!H$3,'Schedule 4'!$J$89:$J$649,'Well Cal.'!$E302)</f>
        <v>0</v>
      </c>
      <c r="I302" s="727">
        <f>SUMIFS('Schedule 4'!$F$89:$F$649,'Schedule 4'!$I$89:$I$649,'Well Cal.'!I$3,'Schedule 4'!$J$89:$J$649,'Well Cal.'!$E302)</f>
        <v>0</v>
      </c>
      <c r="J302" s="727">
        <f>SUMIFS('Schedule 4'!$F$89:$F$649,'Schedule 4'!$I$89:$I$649,'Well Cal.'!J$3,'Schedule 4'!$J$89:$J$649,'Well Cal.'!$E302)</f>
        <v>0</v>
      </c>
      <c r="K302" s="727">
        <f>SUMIFS('Schedule 4'!$F$89:$F$649,'Schedule 4'!$I$89:$I$649,'Well Cal.'!K$3,'Schedule 4'!$J$89:$J$649,'Well Cal.'!$E302)</f>
        <v>0</v>
      </c>
      <c r="L302" s="727">
        <f>SUMIFS('Schedule 4'!$F$89:$F$649,'Schedule 4'!$I$89:$I$649,'Well Cal.'!L$3,'Schedule 4'!$J$89:$J$649,'Well Cal.'!$E302)</f>
        <v>0</v>
      </c>
      <c r="M302" s="727">
        <f>SUMIFS('Schedule 4'!$F$89:$F$649,'Schedule 4'!$I$89:$I$649,'Well Cal.'!M$3,'Schedule 4'!$J$89:$J$649,'Well Cal.'!$E302)</f>
        <v>0</v>
      </c>
      <c r="N302" s="727">
        <f>SUMIFS('Schedule 4'!$F$89:$F$649,'Schedule 4'!$I$89:$I$649,'Well Cal.'!N$3,'Schedule 4'!$J$89:$J$649,'Well Cal.'!$E302)</f>
        <v>0</v>
      </c>
      <c r="O302" s="727">
        <f>SUMIFS('Schedule 4'!$F$89:$F$649,'Schedule 4'!$I$89:$I$649,'Well Cal.'!O$3,'Schedule 4'!$J$89:$J$649,'Well Cal.'!$E302)</f>
        <v>0</v>
      </c>
      <c r="P302" s="727">
        <f>SUMIFS('Schedule 4'!$F$89:$F$649,'Schedule 4'!$I$89:$I$649,'Well Cal.'!P$3,'Schedule 4'!$J$89:$J$649,'Well Cal.'!$E302)</f>
        <v>0</v>
      </c>
      <c r="Q302" s="727">
        <f>SUMIFS('Schedule 4'!$F$89:$F$649,'Schedule 4'!$I$89:$I$649,'Well Cal.'!Q$3,'Schedule 4'!$J$89:$J$649,'Well Cal.'!$E302)</f>
        <v>0</v>
      </c>
      <c r="R302" s="727">
        <f>SUMIFS('Schedule 4'!$F$89:$F$649,'Schedule 4'!$I$89:$I$649,'Well Cal.'!R$3,'Schedule 4'!$J$89:$J$649,'Well Cal.'!$E302)</f>
        <v>0</v>
      </c>
      <c r="S302" s="727">
        <f>SUMIFS('Schedule 4'!$F$89:$F$649,'Schedule 4'!$I$89:$I$649,'Well Cal.'!S$3,'Schedule 4'!$J$89:$J$649,'Well Cal.'!$E302)</f>
        <v>0</v>
      </c>
      <c r="T302" s="727">
        <f>SUMIFS('Schedule 4'!$F$89:$F$649,'Schedule 4'!$I$89:$I$649,'Well Cal.'!T$3,'Schedule 4'!$J$89:$J$649,'Well Cal.'!$E302)</f>
        <v>0</v>
      </c>
      <c r="U302" s="727">
        <f>SUMIFS('Schedule 4'!$F$89:$F$649,'Schedule 4'!$I$89:$I$649,'Well Cal.'!U$3,'Schedule 4'!$J$89:$J$649,'Well Cal.'!$E302)</f>
        <v>0</v>
      </c>
      <c r="V302" s="727">
        <f>SUMIFS('Schedule 4'!$F$89:$F$649,'Schedule 4'!$I$89:$I$649,'Well Cal.'!V$3,'Schedule 4'!$J$89:$J$649,'Well Cal.'!$E302)</f>
        <v>0</v>
      </c>
      <c r="W302" s="727">
        <f>SUMIFS('Schedule 4'!$F$89:$F$649,'Schedule 4'!$I$89:$I$649,'Well Cal.'!W$3,'Schedule 4'!$J$89:$J$649,'Well Cal.'!$E302)</f>
        <v>0</v>
      </c>
      <c r="X302" s="727">
        <f>SUMIFS('Schedule 4'!$F$89:$F$649,'Schedule 4'!$I$89:$I$649,'Well Cal.'!X$3,'Schedule 4'!$J$89:$J$649,'Well Cal.'!$E302)</f>
        <v>0</v>
      </c>
      <c r="Y302" s="727">
        <f>SUMIFS('Schedule 4'!$F$89:$F$649,'Schedule 4'!$I$89:$I$649,'Well Cal.'!Y$3,'Schedule 4'!$J$89:$J$649,'Well Cal.'!$E302)</f>
        <v>0</v>
      </c>
      <c r="Z302" s="727">
        <f>SUMIFS('Schedule 4'!$F$89:$F$649,'Schedule 4'!$I$89:$I$649,'Well Cal.'!Z$3,'Schedule 4'!$J$89:$J$649,'Well Cal.'!$E302)</f>
        <v>0</v>
      </c>
      <c r="AA302" s="727"/>
      <c r="AB302" s="1730"/>
      <c r="AC302" s="1730"/>
    </row>
    <row r="303" spans="2:29" x14ac:dyDescent="0.3">
      <c r="B303" s="1724"/>
      <c r="C303" s="1727"/>
      <c r="D303" s="1721"/>
      <c r="E303" s="775" t="s">
        <v>3690</v>
      </c>
      <c r="F303" s="727">
        <f>SUMIFS('Schedule 4'!$F$89:$F$649,'Schedule 4'!$I$89:$I$649,'Well Cal.'!F$3,'Schedule 4'!$J$89:$J$649,'Well Cal.'!$E303)</f>
        <v>0</v>
      </c>
      <c r="G303" s="727">
        <f>SUMIFS('Schedule 4'!$F$89:$F$649,'Schedule 4'!$I$89:$I$649,'Well Cal.'!G$3,'Schedule 4'!$J$89:$J$649,'Well Cal.'!$E303)</f>
        <v>0</v>
      </c>
      <c r="H303" s="727">
        <f>SUMIFS('Schedule 4'!$F$89:$F$649,'Schedule 4'!$I$89:$I$649,'Well Cal.'!H$3,'Schedule 4'!$J$89:$J$649,'Well Cal.'!$E303)</f>
        <v>0</v>
      </c>
      <c r="I303" s="727">
        <f>SUMIFS('Schedule 4'!$F$89:$F$649,'Schedule 4'!$I$89:$I$649,'Well Cal.'!I$3,'Schedule 4'!$J$89:$J$649,'Well Cal.'!$E303)</f>
        <v>0</v>
      </c>
      <c r="J303" s="727">
        <f>SUMIFS('Schedule 4'!$F$89:$F$649,'Schedule 4'!$I$89:$I$649,'Well Cal.'!J$3,'Schedule 4'!$J$89:$J$649,'Well Cal.'!$E303)</f>
        <v>0</v>
      </c>
      <c r="K303" s="727">
        <f>SUMIFS('Schedule 4'!$F$89:$F$649,'Schedule 4'!$I$89:$I$649,'Well Cal.'!K$3,'Schedule 4'!$J$89:$J$649,'Well Cal.'!$E303)</f>
        <v>0</v>
      </c>
      <c r="L303" s="727">
        <f>SUMIFS('Schedule 4'!$F$89:$F$649,'Schedule 4'!$I$89:$I$649,'Well Cal.'!L$3,'Schedule 4'!$J$89:$J$649,'Well Cal.'!$E303)</f>
        <v>0</v>
      </c>
      <c r="M303" s="727">
        <f>SUMIFS('Schedule 4'!$F$89:$F$649,'Schedule 4'!$I$89:$I$649,'Well Cal.'!M$3,'Schedule 4'!$J$89:$J$649,'Well Cal.'!$E303)</f>
        <v>0</v>
      </c>
      <c r="N303" s="727">
        <f>SUMIFS('Schedule 4'!$F$89:$F$649,'Schedule 4'!$I$89:$I$649,'Well Cal.'!N$3,'Schedule 4'!$J$89:$J$649,'Well Cal.'!$E303)</f>
        <v>0</v>
      </c>
      <c r="O303" s="727">
        <f>SUMIFS('Schedule 4'!$F$89:$F$649,'Schedule 4'!$I$89:$I$649,'Well Cal.'!O$3,'Schedule 4'!$J$89:$J$649,'Well Cal.'!$E303)</f>
        <v>0</v>
      </c>
      <c r="P303" s="727">
        <f>SUMIFS('Schedule 4'!$F$89:$F$649,'Schedule 4'!$I$89:$I$649,'Well Cal.'!P$3,'Schedule 4'!$J$89:$J$649,'Well Cal.'!$E303)</f>
        <v>0</v>
      </c>
      <c r="Q303" s="727">
        <f>SUMIFS('Schedule 4'!$F$89:$F$649,'Schedule 4'!$I$89:$I$649,'Well Cal.'!Q$3,'Schedule 4'!$J$89:$J$649,'Well Cal.'!$E303)</f>
        <v>0</v>
      </c>
      <c r="R303" s="727">
        <f>SUMIFS('Schedule 4'!$F$89:$F$649,'Schedule 4'!$I$89:$I$649,'Well Cal.'!R$3,'Schedule 4'!$J$89:$J$649,'Well Cal.'!$E303)</f>
        <v>0</v>
      </c>
      <c r="S303" s="727">
        <f>SUMIFS('Schedule 4'!$F$89:$F$649,'Schedule 4'!$I$89:$I$649,'Well Cal.'!S$3,'Schedule 4'!$J$89:$J$649,'Well Cal.'!$E303)</f>
        <v>0</v>
      </c>
      <c r="T303" s="727">
        <f>SUMIFS('Schedule 4'!$F$89:$F$649,'Schedule 4'!$I$89:$I$649,'Well Cal.'!T$3,'Schedule 4'!$J$89:$J$649,'Well Cal.'!$E303)</f>
        <v>0</v>
      </c>
      <c r="U303" s="727">
        <f>SUMIFS('Schedule 4'!$F$89:$F$649,'Schedule 4'!$I$89:$I$649,'Well Cal.'!U$3,'Schedule 4'!$J$89:$J$649,'Well Cal.'!$E303)</f>
        <v>0</v>
      </c>
      <c r="V303" s="727">
        <f>SUMIFS('Schedule 4'!$F$89:$F$649,'Schedule 4'!$I$89:$I$649,'Well Cal.'!V$3,'Schedule 4'!$J$89:$J$649,'Well Cal.'!$E303)</f>
        <v>0</v>
      </c>
      <c r="W303" s="727">
        <f>SUMIFS('Schedule 4'!$F$89:$F$649,'Schedule 4'!$I$89:$I$649,'Well Cal.'!W$3,'Schedule 4'!$J$89:$J$649,'Well Cal.'!$E303)</f>
        <v>0</v>
      </c>
      <c r="X303" s="727">
        <f>SUMIFS('Schedule 4'!$F$89:$F$649,'Schedule 4'!$I$89:$I$649,'Well Cal.'!X$3,'Schedule 4'!$J$89:$J$649,'Well Cal.'!$E303)</f>
        <v>0</v>
      </c>
      <c r="Y303" s="727">
        <f>SUMIFS('Schedule 4'!$F$89:$F$649,'Schedule 4'!$I$89:$I$649,'Well Cal.'!Y$3,'Schedule 4'!$J$89:$J$649,'Well Cal.'!$E303)</f>
        <v>0</v>
      </c>
      <c r="Z303" s="727">
        <f>SUMIFS('Schedule 4'!$F$89:$F$649,'Schedule 4'!$I$89:$I$649,'Well Cal.'!Z$3,'Schedule 4'!$J$89:$J$649,'Well Cal.'!$E303)</f>
        <v>0</v>
      </c>
      <c r="AA303" s="727"/>
      <c r="AB303" s="1731"/>
      <c r="AC303" s="1731"/>
    </row>
    <row r="304" spans="2:29" x14ac:dyDescent="0.3">
      <c r="B304" s="1724"/>
      <c r="C304" s="1727"/>
      <c r="D304" s="1721"/>
      <c r="E304" s="775" t="s">
        <v>3766</v>
      </c>
      <c r="F304" s="727">
        <f>SUMIFS('Schedule 4'!$F$89:$F$649,'Schedule 4'!$I$89:$I$649,'Well Cal.'!F$3,'Schedule 4'!$J$89:$J$649,'Well Cal.'!$E304)</f>
        <v>0</v>
      </c>
      <c r="G304" s="727">
        <f>SUMIFS('Schedule 4'!$F$89:$F$649,'Schedule 4'!$I$89:$I$649,'Well Cal.'!G$3,'Schedule 4'!$J$89:$J$649,'Well Cal.'!$E304)</f>
        <v>0</v>
      </c>
      <c r="H304" s="727">
        <f>SUMIFS('Schedule 4'!$F$89:$F$649,'Schedule 4'!$I$89:$I$649,'Well Cal.'!H$3,'Schedule 4'!$J$89:$J$649,'Well Cal.'!$E304)</f>
        <v>0</v>
      </c>
      <c r="I304" s="727">
        <f>SUMIFS('Schedule 4'!$F$89:$F$649,'Schedule 4'!$I$89:$I$649,'Well Cal.'!I$3,'Schedule 4'!$J$89:$J$649,'Well Cal.'!$E304)</f>
        <v>0</v>
      </c>
      <c r="J304" s="727">
        <f>SUMIFS('Schedule 4'!$F$89:$F$649,'Schedule 4'!$I$89:$I$649,'Well Cal.'!J$3,'Schedule 4'!$J$89:$J$649,'Well Cal.'!$E304)</f>
        <v>0</v>
      </c>
      <c r="K304" s="727">
        <f>SUMIFS('Schedule 4'!$F$89:$F$649,'Schedule 4'!$I$89:$I$649,'Well Cal.'!K$3,'Schedule 4'!$J$89:$J$649,'Well Cal.'!$E304)</f>
        <v>0</v>
      </c>
      <c r="L304" s="727">
        <f>SUMIFS('Schedule 4'!$F$89:$F$649,'Schedule 4'!$I$89:$I$649,'Well Cal.'!L$3,'Schedule 4'!$J$89:$J$649,'Well Cal.'!$E304)</f>
        <v>0</v>
      </c>
      <c r="M304" s="727">
        <f>SUMIFS('Schedule 4'!$F$89:$F$649,'Schedule 4'!$I$89:$I$649,'Well Cal.'!M$3,'Schedule 4'!$J$89:$J$649,'Well Cal.'!$E304)</f>
        <v>0</v>
      </c>
      <c r="N304" s="727">
        <f>SUMIFS('Schedule 4'!$F$89:$F$649,'Schedule 4'!$I$89:$I$649,'Well Cal.'!N$3,'Schedule 4'!$J$89:$J$649,'Well Cal.'!$E304)</f>
        <v>0</v>
      </c>
      <c r="O304" s="727">
        <f>SUMIFS('Schedule 4'!$F$89:$F$649,'Schedule 4'!$I$89:$I$649,'Well Cal.'!O$3,'Schedule 4'!$J$89:$J$649,'Well Cal.'!$E304)</f>
        <v>0</v>
      </c>
      <c r="P304" s="727">
        <f>SUMIFS('Schedule 4'!$F$89:$F$649,'Schedule 4'!$I$89:$I$649,'Well Cal.'!P$3,'Schedule 4'!$J$89:$J$649,'Well Cal.'!$E304)</f>
        <v>0</v>
      </c>
      <c r="Q304" s="727">
        <f>SUMIFS('Schedule 4'!$F$89:$F$649,'Schedule 4'!$I$89:$I$649,'Well Cal.'!Q$3,'Schedule 4'!$J$89:$J$649,'Well Cal.'!$E304)</f>
        <v>0</v>
      </c>
      <c r="R304" s="727">
        <f>SUMIFS('Schedule 4'!$F$89:$F$649,'Schedule 4'!$I$89:$I$649,'Well Cal.'!R$3,'Schedule 4'!$J$89:$J$649,'Well Cal.'!$E304)</f>
        <v>0</v>
      </c>
      <c r="S304" s="727">
        <f>SUMIFS('Schedule 4'!$F$89:$F$649,'Schedule 4'!$I$89:$I$649,'Well Cal.'!S$3,'Schedule 4'!$J$89:$J$649,'Well Cal.'!$E304)</f>
        <v>0</v>
      </c>
      <c r="T304" s="727">
        <f>SUMIFS('Schedule 4'!$F$89:$F$649,'Schedule 4'!$I$89:$I$649,'Well Cal.'!T$3,'Schedule 4'!$J$89:$J$649,'Well Cal.'!$E304)</f>
        <v>0</v>
      </c>
      <c r="U304" s="727">
        <f>SUMIFS('Schedule 4'!$F$89:$F$649,'Schedule 4'!$I$89:$I$649,'Well Cal.'!U$3,'Schedule 4'!$J$89:$J$649,'Well Cal.'!$E304)</f>
        <v>0</v>
      </c>
      <c r="V304" s="727">
        <f>SUMIFS('Schedule 4'!$F$89:$F$649,'Schedule 4'!$I$89:$I$649,'Well Cal.'!V$3,'Schedule 4'!$J$89:$J$649,'Well Cal.'!$E304)</f>
        <v>0</v>
      </c>
      <c r="W304" s="727">
        <f>SUMIFS('Schedule 4'!$F$89:$F$649,'Schedule 4'!$I$89:$I$649,'Well Cal.'!W$3,'Schedule 4'!$J$89:$J$649,'Well Cal.'!$E304)</f>
        <v>0</v>
      </c>
      <c r="X304" s="727">
        <f>SUMIFS('Schedule 4'!$F$89:$F$649,'Schedule 4'!$I$89:$I$649,'Well Cal.'!X$3,'Schedule 4'!$J$89:$J$649,'Well Cal.'!$E304)</f>
        <v>0</v>
      </c>
      <c r="Y304" s="727">
        <f>SUMIFS('Schedule 4'!$F$89:$F$649,'Schedule 4'!$I$89:$I$649,'Well Cal.'!Y$3,'Schedule 4'!$J$89:$J$649,'Well Cal.'!$E304)</f>
        <v>0</v>
      </c>
      <c r="Z304" s="727">
        <f>SUMIFS('Schedule 4'!$F$89:$F$649,'Schedule 4'!$I$89:$I$649,'Well Cal.'!Z$3,'Schedule 4'!$J$89:$J$649,'Well Cal.'!$E304)</f>
        <v>0</v>
      </c>
      <c r="AA304" s="727"/>
      <c r="AB304" s="1731"/>
      <c r="AC304" s="1731"/>
    </row>
    <row r="305" spans="2:31" x14ac:dyDescent="0.3">
      <c r="B305" s="1724"/>
      <c r="C305" s="1727"/>
      <c r="D305" s="1721"/>
      <c r="E305" s="775" t="s">
        <v>3837</v>
      </c>
      <c r="F305" s="727">
        <f>SUMIFS('Schedule 4'!$F$89:$F$649,'Schedule 4'!$I$89:$I$649,'Well Cal.'!F$3,'Schedule 4'!$J$89:$J$649,'Well Cal.'!$E305)</f>
        <v>0</v>
      </c>
      <c r="G305" s="727">
        <f>SUMIFS('Schedule 4'!$F$89:$F$649,'Schedule 4'!$I$89:$I$649,'Well Cal.'!G$3,'Schedule 4'!$J$89:$J$649,'Well Cal.'!$E305)</f>
        <v>0</v>
      </c>
      <c r="H305" s="727">
        <f>SUMIFS('Schedule 4'!$F$89:$F$649,'Schedule 4'!$I$89:$I$649,'Well Cal.'!H$3,'Schedule 4'!$J$89:$J$649,'Well Cal.'!$E305)</f>
        <v>0</v>
      </c>
      <c r="I305" s="727">
        <f>SUMIFS('Schedule 4'!$F$89:$F$649,'Schedule 4'!$I$89:$I$649,'Well Cal.'!I$3,'Schedule 4'!$J$89:$J$649,'Well Cal.'!$E305)</f>
        <v>0</v>
      </c>
      <c r="J305" s="727">
        <f>SUMIFS('Schedule 4'!$F$89:$F$649,'Schedule 4'!$I$89:$I$649,'Well Cal.'!J$3,'Schedule 4'!$J$89:$J$649,'Well Cal.'!$E305)</f>
        <v>0</v>
      </c>
      <c r="K305" s="727">
        <f>SUMIFS('Schedule 4'!$F$89:$F$649,'Schedule 4'!$I$89:$I$649,'Well Cal.'!K$3,'Schedule 4'!$J$89:$J$649,'Well Cal.'!$E305)</f>
        <v>0</v>
      </c>
      <c r="L305" s="727">
        <f>SUMIFS('Schedule 4'!$F$89:$F$649,'Schedule 4'!$I$89:$I$649,'Well Cal.'!L$3,'Schedule 4'!$J$89:$J$649,'Well Cal.'!$E305)</f>
        <v>0</v>
      </c>
      <c r="M305" s="727">
        <f>SUMIFS('Schedule 4'!$F$89:$F$649,'Schedule 4'!$I$89:$I$649,'Well Cal.'!M$3,'Schedule 4'!$J$89:$J$649,'Well Cal.'!$E305)</f>
        <v>0</v>
      </c>
      <c r="N305" s="727">
        <f>SUMIFS('Schedule 4'!$F$89:$F$649,'Schedule 4'!$I$89:$I$649,'Well Cal.'!N$3,'Schedule 4'!$J$89:$J$649,'Well Cal.'!$E305)</f>
        <v>0</v>
      </c>
      <c r="O305" s="727">
        <f>SUMIFS('Schedule 4'!$F$89:$F$649,'Schedule 4'!$I$89:$I$649,'Well Cal.'!O$3,'Schedule 4'!$J$89:$J$649,'Well Cal.'!$E305)</f>
        <v>0</v>
      </c>
      <c r="P305" s="727">
        <f>SUMIFS('Schedule 4'!$F$89:$F$649,'Schedule 4'!$I$89:$I$649,'Well Cal.'!P$3,'Schedule 4'!$J$89:$J$649,'Well Cal.'!$E305)</f>
        <v>0</v>
      </c>
      <c r="Q305" s="727">
        <f>SUMIFS('Schedule 4'!$F$89:$F$649,'Schedule 4'!$I$89:$I$649,'Well Cal.'!Q$3,'Schedule 4'!$J$89:$J$649,'Well Cal.'!$E305)</f>
        <v>0</v>
      </c>
      <c r="R305" s="727">
        <f>SUMIFS('Schedule 4'!$F$89:$F$649,'Schedule 4'!$I$89:$I$649,'Well Cal.'!R$3,'Schedule 4'!$J$89:$J$649,'Well Cal.'!$E305)</f>
        <v>0</v>
      </c>
      <c r="S305" s="727">
        <f>SUMIFS('Schedule 4'!$F$89:$F$649,'Schedule 4'!$I$89:$I$649,'Well Cal.'!S$3,'Schedule 4'!$J$89:$J$649,'Well Cal.'!$E305)</f>
        <v>0</v>
      </c>
      <c r="T305" s="727">
        <f>SUMIFS('Schedule 4'!$F$89:$F$649,'Schedule 4'!$I$89:$I$649,'Well Cal.'!T$3,'Schedule 4'!$J$89:$J$649,'Well Cal.'!$E305)</f>
        <v>0</v>
      </c>
      <c r="U305" s="727">
        <f>SUMIFS('Schedule 4'!$F$89:$F$649,'Schedule 4'!$I$89:$I$649,'Well Cal.'!U$3,'Schedule 4'!$J$89:$J$649,'Well Cal.'!$E305)</f>
        <v>0</v>
      </c>
      <c r="V305" s="727">
        <f>SUMIFS('Schedule 4'!$F$89:$F$649,'Schedule 4'!$I$89:$I$649,'Well Cal.'!V$3,'Schedule 4'!$J$89:$J$649,'Well Cal.'!$E305)</f>
        <v>0</v>
      </c>
      <c r="W305" s="727">
        <f>SUMIFS('Schedule 4'!$F$89:$F$649,'Schedule 4'!$I$89:$I$649,'Well Cal.'!W$3,'Schedule 4'!$J$89:$J$649,'Well Cal.'!$E305)</f>
        <v>0</v>
      </c>
      <c r="X305" s="727">
        <f>SUMIFS('Schedule 4'!$F$89:$F$649,'Schedule 4'!$I$89:$I$649,'Well Cal.'!X$3,'Schedule 4'!$J$89:$J$649,'Well Cal.'!$E305)</f>
        <v>0</v>
      </c>
      <c r="Y305" s="727">
        <f>SUMIFS('Schedule 4'!$F$89:$F$649,'Schedule 4'!$I$89:$I$649,'Well Cal.'!Y$3,'Schedule 4'!$J$89:$J$649,'Well Cal.'!$E305)</f>
        <v>0</v>
      </c>
      <c r="Z305" s="727">
        <f>SUMIFS('Schedule 4'!$F$89:$F$649,'Schedule 4'!$I$89:$I$649,'Well Cal.'!Z$3,'Schedule 4'!$J$89:$J$649,'Well Cal.'!$E305)</f>
        <v>0</v>
      </c>
      <c r="AA305" s="727"/>
      <c r="AB305" s="1731"/>
      <c r="AC305" s="1731"/>
    </row>
    <row r="306" spans="2:31" x14ac:dyDescent="0.3">
      <c r="B306" s="1724"/>
      <c r="C306" s="1727"/>
      <c r="D306" s="1721"/>
      <c r="E306" s="775" t="s">
        <v>3905</v>
      </c>
      <c r="F306" s="727">
        <f>SUMIFS('Schedule 4'!$F$89:$F$649,'Schedule 4'!$I$89:$I$649,'Well Cal.'!F$3,'Schedule 4'!$J$89:$J$649,'Well Cal.'!$E306)</f>
        <v>0</v>
      </c>
      <c r="G306" s="727">
        <f>SUMIFS('Schedule 4'!$F$89:$F$649,'Schedule 4'!$I$89:$I$649,'Well Cal.'!G$3,'Schedule 4'!$J$89:$J$649,'Well Cal.'!$E306)</f>
        <v>0</v>
      </c>
      <c r="H306" s="727">
        <f>SUMIFS('Schedule 4'!$F$89:$F$649,'Schedule 4'!$I$89:$I$649,'Well Cal.'!H$3,'Schedule 4'!$J$89:$J$649,'Well Cal.'!$E306)</f>
        <v>0</v>
      </c>
      <c r="I306" s="727">
        <f>SUMIFS('Schedule 4'!$F$89:$F$649,'Schedule 4'!$I$89:$I$649,'Well Cal.'!I$3,'Schedule 4'!$J$89:$J$649,'Well Cal.'!$E306)</f>
        <v>0</v>
      </c>
      <c r="J306" s="727">
        <f>SUMIFS('Schedule 4'!$F$89:$F$649,'Schedule 4'!$I$89:$I$649,'Well Cal.'!J$3,'Schedule 4'!$J$89:$J$649,'Well Cal.'!$E306)</f>
        <v>0</v>
      </c>
      <c r="K306" s="727">
        <f>SUMIFS('Schedule 4'!$F$89:$F$649,'Schedule 4'!$I$89:$I$649,'Well Cal.'!K$3,'Schedule 4'!$J$89:$J$649,'Well Cal.'!$E306)</f>
        <v>0</v>
      </c>
      <c r="L306" s="727">
        <f>SUMIFS('Schedule 4'!$F$89:$F$649,'Schedule 4'!$I$89:$I$649,'Well Cal.'!L$3,'Schedule 4'!$J$89:$J$649,'Well Cal.'!$E306)</f>
        <v>0</v>
      </c>
      <c r="M306" s="727">
        <f>SUMIFS('Schedule 4'!$F$89:$F$649,'Schedule 4'!$I$89:$I$649,'Well Cal.'!M$3,'Schedule 4'!$J$89:$J$649,'Well Cal.'!$E306)</f>
        <v>0</v>
      </c>
      <c r="N306" s="727">
        <f>SUMIFS('Schedule 4'!$F$89:$F$649,'Schedule 4'!$I$89:$I$649,'Well Cal.'!N$3,'Schedule 4'!$J$89:$J$649,'Well Cal.'!$E306)</f>
        <v>0</v>
      </c>
      <c r="O306" s="727">
        <f>SUMIFS('Schedule 4'!$F$89:$F$649,'Schedule 4'!$I$89:$I$649,'Well Cal.'!O$3,'Schedule 4'!$J$89:$J$649,'Well Cal.'!$E306)</f>
        <v>0</v>
      </c>
      <c r="P306" s="727">
        <f>SUMIFS('Schedule 4'!$F$89:$F$649,'Schedule 4'!$I$89:$I$649,'Well Cal.'!P$3,'Schedule 4'!$J$89:$J$649,'Well Cal.'!$E306)</f>
        <v>0</v>
      </c>
      <c r="Q306" s="727">
        <f>SUMIFS('Schedule 4'!$F$89:$F$649,'Schedule 4'!$I$89:$I$649,'Well Cal.'!Q$3,'Schedule 4'!$J$89:$J$649,'Well Cal.'!$E306)</f>
        <v>0</v>
      </c>
      <c r="R306" s="727">
        <f>SUMIFS('Schedule 4'!$F$89:$F$649,'Schedule 4'!$I$89:$I$649,'Well Cal.'!R$3,'Schedule 4'!$J$89:$J$649,'Well Cal.'!$E306)</f>
        <v>0</v>
      </c>
      <c r="S306" s="727">
        <f>SUMIFS('Schedule 4'!$F$89:$F$649,'Schedule 4'!$I$89:$I$649,'Well Cal.'!S$3,'Schedule 4'!$J$89:$J$649,'Well Cal.'!$E306)</f>
        <v>0</v>
      </c>
      <c r="T306" s="727">
        <f>SUMIFS('Schedule 4'!$F$89:$F$649,'Schedule 4'!$I$89:$I$649,'Well Cal.'!T$3,'Schedule 4'!$J$89:$J$649,'Well Cal.'!$E306)</f>
        <v>0</v>
      </c>
      <c r="U306" s="727">
        <f>SUMIFS('Schedule 4'!$F$89:$F$649,'Schedule 4'!$I$89:$I$649,'Well Cal.'!U$3,'Schedule 4'!$J$89:$J$649,'Well Cal.'!$E306)</f>
        <v>0</v>
      </c>
      <c r="V306" s="727">
        <f>SUMIFS('Schedule 4'!$F$89:$F$649,'Schedule 4'!$I$89:$I$649,'Well Cal.'!V$3,'Schedule 4'!$J$89:$J$649,'Well Cal.'!$E306)</f>
        <v>0</v>
      </c>
      <c r="W306" s="727">
        <f>SUMIFS('Schedule 4'!$F$89:$F$649,'Schedule 4'!$I$89:$I$649,'Well Cal.'!W$3,'Schedule 4'!$J$89:$J$649,'Well Cal.'!$E306)</f>
        <v>0</v>
      </c>
      <c r="X306" s="727">
        <f>SUMIFS('Schedule 4'!$F$89:$F$649,'Schedule 4'!$I$89:$I$649,'Well Cal.'!X$3,'Schedule 4'!$J$89:$J$649,'Well Cal.'!$E306)</f>
        <v>0</v>
      </c>
      <c r="Y306" s="727">
        <f>SUMIFS('Schedule 4'!$F$89:$F$649,'Schedule 4'!$I$89:$I$649,'Well Cal.'!Y$3,'Schedule 4'!$J$89:$J$649,'Well Cal.'!$E306)</f>
        <v>0</v>
      </c>
      <c r="Z306" s="727">
        <f>SUMIFS('Schedule 4'!$F$89:$F$649,'Schedule 4'!$I$89:$I$649,'Well Cal.'!Z$3,'Schedule 4'!$J$89:$J$649,'Well Cal.'!$E306)</f>
        <v>0</v>
      </c>
      <c r="AA306" s="727"/>
      <c r="AB306" s="1731"/>
      <c r="AC306" s="1731"/>
    </row>
    <row r="307" spans="2:31" x14ac:dyDescent="0.3">
      <c r="B307" s="1724"/>
      <c r="C307" s="1727"/>
      <c r="D307" s="1721"/>
      <c r="E307" s="775" t="s">
        <v>3974</v>
      </c>
      <c r="F307" s="727">
        <f>SUMIFS('Schedule 4'!$F$89:$F$649,'Schedule 4'!$I$89:$I$649,'Well Cal.'!F$3,'Schedule 4'!$J$89:$J$649,'Well Cal.'!$E307)</f>
        <v>0</v>
      </c>
      <c r="G307" s="727">
        <f>SUMIFS('Schedule 4'!$F$89:$F$649,'Schedule 4'!$I$89:$I$649,'Well Cal.'!G$3,'Schedule 4'!$J$89:$J$649,'Well Cal.'!$E307)</f>
        <v>0</v>
      </c>
      <c r="H307" s="727">
        <f>SUMIFS('Schedule 4'!$F$89:$F$649,'Schedule 4'!$I$89:$I$649,'Well Cal.'!H$3,'Schedule 4'!$J$89:$J$649,'Well Cal.'!$E307)</f>
        <v>0</v>
      </c>
      <c r="I307" s="727">
        <f>SUMIFS('Schedule 4'!$F$89:$F$649,'Schedule 4'!$I$89:$I$649,'Well Cal.'!I$3,'Schedule 4'!$J$89:$J$649,'Well Cal.'!$E307)</f>
        <v>0</v>
      </c>
      <c r="J307" s="727">
        <f>SUMIFS('Schedule 4'!$F$89:$F$649,'Schedule 4'!$I$89:$I$649,'Well Cal.'!J$3,'Schedule 4'!$J$89:$J$649,'Well Cal.'!$E307)</f>
        <v>0</v>
      </c>
      <c r="K307" s="727">
        <f>SUMIFS('Schedule 4'!$F$89:$F$649,'Schedule 4'!$I$89:$I$649,'Well Cal.'!K$3,'Schedule 4'!$J$89:$J$649,'Well Cal.'!$E307)</f>
        <v>0</v>
      </c>
      <c r="L307" s="727">
        <f>SUMIFS('Schedule 4'!$F$89:$F$649,'Schedule 4'!$I$89:$I$649,'Well Cal.'!L$3,'Schedule 4'!$J$89:$J$649,'Well Cal.'!$E307)</f>
        <v>0</v>
      </c>
      <c r="M307" s="727">
        <f>SUMIFS('Schedule 4'!$F$89:$F$649,'Schedule 4'!$I$89:$I$649,'Well Cal.'!M$3,'Schedule 4'!$J$89:$J$649,'Well Cal.'!$E307)</f>
        <v>0</v>
      </c>
      <c r="N307" s="727">
        <f>SUMIFS('Schedule 4'!$F$89:$F$649,'Schedule 4'!$I$89:$I$649,'Well Cal.'!N$3,'Schedule 4'!$J$89:$J$649,'Well Cal.'!$E307)</f>
        <v>0</v>
      </c>
      <c r="O307" s="727">
        <f>SUMIFS('Schedule 4'!$F$89:$F$649,'Schedule 4'!$I$89:$I$649,'Well Cal.'!O$3,'Schedule 4'!$J$89:$J$649,'Well Cal.'!$E307)</f>
        <v>0</v>
      </c>
      <c r="P307" s="727">
        <f>SUMIFS('Schedule 4'!$F$89:$F$649,'Schedule 4'!$I$89:$I$649,'Well Cal.'!P$3,'Schedule 4'!$J$89:$J$649,'Well Cal.'!$E307)</f>
        <v>0</v>
      </c>
      <c r="Q307" s="727">
        <f>SUMIFS('Schedule 4'!$F$89:$F$649,'Schedule 4'!$I$89:$I$649,'Well Cal.'!Q$3,'Schedule 4'!$J$89:$J$649,'Well Cal.'!$E307)</f>
        <v>0</v>
      </c>
      <c r="R307" s="727">
        <f>SUMIFS('Schedule 4'!$F$89:$F$649,'Schedule 4'!$I$89:$I$649,'Well Cal.'!R$3,'Schedule 4'!$J$89:$J$649,'Well Cal.'!$E307)</f>
        <v>0</v>
      </c>
      <c r="S307" s="727">
        <f>SUMIFS('Schedule 4'!$F$89:$F$649,'Schedule 4'!$I$89:$I$649,'Well Cal.'!S$3,'Schedule 4'!$J$89:$J$649,'Well Cal.'!$E307)</f>
        <v>0</v>
      </c>
      <c r="T307" s="727">
        <f>SUMIFS('Schedule 4'!$F$89:$F$649,'Schedule 4'!$I$89:$I$649,'Well Cal.'!T$3,'Schedule 4'!$J$89:$J$649,'Well Cal.'!$E307)</f>
        <v>0</v>
      </c>
      <c r="U307" s="727">
        <f>SUMIFS('Schedule 4'!$F$89:$F$649,'Schedule 4'!$I$89:$I$649,'Well Cal.'!U$3,'Schedule 4'!$J$89:$J$649,'Well Cal.'!$E307)</f>
        <v>0</v>
      </c>
      <c r="V307" s="727">
        <f>SUMIFS('Schedule 4'!$F$89:$F$649,'Schedule 4'!$I$89:$I$649,'Well Cal.'!V$3,'Schedule 4'!$J$89:$J$649,'Well Cal.'!$E307)</f>
        <v>0</v>
      </c>
      <c r="W307" s="727">
        <f>SUMIFS('Schedule 4'!$F$89:$F$649,'Schedule 4'!$I$89:$I$649,'Well Cal.'!W$3,'Schedule 4'!$J$89:$J$649,'Well Cal.'!$E307)</f>
        <v>0</v>
      </c>
      <c r="X307" s="727">
        <f>SUMIFS('Schedule 4'!$F$89:$F$649,'Schedule 4'!$I$89:$I$649,'Well Cal.'!X$3,'Schedule 4'!$J$89:$J$649,'Well Cal.'!$E307)</f>
        <v>0</v>
      </c>
      <c r="Y307" s="727">
        <f>SUMIFS('Schedule 4'!$F$89:$F$649,'Schedule 4'!$I$89:$I$649,'Well Cal.'!Y$3,'Schedule 4'!$J$89:$J$649,'Well Cal.'!$E307)</f>
        <v>0</v>
      </c>
      <c r="Z307" s="727">
        <f>SUMIFS('Schedule 4'!$F$89:$F$649,'Schedule 4'!$I$89:$I$649,'Well Cal.'!Z$3,'Schedule 4'!$J$89:$J$649,'Well Cal.'!$E307)</f>
        <v>0</v>
      </c>
      <c r="AA307" s="727"/>
      <c r="AB307" s="1731"/>
      <c r="AC307" s="1731"/>
    </row>
    <row r="308" spans="2:31" x14ac:dyDescent="0.3">
      <c r="B308" s="1724"/>
      <c r="C308" s="1727"/>
      <c r="D308" s="1721"/>
      <c r="E308" s="775" t="s">
        <v>4045</v>
      </c>
      <c r="F308" s="727">
        <f>SUMIFS('Schedule 4'!$F$89:$F$649,'Schedule 4'!$I$89:$I$649,'Well Cal.'!F$3,'Schedule 4'!$J$89:$J$649,'Well Cal.'!$E308)</f>
        <v>0</v>
      </c>
      <c r="G308" s="727">
        <f>SUMIFS('Schedule 4'!$F$89:$F$649,'Schedule 4'!$I$89:$I$649,'Well Cal.'!G$3,'Schedule 4'!$J$89:$J$649,'Well Cal.'!$E308)</f>
        <v>0</v>
      </c>
      <c r="H308" s="727">
        <f>SUMIFS('Schedule 4'!$F$89:$F$649,'Schedule 4'!$I$89:$I$649,'Well Cal.'!H$3,'Schedule 4'!$J$89:$J$649,'Well Cal.'!$E308)</f>
        <v>0</v>
      </c>
      <c r="I308" s="727">
        <f>SUMIFS('Schedule 4'!$F$89:$F$649,'Schedule 4'!$I$89:$I$649,'Well Cal.'!I$3,'Schedule 4'!$J$89:$J$649,'Well Cal.'!$E308)</f>
        <v>0</v>
      </c>
      <c r="J308" s="727">
        <f>SUMIFS('Schedule 4'!$F$89:$F$649,'Schedule 4'!$I$89:$I$649,'Well Cal.'!J$3,'Schedule 4'!$J$89:$J$649,'Well Cal.'!$E308)</f>
        <v>0</v>
      </c>
      <c r="K308" s="727">
        <f>SUMIFS('Schedule 4'!$F$89:$F$649,'Schedule 4'!$I$89:$I$649,'Well Cal.'!K$3,'Schedule 4'!$J$89:$J$649,'Well Cal.'!$E308)</f>
        <v>0</v>
      </c>
      <c r="L308" s="727">
        <f>SUMIFS('Schedule 4'!$F$89:$F$649,'Schedule 4'!$I$89:$I$649,'Well Cal.'!L$3,'Schedule 4'!$J$89:$J$649,'Well Cal.'!$E308)</f>
        <v>0</v>
      </c>
      <c r="M308" s="727">
        <f>SUMIFS('Schedule 4'!$F$89:$F$649,'Schedule 4'!$I$89:$I$649,'Well Cal.'!M$3,'Schedule 4'!$J$89:$J$649,'Well Cal.'!$E308)</f>
        <v>0</v>
      </c>
      <c r="N308" s="727">
        <f>SUMIFS('Schedule 4'!$F$89:$F$649,'Schedule 4'!$I$89:$I$649,'Well Cal.'!N$3,'Schedule 4'!$J$89:$J$649,'Well Cal.'!$E308)</f>
        <v>0</v>
      </c>
      <c r="O308" s="727">
        <f>SUMIFS('Schedule 4'!$F$89:$F$649,'Schedule 4'!$I$89:$I$649,'Well Cal.'!O$3,'Schedule 4'!$J$89:$J$649,'Well Cal.'!$E308)</f>
        <v>0</v>
      </c>
      <c r="P308" s="727">
        <f>SUMIFS('Schedule 4'!$F$89:$F$649,'Schedule 4'!$I$89:$I$649,'Well Cal.'!P$3,'Schedule 4'!$J$89:$J$649,'Well Cal.'!$E308)</f>
        <v>0</v>
      </c>
      <c r="Q308" s="727">
        <f>SUMIFS('Schedule 4'!$F$89:$F$649,'Schedule 4'!$I$89:$I$649,'Well Cal.'!Q$3,'Schedule 4'!$J$89:$J$649,'Well Cal.'!$E308)</f>
        <v>0</v>
      </c>
      <c r="R308" s="727">
        <f>SUMIFS('Schedule 4'!$F$89:$F$649,'Schedule 4'!$I$89:$I$649,'Well Cal.'!R$3,'Schedule 4'!$J$89:$J$649,'Well Cal.'!$E308)</f>
        <v>0</v>
      </c>
      <c r="S308" s="727">
        <f>SUMIFS('Schedule 4'!$F$89:$F$649,'Schedule 4'!$I$89:$I$649,'Well Cal.'!S$3,'Schedule 4'!$J$89:$J$649,'Well Cal.'!$E308)</f>
        <v>0</v>
      </c>
      <c r="T308" s="727">
        <f>SUMIFS('Schedule 4'!$F$89:$F$649,'Schedule 4'!$I$89:$I$649,'Well Cal.'!T$3,'Schedule 4'!$J$89:$J$649,'Well Cal.'!$E308)</f>
        <v>0</v>
      </c>
      <c r="U308" s="727">
        <f>SUMIFS('Schedule 4'!$F$89:$F$649,'Schedule 4'!$I$89:$I$649,'Well Cal.'!U$3,'Schedule 4'!$J$89:$J$649,'Well Cal.'!$E308)</f>
        <v>0</v>
      </c>
      <c r="V308" s="727">
        <f>SUMIFS('Schedule 4'!$F$89:$F$649,'Schedule 4'!$I$89:$I$649,'Well Cal.'!V$3,'Schedule 4'!$J$89:$J$649,'Well Cal.'!$E308)</f>
        <v>0</v>
      </c>
      <c r="W308" s="727">
        <f>SUMIFS('Schedule 4'!$F$89:$F$649,'Schedule 4'!$I$89:$I$649,'Well Cal.'!W$3,'Schedule 4'!$J$89:$J$649,'Well Cal.'!$E308)</f>
        <v>0</v>
      </c>
      <c r="X308" s="727">
        <f>SUMIFS('Schedule 4'!$F$89:$F$649,'Schedule 4'!$I$89:$I$649,'Well Cal.'!X$3,'Schedule 4'!$J$89:$J$649,'Well Cal.'!$E308)</f>
        <v>0</v>
      </c>
      <c r="Y308" s="727">
        <f>SUMIFS('Schedule 4'!$F$89:$F$649,'Schedule 4'!$I$89:$I$649,'Well Cal.'!Y$3,'Schedule 4'!$J$89:$J$649,'Well Cal.'!$E308)</f>
        <v>0</v>
      </c>
      <c r="Z308" s="727">
        <f>SUMIFS('Schedule 4'!$F$89:$F$649,'Schedule 4'!$I$89:$I$649,'Well Cal.'!Z$3,'Schedule 4'!$J$89:$J$649,'Well Cal.'!$E308)</f>
        <v>0</v>
      </c>
      <c r="AA308" s="727"/>
      <c r="AB308" s="1731"/>
      <c r="AC308" s="1731"/>
    </row>
    <row r="309" spans="2:31" x14ac:dyDescent="0.3">
      <c r="B309" s="1724"/>
      <c r="C309" s="1727"/>
      <c r="D309" s="1721"/>
      <c r="E309" s="775" t="s">
        <v>4122</v>
      </c>
      <c r="F309" s="727">
        <f>SUMIFS('Schedule 4'!$F$89:$F$649,'Schedule 4'!$I$89:$I$649,'Well Cal.'!F$3,'Schedule 4'!$J$89:$J$649,'Well Cal.'!$E309)</f>
        <v>0</v>
      </c>
      <c r="G309" s="727">
        <f>SUMIFS('Schedule 4'!$F$89:$F$649,'Schedule 4'!$I$89:$I$649,'Well Cal.'!G$3,'Schedule 4'!$J$89:$J$649,'Well Cal.'!$E309)</f>
        <v>0</v>
      </c>
      <c r="H309" s="727">
        <f>SUMIFS('Schedule 4'!$F$89:$F$649,'Schedule 4'!$I$89:$I$649,'Well Cal.'!H$3,'Schedule 4'!$J$89:$J$649,'Well Cal.'!$E309)</f>
        <v>0</v>
      </c>
      <c r="I309" s="727">
        <f>SUMIFS('Schedule 4'!$F$89:$F$649,'Schedule 4'!$I$89:$I$649,'Well Cal.'!I$3,'Schedule 4'!$J$89:$J$649,'Well Cal.'!$E309)</f>
        <v>0</v>
      </c>
      <c r="J309" s="727">
        <f>SUMIFS('Schedule 4'!$F$89:$F$649,'Schedule 4'!$I$89:$I$649,'Well Cal.'!J$3,'Schedule 4'!$J$89:$J$649,'Well Cal.'!$E309)</f>
        <v>0</v>
      </c>
      <c r="K309" s="727">
        <f>SUMIFS('Schedule 4'!$F$89:$F$649,'Schedule 4'!$I$89:$I$649,'Well Cal.'!K$3,'Schedule 4'!$J$89:$J$649,'Well Cal.'!$E309)</f>
        <v>0</v>
      </c>
      <c r="L309" s="727">
        <f>SUMIFS('Schedule 4'!$F$89:$F$649,'Schedule 4'!$I$89:$I$649,'Well Cal.'!L$3,'Schedule 4'!$J$89:$J$649,'Well Cal.'!$E309)</f>
        <v>0</v>
      </c>
      <c r="M309" s="727">
        <f>SUMIFS('Schedule 4'!$F$89:$F$649,'Schedule 4'!$I$89:$I$649,'Well Cal.'!M$3,'Schedule 4'!$J$89:$J$649,'Well Cal.'!$E309)</f>
        <v>0</v>
      </c>
      <c r="N309" s="727">
        <f>SUMIFS('Schedule 4'!$F$89:$F$649,'Schedule 4'!$I$89:$I$649,'Well Cal.'!N$3,'Schedule 4'!$J$89:$J$649,'Well Cal.'!$E309)</f>
        <v>0</v>
      </c>
      <c r="O309" s="727">
        <f>SUMIFS('Schedule 4'!$F$89:$F$649,'Schedule 4'!$I$89:$I$649,'Well Cal.'!O$3,'Schedule 4'!$J$89:$J$649,'Well Cal.'!$E309)</f>
        <v>0</v>
      </c>
      <c r="P309" s="727">
        <f>SUMIFS('Schedule 4'!$F$89:$F$649,'Schedule 4'!$I$89:$I$649,'Well Cal.'!P$3,'Schedule 4'!$J$89:$J$649,'Well Cal.'!$E309)</f>
        <v>0</v>
      </c>
      <c r="Q309" s="727">
        <f>SUMIFS('Schedule 4'!$F$89:$F$649,'Schedule 4'!$I$89:$I$649,'Well Cal.'!Q$3,'Schedule 4'!$J$89:$J$649,'Well Cal.'!$E309)</f>
        <v>0</v>
      </c>
      <c r="R309" s="727">
        <f>SUMIFS('Schedule 4'!$F$89:$F$649,'Schedule 4'!$I$89:$I$649,'Well Cal.'!R$3,'Schedule 4'!$J$89:$J$649,'Well Cal.'!$E309)</f>
        <v>0</v>
      </c>
      <c r="S309" s="727">
        <f>SUMIFS('Schedule 4'!$F$89:$F$649,'Schedule 4'!$I$89:$I$649,'Well Cal.'!S$3,'Schedule 4'!$J$89:$J$649,'Well Cal.'!$E309)</f>
        <v>0</v>
      </c>
      <c r="T309" s="727">
        <f>SUMIFS('Schedule 4'!$F$89:$F$649,'Schedule 4'!$I$89:$I$649,'Well Cal.'!T$3,'Schedule 4'!$J$89:$J$649,'Well Cal.'!$E309)</f>
        <v>0</v>
      </c>
      <c r="U309" s="727">
        <f>SUMIFS('Schedule 4'!$F$89:$F$649,'Schedule 4'!$I$89:$I$649,'Well Cal.'!U$3,'Schedule 4'!$J$89:$J$649,'Well Cal.'!$E309)</f>
        <v>0</v>
      </c>
      <c r="V309" s="727">
        <f>SUMIFS('Schedule 4'!$F$89:$F$649,'Schedule 4'!$I$89:$I$649,'Well Cal.'!V$3,'Schedule 4'!$J$89:$J$649,'Well Cal.'!$E309)</f>
        <v>0</v>
      </c>
      <c r="W309" s="727">
        <f>SUMIFS('Schedule 4'!$F$89:$F$649,'Schedule 4'!$I$89:$I$649,'Well Cal.'!W$3,'Schedule 4'!$J$89:$J$649,'Well Cal.'!$E309)</f>
        <v>0</v>
      </c>
      <c r="X309" s="727">
        <f>SUMIFS('Schedule 4'!$F$89:$F$649,'Schedule 4'!$I$89:$I$649,'Well Cal.'!X$3,'Schedule 4'!$J$89:$J$649,'Well Cal.'!$E309)</f>
        <v>0</v>
      </c>
      <c r="Y309" s="727">
        <f>SUMIFS('Schedule 4'!$F$89:$F$649,'Schedule 4'!$I$89:$I$649,'Well Cal.'!Y$3,'Schedule 4'!$J$89:$J$649,'Well Cal.'!$E309)</f>
        <v>0</v>
      </c>
      <c r="Z309" s="727">
        <f>SUMIFS('Schedule 4'!$F$89:$F$649,'Schedule 4'!$I$89:$I$649,'Well Cal.'!Z$3,'Schedule 4'!$J$89:$J$649,'Well Cal.'!$E309)</f>
        <v>0</v>
      </c>
      <c r="AA309" s="727"/>
      <c r="AB309" s="1731"/>
      <c r="AC309" s="1731"/>
    </row>
    <row r="310" spans="2:31" x14ac:dyDescent="0.3">
      <c r="B310" s="1724"/>
      <c r="C310" s="1727"/>
      <c r="D310" s="1721"/>
      <c r="E310" s="775" t="s">
        <v>4185</v>
      </c>
      <c r="F310" s="727">
        <f>SUMIFS('Schedule 4'!$F$89:$F$649,'Schedule 4'!$I$89:$I$649,'Well Cal.'!F$3,'Schedule 4'!$J$89:$J$649,'Well Cal.'!$E310)</f>
        <v>0</v>
      </c>
      <c r="G310" s="727">
        <f>SUMIFS('Schedule 4'!$F$89:$F$649,'Schedule 4'!$I$89:$I$649,'Well Cal.'!G$3,'Schedule 4'!$J$89:$J$649,'Well Cal.'!$E310)</f>
        <v>0</v>
      </c>
      <c r="H310" s="727">
        <f>SUMIFS('Schedule 4'!$F$89:$F$649,'Schedule 4'!$I$89:$I$649,'Well Cal.'!H$3,'Schedule 4'!$J$89:$J$649,'Well Cal.'!$E310)</f>
        <v>0</v>
      </c>
      <c r="I310" s="727">
        <f>SUMIFS('Schedule 4'!$F$89:$F$649,'Schedule 4'!$I$89:$I$649,'Well Cal.'!I$3,'Schedule 4'!$J$89:$J$649,'Well Cal.'!$E310)</f>
        <v>0</v>
      </c>
      <c r="J310" s="727">
        <f>SUMIFS('Schedule 4'!$F$89:$F$649,'Schedule 4'!$I$89:$I$649,'Well Cal.'!J$3,'Schedule 4'!$J$89:$J$649,'Well Cal.'!$E310)</f>
        <v>0</v>
      </c>
      <c r="K310" s="727">
        <f>SUMIFS('Schedule 4'!$F$89:$F$649,'Schedule 4'!$I$89:$I$649,'Well Cal.'!K$3,'Schedule 4'!$J$89:$J$649,'Well Cal.'!$E310)</f>
        <v>0</v>
      </c>
      <c r="L310" s="727">
        <f>SUMIFS('Schedule 4'!$F$89:$F$649,'Schedule 4'!$I$89:$I$649,'Well Cal.'!L$3,'Schedule 4'!$J$89:$J$649,'Well Cal.'!$E310)</f>
        <v>0</v>
      </c>
      <c r="M310" s="727">
        <f>SUMIFS('Schedule 4'!$F$89:$F$649,'Schedule 4'!$I$89:$I$649,'Well Cal.'!M$3,'Schedule 4'!$J$89:$J$649,'Well Cal.'!$E310)</f>
        <v>0</v>
      </c>
      <c r="N310" s="727">
        <f>SUMIFS('Schedule 4'!$F$89:$F$649,'Schedule 4'!$I$89:$I$649,'Well Cal.'!N$3,'Schedule 4'!$J$89:$J$649,'Well Cal.'!$E310)</f>
        <v>0</v>
      </c>
      <c r="O310" s="727">
        <f>SUMIFS('Schedule 4'!$F$89:$F$649,'Schedule 4'!$I$89:$I$649,'Well Cal.'!O$3,'Schedule 4'!$J$89:$J$649,'Well Cal.'!$E310)</f>
        <v>0</v>
      </c>
      <c r="P310" s="727">
        <f>SUMIFS('Schedule 4'!$F$89:$F$649,'Schedule 4'!$I$89:$I$649,'Well Cal.'!P$3,'Schedule 4'!$J$89:$J$649,'Well Cal.'!$E310)</f>
        <v>0</v>
      </c>
      <c r="Q310" s="727">
        <f>SUMIFS('Schedule 4'!$F$89:$F$649,'Schedule 4'!$I$89:$I$649,'Well Cal.'!Q$3,'Schedule 4'!$J$89:$J$649,'Well Cal.'!$E310)</f>
        <v>0</v>
      </c>
      <c r="R310" s="727">
        <f>SUMIFS('Schedule 4'!$F$89:$F$649,'Schedule 4'!$I$89:$I$649,'Well Cal.'!R$3,'Schedule 4'!$J$89:$J$649,'Well Cal.'!$E310)</f>
        <v>0</v>
      </c>
      <c r="S310" s="727">
        <f>SUMIFS('Schedule 4'!$F$89:$F$649,'Schedule 4'!$I$89:$I$649,'Well Cal.'!S$3,'Schedule 4'!$J$89:$J$649,'Well Cal.'!$E310)</f>
        <v>0</v>
      </c>
      <c r="T310" s="727">
        <f>SUMIFS('Schedule 4'!$F$89:$F$649,'Schedule 4'!$I$89:$I$649,'Well Cal.'!T$3,'Schedule 4'!$J$89:$J$649,'Well Cal.'!$E310)</f>
        <v>0</v>
      </c>
      <c r="U310" s="727">
        <f>SUMIFS('Schedule 4'!$F$89:$F$649,'Schedule 4'!$I$89:$I$649,'Well Cal.'!U$3,'Schedule 4'!$J$89:$J$649,'Well Cal.'!$E310)</f>
        <v>0</v>
      </c>
      <c r="V310" s="727">
        <f>SUMIFS('Schedule 4'!$F$89:$F$649,'Schedule 4'!$I$89:$I$649,'Well Cal.'!V$3,'Schedule 4'!$J$89:$J$649,'Well Cal.'!$E310)</f>
        <v>0</v>
      </c>
      <c r="W310" s="727">
        <f>SUMIFS('Schedule 4'!$F$89:$F$649,'Schedule 4'!$I$89:$I$649,'Well Cal.'!W$3,'Schedule 4'!$J$89:$J$649,'Well Cal.'!$E310)</f>
        <v>0</v>
      </c>
      <c r="X310" s="727">
        <f>SUMIFS('Schedule 4'!$F$89:$F$649,'Schedule 4'!$I$89:$I$649,'Well Cal.'!X$3,'Schedule 4'!$J$89:$J$649,'Well Cal.'!$E310)</f>
        <v>0</v>
      </c>
      <c r="Y310" s="727">
        <f>SUMIFS('Schedule 4'!$F$89:$F$649,'Schedule 4'!$I$89:$I$649,'Well Cal.'!Y$3,'Schedule 4'!$J$89:$J$649,'Well Cal.'!$E310)</f>
        <v>0</v>
      </c>
      <c r="Z310" s="727">
        <f>SUMIFS('Schedule 4'!$F$89:$F$649,'Schedule 4'!$I$89:$I$649,'Well Cal.'!Z$3,'Schedule 4'!$J$89:$J$649,'Well Cal.'!$E310)</f>
        <v>0</v>
      </c>
      <c r="AA310" s="727"/>
      <c r="AB310" s="1731"/>
      <c r="AC310" s="1731"/>
    </row>
    <row r="311" spans="2:31" x14ac:dyDescent="0.3">
      <c r="B311" s="1724"/>
      <c r="C311" s="1727"/>
      <c r="D311" s="1721"/>
      <c r="E311" s="775" t="s">
        <v>4259</v>
      </c>
      <c r="F311" s="727">
        <f>SUMIFS('Schedule 4'!$F$89:$F$649,'Schedule 4'!$I$89:$I$649,'Well Cal.'!F$3,'Schedule 4'!$J$89:$J$649,'Well Cal.'!$E311)</f>
        <v>0</v>
      </c>
      <c r="G311" s="727">
        <f>SUMIFS('Schedule 4'!$F$89:$F$649,'Schedule 4'!$I$89:$I$649,'Well Cal.'!G$3,'Schedule 4'!$J$89:$J$649,'Well Cal.'!$E311)</f>
        <v>0</v>
      </c>
      <c r="H311" s="727">
        <f>SUMIFS('Schedule 4'!$F$89:$F$649,'Schedule 4'!$I$89:$I$649,'Well Cal.'!H$3,'Schedule 4'!$J$89:$J$649,'Well Cal.'!$E311)</f>
        <v>0</v>
      </c>
      <c r="I311" s="727">
        <f>SUMIFS('Schedule 4'!$F$89:$F$649,'Schedule 4'!$I$89:$I$649,'Well Cal.'!I$3,'Schedule 4'!$J$89:$J$649,'Well Cal.'!$E311)</f>
        <v>0</v>
      </c>
      <c r="J311" s="727">
        <f>SUMIFS('Schedule 4'!$F$89:$F$649,'Schedule 4'!$I$89:$I$649,'Well Cal.'!J$3,'Schedule 4'!$J$89:$J$649,'Well Cal.'!$E311)</f>
        <v>0</v>
      </c>
      <c r="K311" s="727">
        <f>SUMIFS('Schedule 4'!$F$89:$F$649,'Schedule 4'!$I$89:$I$649,'Well Cal.'!K$3,'Schedule 4'!$J$89:$J$649,'Well Cal.'!$E311)</f>
        <v>0</v>
      </c>
      <c r="L311" s="727">
        <f>SUMIFS('Schedule 4'!$F$89:$F$649,'Schedule 4'!$I$89:$I$649,'Well Cal.'!L$3,'Schedule 4'!$J$89:$J$649,'Well Cal.'!$E311)</f>
        <v>0</v>
      </c>
      <c r="M311" s="727">
        <f>SUMIFS('Schedule 4'!$F$89:$F$649,'Schedule 4'!$I$89:$I$649,'Well Cal.'!M$3,'Schedule 4'!$J$89:$J$649,'Well Cal.'!$E311)</f>
        <v>0</v>
      </c>
      <c r="N311" s="727">
        <f>SUMIFS('Schedule 4'!$F$89:$F$649,'Schedule 4'!$I$89:$I$649,'Well Cal.'!N$3,'Schedule 4'!$J$89:$J$649,'Well Cal.'!$E311)</f>
        <v>0</v>
      </c>
      <c r="O311" s="727">
        <f>SUMIFS('Schedule 4'!$F$89:$F$649,'Schedule 4'!$I$89:$I$649,'Well Cal.'!O$3,'Schedule 4'!$J$89:$J$649,'Well Cal.'!$E311)</f>
        <v>0</v>
      </c>
      <c r="P311" s="727">
        <f>SUMIFS('Schedule 4'!$F$89:$F$649,'Schedule 4'!$I$89:$I$649,'Well Cal.'!P$3,'Schedule 4'!$J$89:$J$649,'Well Cal.'!$E311)</f>
        <v>0</v>
      </c>
      <c r="Q311" s="727">
        <f>SUMIFS('Schedule 4'!$F$89:$F$649,'Schedule 4'!$I$89:$I$649,'Well Cal.'!Q$3,'Schedule 4'!$J$89:$J$649,'Well Cal.'!$E311)</f>
        <v>0</v>
      </c>
      <c r="R311" s="727">
        <f>SUMIFS('Schedule 4'!$F$89:$F$649,'Schedule 4'!$I$89:$I$649,'Well Cal.'!R$3,'Schedule 4'!$J$89:$J$649,'Well Cal.'!$E311)</f>
        <v>0</v>
      </c>
      <c r="S311" s="727">
        <f>SUMIFS('Schedule 4'!$F$89:$F$649,'Schedule 4'!$I$89:$I$649,'Well Cal.'!S$3,'Schedule 4'!$J$89:$J$649,'Well Cal.'!$E311)</f>
        <v>0</v>
      </c>
      <c r="T311" s="727">
        <f>SUMIFS('Schedule 4'!$F$89:$F$649,'Schedule 4'!$I$89:$I$649,'Well Cal.'!T$3,'Schedule 4'!$J$89:$J$649,'Well Cal.'!$E311)</f>
        <v>0</v>
      </c>
      <c r="U311" s="727">
        <f>SUMIFS('Schedule 4'!$F$89:$F$649,'Schedule 4'!$I$89:$I$649,'Well Cal.'!U$3,'Schedule 4'!$J$89:$J$649,'Well Cal.'!$E311)</f>
        <v>0</v>
      </c>
      <c r="V311" s="727">
        <f>SUMIFS('Schedule 4'!$F$89:$F$649,'Schedule 4'!$I$89:$I$649,'Well Cal.'!V$3,'Schedule 4'!$J$89:$J$649,'Well Cal.'!$E311)</f>
        <v>0</v>
      </c>
      <c r="W311" s="727">
        <f>SUMIFS('Schedule 4'!$F$89:$F$649,'Schedule 4'!$I$89:$I$649,'Well Cal.'!W$3,'Schedule 4'!$J$89:$J$649,'Well Cal.'!$E311)</f>
        <v>0</v>
      </c>
      <c r="X311" s="727">
        <f>SUMIFS('Schedule 4'!$F$89:$F$649,'Schedule 4'!$I$89:$I$649,'Well Cal.'!X$3,'Schedule 4'!$J$89:$J$649,'Well Cal.'!$E311)</f>
        <v>0</v>
      </c>
      <c r="Y311" s="727">
        <f>SUMIFS('Schedule 4'!$F$89:$F$649,'Schedule 4'!$I$89:$I$649,'Well Cal.'!Y$3,'Schedule 4'!$J$89:$J$649,'Well Cal.'!$E311)</f>
        <v>0</v>
      </c>
      <c r="Z311" s="727">
        <f>SUMIFS('Schedule 4'!$F$89:$F$649,'Schedule 4'!$I$89:$I$649,'Well Cal.'!Z$3,'Schedule 4'!$J$89:$J$649,'Well Cal.'!$E311)</f>
        <v>0</v>
      </c>
      <c r="AA311" s="727"/>
      <c r="AB311" s="1731"/>
      <c r="AC311" s="1731"/>
      <c r="AE311" s="827"/>
    </row>
    <row r="312" spans="2:31" x14ac:dyDescent="0.3">
      <c r="B312" s="1724"/>
      <c r="C312" s="1727"/>
      <c r="D312" s="1721"/>
      <c r="E312" s="775" t="s">
        <v>4321</v>
      </c>
      <c r="F312" s="727">
        <f>SUMIFS('Schedule 4'!$F$89:$F$649,'Schedule 4'!$I$89:$I$649,'Well Cal.'!F$3,'Schedule 4'!$J$89:$J$649,'Well Cal.'!$E312)</f>
        <v>0</v>
      </c>
      <c r="G312" s="727">
        <f>SUMIFS('Schedule 4'!$F$89:$F$649,'Schedule 4'!$I$89:$I$649,'Well Cal.'!G$3,'Schedule 4'!$J$89:$J$649,'Well Cal.'!$E312)</f>
        <v>0</v>
      </c>
      <c r="H312" s="727">
        <f>SUMIFS('Schedule 4'!$F$89:$F$649,'Schedule 4'!$I$89:$I$649,'Well Cal.'!H$3,'Schedule 4'!$J$89:$J$649,'Well Cal.'!$E312)</f>
        <v>0</v>
      </c>
      <c r="I312" s="727">
        <f>SUMIFS('Schedule 4'!$F$89:$F$649,'Schedule 4'!$I$89:$I$649,'Well Cal.'!I$3,'Schedule 4'!$J$89:$J$649,'Well Cal.'!$E312)</f>
        <v>0</v>
      </c>
      <c r="J312" s="727">
        <f>SUMIFS('Schedule 4'!$F$89:$F$649,'Schedule 4'!$I$89:$I$649,'Well Cal.'!J$3,'Schedule 4'!$J$89:$J$649,'Well Cal.'!$E312)</f>
        <v>0</v>
      </c>
      <c r="K312" s="727">
        <f>SUMIFS('Schedule 4'!$F$89:$F$649,'Schedule 4'!$I$89:$I$649,'Well Cal.'!K$3,'Schedule 4'!$J$89:$J$649,'Well Cal.'!$E312)</f>
        <v>0</v>
      </c>
      <c r="L312" s="727">
        <f>SUMIFS('Schedule 4'!$F$89:$F$649,'Schedule 4'!$I$89:$I$649,'Well Cal.'!L$3,'Schedule 4'!$J$89:$J$649,'Well Cal.'!$E312)</f>
        <v>0</v>
      </c>
      <c r="M312" s="727">
        <f>SUMIFS('Schedule 4'!$F$89:$F$649,'Schedule 4'!$I$89:$I$649,'Well Cal.'!M$3,'Schedule 4'!$J$89:$J$649,'Well Cal.'!$E312)</f>
        <v>0</v>
      </c>
      <c r="N312" s="727">
        <f>SUMIFS('Schedule 4'!$F$89:$F$649,'Schedule 4'!$I$89:$I$649,'Well Cal.'!N$3,'Schedule 4'!$J$89:$J$649,'Well Cal.'!$E312)</f>
        <v>0</v>
      </c>
      <c r="O312" s="727">
        <f>SUMIFS('Schedule 4'!$F$89:$F$649,'Schedule 4'!$I$89:$I$649,'Well Cal.'!O$3,'Schedule 4'!$J$89:$J$649,'Well Cal.'!$E312)</f>
        <v>0</v>
      </c>
      <c r="P312" s="727">
        <f>SUMIFS('Schedule 4'!$F$89:$F$649,'Schedule 4'!$I$89:$I$649,'Well Cal.'!P$3,'Schedule 4'!$J$89:$J$649,'Well Cal.'!$E312)</f>
        <v>0</v>
      </c>
      <c r="Q312" s="727">
        <f>SUMIFS('Schedule 4'!$F$89:$F$649,'Schedule 4'!$I$89:$I$649,'Well Cal.'!Q$3,'Schedule 4'!$J$89:$J$649,'Well Cal.'!$E312)</f>
        <v>0</v>
      </c>
      <c r="R312" s="727">
        <f>SUMIFS('Schedule 4'!$F$89:$F$649,'Schedule 4'!$I$89:$I$649,'Well Cal.'!R$3,'Schedule 4'!$J$89:$J$649,'Well Cal.'!$E312)</f>
        <v>0</v>
      </c>
      <c r="S312" s="727">
        <f>SUMIFS('Schedule 4'!$F$89:$F$649,'Schedule 4'!$I$89:$I$649,'Well Cal.'!S$3,'Schedule 4'!$J$89:$J$649,'Well Cal.'!$E312)</f>
        <v>0</v>
      </c>
      <c r="T312" s="727">
        <f>SUMIFS('Schedule 4'!$F$89:$F$649,'Schedule 4'!$I$89:$I$649,'Well Cal.'!T$3,'Schedule 4'!$J$89:$J$649,'Well Cal.'!$E312)</f>
        <v>0</v>
      </c>
      <c r="U312" s="727">
        <f>SUMIFS('Schedule 4'!$F$89:$F$649,'Schedule 4'!$I$89:$I$649,'Well Cal.'!U$3,'Schedule 4'!$J$89:$J$649,'Well Cal.'!$E312)</f>
        <v>0</v>
      </c>
      <c r="V312" s="727">
        <f>SUMIFS('Schedule 4'!$F$89:$F$649,'Schedule 4'!$I$89:$I$649,'Well Cal.'!V$3,'Schedule 4'!$J$89:$J$649,'Well Cal.'!$E312)</f>
        <v>0</v>
      </c>
      <c r="W312" s="727">
        <f>SUMIFS('Schedule 4'!$F$89:$F$649,'Schedule 4'!$I$89:$I$649,'Well Cal.'!W$3,'Schedule 4'!$J$89:$J$649,'Well Cal.'!$E312)</f>
        <v>0</v>
      </c>
      <c r="X312" s="727">
        <f>SUMIFS('Schedule 4'!$F$89:$F$649,'Schedule 4'!$I$89:$I$649,'Well Cal.'!X$3,'Schedule 4'!$J$89:$J$649,'Well Cal.'!$E312)</f>
        <v>0</v>
      </c>
      <c r="Y312" s="727">
        <f>SUMIFS('Schedule 4'!$F$89:$F$649,'Schedule 4'!$I$89:$I$649,'Well Cal.'!Y$3,'Schedule 4'!$J$89:$J$649,'Well Cal.'!$E312)</f>
        <v>0</v>
      </c>
      <c r="Z312" s="727">
        <f>SUMIFS('Schedule 4'!$F$89:$F$649,'Schedule 4'!$I$89:$I$649,'Well Cal.'!Z$3,'Schedule 4'!$J$89:$J$649,'Well Cal.'!$E312)</f>
        <v>0</v>
      </c>
      <c r="AA312" s="727"/>
      <c r="AB312" s="1731"/>
      <c r="AC312" s="1731"/>
    </row>
    <row r="313" spans="2:31" x14ac:dyDescent="0.3">
      <c r="B313" s="1724"/>
      <c r="C313" s="1727"/>
      <c r="D313" s="1721"/>
      <c r="E313" s="775" t="s">
        <v>4406</v>
      </c>
      <c r="F313" s="727">
        <f>SUMIFS('Schedule 4'!$F$89:$F$649,'Schedule 4'!$I$89:$I$649,'Well Cal.'!F$3,'Schedule 4'!$J$89:$J$649,'Well Cal.'!$E313)</f>
        <v>0</v>
      </c>
      <c r="G313" s="727">
        <f>SUMIFS('Schedule 4'!$F$89:$F$649,'Schedule 4'!$I$89:$I$649,'Well Cal.'!G$3,'Schedule 4'!$J$89:$J$649,'Well Cal.'!$E313)</f>
        <v>0</v>
      </c>
      <c r="H313" s="727">
        <f>SUMIFS('Schedule 4'!$F$89:$F$649,'Schedule 4'!$I$89:$I$649,'Well Cal.'!H$3,'Schedule 4'!$J$89:$J$649,'Well Cal.'!$E313)</f>
        <v>0</v>
      </c>
      <c r="I313" s="727">
        <f>SUMIFS('Schedule 4'!$F$89:$F$649,'Schedule 4'!$I$89:$I$649,'Well Cal.'!I$3,'Schedule 4'!$J$89:$J$649,'Well Cal.'!$E313)</f>
        <v>0</v>
      </c>
      <c r="J313" s="727">
        <f>SUMIFS('Schedule 4'!$F$89:$F$649,'Schedule 4'!$I$89:$I$649,'Well Cal.'!J$3,'Schedule 4'!$J$89:$J$649,'Well Cal.'!$E313)</f>
        <v>0</v>
      </c>
      <c r="K313" s="727">
        <f>SUMIFS('Schedule 4'!$F$89:$F$649,'Schedule 4'!$I$89:$I$649,'Well Cal.'!K$3,'Schedule 4'!$J$89:$J$649,'Well Cal.'!$E313)</f>
        <v>0</v>
      </c>
      <c r="L313" s="727">
        <f>SUMIFS('Schedule 4'!$F$89:$F$649,'Schedule 4'!$I$89:$I$649,'Well Cal.'!L$3,'Schedule 4'!$J$89:$J$649,'Well Cal.'!$E313)</f>
        <v>0</v>
      </c>
      <c r="M313" s="727">
        <f>SUMIFS('Schedule 4'!$F$89:$F$649,'Schedule 4'!$I$89:$I$649,'Well Cal.'!M$3,'Schedule 4'!$J$89:$J$649,'Well Cal.'!$E313)</f>
        <v>0</v>
      </c>
      <c r="N313" s="727">
        <f>SUMIFS('Schedule 4'!$F$89:$F$649,'Schedule 4'!$I$89:$I$649,'Well Cal.'!N$3,'Schedule 4'!$J$89:$J$649,'Well Cal.'!$E313)</f>
        <v>0</v>
      </c>
      <c r="O313" s="727">
        <f>SUMIFS('Schedule 4'!$F$89:$F$649,'Schedule 4'!$I$89:$I$649,'Well Cal.'!O$3,'Schedule 4'!$J$89:$J$649,'Well Cal.'!$E313)</f>
        <v>0</v>
      </c>
      <c r="P313" s="727">
        <f>SUMIFS('Schedule 4'!$F$89:$F$649,'Schedule 4'!$I$89:$I$649,'Well Cal.'!P$3,'Schedule 4'!$J$89:$J$649,'Well Cal.'!$E313)</f>
        <v>0</v>
      </c>
      <c r="Q313" s="727">
        <f>SUMIFS('Schedule 4'!$F$89:$F$649,'Schedule 4'!$I$89:$I$649,'Well Cal.'!Q$3,'Schedule 4'!$J$89:$J$649,'Well Cal.'!$E313)</f>
        <v>0</v>
      </c>
      <c r="R313" s="727">
        <f>SUMIFS('Schedule 4'!$F$89:$F$649,'Schedule 4'!$I$89:$I$649,'Well Cal.'!R$3,'Schedule 4'!$J$89:$J$649,'Well Cal.'!$E313)</f>
        <v>0</v>
      </c>
      <c r="S313" s="727">
        <f>SUMIFS('Schedule 4'!$F$89:$F$649,'Schedule 4'!$I$89:$I$649,'Well Cal.'!S$3,'Schedule 4'!$J$89:$J$649,'Well Cal.'!$E313)</f>
        <v>0</v>
      </c>
      <c r="T313" s="727">
        <f>SUMIFS('Schedule 4'!$F$89:$F$649,'Schedule 4'!$I$89:$I$649,'Well Cal.'!T$3,'Schedule 4'!$J$89:$J$649,'Well Cal.'!$E313)</f>
        <v>0</v>
      </c>
      <c r="U313" s="727">
        <f>SUMIFS('Schedule 4'!$F$89:$F$649,'Schedule 4'!$I$89:$I$649,'Well Cal.'!U$3,'Schedule 4'!$J$89:$J$649,'Well Cal.'!$E313)</f>
        <v>0</v>
      </c>
      <c r="V313" s="727">
        <f>SUMIFS('Schedule 4'!$F$89:$F$649,'Schedule 4'!$I$89:$I$649,'Well Cal.'!V$3,'Schedule 4'!$J$89:$J$649,'Well Cal.'!$E313)</f>
        <v>0</v>
      </c>
      <c r="W313" s="727">
        <f>SUMIFS('Schedule 4'!$F$89:$F$649,'Schedule 4'!$I$89:$I$649,'Well Cal.'!W$3,'Schedule 4'!$J$89:$J$649,'Well Cal.'!$E313)</f>
        <v>0</v>
      </c>
      <c r="X313" s="727">
        <f>SUMIFS('Schedule 4'!$F$89:$F$649,'Schedule 4'!$I$89:$I$649,'Well Cal.'!X$3,'Schedule 4'!$J$89:$J$649,'Well Cal.'!$E313)</f>
        <v>0</v>
      </c>
      <c r="Y313" s="727">
        <f>SUMIFS('Schedule 4'!$F$89:$F$649,'Schedule 4'!$I$89:$I$649,'Well Cal.'!Y$3,'Schedule 4'!$J$89:$J$649,'Well Cal.'!$E313)</f>
        <v>0</v>
      </c>
      <c r="Z313" s="727">
        <f>SUMIFS('Schedule 4'!$F$89:$F$649,'Schedule 4'!$I$89:$I$649,'Well Cal.'!Z$3,'Schedule 4'!$J$89:$J$649,'Well Cal.'!$E313)</f>
        <v>0</v>
      </c>
      <c r="AA313" s="727"/>
      <c r="AB313" s="1731"/>
      <c r="AC313" s="1731"/>
    </row>
    <row r="314" spans="2:31" x14ac:dyDescent="0.3">
      <c r="B314" s="1724"/>
      <c r="C314" s="1727"/>
      <c r="D314" s="1721"/>
      <c r="E314" s="775" t="s">
        <v>4466</v>
      </c>
      <c r="F314" s="727">
        <f>SUMIFS('Schedule 4'!$F$89:$F$649,'Schedule 4'!$I$89:$I$649,'Well Cal.'!F$3,'Schedule 4'!$J$89:$J$649,'Well Cal.'!$E314)</f>
        <v>0</v>
      </c>
      <c r="G314" s="727">
        <f>SUMIFS('Schedule 4'!$F$89:$F$649,'Schedule 4'!$I$89:$I$649,'Well Cal.'!G$3,'Schedule 4'!$J$89:$J$649,'Well Cal.'!$E314)</f>
        <v>0</v>
      </c>
      <c r="H314" s="727">
        <f>SUMIFS('Schedule 4'!$F$89:$F$649,'Schedule 4'!$I$89:$I$649,'Well Cal.'!H$3,'Schedule 4'!$J$89:$J$649,'Well Cal.'!$E314)</f>
        <v>0</v>
      </c>
      <c r="I314" s="727">
        <f>SUMIFS('Schedule 4'!$F$89:$F$649,'Schedule 4'!$I$89:$I$649,'Well Cal.'!I$3,'Schedule 4'!$J$89:$J$649,'Well Cal.'!$E314)</f>
        <v>0</v>
      </c>
      <c r="J314" s="727">
        <f>SUMIFS('Schedule 4'!$F$89:$F$649,'Schedule 4'!$I$89:$I$649,'Well Cal.'!J$3,'Schedule 4'!$J$89:$J$649,'Well Cal.'!$E314)</f>
        <v>0</v>
      </c>
      <c r="K314" s="727">
        <f>SUMIFS('Schedule 4'!$F$89:$F$649,'Schedule 4'!$I$89:$I$649,'Well Cal.'!K$3,'Schedule 4'!$J$89:$J$649,'Well Cal.'!$E314)</f>
        <v>0</v>
      </c>
      <c r="L314" s="727">
        <f>SUMIFS('Schedule 4'!$F$89:$F$649,'Schedule 4'!$I$89:$I$649,'Well Cal.'!L$3,'Schedule 4'!$J$89:$J$649,'Well Cal.'!$E314)</f>
        <v>0</v>
      </c>
      <c r="M314" s="727">
        <f>SUMIFS('Schedule 4'!$F$89:$F$649,'Schedule 4'!$I$89:$I$649,'Well Cal.'!M$3,'Schedule 4'!$J$89:$J$649,'Well Cal.'!$E314)</f>
        <v>0</v>
      </c>
      <c r="N314" s="727">
        <f>SUMIFS('Schedule 4'!$F$89:$F$649,'Schedule 4'!$I$89:$I$649,'Well Cal.'!N$3,'Schedule 4'!$J$89:$J$649,'Well Cal.'!$E314)</f>
        <v>0</v>
      </c>
      <c r="O314" s="727">
        <f>SUMIFS('Schedule 4'!$F$89:$F$649,'Schedule 4'!$I$89:$I$649,'Well Cal.'!O$3,'Schedule 4'!$J$89:$J$649,'Well Cal.'!$E314)</f>
        <v>0</v>
      </c>
      <c r="P314" s="727">
        <f>SUMIFS('Schedule 4'!$F$89:$F$649,'Schedule 4'!$I$89:$I$649,'Well Cal.'!P$3,'Schedule 4'!$J$89:$J$649,'Well Cal.'!$E314)</f>
        <v>0</v>
      </c>
      <c r="Q314" s="727">
        <f>SUMIFS('Schedule 4'!$F$89:$F$649,'Schedule 4'!$I$89:$I$649,'Well Cal.'!Q$3,'Schedule 4'!$J$89:$J$649,'Well Cal.'!$E314)</f>
        <v>0</v>
      </c>
      <c r="R314" s="727">
        <f>SUMIFS('Schedule 4'!$F$89:$F$649,'Schedule 4'!$I$89:$I$649,'Well Cal.'!R$3,'Schedule 4'!$J$89:$J$649,'Well Cal.'!$E314)</f>
        <v>0</v>
      </c>
      <c r="S314" s="727">
        <f>SUMIFS('Schedule 4'!$F$89:$F$649,'Schedule 4'!$I$89:$I$649,'Well Cal.'!S$3,'Schedule 4'!$J$89:$J$649,'Well Cal.'!$E314)</f>
        <v>0</v>
      </c>
      <c r="T314" s="727">
        <f>SUMIFS('Schedule 4'!$F$89:$F$649,'Schedule 4'!$I$89:$I$649,'Well Cal.'!T$3,'Schedule 4'!$J$89:$J$649,'Well Cal.'!$E314)</f>
        <v>0</v>
      </c>
      <c r="U314" s="727">
        <f>SUMIFS('Schedule 4'!$F$89:$F$649,'Schedule 4'!$I$89:$I$649,'Well Cal.'!U$3,'Schedule 4'!$J$89:$J$649,'Well Cal.'!$E314)</f>
        <v>0</v>
      </c>
      <c r="V314" s="727">
        <f>SUMIFS('Schedule 4'!$F$89:$F$649,'Schedule 4'!$I$89:$I$649,'Well Cal.'!V$3,'Schedule 4'!$J$89:$J$649,'Well Cal.'!$E314)</f>
        <v>0</v>
      </c>
      <c r="W314" s="727">
        <f>SUMIFS('Schedule 4'!$F$89:$F$649,'Schedule 4'!$I$89:$I$649,'Well Cal.'!W$3,'Schedule 4'!$J$89:$J$649,'Well Cal.'!$E314)</f>
        <v>0</v>
      </c>
      <c r="X314" s="727">
        <f>SUMIFS('Schedule 4'!$F$89:$F$649,'Schedule 4'!$I$89:$I$649,'Well Cal.'!X$3,'Schedule 4'!$J$89:$J$649,'Well Cal.'!$E314)</f>
        <v>0</v>
      </c>
      <c r="Y314" s="727">
        <f>SUMIFS('Schedule 4'!$F$89:$F$649,'Schedule 4'!$I$89:$I$649,'Well Cal.'!Y$3,'Schedule 4'!$J$89:$J$649,'Well Cal.'!$E314)</f>
        <v>0</v>
      </c>
      <c r="Z314" s="727">
        <f>SUMIFS('Schedule 4'!$F$89:$F$649,'Schedule 4'!$I$89:$I$649,'Well Cal.'!Z$3,'Schedule 4'!$J$89:$J$649,'Well Cal.'!$E314)</f>
        <v>0</v>
      </c>
      <c r="AA314" s="727"/>
      <c r="AB314" s="1731"/>
      <c r="AC314" s="1731"/>
    </row>
    <row r="315" spans="2:31" x14ac:dyDescent="0.3">
      <c r="B315" s="1724"/>
      <c r="C315" s="1727"/>
      <c r="D315" s="1721"/>
      <c r="E315" s="775" t="s">
        <v>4512</v>
      </c>
      <c r="F315" s="727">
        <f>SUMIFS('Schedule 4'!$F$89:$F$649,'Schedule 4'!$I$89:$I$649,'Well Cal.'!F$3,'Schedule 4'!$J$89:$J$649,'Well Cal.'!$E315)</f>
        <v>0</v>
      </c>
      <c r="G315" s="727">
        <f>SUMIFS('Schedule 4'!$F$89:$F$649,'Schedule 4'!$I$89:$I$649,'Well Cal.'!G$3,'Schedule 4'!$J$89:$J$649,'Well Cal.'!$E315)</f>
        <v>0</v>
      </c>
      <c r="H315" s="727">
        <f>SUMIFS('Schedule 4'!$F$89:$F$649,'Schedule 4'!$I$89:$I$649,'Well Cal.'!H$3,'Schedule 4'!$J$89:$J$649,'Well Cal.'!$E315)</f>
        <v>0</v>
      </c>
      <c r="I315" s="727">
        <f>SUMIFS('Schedule 4'!$F$89:$F$649,'Schedule 4'!$I$89:$I$649,'Well Cal.'!I$3,'Schedule 4'!$J$89:$J$649,'Well Cal.'!$E315)</f>
        <v>0</v>
      </c>
      <c r="J315" s="727">
        <f>SUMIFS('Schedule 4'!$F$89:$F$649,'Schedule 4'!$I$89:$I$649,'Well Cal.'!J$3,'Schedule 4'!$J$89:$J$649,'Well Cal.'!$E315)</f>
        <v>0</v>
      </c>
      <c r="K315" s="727">
        <f>SUMIFS('Schedule 4'!$F$89:$F$649,'Schedule 4'!$I$89:$I$649,'Well Cal.'!K$3,'Schedule 4'!$J$89:$J$649,'Well Cal.'!$E315)</f>
        <v>0</v>
      </c>
      <c r="L315" s="727">
        <f>SUMIFS('Schedule 4'!$F$89:$F$649,'Schedule 4'!$I$89:$I$649,'Well Cal.'!L$3,'Schedule 4'!$J$89:$J$649,'Well Cal.'!$E315)</f>
        <v>0</v>
      </c>
      <c r="M315" s="727">
        <f>SUMIFS('Schedule 4'!$F$89:$F$649,'Schedule 4'!$I$89:$I$649,'Well Cal.'!M$3,'Schedule 4'!$J$89:$J$649,'Well Cal.'!$E315)</f>
        <v>0</v>
      </c>
      <c r="N315" s="727">
        <f>SUMIFS('Schedule 4'!$F$89:$F$649,'Schedule 4'!$I$89:$I$649,'Well Cal.'!N$3,'Schedule 4'!$J$89:$J$649,'Well Cal.'!$E315)</f>
        <v>0</v>
      </c>
      <c r="O315" s="727">
        <f>SUMIFS('Schedule 4'!$F$89:$F$649,'Schedule 4'!$I$89:$I$649,'Well Cal.'!O$3,'Schedule 4'!$J$89:$J$649,'Well Cal.'!$E315)</f>
        <v>0</v>
      </c>
      <c r="P315" s="727">
        <f>SUMIFS('Schedule 4'!$F$89:$F$649,'Schedule 4'!$I$89:$I$649,'Well Cal.'!P$3,'Schedule 4'!$J$89:$J$649,'Well Cal.'!$E315)</f>
        <v>0</v>
      </c>
      <c r="Q315" s="727">
        <f>SUMIFS('Schedule 4'!$F$89:$F$649,'Schedule 4'!$I$89:$I$649,'Well Cal.'!Q$3,'Schedule 4'!$J$89:$J$649,'Well Cal.'!$E315)</f>
        <v>0</v>
      </c>
      <c r="R315" s="727">
        <f>SUMIFS('Schedule 4'!$F$89:$F$649,'Schedule 4'!$I$89:$I$649,'Well Cal.'!R$3,'Schedule 4'!$J$89:$J$649,'Well Cal.'!$E315)</f>
        <v>0</v>
      </c>
      <c r="S315" s="727">
        <f>SUMIFS('Schedule 4'!$F$89:$F$649,'Schedule 4'!$I$89:$I$649,'Well Cal.'!S$3,'Schedule 4'!$J$89:$J$649,'Well Cal.'!$E315)</f>
        <v>0</v>
      </c>
      <c r="T315" s="727">
        <f>SUMIFS('Schedule 4'!$F$89:$F$649,'Schedule 4'!$I$89:$I$649,'Well Cal.'!T$3,'Schedule 4'!$J$89:$J$649,'Well Cal.'!$E315)</f>
        <v>0</v>
      </c>
      <c r="U315" s="727">
        <f>SUMIFS('Schedule 4'!$F$89:$F$649,'Schedule 4'!$I$89:$I$649,'Well Cal.'!U$3,'Schedule 4'!$J$89:$J$649,'Well Cal.'!$E315)</f>
        <v>0</v>
      </c>
      <c r="V315" s="727">
        <f>SUMIFS('Schedule 4'!$F$89:$F$649,'Schedule 4'!$I$89:$I$649,'Well Cal.'!V$3,'Schedule 4'!$J$89:$J$649,'Well Cal.'!$E315)</f>
        <v>0</v>
      </c>
      <c r="W315" s="727">
        <f>SUMIFS('Schedule 4'!$F$89:$F$649,'Schedule 4'!$I$89:$I$649,'Well Cal.'!W$3,'Schedule 4'!$J$89:$J$649,'Well Cal.'!$E315)</f>
        <v>0</v>
      </c>
      <c r="X315" s="727">
        <f>SUMIFS('Schedule 4'!$F$89:$F$649,'Schedule 4'!$I$89:$I$649,'Well Cal.'!X$3,'Schedule 4'!$J$89:$J$649,'Well Cal.'!$E315)</f>
        <v>0</v>
      </c>
      <c r="Y315" s="727">
        <f>SUMIFS('Schedule 4'!$F$89:$F$649,'Schedule 4'!$I$89:$I$649,'Well Cal.'!Y$3,'Schedule 4'!$J$89:$J$649,'Well Cal.'!$E315)</f>
        <v>0</v>
      </c>
      <c r="Z315" s="727">
        <f>SUMIFS('Schedule 4'!$F$89:$F$649,'Schedule 4'!$I$89:$I$649,'Well Cal.'!Z$3,'Schedule 4'!$J$89:$J$649,'Well Cal.'!$E315)</f>
        <v>0</v>
      </c>
      <c r="AA315" s="727"/>
      <c r="AB315" s="1731"/>
      <c r="AC315" s="1731"/>
    </row>
    <row r="316" spans="2:31" x14ac:dyDescent="0.3">
      <c r="B316" s="1724"/>
      <c r="C316" s="1727"/>
      <c r="D316" s="1721"/>
      <c r="E316" s="775" t="s">
        <v>4563</v>
      </c>
      <c r="F316" s="727">
        <f>SUMIFS('Schedule 4'!$F$89:$F$649,'Schedule 4'!$I$89:$I$649,'Well Cal.'!F$3,'Schedule 4'!$J$89:$J$649,'Well Cal.'!$E316)</f>
        <v>0</v>
      </c>
      <c r="G316" s="727">
        <f>SUMIFS('Schedule 4'!$F$89:$F$649,'Schedule 4'!$I$89:$I$649,'Well Cal.'!G$3,'Schedule 4'!$J$89:$J$649,'Well Cal.'!$E316)</f>
        <v>0</v>
      </c>
      <c r="H316" s="727">
        <f>SUMIFS('Schedule 4'!$F$89:$F$649,'Schedule 4'!$I$89:$I$649,'Well Cal.'!H$3,'Schedule 4'!$J$89:$J$649,'Well Cal.'!$E316)</f>
        <v>0</v>
      </c>
      <c r="I316" s="727">
        <f>SUMIFS('Schedule 4'!$F$89:$F$649,'Schedule 4'!$I$89:$I$649,'Well Cal.'!I$3,'Schedule 4'!$J$89:$J$649,'Well Cal.'!$E316)</f>
        <v>0</v>
      </c>
      <c r="J316" s="727">
        <f>SUMIFS('Schedule 4'!$F$89:$F$649,'Schedule 4'!$I$89:$I$649,'Well Cal.'!J$3,'Schedule 4'!$J$89:$J$649,'Well Cal.'!$E316)</f>
        <v>0</v>
      </c>
      <c r="K316" s="727">
        <f>SUMIFS('Schedule 4'!$F$89:$F$649,'Schedule 4'!$I$89:$I$649,'Well Cal.'!K$3,'Schedule 4'!$J$89:$J$649,'Well Cal.'!$E316)</f>
        <v>0</v>
      </c>
      <c r="L316" s="727">
        <f>SUMIFS('Schedule 4'!$F$89:$F$649,'Schedule 4'!$I$89:$I$649,'Well Cal.'!L$3,'Schedule 4'!$J$89:$J$649,'Well Cal.'!$E316)</f>
        <v>0</v>
      </c>
      <c r="M316" s="727">
        <f>SUMIFS('Schedule 4'!$F$89:$F$649,'Schedule 4'!$I$89:$I$649,'Well Cal.'!M$3,'Schedule 4'!$J$89:$J$649,'Well Cal.'!$E316)</f>
        <v>0</v>
      </c>
      <c r="N316" s="727">
        <f>SUMIFS('Schedule 4'!$F$89:$F$649,'Schedule 4'!$I$89:$I$649,'Well Cal.'!N$3,'Schedule 4'!$J$89:$J$649,'Well Cal.'!$E316)</f>
        <v>0</v>
      </c>
      <c r="O316" s="727">
        <f>SUMIFS('Schedule 4'!$F$89:$F$649,'Schedule 4'!$I$89:$I$649,'Well Cal.'!O$3,'Schedule 4'!$J$89:$J$649,'Well Cal.'!$E316)</f>
        <v>0</v>
      </c>
      <c r="P316" s="727">
        <f>SUMIFS('Schedule 4'!$F$89:$F$649,'Schedule 4'!$I$89:$I$649,'Well Cal.'!P$3,'Schedule 4'!$J$89:$J$649,'Well Cal.'!$E316)</f>
        <v>0</v>
      </c>
      <c r="Q316" s="727">
        <f>SUMIFS('Schedule 4'!$F$89:$F$649,'Schedule 4'!$I$89:$I$649,'Well Cal.'!Q$3,'Schedule 4'!$J$89:$J$649,'Well Cal.'!$E316)</f>
        <v>0</v>
      </c>
      <c r="R316" s="727">
        <f>SUMIFS('Schedule 4'!$F$89:$F$649,'Schedule 4'!$I$89:$I$649,'Well Cal.'!R$3,'Schedule 4'!$J$89:$J$649,'Well Cal.'!$E316)</f>
        <v>0</v>
      </c>
      <c r="S316" s="727">
        <f>SUMIFS('Schedule 4'!$F$89:$F$649,'Schedule 4'!$I$89:$I$649,'Well Cal.'!S$3,'Schedule 4'!$J$89:$J$649,'Well Cal.'!$E316)</f>
        <v>0</v>
      </c>
      <c r="T316" s="727">
        <f>SUMIFS('Schedule 4'!$F$89:$F$649,'Schedule 4'!$I$89:$I$649,'Well Cal.'!T$3,'Schedule 4'!$J$89:$J$649,'Well Cal.'!$E316)</f>
        <v>0</v>
      </c>
      <c r="U316" s="727">
        <f>SUMIFS('Schedule 4'!$F$89:$F$649,'Schedule 4'!$I$89:$I$649,'Well Cal.'!U$3,'Schedule 4'!$J$89:$J$649,'Well Cal.'!$E316)</f>
        <v>0</v>
      </c>
      <c r="V316" s="727">
        <f>SUMIFS('Schedule 4'!$F$89:$F$649,'Schedule 4'!$I$89:$I$649,'Well Cal.'!V$3,'Schedule 4'!$J$89:$J$649,'Well Cal.'!$E316)</f>
        <v>0</v>
      </c>
      <c r="W316" s="727">
        <f>SUMIFS('Schedule 4'!$F$89:$F$649,'Schedule 4'!$I$89:$I$649,'Well Cal.'!W$3,'Schedule 4'!$J$89:$J$649,'Well Cal.'!$E316)</f>
        <v>0</v>
      </c>
      <c r="X316" s="727">
        <f>SUMIFS('Schedule 4'!$F$89:$F$649,'Schedule 4'!$I$89:$I$649,'Well Cal.'!X$3,'Schedule 4'!$J$89:$J$649,'Well Cal.'!$E316)</f>
        <v>0</v>
      </c>
      <c r="Y316" s="727">
        <f>SUMIFS('Schedule 4'!$F$89:$F$649,'Schedule 4'!$I$89:$I$649,'Well Cal.'!Y$3,'Schedule 4'!$J$89:$J$649,'Well Cal.'!$E316)</f>
        <v>0</v>
      </c>
      <c r="Z316" s="727">
        <f>SUMIFS('Schedule 4'!$F$89:$F$649,'Schedule 4'!$I$89:$I$649,'Well Cal.'!Z$3,'Schedule 4'!$J$89:$J$649,'Well Cal.'!$E316)</f>
        <v>0</v>
      </c>
      <c r="AA316" s="727"/>
      <c r="AB316" s="1731"/>
      <c r="AC316" s="1731"/>
    </row>
    <row r="317" spans="2:31" x14ac:dyDescent="0.3">
      <c r="B317" s="1724"/>
      <c r="C317" s="1727"/>
      <c r="D317" s="1721"/>
      <c r="E317" s="775" t="s">
        <v>6124</v>
      </c>
      <c r="F317" s="727">
        <f>SUMIFS('Schedule 4'!$F$89:$F$649,'Schedule 4'!$I$89:$I$649,'Well Cal.'!F$3,'Schedule 4'!$J$89:$J$649,'Well Cal.'!$E317)</f>
        <v>0</v>
      </c>
      <c r="G317" s="727">
        <f>SUMIFS('Schedule 4'!$F$89:$F$649,'Schedule 4'!$I$89:$I$649,'Well Cal.'!G$3,'Schedule 4'!$J$89:$J$649,'Well Cal.'!$E317)</f>
        <v>0</v>
      </c>
      <c r="H317" s="727">
        <f>SUMIFS('Schedule 4'!$F$89:$F$649,'Schedule 4'!$I$89:$I$649,'Well Cal.'!H$3,'Schedule 4'!$J$89:$J$649,'Well Cal.'!$E317)</f>
        <v>0</v>
      </c>
      <c r="I317" s="727">
        <f>SUMIFS('Schedule 4'!$F$89:$F$649,'Schedule 4'!$I$89:$I$649,'Well Cal.'!I$3,'Schedule 4'!$J$89:$J$649,'Well Cal.'!$E317)</f>
        <v>0</v>
      </c>
      <c r="J317" s="727">
        <f>SUMIFS('Schedule 4'!$F$89:$F$649,'Schedule 4'!$I$89:$I$649,'Well Cal.'!J$3,'Schedule 4'!$J$89:$J$649,'Well Cal.'!$E317)</f>
        <v>0</v>
      </c>
      <c r="K317" s="727">
        <f>SUMIFS('Schedule 4'!$F$89:$F$649,'Schedule 4'!$I$89:$I$649,'Well Cal.'!K$3,'Schedule 4'!$J$89:$J$649,'Well Cal.'!$E317)</f>
        <v>0</v>
      </c>
      <c r="L317" s="727">
        <f>SUMIFS('Schedule 4'!$F$89:$F$649,'Schedule 4'!$I$89:$I$649,'Well Cal.'!L$3,'Schedule 4'!$J$89:$J$649,'Well Cal.'!$E317)</f>
        <v>0</v>
      </c>
      <c r="M317" s="727">
        <f>SUMIFS('Schedule 4'!$F$89:$F$649,'Schedule 4'!$I$89:$I$649,'Well Cal.'!M$3,'Schedule 4'!$J$89:$J$649,'Well Cal.'!$E317)</f>
        <v>0</v>
      </c>
      <c r="N317" s="727">
        <f>SUMIFS('Schedule 4'!$F$89:$F$649,'Schedule 4'!$I$89:$I$649,'Well Cal.'!N$3,'Schedule 4'!$J$89:$J$649,'Well Cal.'!$E317)</f>
        <v>0</v>
      </c>
      <c r="O317" s="727">
        <f>SUMIFS('Schedule 4'!$F$89:$F$649,'Schedule 4'!$I$89:$I$649,'Well Cal.'!O$3,'Schedule 4'!$J$89:$J$649,'Well Cal.'!$E317)</f>
        <v>0</v>
      </c>
      <c r="P317" s="727">
        <f>SUMIFS('Schedule 4'!$F$89:$F$649,'Schedule 4'!$I$89:$I$649,'Well Cal.'!P$3,'Schedule 4'!$J$89:$J$649,'Well Cal.'!$E317)</f>
        <v>0</v>
      </c>
      <c r="Q317" s="727">
        <f>SUMIFS('Schedule 4'!$F$89:$F$649,'Schedule 4'!$I$89:$I$649,'Well Cal.'!Q$3,'Schedule 4'!$J$89:$J$649,'Well Cal.'!$E317)</f>
        <v>0</v>
      </c>
      <c r="R317" s="727">
        <f>SUMIFS('Schedule 4'!$F$89:$F$649,'Schedule 4'!$I$89:$I$649,'Well Cal.'!R$3,'Schedule 4'!$J$89:$J$649,'Well Cal.'!$E317)</f>
        <v>0</v>
      </c>
      <c r="S317" s="727">
        <f>SUMIFS('Schedule 4'!$F$89:$F$649,'Schedule 4'!$I$89:$I$649,'Well Cal.'!S$3,'Schedule 4'!$J$89:$J$649,'Well Cal.'!$E317)</f>
        <v>0</v>
      </c>
      <c r="T317" s="727">
        <f>SUMIFS('Schedule 4'!$F$89:$F$649,'Schedule 4'!$I$89:$I$649,'Well Cal.'!T$3,'Schedule 4'!$J$89:$J$649,'Well Cal.'!$E317)</f>
        <v>0</v>
      </c>
      <c r="U317" s="727">
        <f>SUMIFS('Schedule 4'!$F$89:$F$649,'Schedule 4'!$I$89:$I$649,'Well Cal.'!U$3,'Schedule 4'!$J$89:$J$649,'Well Cal.'!$E317)</f>
        <v>0</v>
      </c>
      <c r="V317" s="727">
        <f>SUMIFS('Schedule 4'!$F$89:$F$649,'Schedule 4'!$I$89:$I$649,'Well Cal.'!V$3,'Schedule 4'!$J$89:$J$649,'Well Cal.'!$E317)</f>
        <v>0</v>
      </c>
      <c r="W317" s="727">
        <f>SUMIFS('Schedule 4'!$F$89:$F$649,'Schedule 4'!$I$89:$I$649,'Well Cal.'!W$3,'Schedule 4'!$J$89:$J$649,'Well Cal.'!$E317)</f>
        <v>0</v>
      </c>
      <c r="X317" s="727">
        <f>SUMIFS('Schedule 4'!$F$89:$F$649,'Schedule 4'!$I$89:$I$649,'Well Cal.'!X$3,'Schedule 4'!$J$89:$J$649,'Well Cal.'!$E317)</f>
        <v>0</v>
      </c>
      <c r="Y317" s="727">
        <f>SUMIFS('Schedule 4'!$F$89:$F$649,'Schedule 4'!$I$89:$I$649,'Well Cal.'!Y$3,'Schedule 4'!$J$89:$J$649,'Well Cal.'!$E317)</f>
        <v>0</v>
      </c>
      <c r="Z317" s="727">
        <f>SUMIFS('Schedule 4'!$F$89:$F$649,'Schedule 4'!$I$89:$I$649,'Well Cal.'!Z$3,'Schedule 4'!$J$89:$J$649,'Well Cal.'!$E317)</f>
        <v>0</v>
      </c>
      <c r="AA317" s="727"/>
      <c r="AB317" s="1731"/>
      <c r="AC317" s="1731"/>
    </row>
    <row r="318" spans="2:31" x14ac:dyDescent="0.3">
      <c r="B318" s="1725"/>
      <c r="C318" s="1728"/>
      <c r="D318" s="1722"/>
      <c r="E318" s="776"/>
      <c r="F318" s="777"/>
      <c r="G318" s="777"/>
      <c r="H318" s="777"/>
      <c r="I318" s="777"/>
      <c r="J318" s="777"/>
      <c r="K318" s="777"/>
      <c r="L318" s="777"/>
      <c r="M318" s="777"/>
      <c r="N318" s="777"/>
      <c r="O318" s="777"/>
      <c r="P318" s="777"/>
      <c r="Q318" s="777"/>
      <c r="R318" s="777"/>
      <c r="S318" s="777"/>
      <c r="T318" s="777"/>
      <c r="U318" s="777"/>
      <c r="V318" s="777"/>
      <c r="W318" s="777"/>
      <c r="X318" s="777"/>
      <c r="Y318" s="777"/>
      <c r="Z318" s="777"/>
      <c r="AA318" s="777"/>
      <c r="AB318" s="1732"/>
      <c r="AC318" s="1732"/>
    </row>
    <row r="319" spans="2:31" x14ac:dyDescent="0.3">
      <c r="B319" s="1723" t="s">
        <v>1909</v>
      </c>
      <c r="C319" s="1726">
        <v>50.55</v>
      </c>
      <c r="D319" s="1720">
        <f>SUMIFS('Schedule 4'!$F$89:$F$649,'Schedule 4'!$K$89:$K$649,'Well Cal.'!$B319)</f>
        <v>0</v>
      </c>
      <c r="E319" s="754" t="s">
        <v>3141</v>
      </c>
      <c r="F319" s="728">
        <f>SUMIFS('Schedule 4'!$F$89:$F$649,'Schedule 4'!$I$89:$I$649,'Well Cal.'!F$3,'Schedule 4'!$J$89:$J$649,'Well Cal.'!$E319)</f>
        <v>0</v>
      </c>
      <c r="G319" s="728">
        <f>SUMIFS('Schedule 4'!$F$89:$F$649,'Schedule 4'!$I$89:$I$649,'Well Cal.'!G$3,'Schedule 4'!$J$89:$J$649,'Well Cal.'!$E319)</f>
        <v>0</v>
      </c>
      <c r="H319" s="728">
        <f>SUMIFS('Schedule 4'!$F$89:$F$649,'Schedule 4'!$I$89:$I$649,'Well Cal.'!H$3,'Schedule 4'!$J$89:$J$649,'Well Cal.'!$E319)</f>
        <v>0</v>
      </c>
      <c r="I319" s="728">
        <f>SUMIFS('Schedule 4'!$F$89:$F$649,'Schedule 4'!$I$89:$I$649,'Well Cal.'!I$3,'Schedule 4'!$J$89:$J$649,'Well Cal.'!$E319)</f>
        <v>0</v>
      </c>
      <c r="J319" s="728">
        <f>SUMIFS('Schedule 4'!$F$89:$F$649,'Schedule 4'!$I$89:$I$649,'Well Cal.'!J$3,'Schedule 4'!$J$89:$J$649,'Well Cal.'!$E319)</f>
        <v>0</v>
      </c>
      <c r="K319" s="728">
        <f>SUMIFS('Schedule 4'!$F$89:$F$649,'Schedule 4'!$I$89:$I$649,'Well Cal.'!K$3,'Schedule 4'!$J$89:$J$649,'Well Cal.'!$E319)</f>
        <v>0</v>
      </c>
      <c r="L319" s="728">
        <f>SUMIFS('Schedule 4'!$F$89:$F$649,'Schedule 4'!$I$89:$I$649,'Well Cal.'!L$3,'Schedule 4'!$J$89:$J$649,'Well Cal.'!$E319)</f>
        <v>0</v>
      </c>
      <c r="M319" s="728">
        <f>SUMIFS('Schedule 4'!$F$89:$F$649,'Schedule 4'!$I$89:$I$649,'Well Cal.'!M$3,'Schedule 4'!$J$89:$J$649,'Well Cal.'!$E319)</f>
        <v>0</v>
      </c>
      <c r="N319" s="728">
        <f>SUMIFS('Schedule 4'!$F$89:$F$649,'Schedule 4'!$I$89:$I$649,'Well Cal.'!N$3,'Schedule 4'!$J$89:$J$649,'Well Cal.'!$E319)</f>
        <v>0</v>
      </c>
      <c r="O319" s="728">
        <f>SUMIFS('Schedule 4'!$F$89:$F$649,'Schedule 4'!$I$89:$I$649,'Well Cal.'!O$3,'Schedule 4'!$J$89:$J$649,'Well Cal.'!$E319)</f>
        <v>0</v>
      </c>
      <c r="P319" s="728">
        <f>SUMIFS('Schedule 4'!$F$89:$F$649,'Schedule 4'!$I$89:$I$649,'Well Cal.'!P$3,'Schedule 4'!$J$89:$J$649,'Well Cal.'!$E319)</f>
        <v>0</v>
      </c>
      <c r="Q319" s="728">
        <f>SUMIFS('Schedule 4'!$F$89:$F$649,'Schedule 4'!$I$89:$I$649,'Well Cal.'!Q$3,'Schedule 4'!$J$89:$J$649,'Well Cal.'!$E319)</f>
        <v>0</v>
      </c>
      <c r="R319" s="728">
        <f>SUMIFS('Schedule 4'!$F$89:$F$649,'Schedule 4'!$I$89:$I$649,'Well Cal.'!R$3,'Schedule 4'!$J$89:$J$649,'Well Cal.'!$E319)</f>
        <v>0</v>
      </c>
      <c r="S319" s="728">
        <f>SUMIFS('Schedule 4'!$F$89:$F$649,'Schedule 4'!$I$89:$I$649,'Well Cal.'!S$3,'Schedule 4'!$J$89:$J$649,'Well Cal.'!$E319)</f>
        <v>0</v>
      </c>
      <c r="T319" s="728">
        <f>SUMIFS('Schedule 4'!$F$89:$F$649,'Schedule 4'!$I$89:$I$649,'Well Cal.'!T$3,'Schedule 4'!$J$89:$J$649,'Well Cal.'!$E319)</f>
        <v>0</v>
      </c>
      <c r="U319" s="728">
        <f>SUMIFS('Schedule 4'!$F$89:$F$649,'Schedule 4'!$I$89:$I$649,'Well Cal.'!U$3,'Schedule 4'!$J$89:$J$649,'Well Cal.'!$E319)</f>
        <v>0</v>
      </c>
      <c r="V319" s="728">
        <f>SUMIFS('Schedule 4'!$F$89:$F$649,'Schedule 4'!$I$89:$I$649,'Well Cal.'!V$3,'Schedule 4'!$J$89:$J$649,'Well Cal.'!$E319)</f>
        <v>0</v>
      </c>
      <c r="W319" s="728">
        <f>SUMIFS('Schedule 4'!$F$89:$F$649,'Schedule 4'!$I$89:$I$649,'Well Cal.'!W$3,'Schedule 4'!$J$89:$J$649,'Well Cal.'!$E319)</f>
        <v>0</v>
      </c>
      <c r="X319" s="728">
        <f>SUMIFS('Schedule 4'!$F$89:$F$649,'Schedule 4'!$I$89:$I$649,'Well Cal.'!X$3,'Schedule 4'!$J$89:$J$649,'Well Cal.'!$E319)</f>
        <v>0</v>
      </c>
      <c r="Y319" s="728">
        <f>SUMIFS('Schedule 4'!$F$89:$F$649,'Schedule 4'!$I$89:$I$649,'Well Cal.'!Y$3,'Schedule 4'!$J$89:$J$649,'Well Cal.'!$E319)</f>
        <v>0</v>
      </c>
      <c r="Z319" s="728">
        <f>SUMIFS('Schedule 4'!$F$89:$F$649,'Schedule 4'!$I$89:$I$649,'Well Cal.'!Z$3,'Schedule 4'!$J$89:$J$649,'Well Cal.'!$E319)</f>
        <v>0</v>
      </c>
      <c r="AA319" s="728"/>
      <c r="AB319" s="1729">
        <f>SUM(F319:AA339)</f>
        <v>0</v>
      </c>
      <c r="AC319" s="1729">
        <f>D319-AB319</f>
        <v>0</v>
      </c>
    </row>
    <row r="320" spans="2:31" x14ac:dyDescent="0.3">
      <c r="B320" s="1724"/>
      <c r="C320" s="1727"/>
      <c r="D320" s="1721"/>
      <c r="E320" s="761" t="s">
        <v>3226</v>
      </c>
      <c r="F320" s="726">
        <f>SUMIFS('Schedule 4'!$F$89:$F$649,'Schedule 4'!$I$89:$I$649,'Well Cal.'!F$3,'Schedule 4'!$J$89:$J$649,'Well Cal.'!$E320)</f>
        <v>0</v>
      </c>
      <c r="G320" s="726">
        <f>SUMIFS('Schedule 4'!$F$89:$F$649,'Schedule 4'!$I$89:$I$649,'Well Cal.'!G$3,'Schedule 4'!$J$89:$J$649,'Well Cal.'!$E320)</f>
        <v>0</v>
      </c>
      <c r="H320" s="726">
        <f>SUMIFS('Schedule 4'!$F$89:$F$649,'Schedule 4'!$I$89:$I$649,'Well Cal.'!H$3,'Schedule 4'!$J$89:$J$649,'Well Cal.'!$E320)</f>
        <v>0</v>
      </c>
      <c r="I320" s="726">
        <f>SUMIFS('Schedule 4'!$F$89:$F$649,'Schedule 4'!$I$89:$I$649,'Well Cal.'!I$3,'Schedule 4'!$J$89:$J$649,'Well Cal.'!$E320)</f>
        <v>0</v>
      </c>
      <c r="J320" s="726">
        <f>SUMIFS('Schedule 4'!$F$89:$F$649,'Schedule 4'!$I$89:$I$649,'Well Cal.'!J$3,'Schedule 4'!$J$89:$J$649,'Well Cal.'!$E320)</f>
        <v>0</v>
      </c>
      <c r="K320" s="726">
        <f>SUMIFS('Schedule 4'!$F$89:$F$649,'Schedule 4'!$I$89:$I$649,'Well Cal.'!K$3,'Schedule 4'!$J$89:$J$649,'Well Cal.'!$E320)</f>
        <v>0</v>
      </c>
      <c r="L320" s="726">
        <f>SUMIFS('Schedule 4'!$F$89:$F$649,'Schedule 4'!$I$89:$I$649,'Well Cal.'!L$3,'Schedule 4'!$J$89:$J$649,'Well Cal.'!$E320)</f>
        <v>0</v>
      </c>
      <c r="M320" s="726">
        <f>SUMIFS('Schedule 4'!$F$89:$F$649,'Schedule 4'!$I$89:$I$649,'Well Cal.'!M$3,'Schedule 4'!$J$89:$J$649,'Well Cal.'!$E320)</f>
        <v>0</v>
      </c>
      <c r="N320" s="726">
        <f>SUMIFS('Schedule 4'!$F$89:$F$649,'Schedule 4'!$I$89:$I$649,'Well Cal.'!N$3,'Schedule 4'!$J$89:$J$649,'Well Cal.'!$E320)</f>
        <v>0</v>
      </c>
      <c r="O320" s="726">
        <f>SUMIFS('Schedule 4'!$F$89:$F$649,'Schedule 4'!$I$89:$I$649,'Well Cal.'!O$3,'Schedule 4'!$J$89:$J$649,'Well Cal.'!$E320)</f>
        <v>0</v>
      </c>
      <c r="P320" s="726">
        <f>SUMIFS('Schedule 4'!$F$89:$F$649,'Schedule 4'!$I$89:$I$649,'Well Cal.'!P$3,'Schedule 4'!$J$89:$J$649,'Well Cal.'!$E320)</f>
        <v>0</v>
      </c>
      <c r="Q320" s="726">
        <f>SUMIFS('Schedule 4'!$F$89:$F$649,'Schedule 4'!$I$89:$I$649,'Well Cal.'!Q$3,'Schedule 4'!$J$89:$J$649,'Well Cal.'!$E320)</f>
        <v>0</v>
      </c>
      <c r="R320" s="726">
        <f>SUMIFS('Schedule 4'!$F$89:$F$649,'Schedule 4'!$I$89:$I$649,'Well Cal.'!R$3,'Schedule 4'!$J$89:$J$649,'Well Cal.'!$E320)</f>
        <v>0</v>
      </c>
      <c r="S320" s="726">
        <f>SUMIFS('Schedule 4'!$F$89:$F$649,'Schedule 4'!$I$89:$I$649,'Well Cal.'!S$3,'Schedule 4'!$J$89:$J$649,'Well Cal.'!$E320)</f>
        <v>0</v>
      </c>
      <c r="T320" s="726">
        <f>SUMIFS('Schedule 4'!$F$89:$F$649,'Schedule 4'!$I$89:$I$649,'Well Cal.'!T$3,'Schedule 4'!$J$89:$J$649,'Well Cal.'!$E320)</f>
        <v>0</v>
      </c>
      <c r="U320" s="726">
        <f>SUMIFS('Schedule 4'!$F$89:$F$649,'Schedule 4'!$I$89:$I$649,'Well Cal.'!U$3,'Schedule 4'!$J$89:$J$649,'Well Cal.'!$E320)</f>
        <v>0</v>
      </c>
      <c r="V320" s="726">
        <f>SUMIFS('Schedule 4'!$F$89:$F$649,'Schedule 4'!$I$89:$I$649,'Well Cal.'!V$3,'Schedule 4'!$J$89:$J$649,'Well Cal.'!$E320)</f>
        <v>0</v>
      </c>
      <c r="W320" s="726">
        <f>SUMIFS('Schedule 4'!$F$89:$F$649,'Schedule 4'!$I$89:$I$649,'Well Cal.'!W$3,'Schedule 4'!$J$89:$J$649,'Well Cal.'!$E320)</f>
        <v>0</v>
      </c>
      <c r="X320" s="726">
        <f>SUMIFS('Schedule 4'!$F$89:$F$649,'Schedule 4'!$I$89:$I$649,'Well Cal.'!X$3,'Schedule 4'!$J$89:$J$649,'Well Cal.'!$E320)</f>
        <v>0</v>
      </c>
      <c r="Y320" s="726">
        <f>SUMIFS('Schedule 4'!$F$89:$F$649,'Schedule 4'!$I$89:$I$649,'Well Cal.'!Y$3,'Schedule 4'!$J$89:$J$649,'Well Cal.'!$E320)</f>
        <v>0</v>
      </c>
      <c r="Z320" s="726">
        <f>SUMIFS('Schedule 4'!$F$89:$F$649,'Schedule 4'!$I$89:$I$649,'Well Cal.'!Z$3,'Schedule 4'!$J$89:$J$649,'Well Cal.'!$E320)</f>
        <v>0</v>
      </c>
      <c r="AA320" s="726"/>
      <c r="AB320" s="1730"/>
      <c r="AC320" s="1730"/>
    </row>
    <row r="321" spans="2:29" x14ac:dyDescent="0.3">
      <c r="B321" s="1724"/>
      <c r="C321" s="1727"/>
      <c r="D321" s="1721"/>
      <c r="E321" s="761" t="s">
        <v>3296</v>
      </c>
      <c r="F321" s="726">
        <f>SUMIFS('Schedule 4'!$F$89:$F$649,'Schedule 4'!$I$89:$I$649,'Well Cal.'!F$3,'Schedule 4'!$J$89:$J$649,'Well Cal.'!$E321)</f>
        <v>0</v>
      </c>
      <c r="G321" s="726">
        <f>SUMIFS('Schedule 4'!$F$89:$F$649,'Schedule 4'!$I$89:$I$649,'Well Cal.'!G$3,'Schedule 4'!$J$89:$J$649,'Well Cal.'!$E321)</f>
        <v>0</v>
      </c>
      <c r="H321" s="726">
        <f>SUMIFS('Schedule 4'!$F$89:$F$649,'Schedule 4'!$I$89:$I$649,'Well Cal.'!H$3,'Schedule 4'!$J$89:$J$649,'Well Cal.'!$E321)</f>
        <v>0</v>
      </c>
      <c r="I321" s="726">
        <f>SUMIFS('Schedule 4'!$F$89:$F$649,'Schedule 4'!$I$89:$I$649,'Well Cal.'!I$3,'Schedule 4'!$J$89:$J$649,'Well Cal.'!$E321)</f>
        <v>0</v>
      </c>
      <c r="J321" s="726">
        <f>SUMIFS('Schedule 4'!$F$89:$F$649,'Schedule 4'!$I$89:$I$649,'Well Cal.'!J$3,'Schedule 4'!$J$89:$J$649,'Well Cal.'!$E321)</f>
        <v>0</v>
      </c>
      <c r="K321" s="726">
        <f>SUMIFS('Schedule 4'!$F$89:$F$649,'Schedule 4'!$I$89:$I$649,'Well Cal.'!K$3,'Schedule 4'!$J$89:$J$649,'Well Cal.'!$E321)</f>
        <v>0</v>
      </c>
      <c r="L321" s="726">
        <f>SUMIFS('Schedule 4'!$F$89:$F$649,'Schedule 4'!$I$89:$I$649,'Well Cal.'!L$3,'Schedule 4'!$J$89:$J$649,'Well Cal.'!$E321)</f>
        <v>0</v>
      </c>
      <c r="M321" s="726">
        <f>SUMIFS('Schedule 4'!$F$89:$F$649,'Schedule 4'!$I$89:$I$649,'Well Cal.'!M$3,'Schedule 4'!$J$89:$J$649,'Well Cal.'!$E321)</f>
        <v>0</v>
      </c>
      <c r="N321" s="726">
        <f>SUMIFS('Schedule 4'!$F$89:$F$649,'Schedule 4'!$I$89:$I$649,'Well Cal.'!N$3,'Schedule 4'!$J$89:$J$649,'Well Cal.'!$E321)</f>
        <v>0</v>
      </c>
      <c r="O321" s="726">
        <f>SUMIFS('Schedule 4'!$F$89:$F$649,'Schedule 4'!$I$89:$I$649,'Well Cal.'!O$3,'Schedule 4'!$J$89:$J$649,'Well Cal.'!$E321)</f>
        <v>0</v>
      </c>
      <c r="P321" s="726">
        <f>SUMIFS('Schedule 4'!$F$89:$F$649,'Schedule 4'!$I$89:$I$649,'Well Cal.'!P$3,'Schedule 4'!$J$89:$J$649,'Well Cal.'!$E321)</f>
        <v>0</v>
      </c>
      <c r="Q321" s="726">
        <f>SUMIFS('Schedule 4'!$F$89:$F$649,'Schedule 4'!$I$89:$I$649,'Well Cal.'!Q$3,'Schedule 4'!$J$89:$J$649,'Well Cal.'!$E321)</f>
        <v>0</v>
      </c>
      <c r="R321" s="726">
        <f>SUMIFS('Schedule 4'!$F$89:$F$649,'Schedule 4'!$I$89:$I$649,'Well Cal.'!R$3,'Schedule 4'!$J$89:$J$649,'Well Cal.'!$E321)</f>
        <v>0</v>
      </c>
      <c r="S321" s="726">
        <f>SUMIFS('Schedule 4'!$F$89:$F$649,'Schedule 4'!$I$89:$I$649,'Well Cal.'!S$3,'Schedule 4'!$J$89:$J$649,'Well Cal.'!$E321)</f>
        <v>0</v>
      </c>
      <c r="T321" s="726">
        <f>SUMIFS('Schedule 4'!$F$89:$F$649,'Schedule 4'!$I$89:$I$649,'Well Cal.'!T$3,'Schedule 4'!$J$89:$J$649,'Well Cal.'!$E321)</f>
        <v>0</v>
      </c>
      <c r="U321" s="726">
        <f>SUMIFS('Schedule 4'!$F$89:$F$649,'Schedule 4'!$I$89:$I$649,'Well Cal.'!U$3,'Schedule 4'!$J$89:$J$649,'Well Cal.'!$E321)</f>
        <v>0</v>
      </c>
      <c r="V321" s="726">
        <f>SUMIFS('Schedule 4'!$F$89:$F$649,'Schedule 4'!$I$89:$I$649,'Well Cal.'!V$3,'Schedule 4'!$J$89:$J$649,'Well Cal.'!$E321)</f>
        <v>0</v>
      </c>
      <c r="W321" s="726">
        <f>SUMIFS('Schedule 4'!$F$89:$F$649,'Schedule 4'!$I$89:$I$649,'Well Cal.'!W$3,'Schedule 4'!$J$89:$J$649,'Well Cal.'!$E321)</f>
        <v>0</v>
      </c>
      <c r="X321" s="726">
        <f>SUMIFS('Schedule 4'!$F$89:$F$649,'Schedule 4'!$I$89:$I$649,'Well Cal.'!X$3,'Schedule 4'!$J$89:$J$649,'Well Cal.'!$E321)</f>
        <v>0</v>
      </c>
      <c r="Y321" s="726">
        <f>SUMIFS('Schedule 4'!$F$89:$F$649,'Schedule 4'!$I$89:$I$649,'Well Cal.'!Y$3,'Schedule 4'!$J$89:$J$649,'Well Cal.'!$E321)</f>
        <v>0</v>
      </c>
      <c r="Z321" s="726">
        <f>SUMIFS('Schedule 4'!$F$89:$F$649,'Schedule 4'!$I$89:$I$649,'Well Cal.'!Z$3,'Schedule 4'!$J$89:$J$649,'Well Cal.'!$E321)</f>
        <v>0</v>
      </c>
      <c r="AA321" s="726"/>
      <c r="AB321" s="1730"/>
      <c r="AC321" s="1730"/>
    </row>
    <row r="322" spans="2:29" x14ac:dyDescent="0.3">
      <c r="B322" s="1724"/>
      <c r="C322" s="1727"/>
      <c r="D322" s="1721"/>
      <c r="E322" s="761" t="s">
        <v>3376</v>
      </c>
      <c r="F322" s="727">
        <f>SUMIFS('Schedule 4'!$F$89:$F$649,'Schedule 4'!$I$89:$I$649,'Well Cal.'!F$3,'Schedule 4'!$J$89:$J$649,'Well Cal.'!$E322)</f>
        <v>0</v>
      </c>
      <c r="G322" s="727">
        <f>SUMIFS('Schedule 4'!$F$89:$F$649,'Schedule 4'!$I$89:$I$649,'Well Cal.'!G$3,'Schedule 4'!$J$89:$J$649,'Well Cal.'!$E322)</f>
        <v>0</v>
      </c>
      <c r="H322" s="727">
        <f>SUMIFS('Schedule 4'!$F$89:$F$649,'Schedule 4'!$I$89:$I$649,'Well Cal.'!H$3,'Schedule 4'!$J$89:$J$649,'Well Cal.'!$E322)</f>
        <v>0</v>
      </c>
      <c r="I322" s="727">
        <f>SUMIFS('Schedule 4'!$F$89:$F$649,'Schedule 4'!$I$89:$I$649,'Well Cal.'!I$3,'Schedule 4'!$J$89:$J$649,'Well Cal.'!$E322)</f>
        <v>0</v>
      </c>
      <c r="J322" s="727">
        <f>SUMIFS('Schedule 4'!$F$89:$F$649,'Schedule 4'!$I$89:$I$649,'Well Cal.'!J$3,'Schedule 4'!$J$89:$J$649,'Well Cal.'!$E322)</f>
        <v>0</v>
      </c>
      <c r="K322" s="727">
        <f>SUMIFS('Schedule 4'!$F$89:$F$649,'Schedule 4'!$I$89:$I$649,'Well Cal.'!K$3,'Schedule 4'!$J$89:$J$649,'Well Cal.'!$E322)</f>
        <v>0</v>
      </c>
      <c r="L322" s="727">
        <f>SUMIFS('Schedule 4'!$F$89:$F$649,'Schedule 4'!$I$89:$I$649,'Well Cal.'!L$3,'Schedule 4'!$J$89:$J$649,'Well Cal.'!$E322)</f>
        <v>0</v>
      </c>
      <c r="M322" s="727">
        <f>SUMIFS('Schedule 4'!$F$89:$F$649,'Schedule 4'!$I$89:$I$649,'Well Cal.'!M$3,'Schedule 4'!$J$89:$J$649,'Well Cal.'!$E322)</f>
        <v>0</v>
      </c>
      <c r="N322" s="727">
        <f>SUMIFS('Schedule 4'!$F$89:$F$649,'Schedule 4'!$I$89:$I$649,'Well Cal.'!N$3,'Schedule 4'!$J$89:$J$649,'Well Cal.'!$E322)</f>
        <v>0</v>
      </c>
      <c r="O322" s="727">
        <f>SUMIFS('Schedule 4'!$F$89:$F$649,'Schedule 4'!$I$89:$I$649,'Well Cal.'!O$3,'Schedule 4'!$J$89:$J$649,'Well Cal.'!$E322)</f>
        <v>0</v>
      </c>
      <c r="P322" s="727">
        <f>SUMIFS('Schedule 4'!$F$89:$F$649,'Schedule 4'!$I$89:$I$649,'Well Cal.'!P$3,'Schedule 4'!$J$89:$J$649,'Well Cal.'!$E322)</f>
        <v>0</v>
      </c>
      <c r="Q322" s="727">
        <f>SUMIFS('Schedule 4'!$F$89:$F$649,'Schedule 4'!$I$89:$I$649,'Well Cal.'!Q$3,'Schedule 4'!$J$89:$J$649,'Well Cal.'!$E322)</f>
        <v>0</v>
      </c>
      <c r="R322" s="727">
        <f>SUMIFS('Schedule 4'!$F$89:$F$649,'Schedule 4'!$I$89:$I$649,'Well Cal.'!R$3,'Schedule 4'!$J$89:$J$649,'Well Cal.'!$E322)</f>
        <v>0</v>
      </c>
      <c r="S322" s="727">
        <f>SUMIFS('Schedule 4'!$F$89:$F$649,'Schedule 4'!$I$89:$I$649,'Well Cal.'!S$3,'Schedule 4'!$J$89:$J$649,'Well Cal.'!$E322)</f>
        <v>0</v>
      </c>
      <c r="T322" s="727">
        <f>SUMIFS('Schedule 4'!$F$89:$F$649,'Schedule 4'!$I$89:$I$649,'Well Cal.'!T$3,'Schedule 4'!$J$89:$J$649,'Well Cal.'!$E322)</f>
        <v>0</v>
      </c>
      <c r="U322" s="727">
        <f>SUMIFS('Schedule 4'!$F$89:$F$649,'Schedule 4'!$I$89:$I$649,'Well Cal.'!U$3,'Schedule 4'!$J$89:$J$649,'Well Cal.'!$E322)</f>
        <v>0</v>
      </c>
      <c r="V322" s="727">
        <f>SUMIFS('Schedule 4'!$F$89:$F$649,'Schedule 4'!$I$89:$I$649,'Well Cal.'!V$3,'Schedule 4'!$J$89:$J$649,'Well Cal.'!$E322)</f>
        <v>0</v>
      </c>
      <c r="W322" s="727">
        <f>SUMIFS('Schedule 4'!$F$89:$F$649,'Schedule 4'!$I$89:$I$649,'Well Cal.'!W$3,'Schedule 4'!$J$89:$J$649,'Well Cal.'!$E322)</f>
        <v>0</v>
      </c>
      <c r="X322" s="727">
        <f>SUMIFS('Schedule 4'!$F$89:$F$649,'Schedule 4'!$I$89:$I$649,'Well Cal.'!X$3,'Schedule 4'!$J$89:$J$649,'Well Cal.'!$E322)</f>
        <v>0</v>
      </c>
      <c r="Y322" s="727">
        <f>SUMIFS('Schedule 4'!$F$89:$F$649,'Schedule 4'!$I$89:$I$649,'Well Cal.'!Y$3,'Schedule 4'!$J$89:$J$649,'Well Cal.'!$E322)</f>
        <v>0</v>
      </c>
      <c r="Z322" s="727">
        <f>SUMIFS('Schedule 4'!$F$89:$F$649,'Schedule 4'!$I$89:$I$649,'Well Cal.'!Z$3,'Schedule 4'!$J$89:$J$649,'Well Cal.'!$E322)</f>
        <v>0</v>
      </c>
      <c r="AA322" s="727"/>
      <c r="AB322" s="1730"/>
      <c r="AC322" s="1730"/>
    </row>
    <row r="323" spans="2:29" x14ac:dyDescent="0.3">
      <c r="B323" s="1724"/>
      <c r="C323" s="1727"/>
      <c r="D323" s="1721"/>
      <c r="E323" s="761" t="s">
        <v>3453</v>
      </c>
      <c r="F323" s="727">
        <f>SUMIFS('Schedule 4'!$F$89:$F$649,'Schedule 4'!$I$89:$I$649,'Well Cal.'!F$3,'Schedule 4'!$J$89:$J$649,'Well Cal.'!$E323)</f>
        <v>0</v>
      </c>
      <c r="G323" s="727">
        <f>SUMIFS('Schedule 4'!$F$89:$F$649,'Schedule 4'!$I$89:$I$649,'Well Cal.'!G$3,'Schedule 4'!$J$89:$J$649,'Well Cal.'!$E323)</f>
        <v>0</v>
      </c>
      <c r="H323" s="727">
        <f>SUMIFS('Schedule 4'!$F$89:$F$649,'Schedule 4'!$I$89:$I$649,'Well Cal.'!H$3,'Schedule 4'!$J$89:$J$649,'Well Cal.'!$E323)</f>
        <v>0</v>
      </c>
      <c r="I323" s="727">
        <f>SUMIFS('Schedule 4'!$F$89:$F$649,'Schedule 4'!$I$89:$I$649,'Well Cal.'!I$3,'Schedule 4'!$J$89:$J$649,'Well Cal.'!$E323)</f>
        <v>0</v>
      </c>
      <c r="J323" s="727">
        <f>SUMIFS('Schedule 4'!$F$89:$F$649,'Schedule 4'!$I$89:$I$649,'Well Cal.'!J$3,'Schedule 4'!$J$89:$J$649,'Well Cal.'!$E323)</f>
        <v>0</v>
      </c>
      <c r="K323" s="727">
        <f>SUMIFS('Schedule 4'!$F$89:$F$649,'Schedule 4'!$I$89:$I$649,'Well Cal.'!K$3,'Schedule 4'!$J$89:$J$649,'Well Cal.'!$E323)</f>
        <v>0</v>
      </c>
      <c r="L323" s="727">
        <f>SUMIFS('Schedule 4'!$F$89:$F$649,'Schedule 4'!$I$89:$I$649,'Well Cal.'!L$3,'Schedule 4'!$J$89:$J$649,'Well Cal.'!$E323)</f>
        <v>0</v>
      </c>
      <c r="M323" s="727">
        <f>SUMIFS('Schedule 4'!$F$89:$F$649,'Schedule 4'!$I$89:$I$649,'Well Cal.'!M$3,'Schedule 4'!$J$89:$J$649,'Well Cal.'!$E323)</f>
        <v>0</v>
      </c>
      <c r="N323" s="727">
        <f>SUMIFS('Schedule 4'!$F$89:$F$649,'Schedule 4'!$I$89:$I$649,'Well Cal.'!N$3,'Schedule 4'!$J$89:$J$649,'Well Cal.'!$E323)</f>
        <v>0</v>
      </c>
      <c r="O323" s="727">
        <f>SUMIFS('Schedule 4'!$F$89:$F$649,'Schedule 4'!$I$89:$I$649,'Well Cal.'!O$3,'Schedule 4'!$J$89:$J$649,'Well Cal.'!$E323)</f>
        <v>0</v>
      </c>
      <c r="P323" s="727">
        <f>SUMIFS('Schedule 4'!$F$89:$F$649,'Schedule 4'!$I$89:$I$649,'Well Cal.'!P$3,'Schedule 4'!$J$89:$J$649,'Well Cal.'!$E323)</f>
        <v>0</v>
      </c>
      <c r="Q323" s="727">
        <f>SUMIFS('Schedule 4'!$F$89:$F$649,'Schedule 4'!$I$89:$I$649,'Well Cal.'!Q$3,'Schedule 4'!$J$89:$J$649,'Well Cal.'!$E323)</f>
        <v>0</v>
      </c>
      <c r="R323" s="727">
        <f>SUMIFS('Schedule 4'!$F$89:$F$649,'Schedule 4'!$I$89:$I$649,'Well Cal.'!R$3,'Schedule 4'!$J$89:$J$649,'Well Cal.'!$E323)</f>
        <v>0</v>
      </c>
      <c r="S323" s="727">
        <f>SUMIFS('Schedule 4'!$F$89:$F$649,'Schedule 4'!$I$89:$I$649,'Well Cal.'!S$3,'Schedule 4'!$J$89:$J$649,'Well Cal.'!$E323)</f>
        <v>0</v>
      </c>
      <c r="T323" s="727">
        <f>SUMIFS('Schedule 4'!$F$89:$F$649,'Schedule 4'!$I$89:$I$649,'Well Cal.'!T$3,'Schedule 4'!$J$89:$J$649,'Well Cal.'!$E323)</f>
        <v>0</v>
      </c>
      <c r="U323" s="727">
        <f>SUMIFS('Schedule 4'!$F$89:$F$649,'Schedule 4'!$I$89:$I$649,'Well Cal.'!U$3,'Schedule 4'!$J$89:$J$649,'Well Cal.'!$E323)</f>
        <v>0</v>
      </c>
      <c r="V323" s="727">
        <f>SUMIFS('Schedule 4'!$F$89:$F$649,'Schedule 4'!$I$89:$I$649,'Well Cal.'!V$3,'Schedule 4'!$J$89:$J$649,'Well Cal.'!$E323)</f>
        <v>0</v>
      </c>
      <c r="W323" s="727">
        <f>SUMIFS('Schedule 4'!$F$89:$F$649,'Schedule 4'!$I$89:$I$649,'Well Cal.'!W$3,'Schedule 4'!$J$89:$J$649,'Well Cal.'!$E323)</f>
        <v>0</v>
      </c>
      <c r="X323" s="727">
        <f>SUMIFS('Schedule 4'!$F$89:$F$649,'Schedule 4'!$I$89:$I$649,'Well Cal.'!X$3,'Schedule 4'!$J$89:$J$649,'Well Cal.'!$E323)</f>
        <v>0</v>
      </c>
      <c r="Y323" s="727">
        <f>SUMIFS('Schedule 4'!$F$89:$F$649,'Schedule 4'!$I$89:$I$649,'Well Cal.'!Y$3,'Schedule 4'!$J$89:$J$649,'Well Cal.'!$E323)</f>
        <v>0</v>
      </c>
      <c r="Z323" s="727">
        <f>SUMIFS('Schedule 4'!$F$89:$F$649,'Schedule 4'!$I$89:$I$649,'Well Cal.'!Z$3,'Schedule 4'!$J$89:$J$649,'Well Cal.'!$E323)</f>
        <v>0</v>
      </c>
      <c r="AA323" s="727"/>
      <c r="AB323" s="1730"/>
      <c r="AC323" s="1730"/>
    </row>
    <row r="324" spans="2:29" x14ac:dyDescent="0.3">
      <c r="B324" s="1724"/>
      <c r="C324" s="1727"/>
      <c r="D324" s="1721"/>
      <c r="E324" s="775" t="s">
        <v>3533</v>
      </c>
      <c r="F324" s="727">
        <f>SUMIFS('Schedule 4'!$F$89:$F$649,'Schedule 4'!$I$89:$I$649,'Well Cal.'!F$3,'Schedule 4'!$J$89:$J$649,'Well Cal.'!$E324)</f>
        <v>0</v>
      </c>
      <c r="G324" s="727">
        <f>SUMIFS('Schedule 4'!$F$89:$F$649,'Schedule 4'!$I$89:$I$649,'Well Cal.'!G$3,'Schedule 4'!$J$89:$J$649,'Well Cal.'!$E324)</f>
        <v>0</v>
      </c>
      <c r="H324" s="727">
        <f>SUMIFS('Schedule 4'!$F$89:$F$649,'Schedule 4'!$I$89:$I$649,'Well Cal.'!H$3,'Schedule 4'!$J$89:$J$649,'Well Cal.'!$E324)</f>
        <v>0</v>
      </c>
      <c r="I324" s="727">
        <f>SUMIFS('Schedule 4'!$F$89:$F$649,'Schedule 4'!$I$89:$I$649,'Well Cal.'!I$3,'Schedule 4'!$J$89:$J$649,'Well Cal.'!$E324)</f>
        <v>0</v>
      </c>
      <c r="J324" s="727">
        <f>SUMIFS('Schedule 4'!$F$89:$F$649,'Schedule 4'!$I$89:$I$649,'Well Cal.'!J$3,'Schedule 4'!$J$89:$J$649,'Well Cal.'!$E324)</f>
        <v>0</v>
      </c>
      <c r="K324" s="727">
        <f>SUMIFS('Schedule 4'!$F$89:$F$649,'Schedule 4'!$I$89:$I$649,'Well Cal.'!K$3,'Schedule 4'!$J$89:$J$649,'Well Cal.'!$E324)</f>
        <v>0</v>
      </c>
      <c r="L324" s="727">
        <f>SUMIFS('Schedule 4'!$F$89:$F$649,'Schedule 4'!$I$89:$I$649,'Well Cal.'!L$3,'Schedule 4'!$J$89:$J$649,'Well Cal.'!$E324)</f>
        <v>0</v>
      </c>
      <c r="M324" s="727">
        <f>SUMIFS('Schedule 4'!$F$89:$F$649,'Schedule 4'!$I$89:$I$649,'Well Cal.'!M$3,'Schedule 4'!$J$89:$J$649,'Well Cal.'!$E324)</f>
        <v>0</v>
      </c>
      <c r="N324" s="727">
        <f>SUMIFS('Schedule 4'!$F$89:$F$649,'Schedule 4'!$I$89:$I$649,'Well Cal.'!N$3,'Schedule 4'!$J$89:$J$649,'Well Cal.'!$E324)</f>
        <v>0</v>
      </c>
      <c r="O324" s="727">
        <f>SUMIFS('Schedule 4'!$F$89:$F$649,'Schedule 4'!$I$89:$I$649,'Well Cal.'!O$3,'Schedule 4'!$J$89:$J$649,'Well Cal.'!$E324)</f>
        <v>0</v>
      </c>
      <c r="P324" s="727">
        <f>SUMIFS('Schedule 4'!$F$89:$F$649,'Schedule 4'!$I$89:$I$649,'Well Cal.'!P$3,'Schedule 4'!$J$89:$J$649,'Well Cal.'!$E324)</f>
        <v>0</v>
      </c>
      <c r="Q324" s="727">
        <f>SUMIFS('Schedule 4'!$F$89:$F$649,'Schedule 4'!$I$89:$I$649,'Well Cal.'!Q$3,'Schedule 4'!$J$89:$J$649,'Well Cal.'!$E324)</f>
        <v>0</v>
      </c>
      <c r="R324" s="727">
        <f>SUMIFS('Schedule 4'!$F$89:$F$649,'Schedule 4'!$I$89:$I$649,'Well Cal.'!R$3,'Schedule 4'!$J$89:$J$649,'Well Cal.'!$E324)</f>
        <v>0</v>
      </c>
      <c r="S324" s="727">
        <f>SUMIFS('Schedule 4'!$F$89:$F$649,'Schedule 4'!$I$89:$I$649,'Well Cal.'!S$3,'Schedule 4'!$J$89:$J$649,'Well Cal.'!$E324)</f>
        <v>0</v>
      </c>
      <c r="T324" s="727">
        <f>SUMIFS('Schedule 4'!$F$89:$F$649,'Schedule 4'!$I$89:$I$649,'Well Cal.'!T$3,'Schedule 4'!$J$89:$J$649,'Well Cal.'!$E324)</f>
        <v>0</v>
      </c>
      <c r="U324" s="727">
        <f>SUMIFS('Schedule 4'!$F$89:$F$649,'Schedule 4'!$I$89:$I$649,'Well Cal.'!U$3,'Schedule 4'!$J$89:$J$649,'Well Cal.'!$E324)</f>
        <v>0</v>
      </c>
      <c r="V324" s="727">
        <f>SUMIFS('Schedule 4'!$F$89:$F$649,'Schedule 4'!$I$89:$I$649,'Well Cal.'!V$3,'Schedule 4'!$J$89:$J$649,'Well Cal.'!$E324)</f>
        <v>0</v>
      </c>
      <c r="W324" s="727">
        <f>SUMIFS('Schedule 4'!$F$89:$F$649,'Schedule 4'!$I$89:$I$649,'Well Cal.'!W$3,'Schedule 4'!$J$89:$J$649,'Well Cal.'!$E324)</f>
        <v>0</v>
      </c>
      <c r="X324" s="727">
        <f>SUMIFS('Schedule 4'!$F$89:$F$649,'Schedule 4'!$I$89:$I$649,'Well Cal.'!X$3,'Schedule 4'!$J$89:$J$649,'Well Cal.'!$E324)</f>
        <v>0</v>
      </c>
      <c r="Y324" s="727">
        <f>SUMIFS('Schedule 4'!$F$89:$F$649,'Schedule 4'!$I$89:$I$649,'Well Cal.'!Y$3,'Schedule 4'!$J$89:$J$649,'Well Cal.'!$E324)</f>
        <v>0</v>
      </c>
      <c r="Z324" s="727">
        <f>SUMIFS('Schedule 4'!$F$89:$F$649,'Schedule 4'!$I$89:$I$649,'Well Cal.'!Z$3,'Schedule 4'!$J$89:$J$649,'Well Cal.'!$E324)</f>
        <v>0</v>
      </c>
      <c r="AA324" s="727"/>
      <c r="AB324" s="1730"/>
      <c r="AC324" s="1730"/>
    </row>
    <row r="325" spans="2:29" x14ac:dyDescent="0.3">
      <c r="B325" s="1724"/>
      <c r="C325" s="1727"/>
      <c r="D325" s="1721"/>
      <c r="E325" s="775" t="s">
        <v>3601</v>
      </c>
      <c r="F325" s="727">
        <f>SUMIFS('Schedule 4'!$F$89:$F$649,'Schedule 4'!$I$89:$I$649,'Well Cal.'!F$3,'Schedule 4'!$J$89:$J$649,'Well Cal.'!$E325)</f>
        <v>0</v>
      </c>
      <c r="G325" s="727">
        <f>SUMIFS('Schedule 4'!$F$89:$F$649,'Schedule 4'!$I$89:$I$649,'Well Cal.'!G$3,'Schedule 4'!$J$89:$J$649,'Well Cal.'!$E325)</f>
        <v>0</v>
      </c>
      <c r="H325" s="727">
        <f>SUMIFS('Schedule 4'!$F$89:$F$649,'Schedule 4'!$I$89:$I$649,'Well Cal.'!H$3,'Schedule 4'!$J$89:$J$649,'Well Cal.'!$E325)</f>
        <v>0</v>
      </c>
      <c r="I325" s="727">
        <f>SUMIFS('Schedule 4'!$F$89:$F$649,'Schedule 4'!$I$89:$I$649,'Well Cal.'!I$3,'Schedule 4'!$J$89:$J$649,'Well Cal.'!$E325)</f>
        <v>0</v>
      </c>
      <c r="J325" s="727">
        <f>SUMIFS('Schedule 4'!$F$89:$F$649,'Schedule 4'!$I$89:$I$649,'Well Cal.'!J$3,'Schedule 4'!$J$89:$J$649,'Well Cal.'!$E325)</f>
        <v>0</v>
      </c>
      <c r="K325" s="727">
        <f>SUMIFS('Schedule 4'!$F$89:$F$649,'Schedule 4'!$I$89:$I$649,'Well Cal.'!K$3,'Schedule 4'!$J$89:$J$649,'Well Cal.'!$E325)</f>
        <v>0</v>
      </c>
      <c r="L325" s="727">
        <f>SUMIFS('Schedule 4'!$F$89:$F$649,'Schedule 4'!$I$89:$I$649,'Well Cal.'!L$3,'Schedule 4'!$J$89:$J$649,'Well Cal.'!$E325)</f>
        <v>0</v>
      </c>
      <c r="M325" s="727">
        <f>SUMIFS('Schedule 4'!$F$89:$F$649,'Schedule 4'!$I$89:$I$649,'Well Cal.'!M$3,'Schedule 4'!$J$89:$J$649,'Well Cal.'!$E325)</f>
        <v>0</v>
      </c>
      <c r="N325" s="727">
        <f>SUMIFS('Schedule 4'!$F$89:$F$649,'Schedule 4'!$I$89:$I$649,'Well Cal.'!N$3,'Schedule 4'!$J$89:$J$649,'Well Cal.'!$E325)</f>
        <v>0</v>
      </c>
      <c r="O325" s="727">
        <f>SUMIFS('Schedule 4'!$F$89:$F$649,'Schedule 4'!$I$89:$I$649,'Well Cal.'!O$3,'Schedule 4'!$J$89:$J$649,'Well Cal.'!$E325)</f>
        <v>0</v>
      </c>
      <c r="P325" s="727">
        <f>SUMIFS('Schedule 4'!$F$89:$F$649,'Schedule 4'!$I$89:$I$649,'Well Cal.'!P$3,'Schedule 4'!$J$89:$J$649,'Well Cal.'!$E325)</f>
        <v>0</v>
      </c>
      <c r="Q325" s="727">
        <f>SUMIFS('Schedule 4'!$F$89:$F$649,'Schedule 4'!$I$89:$I$649,'Well Cal.'!Q$3,'Schedule 4'!$J$89:$J$649,'Well Cal.'!$E325)</f>
        <v>0</v>
      </c>
      <c r="R325" s="727">
        <f>SUMIFS('Schedule 4'!$F$89:$F$649,'Schedule 4'!$I$89:$I$649,'Well Cal.'!R$3,'Schedule 4'!$J$89:$J$649,'Well Cal.'!$E325)</f>
        <v>0</v>
      </c>
      <c r="S325" s="727">
        <f>SUMIFS('Schedule 4'!$F$89:$F$649,'Schedule 4'!$I$89:$I$649,'Well Cal.'!S$3,'Schedule 4'!$J$89:$J$649,'Well Cal.'!$E325)</f>
        <v>0</v>
      </c>
      <c r="T325" s="727">
        <f>SUMIFS('Schedule 4'!$F$89:$F$649,'Schedule 4'!$I$89:$I$649,'Well Cal.'!T$3,'Schedule 4'!$J$89:$J$649,'Well Cal.'!$E325)</f>
        <v>0</v>
      </c>
      <c r="U325" s="727">
        <f>SUMIFS('Schedule 4'!$F$89:$F$649,'Schedule 4'!$I$89:$I$649,'Well Cal.'!U$3,'Schedule 4'!$J$89:$J$649,'Well Cal.'!$E325)</f>
        <v>0</v>
      </c>
      <c r="V325" s="727">
        <f>SUMIFS('Schedule 4'!$F$89:$F$649,'Schedule 4'!$I$89:$I$649,'Well Cal.'!V$3,'Schedule 4'!$J$89:$J$649,'Well Cal.'!$E325)</f>
        <v>0</v>
      </c>
      <c r="W325" s="727">
        <f>SUMIFS('Schedule 4'!$F$89:$F$649,'Schedule 4'!$I$89:$I$649,'Well Cal.'!W$3,'Schedule 4'!$J$89:$J$649,'Well Cal.'!$E325)</f>
        <v>0</v>
      </c>
      <c r="X325" s="727">
        <f>SUMIFS('Schedule 4'!$F$89:$F$649,'Schedule 4'!$I$89:$I$649,'Well Cal.'!X$3,'Schedule 4'!$J$89:$J$649,'Well Cal.'!$E325)</f>
        <v>0</v>
      </c>
      <c r="Y325" s="727">
        <f>SUMIFS('Schedule 4'!$F$89:$F$649,'Schedule 4'!$I$89:$I$649,'Well Cal.'!Y$3,'Schedule 4'!$J$89:$J$649,'Well Cal.'!$E325)</f>
        <v>0</v>
      </c>
      <c r="Z325" s="727">
        <f>SUMIFS('Schedule 4'!$F$89:$F$649,'Schedule 4'!$I$89:$I$649,'Well Cal.'!Z$3,'Schedule 4'!$J$89:$J$649,'Well Cal.'!$E325)</f>
        <v>0</v>
      </c>
      <c r="AA325" s="727"/>
      <c r="AB325" s="1730"/>
      <c r="AC325" s="1730"/>
    </row>
    <row r="326" spans="2:29" x14ac:dyDescent="0.3">
      <c r="B326" s="1724"/>
      <c r="C326" s="1727"/>
      <c r="D326" s="1721"/>
      <c r="E326" s="775" t="s">
        <v>3693</v>
      </c>
      <c r="F326" s="727">
        <f>SUMIFS('Schedule 4'!$F$89:$F$649,'Schedule 4'!$I$89:$I$649,'Well Cal.'!F$3,'Schedule 4'!$J$89:$J$649,'Well Cal.'!$E326)</f>
        <v>0</v>
      </c>
      <c r="G326" s="727">
        <f>SUMIFS('Schedule 4'!$F$89:$F$649,'Schedule 4'!$I$89:$I$649,'Well Cal.'!G$3,'Schedule 4'!$J$89:$J$649,'Well Cal.'!$E326)</f>
        <v>0</v>
      </c>
      <c r="H326" s="727">
        <f>SUMIFS('Schedule 4'!$F$89:$F$649,'Schedule 4'!$I$89:$I$649,'Well Cal.'!H$3,'Schedule 4'!$J$89:$J$649,'Well Cal.'!$E326)</f>
        <v>0</v>
      </c>
      <c r="I326" s="727">
        <f>SUMIFS('Schedule 4'!$F$89:$F$649,'Schedule 4'!$I$89:$I$649,'Well Cal.'!I$3,'Schedule 4'!$J$89:$J$649,'Well Cal.'!$E326)</f>
        <v>0</v>
      </c>
      <c r="J326" s="727">
        <f>SUMIFS('Schedule 4'!$F$89:$F$649,'Schedule 4'!$I$89:$I$649,'Well Cal.'!J$3,'Schedule 4'!$J$89:$J$649,'Well Cal.'!$E326)</f>
        <v>0</v>
      </c>
      <c r="K326" s="727">
        <f>SUMIFS('Schedule 4'!$F$89:$F$649,'Schedule 4'!$I$89:$I$649,'Well Cal.'!K$3,'Schedule 4'!$J$89:$J$649,'Well Cal.'!$E326)</f>
        <v>0</v>
      </c>
      <c r="L326" s="727">
        <f>SUMIFS('Schedule 4'!$F$89:$F$649,'Schedule 4'!$I$89:$I$649,'Well Cal.'!L$3,'Schedule 4'!$J$89:$J$649,'Well Cal.'!$E326)</f>
        <v>0</v>
      </c>
      <c r="M326" s="727">
        <f>SUMIFS('Schedule 4'!$F$89:$F$649,'Schedule 4'!$I$89:$I$649,'Well Cal.'!M$3,'Schedule 4'!$J$89:$J$649,'Well Cal.'!$E326)</f>
        <v>0</v>
      </c>
      <c r="N326" s="727">
        <f>SUMIFS('Schedule 4'!$F$89:$F$649,'Schedule 4'!$I$89:$I$649,'Well Cal.'!N$3,'Schedule 4'!$J$89:$J$649,'Well Cal.'!$E326)</f>
        <v>0</v>
      </c>
      <c r="O326" s="727">
        <f>SUMIFS('Schedule 4'!$F$89:$F$649,'Schedule 4'!$I$89:$I$649,'Well Cal.'!O$3,'Schedule 4'!$J$89:$J$649,'Well Cal.'!$E326)</f>
        <v>0</v>
      </c>
      <c r="P326" s="727">
        <f>SUMIFS('Schedule 4'!$F$89:$F$649,'Schedule 4'!$I$89:$I$649,'Well Cal.'!P$3,'Schedule 4'!$J$89:$J$649,'Well Cal.'!$E326)</f>
        <v>0</v>
      </c>
      <c r="Q326" s="727">
        <f>SUMIFS('Schedule 4'!$F$89:$F$649,'Schedule 4'!$I$89:$I$649,'Well Cal.'!Q$3,'Schedule 4'!$J$89:$J$649,'Well Cal.'!$E326)</f>
        <v>0</v>
      </c>
      <c r="R326" s="727">
        <f>SUMIFS('Schedule 4'!$F$89:$F$649,'Schedule 4'!$I$89:$I$649,'Well Cal.'!R$3,'Schedule 4'!$J$89:$J$649,'Well Cal.'!$E326)</f>
        <v>0</v>
      </c>
      <c r="S326" s="727">
        <f>SUMIFS('Schedule 4'!$F$89:$F$649,'Schedule 4'!$I$89:$I$649,'Well Cal.'!S$3,'Schedule 4'!$J$89:$J$649,'Well Cal.'!$E326)</f>
        <v>0</v>
      </c>
      <c r="T326" s="727">
        <f>SUMIFS('Schedule 4'!$F$89:$F$649,'Schedule 4'!$I$89:$I$649,'Well Cal.'!T$3,'Schedule 4'!$J$89:$J$649,'Well Cal.'!$E326)</f>
        <v>0</v>
      </c>
      <c r="U326" s="727">
        <f>SUMIFS('Schedule 4'!$F$89:$F$649,'Schedule 4'!$I$89:$I$649,'Well Cal.'!U$3,'Schedule 4'!$J$89:$J$649,'Well Cal.'!$E326)</f>
        <v>0</v>
      </c>
      <c r="V326" s="727">
        <f>SUMIFS('Schedule 4'!$F$89:$F$649,'Schedule 4'!$I$89:$I$649,'Well Cal.'!V$3,'Schedule 4'!$J$89:$J$649,'Well Cal.'!$E326)</f>
        <v>0</v>
      </c>
      <c r="W326" s="727">
        <f>SUMIFS('Schedule 4'!$F$89:$F$649,'Schedule 4'!$I$89:$I$649,'Well Cal.'!W$3,'Schedule 4'!$J$89:$J$649,'Well Cal.'!$E326)</f>
        <v>0</v>
      </c>
      <c r="X326" s="727">
        <f>SUMIFS('Schedule 4'!$F$89:$F$649,'Schedule 4'!$I$89:$I$649,'Well Cal.'!X$3,'Schedule 4'!$J$89:$J$649,'Well Cal.'!$E326)</f>
        <v>0</v>
      </c>
      <c r="Y326" s="727">
        <f>SUMIFS('Schedule 4'!$F$89:$F$649,'Schedule 4'!$I$89:$I$649,'Well Cal.'!Y$3,'Schedule 4'!$J$89:$J$649,'Well Cal.'!$E326)</f>
        <v>0</v>
      </c>
      <c r="Z326" s="727">
        <f>SUMIFS('Schedule 4'!$F$89:$F$649,'Schedule 4'!$I$89:$I$649,'Well Cal.'!Z$3,'Schedule 4'!$J$89:$J$649,'Well Cal.'!$E326)</f>
        <v>0</v>
      </c>
      <c r="AA326" s="727"/>
      <c r="AB326" s="1731"/>
      <c r="AC326" s="1731"/>
    </row>
    <row r="327" spans="2:29" x14ac:dyDescent="0.3">
      <c r="B327" s="1724"/>
      <c r="C327" s="1727"/>
      <c r="D327" s="1721"/>
      <c r="E327" s="775" t="s">
        <v>3751</v>
      </c>
      <c r="F327" s="727">
        <f>SUMIFS('Schedule 4'!$F$89:$F$649,'Schedule 4'!$I$89:$I$649,'Well Cal.'!F$3,'Schedule 4'!$J$89:$J$649,'Well Cal.'!$E327)</f>
        <v>0</v>
      </c>
      <c r="G327" s="727">
        <f>SUMIFS('Schedule 4'!$F$89:$F$649,'Schedule 4'!$I$89:$I$649,'Well Cal.'!G$3,'Schedule 4'!$J$89:$J$649,'Well Cal.'!$E327)</f>
        <v>0</v>
      </c>
      <c r="H327" s="727">
        <f>SUMIFS('Schedule 4'!$F$89:$F$649,'Schedule 4'!$I$89:$I$649,'Well Cal.'!H$3,'Schedule 4'!$J$89:$J$649,'Well Cal.'!$E327)</f>
        <v>0</v>
      </c>
      <c r="I327" s="727">
        <f>SUMIFS('Schedule 4'!$F$89:$F$649,'Schedule 4'!$I$89:$I$649,'Well Cal.'!I$3,'Schedule 4'!$J$89:$J$649,'Well Cal.'!$E327)</f>
        <v>0</v>
      </c>
      <c r="J327" s="727">
        <f>SUMIFS('Schedule 4'!$F$89:$F$649,'Schedule 4'!$I$89:$I$649,'Well Cal.'!J$3,'Schedule 4'!$J$89:$J$649,'Well Cal.'!$E327)</f>
        <v>0</v>
      </c>
      <c r="K327" s="727">
        <f>SUMIFS('Schedule 4'!$F$89:$F$649,'Schedule 4'!$I$89:$I$649,'Well Cal.'!K$3,'Schedule 4'!$J$89:$J$649,'Well Cal.'!$E327)</f>
        <v>0</v>
      </c>
      <c r="L327" s="727">
        <f>SUMIFS('Schedule 4'!$F$89:$F$649,'Schedule 4'!$I$89:$I$649,'Well Cal.'!L$3,'Schedule 4'!$J$89:$J$649,'Well Cal.'!$E327)</f>
        <v>0</v>
      </c>
      <c r="M327" s="727">
        <f>SUMIFS('Schedule 4'!$F$89:$F$649,'Schedule 4'!$I$89:$I$649,'Well Cal.'!M$3,'Schedule 4'!$J$89:$J$649,'Well Cal.'!$E327)</f>
        <v>0</v>
      </c>
      <c r="N327" s="727">
        <f>SUMIFS('Schedule 4'!$F$89:$F$649,'Schedule 4'!$I$89:$I$649,'Well Cal.'!N$3,'Schedule 4'!$J$89:$J$649,'Well Cal.'!$E327)</f>
        <v>0</v>
      </c>
      <c r="O327" s="727">
        <f>SUMIFS('Schedule 4'!$F$89:$F$649,'Schedule 4'!$I$89:$I$649,'Well Cal.'!O$3,'Schedule 4'!$J$89:$J$649,'Well Cal.'!$E327)</f>
        <v>0</v>
      </c>
      <c r="P327" s="727">
        <f>SUMIFS('Schedule 4'!$F$89:$F$649,'Schedule 4'!$I$89:$I$649,'Well Cal.'!P$3,'Schedule 4'!$J$89:$J$649,'Well Cal.'!$E327)</f>
        <v>0</v>
      </c>
      <c r="Q327" s="727">
        <f>SUMIFS('Schedule 4'!$F$89:$F$649,'Schedule 4'!$I$89:$I$649,'Well Cal.'!Q$3,'Schedule 4'!$J$89:$J$649,'Well Cal.'!$E327)</f>
        <v>0</v>
      </c>
      <c r="R327" s="727">
        <f>SUMIFS('Schedule 4'!$F$89:$F$649,'Schedule 4'!$I$89:$I$649,'Well Cal.'!R$3,'Schedule 4'!$J$89:$J$649,'Well Cal.'!$E327)</f>
        <v>0</v>
      </c>
      <c r="S327" s="727">
        <f>SUMIFS('Schedule 4'!$F$89:$F$649,'Schedule 4'!$I$89:$I$649,'Well Cal.'!S$3,'Schedule 4'!$J$89:$J$649,'Well Cal.'!$E327)</f>
        <v>0</v>
      </c>
      <c r="T327" s="727">
        <f>SUMIFS('Schedule 4'!$F$89:$F$649,'Schedule 4'!$I$89:$I$649,'Well Cal.'!T$3,'Schedule 4'!$J$89:$J$649,'Well Cal.'!$E327)</f>
        <v>0</v>
      </c>
      <c r="U327" s="727">
        <f>SUMIFS('Schedule 4'!$F$89:$F$649,'Schedule 4'!$I$89:$I$649,'Well Cal.'!U$3,'Schedule 4'!$J$89:$J$649,'Well Cal.'!$E327)</f>
        <v>0</v>
      </c>
      <c r="V327" s="727">
        <f>SUMIFS('Schedule 4'!$F$89:$F$649,'Schedule 4'!$I$89:$I$649,'Well Cal.'!V$3,'Schedule 4'!$J$89:$J$649,'Well Cal.'!$E327)</f>
        <v>0</v>
      </c>
      <c r="W327" s="727">
        <f>SUMIFS('Schedule 4'!$F$89:$F$649,'Schedule 4'!$I$89:$I$649,'Well Cal.'!W$3,'Schedule 4'!$J$89:$J$649,'Well Cal.'!$E327)</f>
        <v>0</v>
      </c>
      <c r="X327" s="727">
        <f>SUMIFS('Schedule 4'!$F$89:$F$649,'Schedule 4'!$I$89:$I$649,'Well Cal.'!X$3,'Schedule 4'!$J$89:$J$649,'Well Cal.'!$E327)</f>
        <v>0</v>
      </c>
      <c r="Y327" s="727">
        <f>SUMIFS('Schedule 4'!$F$89:$F$649,'Schedule 4'!$I$89:$I$649,'Well Cal.'!Y$3,'Schedule 4'!$J$89:$J$649,'Well Cal.'!$E327)</f>
        <v>0</v>
      </c>
      <c r="Z327" s="727">
        <f>SUMIFS('Schedule 4'!$F$89:$F$649,'Schedule 4'!$I$89:$I$649,'Well Cal.'!Z$3,'Schedule 4'!$J$89:$J$649,'Well Cal.'!$E327)</f>
        <v>0</v>
      </c>
      <c r="AA327" s="727"/>
      <c r="AB327" s="1731"/>
      <c r="AC327" s="1731"/>
    </row>
    <row r="328" spans="2:29" x14ac:dyDescent="0.3">
      <c r="B328" s="1724"/>
      <c r="C328" s="1727"/>
      <c r="D328" s="1721"/>
      <c r="E328" s="775" t="s">
        <v>3810</v>
      </c>
      <c r="F328" s="727">
        <f>SUMIFS('Schedule 4'!$F$89:$F$649,'Schedule 4'!$I$89:$I$649,'Well Cal.'!F$3,'Schedule 4'!$J$89:$J$649,'Well Cal.'!$E328)</f>
        <v>0</v>
      </c>
      <c r="G328" s="727">
        <f>SUMIFS('Schedule 4'!$F$89:$F$649,'Schedule 4'!$I$89:$I$649,'Well Cal.'!G$3,'Schedule 4'!$J$89:$J$649,'Well Cal.'!$E328)</f>
        <v>0</v>
      </c>
      <c r="H328" s="727">
        <f>SUMIFS('Schedule 4'!$F$89:$F$649,'Schedule 4'!$I$89:$I$649,'Well Cal.'!H$3,'Schedule 4'!$J$89:$J$649,'Well Cal.'!$E328)</f>
        <v>0</v>
      </c>
      <c r="I328" s="727">
        <f>SUMIFS('Schedule 4'!$F$89:$F$649,'Schedule 4'!$I$89:$I$649,'Well Cal.'!I$3,'Schedule 4'!$J$89:$J$649,'Well Cal.'!$E328)</f>
        <v>0</v>
      </c>
      <c r="J328" s="727">
        <f>SUMIFS('Schedule 4'!$F$89:$F$649,'Schedule 4'!$I$89:$I$649,'Well Cal.'!J$3,'Schedule 4'!$J$89:$J$649,'Well Cal.'!$E328)</f>
        <v>0</v>
      </c>
      <c r="K328" s="727">
        <f>SUMIFS('Schedule 4'!$F$89:$F$649,'Schedule 4'!$I$89:$I$649,'Well Cal.'!K$3,'Schedule 4'!$J$89:$J$649,'Well Cal.'!$E328)</f>
        <v>0</v>
      </c>
      <c r="L328" s="727">
        <f>SUMIFS('Schedule 4'!$F$89:$F$649,'Schedule 4'!$I$89:$I$649,'Well Cal.'!L$3,'Schedule 4'!$J$89:$J$649,'Well Cal.'!$E328)</f>
        <v>0</v>
      </c>
      <c r="M328" s="727">
        <f>SUMIFS('Schedule 4'!$F$89:$F$649,'Schedule 4'!$I$89:$I$649,'Well Cal.'!M$3,'Schedule 4'!$J$89:$J$649,'Well Cal.'!$E328)</f>
        <v>0</v>
      </c>
      <c r="N328" s="727">
        <f>SUMIFS('Schedule 4'!$F$89:$F$649,'Schedule 4'!$I$89:$I$649,'Well Cal.'!N$3,'Schedule 4'!$J$89:$J$649,'Well Cal.'!$E328)</f>
        <v>0</v>
      </c>
      <c r="O328" s="727">
        <f>SUMIFS('Schedule 4'!$F$89:$F$649,'Schedule 4'!$I$89:$I$649,'Well Cal.'!O$3,'Schedule 4'!$J$89:$J$649,'Well Cal.'!$E328)</f>
        <v>0</v>
      </c>
      <c r="P328" s="727">
        <f>SUMIFS('Schedule 4'!$F$89:$F$649,'Schedule 4'!$I$89:$I$649,'Well Cal.'!P$3,'Schedule 4'!$J$89:$J$649,'Well Cal.'!$E328)</f>
        <v>0</v>
      </c>
      <c r="Q328" s="727">
        <f>SUMIFS('Schedule 4'!$F$89:$F$649,'Schedule 4'!$I$89:$I$649,'Well Cal.'!Q$3,'Schedule 4'!$J$89:$J$649,'Well Cal.'!$E328)</f>
        <v>0</v>
      </c>
      <c r="R328" s="727">
        <f>SUMIFS('Schedule 4'!$F$89:$F$649,'Schedule 4'!$I$89:$I$649,'Well Cal.'!R$3,'Schedule 4'!$J$89:$J$649,'Well Cal.'!$E328)</f>
        <v>0</v>
      </c>
      <c r="S328" s="727">
        <f>SUMIFS('Schedule 4'!$F$89:$F$649,'Schedule 4'!$I$89:$I$649,'Well Cal.'!S$3,'Schedule 4'!$J$89:$J$649,'Well Cal.'!$E328)</f>
        <v>0</v>
      </c>
      <c r="T328" s="727">
        <f>SUMIFS('Schedule 4'!$F$89:$F$649,'Schedule 4'!$I$89:$I$649,'Well Cal.'!T$3,'Schedule 4'!$J$89:$J$649,'Well Cal.'!$E328)</f>
        <v>0</v>
      </c>
      <c r="U328" s="727">
        <f>SUMIFS('Schedule 4'!$F$89:$F$649,'Schedule 4'!$I$89:$I$649,'Well Cal.'!U$3,'Schedule 4'!$J$89:$J$649,'Well Cal.'!$E328)</f>
        <v>0</v>
      </c>
      <c r="V328" s="727">
        <f>SUMIFS('Schedule 4'!$F$89:$F$649,'Schedule 4'!$I$89:$I$649,'Well Cal.'!V$3,'Schedule 4'!$J$89:$J$649,'Well Cal.'!$E328)</f>
        <v>0</v>
      </c>
      <c r="W328" s="727">
        <f>SUMIFS('Schedule 4'!$F$89:$F$649,'Schedule 4'!$I$89:$I$649,'Well Cal.'!W$3,'Schedule 4'!$J$89:$J$649,'Well Cal.'!$E328)</f>
        <v>0</v>
      </c>
      <c r="X328" s="727">
        <f>SUMIFS('Schedule 4'!$F$89:$F$649,'Schedule 4'!$I$89:$I$649,'Well Cal.'!X$3,'Schedule 4'!$J$89:$J$649,'Well Cal.'!$E328)</f>
        <v>0</v>
      </c>
      <c r="Y328" s="727">
        <f>SUMIFS('Schedule 4'!$F$89:$F$649,'Schedule 4'!$I$89:$I$649,'Well Cal.'!Y$3,'Schedule 4'!$J$89:$J$649,'Well Cal.'!$E328)</f>
        <v>0</v>
      </c>
      <c r="Z328" s="727">
        <f>SUMIFS('Schedule 4'!$F$89:$F$649,'Schedule 4'!$I$89:$I$649,'Well Cal.'!Z$3,'Schedule 4'!$J$89:$J$649,'Well Cal.'!$E328)</f>
        <v>0</v>
      </c>
      <c r="AA328" s="727"/>
      <c r="AB328" s="1731"/>
      <c r="AC328" s="1731"/>
    </row>
    <row r="329" spans="2:29" x14ac:dyDescent="0.3">
      <c r="B329" s="1724"/>
      <c r="C329" s="1727"/>
      <c r="D329" s="1721"/>
      <c r="E329" s="775" t="s">
        <v>3885</v>
      </c>
      <c r="F329" s="727">
        <f>SUMIFS('Schedule 4'!$F$89:$F$649,'Schedule 4'!$I$89:$I$649,'Well Cal.'!F$3,'Schedule 4'!$J$89:$J$649,'Well Cal.'!$E329)</f>
        <v>0</v>
      </c>
      <c r="G329" s="727">
        <f>SUMIFS('Schedule 4'!$F$89:$F$649,'Schedule 4'!$I$89:$I$649,'Well Cal.'!G$3,'Schedule 4'!$J$89:$J$649,'Well Cal.'!$E329)</f>
        <v>0</v>
      </c>
      <c r="H329" s="727">
        <f>SUMIFS('Schedule 4'!$F$89:$F$649,'Schedule 4'!$I$89:$I$649,'Well Cal.'!H$3,'Schedule 4'!$J$89:$J$649,'Well Cal.'!$E329)</f>
        <v>0</v>
      </c>
      <c r="I329" s="727">
        <f>SUMIFS('Schedule 4'!$F$89:$F$649,'Schedule 4'!$I$89:$I$649,'Well Cal.'!I$3,'Schedule 4'!$J$89:$J$649,'Well Cal.'!$E329)</f>
        <v>0</v>
      </c>
      <c r="J329" s="727">
        <f>SUMIFS('Schedule 4'!$F$89:$F$649,'Schedule 4'!$I$89:$I$649,'Well Cal.'!J$3,'Schedule 4'!$J$89:$J$649,'Well Cal.'!$E329)</f>
        <v>0</v>
      </c>
      <c r="K329" s="727">
        <f>SUMIFS('Schedule 4'!$F$89:$F$649,'Schedule 4'!$I$89:$I$649,'Well Cal.'!K$3,'Schedule 4'!$J$89:$J$649,'Well Cal.'!$E329)</f>
        <v>0</v>
      </c>
      <c r="L329" s="727">
        <f>SUMIFS('Schedule 4'!$F$89:$F$649,'Schedule 4'!$I$89:$I$649,'Well Cal.'!L$3,'Schedule 4'!$J$89:$J$649,'Well Cal.'!$E329)</f>
        <v>0</v>
      </c>
      <c r="M329" s="727">
        <f>SUMIFS('Schedule 4'!$F$89:$F$649,'Schedule 4'!$I$89:$I$649,'Well Cal.'!M$3,'Schedule 4'!$J$89:$J$649,'Well Cal.'!$E329)</f>
        <v>0</v>
      </c>
      <c r="N329" s="727">
        <f>SUMIFS('Schedule 4'!$F$89:$F$649,'Schedule 4'!$I$89:$I$649,'Well Cal.'!N$3,'Schedule 4'!$J$89:$J$649,'Well Cal.'!$E329)</f>
        <v>0</v>
      </c>
      <c r="O329" s="727">
        <f>SUMIFS('Schedule 4'!$F$89:$F$649,'Schedule 4'!$I$89:$I$649,'Well Cal.'!O$3,'Schedule 4'!$J$89:$J$649,'Well Cal.'!$E329)</f>
        <v>0</v>
      </c>
      <c r="P329" s="727">
        <f>SUMIFS('Schedule 4'!$F$89:$F$649,'Schedule 4'!$I$89:$I$649,'Well Cal.'!P$3,'Schedule 4'!$J$89:$J$649,'Well Cal.'!$E329)</f>
        <v>0</v>
      </c>
      <c r="Q329" s="727">
        <f>SUMIFS('Schedule 4'!$F$89:$F$649,'Schedule 4'!$I$89:$I$649,'Well Cal.'!Q$3,'Schedule 4'!$J$89:$J$649,'Well Cal.'!$E329)</f>
        <v>0</v>
      </c>
      <c r="R329" s="727">
        <f>SUMIFS('Schedule 4'!$F$89:$F$649,'Schedule 4'!$I$89:$I$649,'Well Cal.'!R$3,'Schedule 4'!$J$89:$J$649,'Well Cal.'!$E329)</f>
        <v>0</v>
      </c>
      <c r="S329" s="727">
        <f>SUMIFS('Schedule 4'!$F$89:$F$649,'Schedule 4'!$I$89:$I$649,'Well Cal.'!S$3,'Schedule 4'!$J$89:$J$649,'Well Cal.'!$E329)</f>
        <v>0</v>
      </c>
      <c r="T329" s="727">
        <f>SUMIFS('Schedule 4'!$F$89:$F$649,'Schedule 4'!$I$89:$I$649,'Well Cal.'!T$3,'Schedule 4'!$J$89:$J$649,'Well Cal.'!$E329)</f>
        <v>0</v>
      </c>
      <c r="U329" s="727">
        <f>SUMIFS('Schedule 4'!$F$89:$F$649,'Schedule 4'!$I$89:$I$649,'Well Cal.'!U$3,'Schedule 4'!$J$89:$J$649,'Well Cal.'!$E329)</f>
        <v>0</v>
      </c>
      <c r="V329" s="727">
        <f>SUMIFS('Schedule 4'!$F$89:$F$649,'Schedule 4'!$I$89:$I$649,'Well Cal.'!V$3,'Schedule 4'!$J$89:$J$649,'Well Cal.'!$E329)</f>
        <v>0</v>
      </c>
      <c r="W329" s="727">
        <f>SUMIFS('Schedule 4'!$F$89:$F$649,'Schedule 4'!$I$89:$I$649,'Well Cal.'!W$3,'Schedule 4'!$J$89:$J$649,'Well Cal.'!$E329)</f>
        <v>0</v>
      </c>
      <c r="X329" s="727">
        <f>SUMIFS('Schedule 4'!$F$89:$F$649,'Schedule 4'!$I$89:$I$649,'Well Cal.'!X$3,'Schedule 4'!$J$89:$J$649,'Well Cal.'!$E329)</f>
        <v>0</v>
      </c>
      <c r="Y329" s="727">
        <f>SUMIFS('Schedule 4'!$F$89:$F$649,'Schedule 4'!$I$89:$I$649,'Well Cal.'!Y$3,'Schedule 4'!$J$89:$J$649,'Well Cal.'!$E329)</f>
        <v>0</v>
      </c>
      <c r="Z329" s="727">
        <f>SUMIFS('Schedule 4'!$F$89:$F$649,'Schedule 4'!$I$89:$I$649,'Well Cal.'!Z$3,'Schedule 4'!$J$89:$J$649,'Well Cal.'!$E329)</f>
        <v>0</v>
      </c>
      <c r="AA329" s="727"/>
      <c r="AB329" s="1731"/>
      <c r="AC329" s="1731"/>
    </row>
    <row r="330" spans="2:29" x14ac:dyDescent="0.3">
      <c r="B330" s="1724"/>
      <c r="C330" s="1727"/>
      <c r="D330" s="1721"/>
      <c r="E330" s="775" t="s">
        <v>3947</v>
      </c>
      <c r="F330" s="727">
        <f>SUMIFS('Schedule 4'!$F$89:$F$649,'Schedule 4'!$I$89:$I$649,'Well Cal.'!F$3,'Schedule 4'!$J$89:$J$649,'Well Cal.'!$E330)</f>
        <v>0</v>
      </c>
      <c r="G330" s="727">
        <f>SUMIFS('Schedule 4'!$F$89:$F$649,'Schedule 4'!$I$89:$I$649,'Well Cal.'!G$3,'Schedule 4'!$J$89:$J$649,'Well Cal.'!$E330)</f>
        <v>0</v>
      </c>
      <c r="H330" s="727">
        <f>SUMIFS('Schedule 4'!$F$89:$F$649,'Schedule 4'!$I$89:$I$649,'Well Cal.'!H$3,'Schedule 4'!$J$89:$J$649,'Well Cal.'!$E330)</f>
        <v>0</v>
      </c>
      <c r="I330" s="727">
        <f>SUMIFS('Schedule 4'!$F$89:$F$649,'Schedule 4'!$I$89:$I$649,'Well Cal.'!I$3,'Schedule 4'!$J$89:$J$649,'Well Cal.'!$E330)</f>
        <v>0</v>
      </c>
      <c r="J330" s="727">
        <f>SUMIFS('Schedule 4'!$F$89:$F$649,'Schedule 4'!$I$89:$I$649,'Well Cal.'!J$3,'Schedule 4'!$J$89:$J$649,'Well Cal.'!$E330)</f>
        <v>0</v>
      </c>
      <c r="K330" s="727">
        <f>SUMIFS('Schedule 4'!$F$89:$F$649,'Schedule 4'!$I$89:$I$649,'Well Cal.'!K$3,'Schedule 4'!$J$89:$J$649,'Well Cal.'!$E330)</f>
        <v>0</v>
      </c>
      <c r="L330" s="727">
        <f>SUMIFS('Schedule 4'!$F$89:$F$649,'Schedule 4'!$I$89:$I$649,'Well Cal.'!L$3,'Schedule 4'!$J$89:$J$649,'Well Cal.'!$E330)</f>
        <v>0</v>
      </c>
      <c r="M330" s="727">
        <f>SUMIFS('Schedule 4'!$F$89:$F$649,'Schedule 4'!$I$89:$I$649,'Well Cal.'!M$3,'Schedule 4'!$J$89:$J$649,'Well Cal.'!$E330)</f>
        <v>0</v>
      </c>
      <c r="N330" s="727">
        <f>SUMIFS('Schedule 4'!$F$89:$F$649,'Schedule 4'!$I$89:$I$649,'Well Cal.'!N$3,'Schedule 4'!$J$89:$J$649,'Well Cal.'!$E330)</f>
        <v>0</v>
      </c>
      <c r="O330" s="727">
        <f>SUMIFS('Schedule 4'!$F$89:$F$649,'Schedule 4'!$I$89:$I$649,'Well Cal.'!O$3,'Schedule 4'!$J$89:$J$649,'Well Cal.'!$E330)</f>
        <v>0</v>
      </c>
      <c r="P330" s="727">
        <f>SUMIFS('Schedule 4'!$F$89:$F$649,'Schedule 4'!$I$89:$I$649,'Well Cal.'!P$3,'Schedule 4'!$J$89:$J$649,'Well Cal.'!$E330)</f>
        <v>0</v>
      </c>
      <c r="Q330" s="727">
        <f>SUMIFS('Schedule 4'!$F$89:$F$649,'Schedule 4'!$I$89:$I$649,'Well Cal.'!Q$3,'Schedule 4'!$J$89:$J$649,'Well Cal.'!$E330)</f>
        <v>0</v>
      </c>
      <c r="R330" s="727">
        <f>SUMIFS('Schedule 4'!$F$89:$F$649,'Schedule 4'!$I$89:$I$649,'Well Cal.'!R$3,'Schedule 4'!$J$89:$J$649,'Well Cal.'!$E330)</f>
        <v>0</v>
      </c>
      <c r="S330" s="727">
        <f>SUMIFS('Schedule 4'!$F$89:$F$649,'Schedule 4'!$I$89:$I$649,'Well Cal.'!S$3,'Schedule 4'!$J$89:$J$649,'Well Cal.'!$E330)</f>
        <v>0</v>
      </c>
      <c r="T330" s="727">
        <f>SUMIFS('Schedule 4'!$F$89:$F$649,'Schedule 4'!$I$89:$I$649,'Well Cal.'!T$3,'Schedule 4'!$J$89:$J$649,'Well Cal.'!$E330)</f>
        <v>0</v>
      </c>
      <c r="U330" s="727">
        <f>SUMIFS('Schedule 4'!$F$89:$F$649,'Schedule 4'!$I$89:$I$649,'Well Cal.'!U$3,'Schedule 4'!$J$89:$J$649,'Well Cal.'!$E330)</f>
        <v>0</v>
      </c>
      <c r="V330" s="727">
        <f>SUMIFS('Schedule 4'!$F$89:$F$649,'Schedule 4'!$I$89:$I$649,'Well Cal.'!V$3,'Schedule 4'!$J$89:$J$649,'Well Cal.'!$E330)</f>
        <v>0</v>
      </c>
      <c r="W330" s="727">
        <f>SUMIFS('Schedule 4'!$F$89:$F$649,'Schedule 4'!$I$89:$I$649,'Well Cal.'!W$3,'Schedule 4'!$J$89:$J$649,'Well Cal.'!$E330)</f>
        <v>0</v>
      </c>
      <c r="X330" s="727">
        <f>SUMIFS('Schedule 4'!$F$89:$F$649,'Schedule 4'!$I$89:$I$649,'Well Cal.'!X$3,'Schedule 4'!$J$89:$J$649,'Well Cal.'!$E330)</f>
        <v>0</v>
      </c>
      <c r="Y330" s="727">
        <f>SUMIFS('Schedule 4'!$F$89:$F$649,'Schedule 4'!$I$89:$I$649,'Well Cal.'!Y$3,'Schedule 4'!$J$89:$J$649,'Well Cal.'!$E330)</f>
        <v>0</v>
      </c>
      <c r="Z330" s="727">
        <f>SUMIFS('Schedule 4'!$F$89:$F$649,'Schedule 4'!$I$89:$I$649,'Well Cal.'!Z$3,'Schedule 4'!$J$89:$J$649,'Well Cal.'!$E330)</f>
        <v>0</v>
      </c>
      <c r="AA330" s="727"/>
      <c r="AB330" s="1731"/>
      <c r="AC330" s="1731"/>
    </row>
    <row r="331" spans="2:29" x14ac:dyDescent="0.3">
      <c r="B331" s="1724"/>
      <c r="C331" s="1727"/>
      <c r="D331" s="1721"/>
      <c r="E331" s="775" t="s">
        <v>4036</v>
      </c>
      <c r="F331" s="727">
        <f>SUMIFS('Schedule 4'!$F$89:$F$649,'Schedule 4'!$I$89:$I$649,'Well Cal.'!F$3,'Schedule 4'!$J$89:$J$649,'Well Cal.'!$E331)</f>
        <v>0</v>
      </c>
      <c r="G331" s="727">
        <f>SUMIFS('Schedule 4'!$F$89:$F$649,'Schedule 4'!$I$89:$I$649,'Well Cal.'!G$3,'Schedule 4'!$J$89:$J$649,'Well Cal.'!$E331)</f>
        <v>0</v>
      </c>
      <c r="H331" s="727">
        <f>SUMIFS('Schedule 4'!$F$89:$F$649,'Schedule 4'!$I$89:$I$649,'Well Cal.'!H$3,'Schedule 4'!$J$89:$J$649,'Well Cal.'!$E331)</f>
        <v>0</v>
      </c>
      <c r="I331" s="727">
        <f>SUMIFS('Schedule 4'!$F$89:$F$649,'Schedule 4'!$I$89:$I$649,'Well Cal.'!I$3,'Schedule 4'!$J$89:$J$649,'Well Cal.'!$E331)</f>
        <v>0</v>
      </c>
      <c r="J331" s="727">
        <f>SUMIFS('Schedule 4'!$F$89:$F$649,'Schedule 4'!$I$89:$I$649,'Well Cal.'!J$3,'Schedule 4'!$J$89:$J$649,'Well Cal.'!$E331)</f>
        <v>0</v>
      </c>
      <c r="K331" s="727">
        <f>SUMIFS('Schedule 4'!$F$89:$F$649,'Schedule 4'!$I$89:$I$649,'Well Cal.'!K$3,'Schedule 4'!$J$89:$J$649,'Well Cal.'!$E331)</f>
        <v>0</v>
      </c>
      <c r="L331" s="727">
        <f>SUMIFS('Schedule 4'!$F$89:$F$649,'Schedule 4'!$I$89:$I$649,'Well Cal.'!L$3,'Schedule 4'!$J$89:$J$649,'Well Cal.'!$E331)</f>
        <v>0</v>
      </c>
      <c r="M331" s="727">
        <f>SUMIFS('Schedule 4'!$F$89:$F$649,'Schedule 4'!$I$89:$I$649,'Well Cal.'!M$3,'Schedule 4'!$J$89:$J$649,'Well Cal.'!$E331)</f>
        <v>0</v>
      </c>
      <c r="N331" s="727">
        <f>SUMIFS('Schedule 4'!$F$89:$F$649,'Schedule 4'!$I$89:$I$649,'Well Cal.'!N$3,'Schedule 4'!$J$89:$J$649,'Well Cal.'!$E331)</f>
        <v>0</v>
      </c>
      <c r="O331" s="727">
        <f>SUMIFS('Schedule 4'!$F$89:$F$649,'Schedule 4'!$I$89:$I$649,'Well Cal.'!O$3,'Schedule 4'!$J$89:$J$649,'Well Cal.'!$E331)</f>
        <v>0</v>
      </c>
      <c r="P331" s="727">
        <f>SUMIFS('Schedule 4'!$F$89:$F$649,'Schedule 4'!$I$89:$I$649,'Well Cal.'!P$3,'Schedule 4'!$J$89:$J$649,'Well Cal.'!$E331)</f>
        <v>0</v>
      </c>
      <c r="Q331" s="727">
        <f>SUMIFS('Schedule 4'!$F$89:$F$649,'Schedule 4'!$I$89:$I$649,'Well Cal.'!Q$3,'Schedule 4'!$J$89:$J$649,'Well Cal.'!$E331)</f>
        <v>0</v>
      </c>
      <c r="R331" s="727">
        <f>SUMIFS('Schedule 4'!$F$89:$F$649,'Schedule 4'!$I$89:$I$649,'Well Cal.'!R$3,'Schedule 4'!$J$89:$J$649,'Well Cal.'!$E331)</f>
        <v>0</v>
      </c>
      <c r="S331" s="727">
        <f>SUMIFS('Schedule 4'!$F$89:$F$649,'Schedule 4'!$I$89:$I$649,'Well Cal.'!S$3,'Schedule 4'!$J$89:$J$649,'Well Cal.'!$E331)</f>
        <v>0</v>
      </c>
      <c r="T331" s="727">
        <f>SUMIFS('Schedule 4'!$F$89:$F$649,'Schedule 4'!$I$89:$I$649,'Well Cal.'!T$3,'Schedule 4'!$J$89:$J$649,'Well Cal.'!$E331)</f>
        <v>0</v>
      </c>
      <c r="U331" s="727">
        <f>SUMIFS('Schedule 4'!$F$89:$F$649,'Schedule 4'!$I$89:$I$649,'Well Cal.'!U$3,'Schedule 4'!$J$89:$J$649,'Well Cal.'!$E331)</f>
        <v>0</v>
      </c>
      <c r="V331" s="727">
        <f>SUMIFS('Schedule 4'!$F$89:$F$649,'Schedule 4'!$I$89:$I$649,'Well Cal.'!V$3,'Schedule 4'!$J$89:$J$649,'Well Cal.'!$E331)</f>
        <v>0</v>
      </c>
      <c r="W331" s="727">
        <f>SUMIFS('Schedule 4'!$F$89:$F$649,'Schedule 4'!$I$89:$I$649,'Well Cal.'!W$3,'Schedule 4'!$J$89:$J$649,'Well Cal.'!$E331)</f>
        <v>0</v>
      </c>
      <c r="X331" s="727">
        <f>SUMIFS('Schedule 4'!$F$89:$F$649,'Schedule 4'!$I$89:$I$649,'Well Cal.'!X$3,'Schedule 4'!$J$89:$J$649,'Well Cal.'!$E331)</f>
        <v>0</v>
      </c>
      <c r="Y331" s="727">
        <f>SUMIFS('Schedule 4'!$F$89:$F$649,'Schedule 4'!$I$89:$I$649,'Well Cal.'!Y$3,'Schedule 4'!$J$89:$J$649,'Well Cal.'!$E331)</f>
        <v>0</v>
      </c>
      <c r="Z331" s="727">
        <f>SUMIFS('Schedule 4'!$F$89:$F$649,'Schedule 4'!$I$89:$I$649,'Well Cal.'!Z$3,'Schedule 4'!$J$89:$J$649,'Well Cal.'!$E331)</f>
        <v>0</v>
      </c>
      <c r="AA331" s="727"/>
      <c r="AB331" s="1731"/>
      <c r="AC331" s="1731"/>
    </row>
    <row r="332" spans="2:29" x14ac:dyDescent="0.3">
      <c r="B332" s="1724"/>
      <c r="C332" s="1727"/>
      <c r="D332" s="1721"/>
      <c r="E332" s="775" t="s">
        <v>4104</v>
      </c>
      <c r="F332" s="727">
        <f>SUMIFS('Schedule 4'!$F$89:$F$649,'Schedule 4'!$I$89:$I$649,'Well Cal.'!F$3,'Schedule 4'!$J$89:$J$649,'Well Cal.'!$E332)</f>
        <v>0</v>
      </c>
      <c r="G332" s="727">
        <f>SUMIFS('Schedule 4'!$F$89:$F$649,'Schedule 4'!$I$89:$I$649,'Well Cal.'!G$3,'Schedule 4'!$J$89:$J$649,'Well Cal.'!$E332)</f>
        <v>0</v>
      </c>
      <c r="H332" s="727">
        <f>SUMIFS('Schedule 4'!$F$89:$F$649,'Schedule 4'!$I$89:$I$649,'Well Cal.'!H$3,'Schedule 4'!$J$89:$J$649,'Well Cal.'!$E332)</f>
        <v>0</v>
      </c>
      <c r="I332" s="727">
        <f>SUMIFS('Schedule 4'!$F$89:$F$649,'Schedule 4'!$I$89:$I$649,'Well Cal.'!I$3,'Schedule 4'!$J$89:$J$649,'Well Cal.'!$E332)</f>
        <v>0</v>
      </c>
      <c r="J332" s="727">
        <f>SUMIFS('Schedule 4'!$F$89:$F$649,'Schedule 4'!$I$89:$I$649,'Well Cal.'!J$3,'Schedule 4'!$J$89:$J$649,'Well Cal.'!$E332)</f>
        <v>0</v>
      </c>
      <c r="K332" s="727">
        <f>SUMIFS('Schedule 4'!$F$89:$F$649,'Schedule 4'!$I$89:$I$649,'Well Cal.'!K$3,'Schedule 4'!$J$89:$J$649,'Well Cal.'!$E332)</f>
        <v>0</v>
      </c>
      <c r="L332" s="727">
        <f>SUMIFS('Schedule 4'!$F$89:$F$649,'Schedule 4'!$I$89:$I$649,'Well Cal.'!L$3,'Schedule 4'!$J$89:$J$649,'Well Cal.'!$E332)</f>
        <v>0</v>
      </c>
      <c r="M332" s="727">
        <f>SUMIFS('Schedule 4'!$F$89:$F$649,'Schedule 4'!$I$89:$I$649,'Well Cal.'!M$3,'Schedule 4'!$J$89:$J$649,'Well Cal.'!$E332)</f>
        <v>0</v>
      </c>
      <c r="N332" s="727">
        <f>SUMIFS('Schedule 4'!$F$89:$F$649,'Schedule 4'!$I$89:$I$649,'Well Cal.'!N$3,'Schedule 4'!$J$89:$J$649,'Well Cal.'!$E332)</f>
        <v>0</v>
      </c>
      <c r="O332" s="727">
        <f>SUMIFS('Schedule 4'!$F$89:$F$649,'Schedule 4'!$I$89:$I$649,'Well Cal.'!O$3,'Schedule 4'!$J$89:$J$649,'Well Cal.'!$E332)</f>
        <v>0</v>
      </c>
      <c r="P332" s="727">
        <f>SUMIFS('Schedule 4'!$F$89:$F$649,'Schedule 4'!$I$89:$I$649,'Well Cal.'!P$3,'Schedule 4'!$J$89:$J$649,'Well Cal.'!$E332)</f>
        <v>0</v>
      </c>
      <c r="Q332" s="727">
        <f>SUMIFS('Schedule 4'!$F$89:$F$649,'Schedule 4'!$I$89:$I$649,'Well Cal.'!Q$3,'Schedule 4'!$J$89:$J$649,'Well Cal.'!$E332)</f>
        <v>0</v>
      </c>
      <c r="R332" s="727">
        <f>SUMIFS('Schedule 4'!$F$89:$F$649,'Schedule 4'!$I$89:$I$649,'Well Cal.'!R$3,'Schedule 4'!$J$89:$J$649,'Well Cal.'!$E332)</f>
        <v>0</v>
      </c>
      <c r="S332" s="727">
        <f>SUMIFS('Schedule 4'!$F$89:$F$649,'Schedule 4'!$I$89:$I$649,'Well Cal.'!S$3,'Schedule 4'!$J$89:$J$649,'Well Cal.'!$E332)</f>
        <v>0</v>
      </c>
      <c r="T332" s="727">
        <f>SUMIFS('Schedule 4'!$F$89:$F$649,'Schedule 4'!$I$89:$I$649,'Well Cal.'!T$3,'Schedule 4'!$J$89:$J$649,'Well Cal.'!$E332)</f>
        <v>0</v>
      </c>
      <c r="U332" s="727">
        <f>SUMIFS('Schedule 4'!$F$89:$F$649,'Schedule 4'!$I$89:$I$649,'Well Cal.'!U$3,'Schedule 4'!$J$89:$J$649,'Well Cal.'!$E332)</f>
        <v>0</v>
      </c>
      <c r="V332" s="727">
        <f>SUMIFS('Schedule 4'!$F$89:$F$649,'Schedule 4'!$I$89:$I$649,'Well Cal.'!V$3,'Schedule 4'!$J$89:$J$649,'Well Cal.'!$E332)</f>
        <v>0</v>
      </c>
      <c r="W332" s="727">
        <f>SUMIFS('Schedule 4'!$F$89:$F$649,'Schedule 4'!$I$89:$I$649,'Well Cal.'!W$3,'Schedule 4'!$J$89:$J$649,'Well Cal.'!$E332)</f>
        <v>0</v>
      </c>
      <c r="X332" s="727">
        <f>SUMIFS('Schedule 4'!$F$89:$F$649,'Schedule 4'!$I$89:$I$649,'Well Cal.'!X$3,'Schedule 4'!$J$89:$J$649,'Well Cal.'!$E332)</f>
        <v>0</v>
      </c>
      <c r="Y332" s="727">
        <f>SUMIFS('Schedule 4'!$F$89:$F$649,'Schedule 4'!$I$89:$I$649,'Well Cal.'!Y$3,'Schedule 4'!$J$89:$J$649,'Well Cal.'!$E332)</f>
        <v>0</v>
      </c>
      <c r="Z332" s="727">
        <f>SUMIFS('Schedule 4'!$F$89:$F$649,'Schedule 4'!$I$89:$I$649,'Well Cal.'!Z$3,'Schedule 4'!$J$89:$J$649,'Well Cal.'!$E332)</f>
        <v>0</v>
      </c>
      <c r="AA332" s="727"/>
      <c r="AB332" s="1731"/>
      <c r="AC332" s="1731"/>
    </row>
    <row r="333" spans="2:29" x14ac:dyDescent="0.3">
      <c r="B333" s="1724"/>
      <c r="C333" s="1727"/>
      <c r="D333" s="1721"/>
      <c r="E333" s="775" t="s">
        <v>4172</v>
      </c>
      <c r="F333" s="727">
        <f>SUMIFS('Schedule 4'!$F$89:$F$649,'Schedule 4'!$I$89:$I$649,'Well Cal.'!F$3,'Schedule 4'!$J$89:$J$649,'Well Cal.'!$E333)</f>
        <v>0</v>
      </c>
      <c r="G333" s="727">
        <f>SUMIFS('Schedule 4'!$F$89:$F$649,'Schedule 4'!$I$89:$I$649,'Well Cal.'!G$3,'Schedule 4'!$J$89:$J$649,'Well Cal.'!$E333)</f>
        <v>0</v>
      </c>
      <c r="H333" s="727">
        <f>SUMIFS('Schedule 4'!$F$89:$F$649,'Schedule 4'!$I$89:$I$649,'Well Cal.'!H$3,'Schedule 4'!$J$89:$J$649,'Well Cal.'!$E333)</f>
        <v>0</v>
      </c>
      <c r="I333" s="727">
        <f>SUMIFS('Schedule 4'!$F$89:$F$649,'Schedule 4'!$I$89:$I$649,'Well Cal.'!I$3,'Schedule 4'!$J$89:$J$649,'Well Cal.'!$E333)</f>
        <v>0</v>
      </c>
      <c r="J333" s="727">
        <f>SUMIFS('Schedule 4'!$F$89:$F$649,'Schedule 4'!$I$89:$I$649,'Well Cal.'!J$3,'Schedule 4'!$J$89:$J$649,'Well Cal.'!$E333)</f>
        <v>0</v>
      </c>
      <c r="K333" s="727">
        <f>SUMIFS('Schedule 4'!$F$89:$F$649,'Schedule 4'!$I$89:$I$649,'Well Cal.'!K$3,'Schedule 4'!$J$89:$J$649,'Well Cal.'!$E333)</f>
        <v>0</v>
      </c>
      <c r="L333" s="727">
        <f>SUMIFS('Schedule 4'!$F$89:$F$649,'Schedule 4'!$I$89:$I$649,'Well Cal.'!L$3,'Schedule 4'!$J$89:$J$649,'Well Cal.'!$E333)</f>
        <v>0</v>
      </c>
      <c r="M333" s="727">
        <f>SUMIFS('Schedule 4'!$F$89:$F$649,'Schedule 4'!$I$89:$I$649,'Well Cal.'!M$3,'Schedule 4'!$J$89:$J$649,'Well Cal.'!$E333)</f>
        <v>0</v>
      </c>
      <c r="N333" s="727">
        <f>SUMIFS('Schedule 4'!$F$89:$F$649,'Schedule 4'!$I$89:$I$649,'Well Cal.'!N$3,'Schedule 4'!$J$89:$J$649,'Well Cal.'!$E333)</f>
        <v>0</v>
      </c>
      <c r="O333" s="727">
        <f>SUMIFS('Schedule 4'!$F$89:$F$649,'Schedule 4'!$I$89:$I$649,'Well Cal.'!O$3,'Schedule 4'!$J$89:$J$649,'Well Cal.'!$E333)</f>
        <v>0</v>
      </c>
      <c r="P333" s="727">
        <f>SUMIFS('Schedule 4'!$F$89:$F$649,'Schedule 4'!$I$89:$I$649,'Well Cal.'!P$3,'Schedule 4'!$J$89:$J$649,'Well Cal.'!$E333)</f>
        <v>0</v>
      </c>
      <c r="Q333" s="727">
        <f>SUMIFS('Schedule 4'!$F$89:$F$649,'Schedule 4'!$I$89:$I$649,'Well Cal.'!Q$3,'Schedule 4'!$J$89:$J$649,'Well Cal.'!$E333)</f>
        <v>0</v>
      </c>
      <c r="R333" s="727">
        <f>SUMIFS('Schedule 4'!$F$89:$F$649,'Schedule 4'!$I$89:$I$649,'Well Cal.'!R$3,'Schedule 4'!$J$89:$J$649,'Well Cal.'!$E333)</f>
        <v>0</v>
      </c>
      <c r="S333" s="727">
        <f>SUMIFS('Schedule 4'!$F$89:$F$649,'Schedule 4'!$I$89:$I$649,'Well Cal.'!S$3,'Schedule 4'!$J$89:$J$649,'Well Cal.'!$E333)</f>
        <v>0</v>
      </c>
      <c r="T333" s="727">
        <f>SUMIFS('Schedule 4'!$F$89:$F$649,'Schedule 4'!$I$89:$I$649,'Well Cal.'!T$3,'Schedule 4'!$J$89:$J$649,'Well Cal.'!$E333)</f>
        <v>0</v>
      </c>
      <c r="U333" s="727">
        <f>SUMIFS('Schedule 4'!$F$89:$F$649,'Schedule 4'!$I$89:$I$649,'Well Cal.'!U$3,'Schedule 4'!$J$89:$J$649,'Well Cal.'!$E333)</f>
        <v>0</v>
      </c>
      <c r="V333" s="727">
        <f>SUMIFS('Schedule 4'!$F$89:$F$649,'Schedule 4'!$I$89:$I$649,'Well Cal.'!V$3,'Schedule 4'!$J$89:$J$649,'Well Cal.'!$E333)</f>
        <v>0</v>
      </c>
      <c r="W333" s="727">
        <f>SUMIFS('Schedule 4'!$F$89:$F$649,'Schedule 4'!$I$89:$I$649,'Well Cal.'!W$3,'Schedule 4'!$J$89:$J$649,'Well Cal.'!$E333)</f>
        <v>0</v>
      </c>
      <c r="X333" s="727">
        <f>SUMIFS('Schedule 4'!$F$89:$F$649,'Schedule 4'!$I$89:$I$649,'Well Cal.'!X$3,'Schedule 4'!$J$89:$J$649,'Well Cal.'!$E333)</f>
        <v>0</v>
      </c>
      <c r="Y333" s="727">
        <f>SUMIFS('Schedule 4'!$F$89:$F$649,'Schedule 4'!$I$89:$I$649,'Well Cal.'!Y$3,'Schedule 4'!$J$89:$J$649,'Well Cal.'!$E333)</f>
        <v>0</v>
      </c>
      <c r="Z333" s="727">
        <f>SUMIFS('Schedule 4'!$F$89:$F$649,'Schedule 4'!$I$89:$I$649,'Well Cal.'!Z$3,'Schedule 4'!$J$89:$J$649,'Well Cal.'!$E333)</f>
        <v>0</v>
      </c>
      <c r="AA333" s="727"/>
      <c r="AB333" s="1731"/>
      <c r="AC333" s="1731"/>
    </row>
    <row r="334" spans="2:29" x14ac:dyDescent="0.3">
      <c r="B334" s="1724"/>
      <c r="C334" s="1727"/>
      <c r="D334" s="1721"/>
      <c r="E334" s="775" t="s">
        <v>4246</v>
      </c>
      <c r="F334" s="727">
        <f>SUMIFS('Schedule 4'!$F$89:$F$649,'Schedule 4'!$I$89:$I$649,'Well Cal.'!F$3,'Schedule 4'!$J$89:$J$649,'Well Cal.'!$E334)</f>
        <v>0</v>
      </c>
      <c r="G334" s="727">
        <f>SUMIFS('Schedule 4'!$F$89:$F$649,'Schedule 4'!$I$89:$I$649,'Well Cal.'!G$3,'Schedule 4'!$J$89:$J$649,'Well Cal.'!$E334)</f>
        <v>0</v>
      </c>
      <c r="H334" s="727">
        <f>SUMIFS('Schedule 4'!$F$89:$F$649,'Schedule 4'!$I$89:$I$649,'Well Cal.'!H$3,'Schedule 4'!$J$89:$J$649,'Well Cal.'!$E334)</f>
        <v>0</v>
      </c>
      <c r="I334" s="727">
        <f>SUMIFS('Schedule 4'!$F$89:$F$649,'Schedule 4'!$I$89:$I$649,'Well Cal.'!I$3,'Schedule 4'!$J$89:$J$649,'Well Cal.'!$E334)</f>
        <v>0</v>
      </c>
      <c r="J334" s="727">
        <f>SUMIFS('Schedule 4'!$F$89:$F$649,'Schedule 4'!$I$89:$I$649,'Well Cal.'!J$3,'Schedule 4'!$J$89:$J$649,'Well Cal.'!$E334)</f>
        <v>0</v>
      </c>
      <c r="K334" s="727">
        <f>SUMIFS('Schedule 4'!$F$89:$F$649,'Schedule 4'!$I$89:$I$649,'Well Cal.'!K$3,'Schedule 4'!$J$89:$J$649,'Well Cal.'!$E334)</f>
        <v>0</v>
      </c>
      <c r="L334" s="727">
        <f>SUMIFS('Schedule 4'!$F$89:$F$649,'Schedule 4'!$I$89:$I$649,'Well Cal.'!L$3,'Schedule 4'!$J$89:$J$649,'Well Cal.'!$E334)</f>
        <v>0</v>
      </c>
      <c r="M334" s="727">
        <f>SUMIFS('Schedule 4'!$F$89:$F$649,'Schedule 4'!$I$89:$I$649,'Well Cal.'!M$3,'Schedule 4'!$J$89:$J$649,'Well Cal.'!$E334)</f>
        <v>0</v>
      </c>
      <c r="N334" s="727">
        <f>SUMIFS('Schedule 4'!$F$89:$F$649,'Schedule 4'!$I$89:$I$649,'Well Cal.'!N$3,'Schedule 4'!$J$89:$J$649,'Well Cal.'!$E334)</f>
        <v>0</v>
      </c>
      <c r="O334" s="727">
        <f>SUMIFS('Schedule 4'!$F$89:$F$649,'Schedule 4'!$I$89:$I$649,'Well Cal.'!O$3,'Schedule 4'!$J$89:$J$649,'Well Cal.'!$E334)</f>
        <v>0</v>
      </c>
      <c r="P334" s="727">
        <f>SUMIFS('Schedule 4'!$F$89:$F$649,'Schedule 4'!$I$89:$I$649,'Well Cal.'!P$3,'Schedule 4'!$J$89:$J$649,'Well Cal.'!$E334)</f>
        <v>0</v>
      </c>
      <c r="Q334" s="727">
        <f>SUMIFS('Schedule 4'!$F$89:$F$649,'Schedule 4'!$I$89:$I$649,'Well Cal.'!Q$3,'Schedule 4'!$J$89:$J$649,'Well Cal.'!$E334)</f>
        <v>0</v>
      </c>
      <c r="R334" s="727">
        <f>SUMIFS('Schedule 4'!$F$89:$F$649,'Schedule 4'!$I$89:$I$649,'Well Cal.'!R$3,'Schedule 4'!$J$89:$J$649,'Well Cal.'!$E334)</f>
        <v>0</v>
      </c>
      <c r="S334" s="727">
        <f>SUMIFS('Schedule 4'!$F$89:$F$649,'Schedule 4'!$I$89:$I$649,'Well Cal.'!S$3,'Schedule 4'!$J$89:$J$649,'Well Cal.'!$E334)</f>
        <v>0</v>
      </c>
      <c r="T334" s="727">
        <f>SUMIFS('Schedule 4'!$F$89:$F$649,'Schedule 4'!$I$89:$I$649,'Well Cal.'!T$3,'Schedule 4'!$J$89:$J$649,'Well Cal.'!$E334)</f>
        <v>0</v>
      </c>
      <c r="U334" s="727">
        <f>SUMIFS('Schedule 4'!$F$89:$F$649,'Schedule 4'!$I$89:$I$649,'Well Cal.'!U$3,'Schedule 4'!$J$89:$J$649,'Well Cal.'!$E334)</f>
        <v>0</v>
      </c>
      <c r="V334" s="727">
        <f>SUMIFS('Schedule 4'!$F$89:$F$649,'Schedule 4'!$I$89:$I$649,'Well Cal.'!V$3,'Schedule 4'!$J$89:$J$649,'Well Cal.'!$E334)</f>
        <v>0</v>
      </c>
      <c r="W334" s="727">
        <f>SUMIFS('Schedule 4'!$F$89:$F$649,'Schedule 4'!$I$89:$I$649,'Well Cal.'!W$3,'Schedule 4'!$J$89:$J$649,'Well Cal.'!$E334)</f>
        <v>0</v>
      </c>
      <c r="X334" s="727">
        <f>SUMIFS('Schedule 4'!$F$89:$F$649,'Schedule 4'!$I$89:$I$649,'Well Cal.'!X$3,'Schedule 4'!$J$89:$J$649,'Well Cal.'!$E334)</f>
        <v>0</v>
      </c>
      <c r="Y334" s="727">
        <f>SUMIFS('Schedule 4'!$F$89:$F$649,'Schedule 4'!$I$89:$I$649,'Well Cal.'!Y$3,'Schedule 4'!$J$89:$J$649,'Well Cal.'!$E334)</f>
        <v>0</v>
      </c>
      <c r="Z334" s="727">
        <f>SUMIFS('Schedule 4'!$F$89:$F$649,'Schedule 4'!$I$89:$I$649,'Well Cal.'!Z$3,'Schedule 4'!$J$89:$J$649,'Well Cal.'!$E334)</f>
        <v>0</v>
      </c>
      <c r="AA334" s="727"/>
      <c r="AB334" s="1731"/>
      <c r="AC334" s="1731"/>
    </row>
    <row r="335" spans="2:29" x14ac:dyDescent="0.3">
      <c r="B335" s="1724"/>
      <c r="C335" s="1727"/>
      <c r="D335" s="1721"/>
      <c r="E335" s="775" t="s">
        <v>4310</v>
      </c>
      <c r="F335" s="727">
        <f>SUMIFS('Schedule 4'!$F$89:$F$649,'Schedule 4'!$I$89:$I$649,'Well Cal.'!F$3,'Schedule 4'!$J$89:$J$649,'Well Cal.'!$E335)</f>
        <v>0</v>
      </c>
      <c r="G335" s="727">
        <f>SUMIFS('Schedule 4'!$F$89:$F$649,'Schedule 4'!$I$89:$I$649,'Well Cal.'!G$3,'Schedule 4'!$J$89:$J$649,'Well Cal.'!$E335)</f>
        <v>0</v>
      </c>
      <c r="H335" s="727">
        <f>SUMIFS('Schedule 4'!$F$89:$F$649,'Schedule 4'!$I$89:$I$649,'Well Cal.'!H$3,'Schedule 4'!$J$89:$J$649,'Well Cal.'!$E335)</f>
        <v>0</v>
      </c>
      <c r="I335" s="727">
        <f>SUMIFS('Schedule 4'!$F$89:$F$649,'Schedule 4'!$I$89:$I$649,'Well Cal.'!I$3,'Schedule 4'!$J$89:$J$649,'Well Cal.'!$E335)</f>
        <v>0</v>
      </c>
      <c r="J335" s="727">
        <f>SUMIFS('Schedule 4'!$F$89:$F$649,'Schedule 4'!$I$89:$I$649,'Well Cal.'!J$3,'Schedule 4'!$J$89:$J$649,'Well Cal.'!$E335)</f>
        <v>0</v>
      </c>
      <c r="K335" s="727">
        <f>SUMIFS('Schedule 4'!$F$89:$F$649,'Schedule 4'!$I$89:$I$649,'Well Cal.'!K$3,'Schedule 4'!$J$89:$J$649,'Well Cal.'!$E335)</f>
        <v>0</v>
      </c>
      <c r="L335" s="727">
        <f>SUMIFS('Schedule 4'!$F$89:$F$649,'Schedule 4'!$I$89:$I$649,'Well Cal.'!L$3,'Schedule 4'!$J$89:$J$649,'Well Cal.'!$E335)</f>
        <v>0</v>
      </c>
      <c r="M335" s="727">
        <f>SUMIFS('Schedule 4'!$F$89:$F$649,'Schedule 4'!$I$89:$I$649,'Well Cal.'!M$3,'Schedule 4'!$J$89:$J$649,'Well Cal.'!$E335)</f>
        <v>0</v>
      </c>
      <c r="N335" s="727">
        <f>SUMIFS('Schedule 4'!$F$89:$F$649,'Schedule 4'!$I$89:$I$649,'Well Cal.'!N$3,'Schedule 4'!$J$89:$J$649,'Well Cal.'!$E335)</f>
        <v>0</v>
      </c>
      <c r="O335" s="727">
        <f>SUMIFS('Schedule 4'!$F$89:$F$649,'Schedule 4'!$I$89:$I$649,'Well Cal.'!O$3,'Schedule 4'!$J$89:$J$649,'Well Cal.'!$E335)</f>
        <v>0</v>
      </c>
      <c r="P335" s="727">
        <f>SUMIFS('Schedule 4'!$F$89:$F$649,'Schedule 4'!$I$89:$I$649,'Well Cal.'!P$3,'Schedule 4'!$J$89:$J$649,'Well Cal.'!$E335)</f>
        <v>0</v>
      </c>
      <c r="Q335" s="727">
        <f>SUMIFS('Schedule 4'!$F$89:$F$649,'Schedule 4'!$I$89:$I$649,'Well Cal.'!Q$3,'Schedule 4'!$J$89:$J$649,'Well Cal.'!$E335)</f>
        <v>0</v>
      </c>
      <c r="R335" s="727">
        <f>SUMIFS('Schedule 4'!$F$89:$F$649,'Schedule 4'!$I$89:$I$649,'Well Cal.'!R$3,'Schedule 4'!$J$89:$J$649,'Well Cal.'!$E335)</f>
        <v>0</v>
      </c>
      <c r="S335" s="727">
        <f>SUMIFS('Schedule 4'!$F$89:$F$649,'Schedule 4'!$I$89:$I$649,'Well Cal.'!S$3,'Schedule 4'!$J$89:$J$649,'Well Cal.'!$E335)</f>
        <v>0</v>
      </c>
      <c r="T335" s="727">
        <f>SUMIFS('Schedule 4'!$F$89:$F$649,'Schedule 4'!$I$89:$I$649,'Well Cal.'!T$3,'Schedule 4'!$J$89:$J$649,'Well Cal.'!$E335)</f>
        <v>0</v>
      </c>
      <c r="U335" s="727">
        <f>SUMIFS('Schedule 4'!$F$89:$F$649,'Schedule 4'!$I$89:$I$649,'Well Cal.'!U$3,'Schedule 4'!$J$89:$J$649,'Well Cal.'!$E335)</f>
        <v>0</v>
      </c>
      <c r="V335" s="727">
        <f>SUMIFS('Schedule 4'!$F$89:$F$649,'Schedule 4'!$I$89:$I$649,'Well Cal.'!V$3,'Schedule 4'!$J$89:$J$649,'Well Cal.'!$E335)</f>
        <v>0</v>
      </c>
      <c r="W335" s="727">
        <f>SUMIFS('Schedule 4'!$F$89:$F$649,'Schedule 4'!$I$89:$I$649,'Well Cal.'!W$3,'Schedule 4'!$J$89:$J$649,'Well Cal.'!$E335)</f>
        <v>0</v>
      </c>
      <c r="X335" s="727">
        <f>SUMIFS('Schedule 4'!$F$89:$F$649,'Schedule 4'!$I$89:$I$649,'Well Cal.'!X$3,'Schedule 4'!$J$89:$J$649,'Well Cal.'!$E335)</f>
        <v>0</v>
      </c>
      <c r="Y335" s="727">
        <f>SUMIFS('Schedule 4'!$F$89:$F$649,'Schedule 4'!$I$89:$I$649,'Well Cal.'!Y$3,'Schedule 4'!$J$89:$J$649,'Well Cal.'!$E335)</f>
        <v>0</v>
      </c>
      <c r="Z335" s="727">
        <f>SUMIFS('Schedule 4'!$F$89:$F$649,'Schedule 4'!$I$89:$I$649,'Well Cal.'!Z$3,'Schedule 4'!$J$89:$J$649,'Well Cal.'!$E335)</f>
        <v>0</v>
      </c>
      <c r="AA335" s="727"/>
      <c r="AB335" s="1731"/>
      <c r="AC335" s="1731"/>
    </row>
    <row r="336" spans="2:29" x14ac:dyDescent="0.3">
      <c r="B336" s="1724"/>
      <c r="C336" s="1727"/>
      <c r="D336" s="1721"/>
      <c r="E336" s="775" t="s">
        <v>4370</v>
      </c>
      <c r="F336" s="727">
        <f>SUMIFS('Schedule 4'!$F$89:$F$649,'Schedule 4'!$I$89:$I$649,'Well Cal.'!F$3,'Schedule 4'!$J$89:$J$649,'Well Cal.'!$E336)</f>
        <v>0</v>
      </c>
      <c r="G336" s="727">
        <f>SUMIFS('Schedule 4'!$F$89:$F$649,'Schedule 4'!$I$89:$I$649,'Well Cal.'!G$3,'Schedule 4'!$J$89:$J$649,'Well Cal.'!$E336)</f>
        <v>0</v>
      </c>
      <c r="H336" s="727">
        <f>SUMIFS('Schedule 4'!$F$89:$F$649,'Schedule 4'!$I$89:$I$649,'Well Cal.'!H$3,'Schedule 4'!$J$89:$J$649,'Well Cal.'!$E336)</f>
        <v>0</v>
      </c>
      <c r="I336" s="727">
        <f>SUMIFS('Schedule 4'!$F$89:$F$649,'Schedule 4'!$I$89:$I$649,'Well Cal.'!I$3,'Schedule 4'!$J$89:$J$649,'Well Cal.'!$E336)</f>
        <v>0</v>
      </c>
      <c r="J336" s="727">
        <f>SUMIFS('Schedule 4'!$F$89:$F$649,'Schedule 4'!$I$89:$I$649,'Well Cal.'!J$3,'Schedule 4'!$J$89:$J$649,'Well Cal.'!$E336)</f>
        <v>0</v>
      </c>
      <c r="K336" s="727">
        <f>SUMIFS('Schedule 4'!$F$89:$F$649,'Schedule 4'!$I$89:$I$649,'Well Cal.'!K$3,'Schedule 4'!$J$89:$J$649,'Well Cal.'!$E336)</f>
        <v>0</v>
      </c>
      <c r="L336" s="727">
        <f>SUMIFS('Schedule 4'!$F$89:$F$649,'Schedule 4'!$I$89:$I$649,'Well Cal.'!L$3,'Schedule 4'!$J$89:$J$649,'Well Cal.'!$E336)</f>
        <v>0</v>
      </c>
      <c r="M336" s="727">
        <f>SUMIFS('Schedule 4'!$F$89:$F$649,'Schedule 4'!$I$89:$I$649,'Well Cal.'!M$3,'Schedule 4'!$J$89:$J$649,'Well Cal.'!$E336)</f>
        <v>0</v>
      </c>
      <c r="N336" s="727">
        <f>SUMIFS('Schedule 4'!$F$89:$F$649,'Schedule 4'!$I$89:$I$649,'Well Cal.'!N$3,'Schedule 4'!$J$89:$J$649,'Well Cal.'!$E336)</f>
        <v>0</v>
      </c>
      <c r="O336" s="727">
        <f>SUMIFS('Schedule 4'!$F$89:$F$649,'Schedule 4'!$I$89:$I$649,'Well Cal.'!O$3,'Schedule 4'!$J$89:$J$649,'Well Cal.'!$E336)</f>
        <v>0</v>
      </c>
      <c r="P336" s="727">
        <f>SUMIFS('Schedule 4'!$F$89:$F$649,'Schedule 4'!$I$89:$I$649,'Well Cal.'!P$3,'Schedule 4'!$J$89:$J$649,'Well Cal.'!$E336)</f>
        <v>0</v>
      </c>
      <c r="Q336" s="727">
        <f>SUMIFS('Schedule 4'!$F$89:$F$649,'Schedule 4'!$I$89:$I$649,'Well Cal.'!Q$3,'Schedule 4'!$J$89:$J$649,'Well Cal.'!$E336)</f>
        <v>0</v>
      </c>
      <c r="R336" s="727">
        <f>SUMIFS('Schedule 4'!$F$89:$F$649,'Schedule 4'!$I$89:$I$649,'Well Cal.'!R$3,'Schedule 4'!$J$89:$J$649,'Well Cal.'!$E336)</f>
        <v>0</v>
      </c>
      <c r="S336" s="727">
        <f>SUMIFS('Schedule 4'!$F$89:$F$649,'Schedule 4'!$I$89:$I$649,'Well Cal.'!S$3,'Schedule 4'!$J$89:$J$649,'Well Cal.'!$E336)</f>
        <v>0</v>
      </c>
      <c r="T336" s="727">
        <f>SUMIFS('Schedule 4'!$F$89:$F$649,'Schedule 4'!$I$89:$I$649,'Well Cal.'!T$3,'Schedule 4'!$J$89:$J$649,'Well Cal.'!$E336)</f>
        <v>0</v>
      </c>
      <c r="U336" s="727">
        <f>SUMIFS('Schedule 4'!$F$89:$F$649,'Schedule 4'!$I$89:$I$649,'Well Cal.'!U$3,'Schedule 4'!$J$89:$J$649,'Well Cal.'!$E336)</f>
        <v>0</v>
      </c>
      <c r="V336" s="727">
        <f>SUMIFS('Schedule 4'!$F$89:$F$649,'Schedule 4'!$I$89:$I$649,'Well Cal.'!V$3,'Schedule 4'!$J$89:$J$649,'Well Cal.'!$E336)</f>
        <v>0</v>
      </c>
      <c r="W336" s="727">
        <f>SUMIFS('Schedule 4'!$F$89:$F$649,'Schedule 4'!$I$89:$I$649,'Well Cal.'!W$3,'Schedule 4'!$J$89:$J$649,'Well Cal.'!$E336)</f>
        <v>0</v>
      </c>
      <c r="X336" s="727">
        <f>SUMIFS('Schedule 4'!$F$89:$F$649,'Schedule 4'!$I$89:$I$649,'Well Cal.'!X$3,'Schedule 4'!$J$89:$J$649,'Well Cal.'!$E336)</f>
        <v>0</v>
      </c>
      <c r="Y336" s="727">
        <f>SUMIFS('Schedule 4'!$F$89:$F$649,'Schedule 4'!$I$89:$I$649,'Well Cal.'!Y$3,'Schedule 4'!$J$89:$J$649,'Well Cal.'!$E336)</f>
        <v>0</v>
      </c>
      <c r="Z336" s="727">
        <f>SUMIFS('Schedule 4'!$F$89:$F$649,'Schedule 4'!$I$89:$I$649,'Well Cal.'!Z$3,'Schedule 4'!$J$89:$J$649,'Well Cal.'!$E336)</f>
        <v>0</v>
      </c>
      <c r="AA336" s="727"/>
      <c r="AB336" s="1731"/>
      <c r="AC336" s="1731"/>
    </row>
    <row r="337" spans="2:29" x14ac:dyDescent="0.3">
      <c r="B337" s="1724"/>
      <c r="C337" s="1727"/>
      <c r="D337" s="1721"/>
      <c r="E337" s="775" t="s">
        <v>4431</v>
      </c>
      <c r="F337" s="727">
        <f>SUMIFS('Schedule 4'!$F$89:$F$649,'Schedule 4'!$I$89:$I$649,'Well Cal.'!F$3,'Schedule 4'!$J$89:$J$649,'Well Cal.'!$E337)</f>
        <v>0</v>
      </c>
      <c r="G337" s="727">
        <f>SUMIFS('Schedule 4'!$F$89:$F$649,'Schedule 4'!$I$89:$I$649,'Well Cal.'!G$3,'Schedule 4'!$J$89:$J$649,'Well Cal.'!$E337)</f>
        <v>0</v>
      </c>
      <c r="H337" s="727">
        <f>SUMIFS('Schedule 4'!$F$89:$F$649,'Schedule 4'!$I$89:$I$649,'Well Cal.'!H$3,'Schedule 4'!$J$89:$J$649,'Well Cal.'!$E337)</f>
        <v>0</v>
      </c>
      <c r="I337" s="727">
        <f>SUMIFS('Schedule 4'!$F$89:$F$649,'Schedule 4'!$I$89:$I$649,'Well Cal.'!I$3,'Schedule 4'!$J$89:$J$649,'Well Cal.'!$E337)</f>
        <v>0</v>
      </c>
      <c r="J337" s="727">
        <f>SUMIFS('Schedule 4'!$F$89:$F$649,'Schedule 4'!$I$89:$I$649,'Well Cal.'!J$3,'Schedule 4'!$J$89:$J$649,'Well Cal.'!$E337)</f>
        <v>0</v>
      </c>
      <c r="K337" s="727">
        <f>SUMIFS('Schedule 4'!$F$89:$F$649,'Schedule 4'!$I$89:$I$649,'Well Cal.'!K$3,'Schedule 4'!$J$89:$J$649,'Well Cal.'!$E337)</f>
        <v>0</v>
      </c>
      <c r="L337" s="727">
        <f>SUMIFS('Schedule 4'!$F$89:$F$649,'Schedule 4'!$I$89:$I$649,'Well Cal.'!L$3,'Schedule 4'!$J$89:$J$649,'Well Cal.'!$E337)</f>
        <v>0</v>
      </c>
      <c r="M337" s="727">
        <f>SUMIFS('Schedule 4'!$F$89:$F$649,'Schedule 4'!$I$89:$I$649,'Well Cal.'!M$3,'Schedule 4'!$J$89:$J$649,'Well Cal.'!$E337)</f>
        <v>0</v>
      </c>
      <c r="N337" s="727">
        <f>SUMIFS('Schedule 4'!$F$89:$F$649,'Schedule 4'!$I$89:$I$649,'Well Cal.'!N$3,'Schedule 4'!$J$89:$J$649,'Well Cal.'!$E337)</f>
        <v>0</v>
      </c>
      <c r="O337" s="727">
        <f>SUMIFS('Schedule 4'!$F$89:$F$649,'Schedule 4'!$I$89:$I$649,'Well Cal.'!O$3,'Schedule 4'!$J$89:$J$649,'Well Cal.'!$E337)</f>
        <v>0</v>
      </c>
      <c r="P337" s="727">
        <f>SUMIFS('Schedule 4'!$F$89:$F$649,'Schedule 4'!$I$89:$I$649,'Well Cal.'!P$3,'Schedule 4'!$J$89:$J$649,'Well Cal.'!$E337)</f>
        <v>0</v>
      </c>
      <c r="Q337" s="727">
        <f>SUMIFS('Schedule 4'!$F$89:$F$649,'Schedule 4'!$I$89:$I$649,'Well Cal.'!Q$3,'Schedule 4'!$J$89:$J$649,'Well Cal.'!$E337)</f>
        <v>0</v>
      </c>
      <c r="R337" s="727">
        <f>SUMIFS('Schedule 4'!$F$89:$F$649,'Schedule 4'!$I$89:$I$649,'Well Cal.'!R$3,'Schedule 4'!$J$89:$J$649,'Well Cal.'!$E337)</f>
        <v>0</v>
      </c>
      <c r="S337" s="727">
        <f>SUMIFS('Schedule 4'!$F$89:$F$649,'Schedule 4'!$I$89:$I$649,'Well Cal.'!S$3,'Schedule 4'!$J$89:$J$649,'Well Cal.'!$E337)</f>
        <v>0</v>
      </c>
      <c r="T337" s="727">
        <f>SUMIFS('Schedule 4'!$F$89:$F$649,'Schedule 4'!$I$89:$I$649,'Well Cal.'!T$3,'Schedule 4'!$J$89:$J$649,'Well Cal.'!$E337)</f>
        <v>0</v>
      </c>
      <c r="U337" s="727">
        <f>SUMIFS('Schedule 4'!$F$89:$F$649,'Schedule 4'!$I$89:$I$649,'Well Cal.'!U$3,'Schedule 4'!$J$89:$J$649,'Well Cal.'!$E337)</f>
        <v>0</v>
      </c>
      <c r="V337" s="727">
        <f>SUMIFS('Schedule 4'!$F$89:$F$649,'Schedule 4'!$I$89:$I$649,'Well Cal.'!V$3,'Schedule 4'!$J$89:$J$649,'Well Cal.'!$E337)</f>
        <v>0</v>
      </c>
      <c r="W337" s="727">
        <f>SUMIFS('Schedule 4'!$F$89:$F$649,'Schedule 4'!$I$89:$I$649,'Well Cal.'!W$3,'Schedule 4'!$J$89:$J$649,'Well Cal.'!$E337)</f>
        <v>0</v>
      </c>
      <c r="X337" s="727">
        <f>SUMIFS('Schedule 4'!$F$89:$F$649,'Schedule 4'!$I$89:$I$649,'Well Cal.'!X$3,'Schedule 4'!$J$89:$J$649,'Well Cal.'!$E337)</f>
        <v>0</v>
      </c>
      <c r="Y337" s="727">
        <f>SUMIFS('Schedule 4'!$F$89:$F$649,'Schedule 4'!$I$89:$I$649,'Well Cal.'!Y$3,'Schedule 4'!$J$89:$J$649,'Well Cal.'!$E337)</f>
        <v>0</v>
      </c>
      <c r="Z337" s="727">
        <f>SUMIFS('Schedule 4'!$F$89:$F$649,'Schedule 4'!$I$89:$I$649,'Well Cal.'!Z$3,'Schedule 4'!$J$89:$J$649,'Well Cal.'!$E337)</f>
        <v>0</v>
      </c>
      <c r="AA337" s="727"/>
      <c r="AB337" s="1731"/>
      <c r="AC337" s="1731"/>
    </row>
    <row r="338" spans="2:29" x14ac:dyDescent="0.3">
      <c r="B338" s="1724"/>
      <c r="C338" s="1727"/>
      <c r="D338" s="1721"/>
      <c r="E338" s="775" t="s">
        <v>4479</v>
      </c>
      <c r="F338" s="727">
        <f>SUMIFS('Schedule 4'!$F$89:$F$649,'Schedule 4'!$I$89:$I$649,'Well Cal.'!F$3,'Schedule 4'!$J$89:$J$649,'Well Cal.'!$E338)</f>
        <v>0</v>
      </c>
      <c r="G338" s="727">
        <f>SUMIFS('Schedule 4'!$F$89:$F$649,'Schedule 4'!$I$89:$I$649,'Well Cal.'!G$3,'Schedule 4'!$J$89:$J$649,'Well Cal.'!$E338)</f>
        <v>0</v>
      </c>
      <c r="H338" s="727">
        <f>SUMIFS('Schedule 4'!$F$89:$F$649,'Schedule 4'!$I$89:$I$649,'Well Cal.'!H$3,'Schedule 4'!$J$89:$J$649,'Well Cal.'!$E338)</f>
        <v>0</v>
      </c>
      <c r="I338" s="727">
        <f>SUMIFS('Schedule 4'!$F$89:$F$649,'Schedule 4'!$I$89:$I$649,'Well Cal.'!I$3,'Schedule 4'!$J$89:$J$649,'Well Cal.'!$E338)</f>
        <v>0</v>
      </c>
      <c r="J338" s="727">
        <f>SUMIFS('Schedule 4'!$F$89:$F$649,'Schedule 4'!$I$89:$I$649,'Well Cal.'!J$3,'Schedule 4'!$J$89:$J$649,'Well Cal.'!$E338)</f>
        <v>0</v>
      </c>
      <c r="K338" s="727">
        <f>SUMIFS('Schedule 4'!$F$89:$F$649,'Schedule 4'!$I$89:$I$649,'Well Cal.'!K$3,'Schedule 4'!$J$89:$J$649,'Well Cal.'!$E338)</f>
        <v>0</v>
      </c>
      <c r="L338" s="727">
        <f>SUMIFS('Schedule 4'!$F$89:$F$649,'Schedule 4'!$I$89:$I$649,'Well Cal.'!L$3,'Schedule 4'!$J$89:$J$649,'Well Cal.'!$E338)</f>
        <v>0</v>
      </c>
      <c r="M338" s="727">
        <f>SUMIFS('Schedule 4'!$F$89:$F$649,'Schedule 4'!$I$89:$I$649,'Well Cal.'!M$3,'Schedule 4'!$J$89:$J$649,'Well Cal.'!$E338)</f>
        <v>0</v>
      </c>
      <c r="N338" s="727">
        <f>SUMIFS('Schedule 4'!$F$89:$F$649,'Schedule 4'!$I$89:$I$649,'Well Cal.'!N$3,'Schedule 4'!$J$89:$J$649,'Well Cal.'!$E338)</f>
        <v>0</v>
      </c>
      <c r="O338" s="727">
        <f>SUMIFS('Schedule 4'!$F$89:$F$649,'Schedule 4'!$I$89:$I$649,'Well Cal.'!O$3,'Schedule 4'!$J$89:$J$649,'Well Cal.'!$E338)</f>
        <v>0</v>
      </c>
      <c r="P338" s="727">
        <f>SUMIFS('Schedule 4'!$F$89:$F$649,'Schedule 4'!$I$89:$I$649,'Well Cal.'!P$3,'Schedule 4'!$J$89:$J$649,'Well Cal.'!$E338)</f>
        <v>0</v>
      </c>
      <c r="Q338" s="727">
        <f>SUMIFS('Schedule 4'!$F$89:$F$649,'Schedule 4'!$I$89:$I$649,'Well Cal.'!Q$3,'Schedule 4'!$J$89:$J$649,'Well Cal.'!$E338)</f>
        <v>0</v>
      </c>
      <c r="R338" s="727">
        <f>SUMIFS('Schedule 4'!$F$89:$F$649,'Schedule 4'!$I$89:$I$649,'Well Cal.'!R$3,'Schedule 4'!$J$89:$J$649,'Well Cal.'!$E338)</f>
        <v>0</v>
      </c>
      <c r="S338" s="727">
        <f>SUMIFS('Schedule 4'!$F$89:$F$649,'Schedule 4'!$I$89:$I$649,'Well Cal.'!S$3,'Schedule 4'!$J$89:$J$649,'Well Cal.'!$E338)</f>
        <v>0</v>
      </c>
      <c r="T338" s="727">
        <f>SUMIFS('Schedule 4'!$F$89:$F$649,'Schedule 4'!$I$89:$I$649,'Well Cal.'!T$3,'Schedule 4'!$J$89:$J$649,'Well Cal.'!$E338)</f>
        <v>0</v>
      </c>
      <c r="U338" s="727">
        <f>SUMIFS('Schedule 4'!$F$89:$F$649,'Schedule 4'!$I$89:$I$649,'Well Cal.'!U$3,'Schedule 4'!$J$89:$J$649,'Well Cal.'!$E338)</f>
        <v>0</v>
      </c>
      <c r="V338" s="727">
        <f>SUMIFS('Schedule 4'!$F$89:$F$649,'Schedule 4'!$I$89:$I$649,'Well Cal.'!V$3,'Schedule 4'!$J$89:$J$649,'Well Cal.'!$E338)</f>
        <v>0</v>
      </c>
      <c r="W338" s="727">
        <f>SUMIFS('Schedule 4'!$F$89:$F$649,'Schedule 4'!$I$89:$I$649,'Well Cal.'!W$3,'Schedule 4'!$J$89:$J$649,'Well Cal.'!$E338)</f>
        <v>0</v>
      </c>
      <c r="X338" s="727">
        <f>SUMIFS('Schedule 4'!$F$89:$F$649,'Schedule 4'!$I$89:$I$649,'Well Cal.'!X$3,'Schedule 4'!$J$89:$J$649,'Well Cal.'!$E338)</f>
        <v>0</v>
      </c>
      <c r="Y338" s="727">
        <f>SUMIFS('Schedule 4'!$F$89:$F$649,'Schedule 4'!$I$89:$I$649,'Well Cal.'!Y$3,'Schedule 4'!$J$89:$J$649,'Well Cal.'!$E338)</f>
        <v>0</v>
      </c>
      <c r="Z338" s="727">
        <f>SUMIFS('Schedule 4'!$F$89:$F$649,'Schedule 4'!$I$89:$I$649,'Well Cal.'!Z$3,'Schedule 4'!$J$89:$J$649,'Well Cal.'!$E338)</f>
        <v>0</v>
      </c>
      <c r="AA338" s="727"/>
      <c r="AB338" s="1731"/>
      <c r="AC338" s="1731"/>
    </row>
    <row r="339" spans="2:29" x14ac:dyDescent="0.3">
      <c r="B339" s="1725"/>
      <c r="C339" s="1728"/>
      <c r="D339" s="1722"/>
      <c r="E339" s="776"/>
      <c r="F339" s="777"/>
      <c r="G339" s="777"/>
      <c r="H339" s="777"/>
      <c r="I339" s="777"/>
      <c r="J339" s="777"/>
      <c r="K339" s="777"/>
      <c r="L339" s="777"/>
      <c r="M339" s="777"/>
      <c r="N339" s="777"/>
      <c r="O339" s="777"/>
      <c r="P339" s="777"/>
      <c r="Q339" s="777"/>
      <c r="R339" s="777"/>
      <c r="S339" s="777"/>
      <c r="T339" s="777"/>
      <c r="U339" s="777"/>
      <c r="V339" s="777"/>
      <c r="W339" s="777"/>
      <c r="X339" s="777"/>
      <c r="Y339" s="777"/>
      <c r="Z339" s="777"/>
      <c r="AA339" s="777"/>
      <c r="AB339" s="1732"/>
      <c r="AC339" s="1732"/>
    </row>
    <row r="340" spans="2:29" x14ac:dyDescent="0.3">
      <c r="B340" s="1733" t="s">
        <v>2511</v>
      </c>
      <c r="C340" s="1736">
        <v>54.05</v>
      </c>
      <c r="D340" s="1729">
        <f>SUMIFS('Schedule 4'!$F$89:$F$649,'Schedule 4'!$K$89:$K$649,'Well Cal.'!$B340)</f>
        <v>0</v>
      </c>
      <c r="E340" s="754" t="s">
        <v>3159</v>
      </c>
      <c r="F340" s="728">
        <f>SUMIFS('Schedule 4'!$F$89:$F$649,'Schedule 4'!$I$89:$I$649,'Well Cal.'!F$3,'Schedule 4'!$J$89:$J$649,'Well Cal.'!$E340)</f>
        <v>0</v>
      </c>
      <c r="G340" s="728">
        <f>SUMIFS('Schedule 4'!$F$89:$F$649,'Schedule 4'!$I$89:$I$649,'Well Cal.'!G$3,'Schedule 4'!$J$89:$J$649,'Well Cal.'!$E340)</f>
        <v>0</v>
      </c>
      <c r="H340" s="728">
        <f>SUMIFS('Schedule 4'!$F$89:$F$649,'Schedule 4'!$I$89:$I$649,'Well Cal.'!H$3,'Schedule 4'!$J$89:$J$649,'Well Cal.'!$E340)</f>
        <v>0</v>
      </c>
      <c r="I340" s="728">
        <f>SUMIFS('Schedule 4'!$F$89:$F$649,'Schedule 4'!$I$89:$I$649,'Well Cal.'!I$3,'Schedule 4'!$J$89:$J$649,'Well Cal.'!$E340)</f>
        <v>0</v>
      </c>
      <c r="J340" s="728">
        <f>SUMIFS('Schedule 4'!$F$89:$F$649,'Schedule 4'!$I$89:$I$649,'Well Cal.'!J$3,'Schedule 4'!$J$89:$J$649,'Well Cal.'!$E340)</f>
        <v>0</v>
      </c>
      <c r="K340" s="728">
        <f>SUMIFS('Schedule 4'!$F$89:$F$649,'Schedule 4'!$I$89:$I$649,'Well Cal.'!K$3,'Schedule 4'!$J$89:$J$649,'Well Cal.'!$E340)</f>
        <v>0</v>
      </c>
      <c r="L340" s="728">
        <f>SUMIFS('Schedule 4'!$F$89:$F$649,'Schedule 4'!$I$89:$I$649,'Well Cal.'!L$3,'Schedule 4'!$J$89:$J$649,'Well Cal.'!$E340)</f>
        <v>0</v>
      </c>
      <c r="M340" s="728">
        <f>SUMIFS('Schedule 4'!$F$89:$F$649,'Schedule 4'!$I$89:$I$649,'Well Cal.'!M$3,'Schedule 4'!$J$89:$J$649,'Well Cal.'!$E340)</f>
        <v>0</v>
      </c>
      <c r="N340" s="728">
        <f>SUMIFS('Schedule 4'!$F$89:$F$649,'Schedule 4'!$I$89:$I$649,'Well Cal.'!N$3,'Schedule 4'!$J$89:$J$649,'Well Cal.'!$E340)</f>
        <v>0</v>
      </c>
      <c r="O340" s="728">
        <f>SUMIFS('Schedule 4'!$F$89:$F$649,'Schedule 4'!$I$89:$I$649,'Well Cal.'!O$3,'Schedule 4'!$J$89:$J$649,'Well Cal.'!$E340)</f>
        <v>0</v>
      </c>
      <c r="P340" s="728">
        <f>SUMIFS('Schedule 4'!$F$89:$F$649,'Schedule 4'!$I$89:$I$649,'Well Cal.'!P$3,'Schedule 4'!$J$89:$J$649,'Well Cal.'!$E340)</f>
        <v>0</v>
      </c>
      <c r="Q340" s="728">
        <f>SUMIFS('Schedule 4'!$F$89:$F$649,'Schedule 4'!$I$89:$I$649,'Well Cal.'!Q$3,'Schedule 4'!$J$89:$J$649,'Well Cal.'!$E340)</f>
        <v>0</v>
      </c>
      <c r="R340" s="728">
        <f>SUMIFS('Schedule 4'!$F$89:$F$649,'Schedule 4'!$I$89:$I$649,'Well Cal.'!R$3,'Schedule 4'!$J$89:$J$649,'Well Cal.'!$E340)</f>
        <v>0</v>
      </c>
      <c r="S340" s="728">
        <f>SUMIFS('Schedule 4'!$F$89:$F$649,'Schedule 4'!$I$89:$I$649,'Well Cal.'!S$3,'Schedule 4'!$J$89:$J$649,'Well Cal.'!$E340)</f>
        <v>0</v>
      </c>
      <c r="T340" s="728">
        <f>SUMIFS('Schedule 4'!$F$89:$F$649,'Schedule 4'!$I$89:$I$649,'Well Cal.'!T$3,'Schedule 4'!$J$89:$J$649,'Well Cal.'!$E340)</f>
        <v>0</v>
      </c>
      <c r="U340" s="728">
        <f>SUMIFS('Schedule 4'!$F$89:$F$649,'Schedule 4'!$I$89:$I$649,'Well Cal.'!U$3,'Schedule 4'!$J$89:$J$649,'Well Cal.'!$E340)</f>
        <v>0</v>
      </c>
      <c r="V340" s="728">
        <f>SUMIFS('Schedule 4'!$F$89:$F$649,'Schedule 4'!$I$89:$I$649,'Well Cal.'!V$3,'Schedule 4'!$J$89:$J$649,'Well Cal.'!$E340)</f>
        <v>0</v>
      </c>
      <c r="W340" s="728">
        <f>SUMIFS('Schedule 4'!$F$89:$F$649,'Schedule 4'!$I$89:$I$649,'Well Cal.'!W$3,'Schedule 4'!$J$89:$J$649,'Well Cal.'!$E340)</f>
        <v>0</v>
      </c>
      <c r="X340" s="728">
        <f>SUMIFS('Schedule 4'!$F$89:$F$649,'Schedule 4'!$I$89:$I$649,'Well Cal.'!X$3,'Schedule 4'!$J$89:$J$649,'Well Cal.'!$E340)</f>
        <v>0</v>
      </c>
      <c r="Y340" s="728">
        <f>SUMIFS('Schedule 4'!$F$89:$F$649,'Schedule 4'!$I$89:$I$649,'Well Cal.'!Y$3,'Schedule 4'!$J$89:$J$649,'Well Cal.'!$E340)</f>
        <v>0</v>
      </c>
      <c r="Z340" s="728">
        <f>SUMIFS('Schedule 4'!$F$89:$F$649,'Schedule 4'!$I$89:$I$649,'Well Cal.'!Z$3,'Schedule 4'!$J$89:$J$649,'Well Cal.'!$E340)</f>
        <v>0</v>
      </c>
      <c r="AA340" s="728"/>
      <c r="AB340" s="1729">
        <f>SUM(F340:AA361)</f>
        <v>0</v>
      </c>
      <c r="AC340" s="1729">
        <f>D340-AB340</f>
        <v>0</v>
      </c>
    </row>
    <row r="341" spans="2:29" x14ac:dyDescent="0.3">
      <c r="B341" s="1734"/>
      <c r="C341" s="1737"/>
      <c r="D341" s="1730"/>
      <c r="E341" s="761" t="s">
        <v>3249</v>
      </c>
      <c r="F341" s="726">
        <f>SUMIFS('Schedule 4'!$F$89:$F$649,'Schedule 4'!$I$89:$I$649,'Well Cal.'!F$3,'Schedule 4'!$J$89:$J$649,'Well Cal.'!$E341)</f>
        <v>0</v>
      </c>
      <c r="G341" s="726">
        <f>SUMIFS('Schedule 4'!$F$89:$F$649,'Schedule 4'!$I$89:$I$649,'Well Cal.'!G$3,'Schedule 4'!$J$89:$J$649,'Well Cal.'!$E341)</f>
        <v>0</v>
      </c>
      <c r="H341" s="726">
        <f>SUMIFS('Schedule 4'!$F$89:$F$649,'Schedule 4'!$I$89:$I$649,'Well Cal.'!H$3,'Schedule 4'!$J$89:$J$649,'Well Cal.'!$E341)</f>
        <v>0</v>
      </c>
      <c r="I341" s="726">
        <f>SUMIFS('Schedule 4'!$F$89:$F$649,'Schedule 4'!$I$89:$I$649,'Well Cal.'!I$3,'Schedule 4'!$J$89:$J$649,'Well Cal.'!$E341)</f>
        <v>0</v>
      </c>
      <c r="J341" s="726">
        <f>SUMIFS('Schedule 4'!$F$89:$F$649,'Schedule 4'!$I$89:$I$649,'Well Cal.'!J$3,'Schedule 4'!$J$89:$J$649,'Well Cal.'!$E341)</f>
        <v>0</v>
      </c>
      <c r="K341" s="726">
        <f>SUMIFS('Schedule 4'!$F$89:$F$649,'Schedule 4'!$I$89:$I$649,'Well Cal.'!K$3,'Schedule 4'!$J$89:$J$649,'Well Cal.'!$E341)</f>
        <v>0</v>
      </c>
      <c r="L341" s="726">
        <f>SUMIFS('Schedule 4'!$F$89:$F$649,'Schedule 4'!$I$89:$I$649,'Well Cal.'!L$3,'Schedule 4'!$J$89:$J$649,'Well Cal.'!$E341)</f>
        <v>0</v>
      </c>
      <c r="M341" s="726">
        <f>SUMIFS('Schedule 4'!$F$89:$F$649,'Schedule 4'!$I$89:$I$649,'Well Cal.'!M$3,'Schedule 4'!$J$89:$J$649,'Well Cal.'!$E341)</f>
        <v>0</v>
      </c>
      <c r="N341" s="726">
        <f>SUMIFS('Schedule 4'!$F$89:$F$649,'Schedule 4'!$I$89:$I$649,'Well Cal.'!N$3,'Schedule 4'!$J$89:$J$649,'Well Cal.'!$E341)</f>
        <v>0</v>
      </c>
      <c r="O341" s="726">
        <f>SUMIFS('Schedule 4'!$F$89:$F$649,'Schedule 4'!$I$89:$I$649,'Well Cal.'!O$3,'Schedule 4'!$J$89:$J$649,'Well Cal.'!$E341)</f>
        <v>0</v>
      </c>
      <c r="P341" s="726">
        <f>SUMIFS('Schedule 4'!$F$89:$F$649,'Schedule 4'!$I$89:$I$649,'Well Cal.'!P$3,'Schedule 4'!$J$89:$J$649,'Well Cal.'!$E341)</f>
        <v>0</v>
      </c>
      <c r="Q341" s="726">
        <f>SUMIFS('Schedule 4'!$F$89:$F$649,'Schedule 4'!$I$89:$I$649,'Well Cal.'!Q$3,'Schedule 4'!$J$89:$J$649,'Well Cal.'!$E341)</f>
        <v>0</v>
      </c>
      <c r="R341" s="726">
        <f>SUMIFS('Schedule 4'!$F$89:$F$649,'Schedule 4'!$I$89:$I$649,'Well Cal.'!R$3,'Schedule 4'!$J$89:$J$649,'Well Cal.'!$E341)</f>
        <v>0</v>
      </c>
      <c r="S341" s="726">
        <f>SUMIFS('Schedule 4'!$F$89:$F$649,'Schedule 4'!$I$89:$I$649,'Well Cal.'!S$3,'Schedule 4'!$J$89:$J$649,'Well Cal.'!$E341)</f>
        <v>0</v>
      </c>
      <c r="T341" s="726">
        <f>SUMIFS('Schedule 4'!$F$89:$F$649,'Schedule 4'!$I$89:$I$649,'Well Cal.'!T$3,'Schedule 4'!$J$89:$J$649,'Well Cal.'!$E341)</f>
        <v>0</v>
      </c>
      <c r="U341" s="726">
        <f>SUMIFS('Schedule 4'!$F$89:$F$649,'Schedule 4'!$I$89:$I$649,'Well Cal.'!U$3,'Schedule 4'!$J$89:$J$649,'Well Cal.'!$E341)</f>
        <v>0</v>
      </c>
      <c r="V341" s="726">
        <f>SUMIFS('Schedule 4'!$F$89:$F$649,'Schedule 4'!$I$89:$I$649,'Well Cal.'!V$3,'Schedule 4'!$J$89:$J$649,'Well Cal.'!$E341)</f>
        <v>0</v>
      </c>
      <c r="W341" s="726">
        <f>SUMIFS('Schedule 4'!$F$89:$F$649,'Schedule 4'!$I$89:$I$649,'Well Cal.'!W$3,'Schedule 4'!$J$89:$J$649,'Well Cal.'!$E341)</f>
        <v>0</v>
      </c>
      <c r="X341" s="726">
        <f>SUMIFS('Schedule 4'!$F$89:$F$649,'Schedule 4'!$I$89:$I$649,'Well Cal.'!X$3,'Schedule 4'!$J$89:$J$649,'Well Cal.'!$E341)</f>
        <v>0</v>
      </c>
      <c r="Y341" s="726">
        <f>SUMIFS('Schedule 4'!$F$89:$F$649,'Schedule 4'!$I$89:$I$649,'Well Cal.'!Y$3,'Schedule 4'!$J$89:$J$649,'Well Cal.'!$E341)</f>
        <v>0</v>
      </c>
      <c r="Z341" s="726">
        <f>SUMIFS('Schedule 4'!$F$89:$F$649,'Schedule 4'!$I$89:$I$649,'Well Cal.'!Z$3,'Schedule 4'!$J$89:$J$649,'Well Cal.'!$E341)</f>
        <v>0</v>
      </c>
      <c r="AA341" s="726"/>
      <c r="AB341" s="1730"/>
      <c r="AC341" s="1730"/>
    </row>
    <row r="342" spans="2:29" x14ac:dyDescent="0.3">
      <c r="B342" s="1734"/>
      <c r="C342" s="1737"/>
      <c r="D342" s="1730"/>
      <c r="E342" s="761" t="s">
        <v>3321</v>
      </c>
      <c r="F342" s="726">
        <f>SUMIFS('Schedule 4'!$F$89:$F$649,'Schedule 4'!$I$89:$I$649,'Well Cal.'!F$3,'Schedule 4'!$J$89:$J$649,'Well Cal.'!$E342)</f>
        <v>0</v>
      </c>
      <c r="G342" s="726">
        <f>SUMIFS('Schedule 4'!$F$89:$F$649,'Schedule 4'!$I$89:$I$649,'Well Cal.'!G$3,'Schedule 4'!$J$89:$J$649,'Well Cal.'!$E342)</f>
        <v>0</v>
      </c>
      <c r="H342" s="726">
        <f>SUMIFS('Schedule 4'!$F$89:$F$649,'Schedule 4'!$I$89:$I$649,'Well Cal.'!H$3,'Schedule 4'!$J$89:$J$649,'Well Cal.'!$E342)</f>
        <v>0</v>
      </c>
      <c r="I342" s="726">
        <f>SUMIFS('Schedule 4'!$F$89:$F$649,'Schedule 4'!$I$89:$I$649,'Well Cal.'!I$3,'Schedule 4'!$J$89:$J$649,'Well Cal.'!$E342)</f>
        <v>0</v>
      </c>
      <c r="J342" s="726">
        <f>SUMIFS('Schedule 4'!$F$89:$F$649,'Schedule 4'!$I$89:$I$649,'Well Cal.'!J$3,'Schedule 4'!$J$89:$J$649,'Well Cal.'!$E342)</f>
        <v>0</v>
      </c>
      <c r="K342" s="726">
        <f>SUMIFS('Schedule 4'!$F$89:$F$649,'Schedule 4'!$I$89:$I$649,'Well Cal.'!K$3,'Schedule 4'!$J$89:$J$649,'Well Cal.'!$E342)</f>
        <v>0</v>
      </c>
      <c r="L342" s="726">
        <f>SUMIFS('Schedule 4'!$F$89:$F$649,'Schedule 4'!$I$89:$I$649,'Well Cal.'!L$3,'Schedule 4'!$J$89:$J$649,'Well Cal.'!$E342)</f>
        <v>0</v>
      </c>
      <c r="M342" s="726">
        <f>SUMIFS('Schedule 4'!$F$89:$F$649,'Schedule 4'!$I$89:$I$649,'Well Cal.'!M$3,'Schedule 4'!$J$89:$J$649,'Well Cal.'!$E342)</f>
        <v>0</v>
      </c>
      <c r="N342" s="726">
        <f>SUMIFS('Schedule 4'!$F$89:$F$649,'Schedule 4'!$I$89:$I$649,'Well Cal.'!N$3,'Schedule 4'!$J$89:$J$649,'Well Cal.'!$E342)</f>
        <v>0</v>
      </c>
      <c r="O342" s="726">
        <f>SUMIFS('Schedule 4'!$F$89:$F$649,'Schedule 4'!$I$89:$I$649,'Well Cal.'!O$3,'Schedule 4'!$J$89:$J$649,'Well Cal.'!$E342)</f>
        <v>0</v>
      </c>
      <c r="P342" s="726">
        <f>SUMIFS('Schedule 4'!$F$89:$F$649,'Schedule 4'!$I$89:$I$649,'Well Cal.'!P$3,'Schedule 4'!$J$89:$J$649,'Well Cal.'!$E342)</f>
        <v>0</v>
      </c>
      <c r="Q342" s="726">
        <f>SUMIFS('Schedule 4'!$F$89:$F$649,'Schedule 4'!$I$89:$I$649,'Well Cal.'!Q$3,'Schedule 4'!$J$89:$J$649,'Well Cal.'!$E342)</f>
        <v>0</v>
      </c>
      <c r="R342" s="726">
        <f>SUMIFS('Schedule 4'!$F$89:$F$649,'Schedule 4'!$I$89:$I$649,'Well Cal.'!R$3,'Schedule 4'!$J$89:$J$649,'Well Cal.'!$E342)</f>
        <v>0</v>
      </c>
      <c r="S342" s="726">
        <f>SUMIFS('Schedule 4'!$F$89:$F$649,'Schedule 4'!$I$89:$I$649,'Well Cal.'!S$3,'Schedule 4'!$J$89:$J$649,'Well Cal.'!$E342)</f>
        <v>0</v>
      </c>
      <c r="T342" s="726">
        <f>SUMIFS('Schedule 4'!$F$89:$F$649,'Schedule 4'!$I$89:$I$649,'Well Cal.'!T$3,'Schedule 4'!$J$89:$J$649,'Well Cal.'!$E342)</f>
        <v>0</v>
      </c>
      <c r="U342" s="726">
        <f>SUMIFS('Schedule 4'!$F$89:$F$649,'Schedule 4'!$I$89:$I$649,'Well Cal.'!U$3,'Schedule 4'!$J$89:$J$649,'Well Cal.'!$E342)</f>
        <v>0</v>
      </c>
      <c r="V342" s="726">
        <f>SUMIFS('Schedule 4'!$F$89:$F$649,'Schedule 4'!$I$89:$I$649,'Well Cal.'!V$3,'Schedule 4'!$J$89:$J$649,'Well Cal.'!$E342)</f>
        <v>0</v>
      </c>
      <c r="W342" s="726">
        <f>SUMIFS('Schedule 4'!$F$89:$F$649,'Schedule 4'!$I$89:$I$649,'Well Cal.'!W$3,'Schedule 4'!$J$89:$J$649,'Well Cal.'!$E342)</f>
        <v>0</v>
      </c>
      <c r="X342" s="726">
        <f>SUMIFS('Schedule 4'!$F$89:$F$649,'Schedule 4'!$I$89:$I$649,'Well Cal.'!X$3,'Schedule 4'!$J$89:$J$649,'Well Cal.'!$E342)</f>
        <v>0</v>
      </c>
      <c r="Y342" s="726">
        <f>SUMIFS('Schedule 4'!$F$89:$F$649,'Schedule 4'!$I$89:$I$649,'Well Cal.'!Y$3,'Schedule 4'!$J$89:$J$649,'Well Cal.'!$E342)</f>
        <v>0</v>
      </c>
      <c r="Z342" s="726">
        <f>SUMIFS('Schedule 4'!$F$89:$F$649,'Schedule 4'!$I$89:$I$649,'Well Cal.'!Z$3,'Schedule 4'!$J$89:$J$649,'Well Cal.'!$E342)</f>
        <v>0</v>
      </c>
      <c r="AA342" s="726"/>
      <c r="AB342" s="1730"/>
      <c r="AC342" s="1730"/>
    </row>
    <row r="343" spans="2:29" x14ac:dyDescent="0.3">
      <c r="B343" s="1734"/>
      <c r="C343" s="1737"/>
      <c r="D343" s="1730"/>
      <c r="E343" s="761" t="s">
        <v>3406</v>
      </c>
      <c r="F343" s="726">
        <f>SUMIFS('Schedule 4'!$F$89:$F$649,'Schedule 4'!$I$89:$I$649,'Well Cal.'!F$3,'Schedule 4'!$J$89:$J$649,'Well Cal.'!$E343)</f>
        <v>0</v>
      </c>
      <c r="G343" s="726">
        <f>SUMIFS('Schedule 4'!$F$89:$F$649,'Schedule 4'!$I$89:$I$649,'Well Cal.'!G$3,'Schedule 4'!$J$89:$J$649,'Well Cal.'!$E343)</f>
        <v>0</v>
      </c>
      <c r="H343" s="726">
        <f>SUMIFS('Schedule 4'!$F$89:$F$649,'Schedule 4'!$I$89:$I$649,'Well Cal.'!H$3,'Schedule 4'!$J$89:$J$649,'Well Cal.'!$E343)</f>
        <v>0</v>
      </c>
      <c r="I343" s="726">
        <f>SUMIFS('Schedule 4'!$F$89:$F$649,'Schedule 4'!$I$89:$I$649,'Well Cal.'!I$3,'Schedule 4'!$J$89:$J$649,'Well Cal.'!$E343)</f>
        <v>0</v>
      </c>
      <c r="J343" s="726">
        <f>SUMIFS('Schedule 4'!$F$89:$F$649,'Schedule 4'!$I$89:$I$649,'Well Cal.'!J$3,'Schedule 4'!$J$89:$J$649,'Well Cal.'!$E343)</f>
        <v>0</v>
      </c>
      <c r="K343" s="726">
        <f>SUMIFS('Schedule 4'!$F$89:$F$649,'Schedule 4'!$I$89:$I$649,'Well Cal.'!K$3,'Schedule 4'!$J$89:$J$649,'Well Cal.'!$E343)</f>
        <v>0</v>
      </c>
      <c r="L343" s="726">
        <f>SUMIFS('Schedule 4'!$F$89:$F$649,'Schedule 4'!$I$89:$I$649,'Well Cal.'!L$3,'Schedule 4'!$J$89:$J$649,'Well Cal.'!$E343)</f>
        <v>0</v>
      </c>
      <c r="M343" s="726">
        <f>SUMIFS('Schedule 4'!$F$89:$F$649,'Schedule 4'!$I$89:$I$649,'Well Cal.'!M$3,'Schedule 4'!$J$89:$J$649,'Well Cal.'!$E343)</f>
        <v>0</v>
      </c>
      <c r="N343" s="726">
        <f>SUMIFS('Schedule 4'!$F$89:$F$649,'Schedule 4'!$I$89:$I$649,'Well Cal.'!N$3,'Schedule 4'!$J$89:$J$649,'Well Cal.'!$E343)</f>
        <v>0</v>
      </c>
      <c r="O343" s="726">
        <f>SUMIFS('Schedule 4'!$F$89:$F$649,'Schedule 4'!$I$89:$I$649,'Well Cal.'!O$3,'Schedule 4'!$J$89:$J$649,'Well Cal.'!$E343)</f>
        <v>0</v>
      </c>
      <c r="P343" s="726">
        <f>SUMIFS('Schedule 4'!$F$89:$F$649,'Schedule 4'!$I$89:$I$649,'Well Cal.'!P$3,'Schedule 4'!$J$89:$J$649,'Well Cal.'!$E343)</f>
        <v>0</v>
      </c>
      <c r="Q343" s="726">
        <f>SUMIFS('Schedule 4'!$F$89:$F$649,'Schedule 4'!$I$89:$I$649,'Well Cal.'!Q$3,'Schedule 4'!$J$89:$J$649,'Well Cal.'!$E343)</f>
        <v>0</v>
      </c>
      <c r="R343" s="726">
        <f>SUMIFS('Schedule 4'!$F$89:$F$649,'Schedule 4'!$I$89:$I$649,'Well Cal.'!R$3,'Schedule 4'!$J$89:$J$649,'Well Cal.'!$E343)</f>
        <v>0</v>
      </c>
      <c r="S343" s="726">
        <f>SUMIFS('Schedule 4'!$F$89:$F$649,'Schedule 4'!$I$89:$I$649,'Well Cal.'!S$3,'Schedule 4'!$J$89:$J$649,'Well Cal.'!$E343)</f>
        <v>0</v>
      </c>
      <c r="T343" s="726">
        <f>SUMIFS('Schedule 4'!$F$89:$F$649,'Schedule 4'!$I$89:$I$649,'Well Cal.'!T$3,'Schedule 4'!$J$89:$J$649,'Well Cal.'!$E343)</f>
        <v>0</v>
      </c>
      <c r="U343" s="726">
        <f>SUMIFS('Schedule 4'!$F$89:$F$649,'Schedule 4'!$I$89:$I$649,'Well Cal.'!U$3,'Schedule 4'!$J$89:$J$649,'Well Cal.'!$E343)</f>
        <v>0</v>
      </c>
      <c r="V343" s="726">
        <f>SUMIFS('Schedule 4'!$F$89:$F$649,'Schedule 4'!$I$89:$I$649,'Well Cal.'!V$3,'Schedule 4'!$J$89:$J$649,'Well Cal.'!$E343)</f>
        <v>0</v>
      </c>
      <c r="W343" s="726">
        <f>SUMIFS('Schedule 4'!$F$89:$F$649,'Schedule 4'!$I$89:$I$649,'Well Cal.'!W$3,'Schedule 4'!$J$89:$J$649,'Well Cal.'!$E343)</f>
        <v>0</v>
      </c>
      <c r="X343" s="726">
        <f>SUMIFS('Schedule 4'!$F$89:$F$649,'Schedule 4'!$I$89:$I$649,'Well Cal.'!X$3,'Schedule 4'!$J$89:$J$649,'Well Cal.'!$E343)</f>
        <v>0</v>
      </c>
      <c r="Y343" s="726">
        <f>SUMIFS('Schedule 4'!$F$89:$F$649,'Schedule 4'!$I$89:$I$649,'Well Cal.'!Y$3,'Schedule 4'!$J$89:$J$649,'Well Cal.'!$E343)</f>
        <v>0</v>
      </c>
      <c r="Z343" s="726">
        <f>SUMIFS('Schedule 4'!$F$89:$F$649,'Schedule 4'!$I$89:$I$649,'Well Cal.'!Z$3,'Schedule 4'!$J$89:$J$649,'Well Cal.'!$E343)</f>
        <v>0</v>
      </c>
      <c r="AA343" s="726"/>
      <c r="AB343" s="1730"/>
      <c r="AC343" s="1730"/>
    </row>
    <row r="344" spans="2:29" x14ac:dyDescent="0.3">
      <c r="B344" s="1734"/>
      <c r="C344" s="1737"/>
      <c r="D344" s="1730"/>
      <c r="E344" s="761" t="s">
        <v>3484</v>
      </c>
      <c r="F344" s="726">
        <f>SUMIFS('Schedule 4'!$F$89:$F$649,'Schedule 4'!$I$89:$I$649,'Well Cal.'!F$3,'Schedule 4'!$J$89:$J$649,'Well Cal.'!$E344)</f>
        <v>0</v>
      </c>
      <c r="G344" s="726">
        <f>SUMIFS('Schedule 4'!$F$89:$F$649,'Schedule 4'!$I$89:$I$649,'Well Cal.'!G$3,'Schedule 4'!$J$89:$J$649,'Well Cal.'!$E344)</f>
        <v>0</v>
      </c>
      <c r="H344" s="726">
        <f>SUMIFS('Schedule 4'!$F$89:$F$649,'Schedule 4'!$I$89:$I$649,'Well Cal.'!H$3,'Schedule 4'!$J$89:$J$649,'Well Cal.'!$E344)</f>
        <v>0</v>
      </c>
      <c r="I344" s="726">
        <f>SUMIFS('Schedule 4'!$F$89:$F$649,'Schedule 4'!$I$89:$I$649,'Well Cal.'!I$3,'Schedule 4'!$J$89:$J$649,'Well Cal.'!$E344)</f>
        <v>0</v>
      </c>
      <c r="J344" s="726">
        <f>SUMIFS('Schedule 4'!$F$89:$F$649,'Schedule 4'!$I$89:$I$649,'Well Cal.'!J$3,'Schedule 4'!$J$89:$J$649,'Well Cal.'!$E344)</f>
        <v>0</v>
      </c>
      <c r="K344" s="726">
        <f>SUMIFS('Schedule 4'!$F$89:$F$649,'Schedule 4'!$I$89:$I$649,'Well Cal.'!K$3,'Schedule 4'!$J$89:$J$649,'Well Cal.'!$E344)</f>
        <v>0</v>
      </c>
      <c r="L344" s="726">
        <f>SUMIFS('Schedule 4'!$F$89:$F$649,'Schedule 4'!$I$89:$I$649,'Well Cal.'!L$3,'Schedule 4'!$J$89:$J$649,'Well Cal.'!$E344)</f>
        <v>0</v>
      </c>
      <c r="M344" s="726">
        <f>SUMIFS('Schedule 4'!$F$89:$F$649,'Schedule 4'!$I$89:$I$649,'Well Cal.'!M$3,'Schedule 4'!$J$89:$J$649,'Well Cal.'!$E344)</f>
        <v>0</v>
      </c>
      <c r="N344" s="726">
        <f>SUMIFS('Schedule 4'!$F$89:$F$649,'Schedule 4'!$I$89:$I$649,'Well Cal.'!N$3,'Schedule 4'!$J$89:$J$649,'Well Cal.'!$E344)</f>
        <v>0</v>
      </c>
      <c r="O344" s="726">
        <f>SUMIFS('Schedule 4'!$F$89:$F$649,'Schedule 4'!$I$89:$I$649,'Well Cal.'!O$3,'Schedule 4'!$J$89:$J$649,'Well Cal.'!$E344)</f>
        <v>0</v>
      </c>
      <c r="P344" s="726">
        <f>SUMIFS('Schedule 4'!$F$89:$F$649,'Schedule 4'!$I$89:$I$649,'Well Cal.'!P$3,'Schedule 4'!$J$89:$J$649,'Well Cal.'!$E344)</f>
        <v>0</v>
      </c>
      <c r="Q344" s="726">
        <f>SUMIFS('Schedule 4'!$F$89:$F$649,'Schedule 4'!$I$89:$I$649,'Well Cal.'!Q$3,'Schedule 4'!$J$89:$J$649,'Well Cal.'!$E344)</f>
        <v>0</v>
      </c>
      <c r="R344" s="726">
        <f>SUMIFS('Schedule 4'!$F$89:$F$649,'Schedule 4'!$I$89:$I$649,'Well Cal.'!R$3,'Schedule 4'!$J$89:$J$649,'Well Cal.'!$E344)</f>
        <v>0</v>
      </c>
      <c r="S344" s="726">
        <f>SUMIFS('Schedule 4'!$F$89:$F$649,'Schedule 4'!$I$89:$I$649,'Well Cal.'!S$3,'Schedule 4'!$J$89:$J$649,'Well Cal.'!$E344)</f>
        <v>0</v>
      </c>
      <c r="T344" s="726">
        <f>SUMIFS('Schedule 4'!$F$89:$F$649,'Schedule 4'!$I$89:$I$649,'Well Cal.'!T$3,'Schedule 4'!$J$89:$J$649,'Well Cal.'!$E344)</f>
        <v>0</v>
      </c>
      <c r="U344" s="726">
        <f>SUMIFS('Schedule 4'!$F$89:$F$649,'Schedule 4'!$I$89:$I$649,'Well Cal.'!U$3,'Schedule 4'!$J$89:$J$649,'Well Cal.'!$E344)</f>
        <v>0</v>
      </c>
      <c r="V344" s="726">
        <f>SUMIFS('Schedule 4'!$F$89:$F$649,'Schedule 4'!$I$89:$I$649,'Well Cal.'!V$3,'Schedule 4'!$J$89:$J$649,'Well Cal.'!$E344)</f>
        <v>0</v>
      </c>
      <c r="W344" s="726">
        <f>SUMIFS('Schedule 4'!$F$89:$F$649,'Schedule 4'!$I$89:$I$649,'Well Cal.'!W$3,'Schedule 4'!$J$89:$J$649,'Well Cal.'!$E344)</f>
        <v>0</v>
      </c>
      <c r="X344" s="726">
        <f>SUMIFS('Schedule 4'!$F$89:$F$649,'Schedule 4'!$I$89:$I$649,'Well Cal.'!X$3,'Schedule 4'!$J$89:$J$649,'Well Cal.'!$E344)</f>
        <v>0</v>
      </c>
      <c r="Y344" s="726">
        <f>SUMIFS('Schedule 4'!$F$89:$F$649,'Schedule 4'!$I$89:$I$649,'Well Cal.'!Y$3,'Schedule 4'!$J$89:$J$649,'Well Cal.'!$E344)</f>
        <v>0</v>
      </c>
      <c r="Z344" s="726">
        <f>SUMIFS('Schedule 4'!$F$89:$F$649,'Schedule 4'!$I$89:$I$649,'Well Cal.'!Z$3,'Schedule 4'!$J$89:$J$649,'Well Cal.'!$E344)</f>
        <v>0</v>
      </c>
      <c r="AA344" s="726"/>
      <c r="AB344" s="1730"/>
      <c r="AC344" s="1730"/>
    </row>
    <row r="345" spans="2:29" x14ac:dyDescent="0.3">
      <c r="B345" s="1734"/>
      <c r="C345" s="1737"/>
      <c r="D345" s="1730"/>
      <c r="E345" s="761" t="s">
        <v>3549</v>
      </c>
      <c r="F345" s="726">
        <f>SUMIFS('Schedule 4'!$F$89:$F$649,'Schedule 4'!$I$89:$I$649,'Well Cal.'!F$3,'Schedule 4'!$J$89:$J$649,'Well Cal.'!$E345)</f>
        <v>0</v>
      </c>
      <c r="G345" s="726">
        <f>SUMIFS('Schedule 4'!$F$89:$F$649,'Schedule 4'!$I$89:$I$649,'Well Cal.'!G$3,'Schedule 4'!$J$89:$J$649,'Well Cal.'!$E345)</f>
        <v>0</v>
      </c>
      <c r="H345" s="726">
        <f>SUMIFS('Schedule 4'!$F$89:$F$649,'Schedule 4'!$I$89:$I$649,'Well Cal.'!H$3,'Schedule 4'!$J$89:$J$649,'Well Cal.'!$E345)</f>
        <v>0</v>
      </c>
      <c r="I345" s="726">
        <f>SUMIFS('Schedule 4'!$F$89:$F$649,'Schedule 4'!$I$89:$I$649,'Well Cal.'!I$3,'Schedule 4'!$J$89:$J$649,'Well Cal.'!$E345)</f>
        <v>0</v>
      </c>
      <c r="J345" s="726">
        <f>SUMIFS('Schedule 4'!$F$89:$F$649,'Schedule 4'!$I$89:$I$649,'Well Cal.'!J$3,'Schedule 4'!$J$89:$J$649,'Well Cal.'!$E345)</f>
        <v>0</v>
      </c>
      <c r="K345" s="726">
        <f>SUMIFS('Schedule 4'!$F$89:$F$649,'Schedule 4'!$I$89:$I$649,'Well Cal.'!K$3,'Schedule 4'!$J$89:$J$649,'Well Cal.'!$E345)</f>
        <v>0</v>
      </c>
      <c r="L345" s="726">
        <f>SUMIFS('Schedule 4'!$F$89:$F$649,'Schedule 4'!$I$89:$I$649,'Well Cal.'!L$3,'Schedule 4'!$J$89:$J$649,'Well Cal.'!$E345)</f>
        <v>0</v>
      </c>
      <c r="M345" s="726">
        <f>SUMIFS('Schedule 4'!$F$89:$F$649,'Schedule 4'!$I$89:$I$649,'Well Cal.'!M$3,'Schedule 4'!$J$89:$J$649,'Well Cal.'!$E345)</f>
        <v>0</v>
      </c>
      <c r="N345" s="726">
        <f>SUMIFS('Schedule 4'!$F$89:$F$649,'Schedule 4'!$I$89:$I$649,'Well Cal.'!N$3,'Schedule 4'!$J$89:$J$649,'Well Cal.'!$E345)</f>
        <v>0</v>
      </c>
      <c r="O345" s="726">
        <f>SUMIFS('Schedule 4'!$F$89:$F$649,'Schedule 4'!$I$89:$I$649,'Well Cal.'!O$3,'Schedule 4'!$J$89:$J$649,'Well Cal.'!$E345)</f>
        <v>0</v>
      </c>
      <c r="P345" s="726">
        <f>SUMIFS('Schedule 4'!$F$89:$F$649,'Schedule 4'!$I$89:$I$649,'Well Cal.'!P$3,'Schedule 4'!$J$89:$J$649,'Well Cal.'!$E345)</f>
        <v>0</v>
      </c>
      <c r="Q345" s="726">
        <f>SUMIFS('Schedule 4'!$F$89:$F$649,'Schedule 4'!$I$89:$I$649,'Well Cal.'!Q$3,'Schedule 4'!$J$89:$J$649,'Well Cal.'!$E345)</f>
        <v>0</v>
      </c>
      <c r="R345" s="726">
        <f>SUMIFS('Schedule 4'!$F$89:$F$649,'Schedule 4'!$I$89:$I$649,'Well Cal.'!R$3,'Schedule 4'!$J$89:$J$649,'Well Cal.'!$E345)</f>
        <v>0</v>
      </c>
      <c r="S345" s="726">
        <f>SUMIFS('Schedule 4'!$F$89:$F$649,'Schedule 4'!$I$89:$I$649,'Well Cal.'!S$3,'Schedule 4'!$J$89:$J$649,'Well Cal.'!$E345)</f>
        <v>0</v>
      </c>
      <c r="T345" s="726">
        <f>SUMIFS('Schedule 4'!$F$89:$F$649,'Schedule 4'!$I$89:$I$649,'Well Cal.'!T$3,'Schedule 4'!$J$89:$J$649,'Well Cal.'!$E345)</f>
        <v>0</v>
      </c>
      <c r="U345" s="726">
        <f>SUMIFS('Schedule 4'!$F$89:$F$649,'Schedule 4'!$I$89:$I$649,'Well Cal.'!U$3,'Schedule 4'!$J$89:$J$649,'Well Cal.'!$E345)</f>
        <v>0</v>
      </c>
      <c r="V345" s="726">
        <f>SUMIFS('Schedule 4'!$F$89:$F$649,'Schedule 4'!$I$89:$I$649,'Well Cal.'!V$3,'Schedule 4'!$J$89:$J$649,'Well Cal.'!$E345)</f>
        <v>0</v>
      </c>
      <c r="W345" s="726">
        <f>SUMIFS('Schedule 4'!$F$89:$F$649,'Schedule 4'!$I$89:$I$649,'Well Cal.'!W$3,'Schedule 4'!$J$89:$J$649,'Well Cal.'!$E345)</f>
        <v>0</v>
      </c>
      <c r="X345" s="726">
        <f>SUMIFS('Schedule 4'!$F$89:$F$649,'Schedule 4'!$I$89:$I$649,'Well Cal.'!X$3,'Schedule 4'!$J$89:$J$649,'Well Cal.'!$E345)</f>
        <v>0</v>
      </c>
      <c r="Y345" s="726">
        <f>SUMIFS('Schedule 4'!$F$89:$F$649,'Schedule 4'!$I$89:$I$649,'Well Cal.'!Y$3,'Schedule 4'!$J$89:$J$649,'Well Cal.'!$E345)</f>
        <v>0</v>
      </c>
      <c r="Z345" s="726">
        <f>SUMIFS('Schedule 4'!$F$89:$F$649,'Schedule 4'!$I$89:$I$649,'Well Cal.'!Z$3,'Schedule 4'!$J$89:$J$649,'Well Cal.'!$E345)</f>
        <v>0</v>
      </c>
      <c r="AA345" s="726"/>
      <c r="AB345" s="1730"/>
      <c r="AC345" s="1730"/>
    </row>
    <row r="346" spans="2:29" x14ac:dyDescent="0.3">
      <c r="B346" s="1734"/>
      <c r="C346" s="1737"/>
      <c r="D346" s="1730"/>
      <c r="E346" s="761" t="s">
        <v>3634</v>
      </c>
      <c r="F346" s="726">
        <f>SUMIFS('Schedule 4'!$F$89:$F$649,'Schedule 4'!$I$89:$I$649,'Well Cal.'!F$3,'Schedule 4'!$J$89:$J$649,'Well Cal.'!$E346)</f>
        <v>0</v>
      </c>
      <c r="G346" s="726">
        <f>SUMIFS('Schedule 4'!$F$89:$F$649,'Schedule 4'!$I$89:$I$649,'Well Cal.'!G$3,'Schedule 4'!$J$89:$J$649,'Well Cal.'!$E346)</f>
        <v>0</v>
      </c>
      <c r="H346" s="726">
        <f>SUMIFS('Schedule 4'!$F$89:$F$649,'Schedule 4'!$I$89:$I$649,'Well Cal.'!H$3,'Schedule 4'!$J$89:$J$649,'Well Cal.'!$E346)</f>
        <v>0</v>
      </c>
      <c r="I346" s="726">
        <f>SUMIFS('Schedule 4'!$F$89:$F$649,'Schedule 4'!$I$89:$I$649,'Well Cal.'!I$3,'Schedule 4'!$J$89:$J$649,'Well Cal.'!$E346)</f>
        <v>0</v>
      </c>
      <c r="J346" s="726">
        <f>SUMIFS('Schedule 4'!$F$89:$F$649,'Schedule 4'!$I$89:$I$649,'Well Cal.'!J$3,'Schedule 4'!$J$89:$J$649,'Well Cal.'!$E346)</f>
        <v>0</v>
      </c>
      <c r="K346" s="726">
        <f>SUMIFS('Schedule 4'!$F$89:$F$649,'Schedule 4'!$I$89:$I$649,'Well Cal.'!K$3,'Schedule 4'!$J$89:$J$649,'Well Cal.'!$E346)</f>
        <v>0</v>
      </c>
      <c r="L346" s="726">
        <f>SUMIFS('Schedule 4'!$F$89:$F$649,'Schedule 4'!$I$89:$I$649,'Well Cal.'!L$3,'Schedule 4'!$J$89:$J$649,'Well Cal.'!$E346)</f>
        <v>0</v>
      </c>
      <c r="M346" s="726">
        <f>SUMIFS('Schedule 4'!$F$89:$F$649,'Schedule 4'!$I$89:$I$649,'Well Cal.'!M$3,'Schedule 4'!$J$89:$J$649,'Well Cal.'!$E346)</f>
        <v>0</v>
      </c>
      <c r="N346" s="726">
        <f>SUMIFS('Schedule 4'!$F$89:$F$649,'Schedule 4'!$I$89:$I$649,'Well Cal.'!N$3,'Schedule 4'!$J$89:$J$649,'Well Cal.'!$E346)</f>
        <v>0</v>
      </c>
      <c r="O346" s="726">
        <f>SUMIFS('Schedule 4'!$F$89:$F$649,'Schedule 4'!$I$89:$I$649,'Well Cal.'!O$3,'Schedule 4'!$J$89:$J$649,'Well Cal.'!$E346)</f>
        <v>0</v>
      </c>
      <c r="P346" s="726">
        <f>SUMIFS('Schedule 4'!$F$89:$F$649,'Schedule 4'!$I$89:$I$649,'Well Cal.'!P$3,'Schedule 4'!$J$89:$J$649,'Well Cal.'!$E346)</f>
        <v>0</v>
      </c>
      <c r="Q346" s="726">
        <f>SUMIFS('Schedule 4'!$F$89:$F$649,'Schedule 4'!$I$89:$I$649,'Well Cal.'!Q$3,'Schedule 4'!$J$89:$J$649,'Well Cal.'!$E346)</f>
        <v>0</v>
      </c>
      <c r="R346" s="726">
        <f>SUMIFS('Schedule 4'!$F$89:$F$649,'Schedule 4'!$I$89:$I$649,'Well Cal.'!R$3,'Schedule 4'!$J$89:$J$649,'Well Cal.'!$E346)</f>
        <v>0</v>
      </c>
      <c r="S346" s="726">
        <f>SUMIFS('Schedule 4'!$F$89:$F$649,'Schedule 4'!$I$89:$I$649,'Well Cal.'!S$3,'Schedule 4'!$J$89:$J$649,'Well Cal.'!$E346)</f>
        <v>0</v>
      </c>
      <c r="T346" s="726">
        <f>SUMIFS('Schedule 4'!$F$89:$F$649,'Schedule 4'!$I$89:$I$649,'Well Cal.'!T$3,'Schedule 4'!$J$89:$J$649,'Well Cal.'!$E346)</f>
        <v>0</v>
      </c>
      <c r="U346" s="726">
        <f>SUMIFS('Schedule 4'!$F$89:$F$649,'Schedule 4'!$I$89:$I$649,'Well Cal.'!U$3,'Schedule 4'!$J$89:$J$649,'Well Cal.'!$E346)</f>
        <v>0</v>
      </c>
      <c r="V346" s="726">
        <f>SUMIFS('Schedule 4'!$F$89:$F$649,'Schedule 4'!$I$89:$I$649,'Well Cal.'!V$3,'Schedule 4'!$J$89:$J$649,'Well Cal.'!$E346)</f>
        <v>0</v>
      </c>
      <c r="W346" s="726">
        <f>SUMIFS('Schedule 4'!$F$89:$F$649,'Schedule 4'!$I$89:$I$649,'Well Cal.'!W$3,'Schedule 4'!$J$89:$J$649,'Well Cal.'!$E346)</f>
        <v>0</v>
      </c>
      <c r="X346" s="726">
        <f>SUMIFS('Schedule 4'!$F$89:$F$649,'Schedule 4'!$I$89:$I$649,'Well Cal.'!X$3,'Schedule 4'!$J$89:$J$649,'Well Cal.'!$E346)</f>
        <v>0</v>
      </c>
      <c r="Y346" s="726">
        <f>SUMIFS('Schedule 4'!$F$89:$F$649,'Schedule 4'!$I$89:$I$649,'Well Cal.'!Y$3,'Schedule 4'!$J$89:$J$649,'Well Cal.'!$E346)</f>
        <v>0</v>
      </c>
      <c r="Z346" s="726">
        <f>SUMIFS('Schedule 4'!$F$89:$F$649,'Schedule 4'!$I$89:$I$649,'Well Cal.'!Z$3,'Schedule 4'!$J$89:$J$649,'Well Cal.'!$E346)</f>
        <v>0</v>
      </c>
      <c r="AA346" s="726"/>
      <c r="AB346" s="1730"/>
      <c r="AC346" s="1730"/>
    </row>
    <row r="347" spans="2:29" x14ac:dyDescent="0.3">
      <c r="B347" s="1735"/>
      <c r="C347" s="1738"/>
      <c r="D347" s="1731"/>
      <c r="E347" s="761" t="s">
        <v>3696</v>
      </c>
      <c r="F347" s="727">
        <f>SUMIFS('Schedule 4'!$F$89:$F$649,'Schedule 4'!$I$89:$I$649,'Well Cal.'!F$3,'Schedule 4'!$J$89:$J$649,'Well Cal.'!$E347)</f>
        <v>0</v>
      </c>
      <c r="G347" s="727">
        <f>SUMIFS('Schedule 4'!$F$89:$F$649,'Schedule 4'!$I$89:$I$649,'Well Cal.'!G$3,'Schedule 4'!$J$89:$J$649,'Well Cal.'!$E347)</f>
        <v>0</v>
      </c>
      <c r="H347" s="727">
        <f>SUMIFS('Schedule 4'!$F$89:$F$649,'Schedule 4'!$I$89:$I$649,'Well Cal.'!H$3,'Schedule 4'!$J$89:$J$649,'Well Cal.'!$E347)</f>
        <v>0</v>
      </c>
      <c r="I347" s="727">
        <f>SUMIFS('Schedule 4'!$F$89:$F$649,'Schedule 4'!$I$89:$I$649,'Well Cal.'!I$3,'Schedule 4'!$J$89:$J$649,'Well Cal.'!$E347)</f>
        <v>0</v>
      </c>
      <c r="J347" s="727">
        <f>SUMIFS('Schedule 4'!$F$89:$F$649,'Schedule 4'!$I$89:$I$649,'Well Cal.'!J$3,'Schedule 4'!$J$89:$J$649,'Well Cal.'!$E347)</f>
        <v>0</v>
      </c>
      <c r="K347" s="727">
        <f>SUMIFS('Schedule 4'!$F$89:$F$649,'Schedule 4'!$I$89:$I$649,'Well Cal.'!K$3,'Schedule 4'!$J$89:$J$649,'Well Cal.'!$E347)</f>
        <v>0</v>
      </c>
      <c r="L347" s="727">
        <f>SUMIFS('Schedule 4'!$F$89:$F$649,'Schedule 4'!$I$89:$I$649,'Well Cal.'!L$3,'Schedule 4'!$J$89:$J$649,'Well Cal.'!$E347)</f>
        <v>0</v>
      </c>
      <c r="M347" s="727">
        <f>SUMIFS('Schedule 4'!$F$89:$F$649,'Schedule 4'!$I$89:$I$649,'Well Cal.'!M$3,'Schedule 4'!$J$89:$J$649,'Well Cal.'!$E347)</f>
        <v>0</v>
      </c>
      <c r="N347" s="727">
        <f>SUMIFS('Schedule 4'!$F$89:$F$649,'Schedule 4'!$I$89:$I$649,'Well Cal.'!N$3,'Schedule 4'!$J$89:$J$649,'Well Cal.'!$E347)</f>
        <v>0</v>
      </c>
      <c r="O347" s="727">
        <f>SUMIFS('Schedule 4'!$F$89:$F$649,'Schedule 4'!$I$89:$I$649,'Well Cal.'!O$3,'Schedule 4'!$J$89:$J$649,'Well Cal.'!$E347)</f>
        <v>0</v>
      </c>
      <c r="P347" s="727">
        <f>SUMIFS('Schedule 4'!$F$89:$F$649,'Schedule 4'!$I$89:$I$649,'Well Cal.'!P$3,'Schedule 4'!$J$89:$J$649,'Well Cal.'!$E347)</f>
        <v>0</v>
      </c>
      <c r="Q347" s="727">
        <f>SUMIFS('Schedule 4'!$F$89:$F$649,'Schedule 4'!$I$89:$I$649,'Well Cal.'!Q$3,'Schedule 4'!$J$89:$J$649,'Well Cal.'!$E347)</f>
        <v>0</v>
      </c>
      <c r="R347" s="727">
        <f>SUMIFS('Schedule 4'!$F$89:$F$649,'Schedule 4'!$I$89:$I$649,'Well Cal.'!R$3,'Schedule 4'!$J$89:$J$649,'Well Cal.'!$E347)</f>
        <v>0</v>
      </c>
      <c r="S347" s="727">
        <f>SUMIFS('Schedule 4'!$F$89:$F$649,'Schedule 4'!$I$89:$I$649,'Well Cal.'!S$3,'Schedule 4'!$J$89:$J$649,'Well Cal.'!$E347)</f>
        <v>0</v>
      </c>
      <c r="T347" s="727">
        <f>SUMIFS('Schedule 4'!$F$89:$F$649,'Schedule 4'!$I$89:$I$649,'Well Cal.'!T$3,'Schedule 4'!$J$89:$J$649,'Well Cal.'!$E347)</f>
        <v>0</v>
      </c>
      <c r="U347" s="727">
        <f>SUMIFS('Schedule 4'!$F$89:$F$649,'Schedule 4'!$I$89:$I$649,'Well Cal.'!U$3,'Schedule 4'!$J$89:$J$649,'Well Cal.'!$E347)</f>
        <v>0</v>
      </c>
      <c r="V347" s="727">
        <f>SUMIFS('Schedule 4'!$F$89:$F$649,'Schedule 4'!$I$89:$I$649,'Well Cal.'!V$3,'Schedule 4'!$J$89:$J$649,'Well Cal.'!$E347)</f>
        <v>0</v>
      </c>
      <c r="W347" s="727">
        <f>SUMIFS('Schedule 4'!$F$89:$F$649,'Schedule 4'!$I$89:$I$649,'Well Cal.'!W$3,'Schedule 4'!$J$89:$J$649,'Well Cal.'!$E347)</f>
        <v>0</v>
      </c>
      <c r="X347" s="727">
        <f>SUMIFS('Schedule 4'!$F$89:$F$649,'Schedule 4'!$I$89:$I$649,'Well Cal.'!X$3,'Schedule 4'!$J$89:$J$649,'Well Cal.'!$E347)</f>
        <v>0</v>
      </c>
      <c r="Y347" s="727">
        <f>SUMIFS('Schedule 4'!$F$89:$F$649,'Schedule 4'!$I$89:$I$649,'Well Cal.'!Y$3,'Schedule 4'!$J$89:$J$649,'Well Cal.'!$E347)</f>
        <v>0</v>
      </c>
      <c r="Z347" s="727">
        <f>SUMIFS('Schedule 4'!$F$89:$F$649,'Schedule 4'!$I$89:$I$649,'Well Cal.'!Z$3,'Schedule 4'!$J$89:$J$649,'Well Cal.'!$E347)</f>
        <v>0</v>
      </c>
      <c r="AA347" s="727"/>
      <c r="AB347" s="1731"/>
      <c r="AC347" s="1731"/>
    </row>
    <row r="348" spans="2:29" x14ac:dyDescent="0.3">
      <c r="B348" s="1735"/>
      <c r="C348" s="1738"/>
      <c r="D348" s="1731"/>
      <c r="E348" s="761" t="s">
        <v>3768</v>
      </c>
      <c r="F348" s="727">
        <f>SUMIFS('Schedule 4'!$F$89:$F$649,'Schedule 4'!$I$89:$I$649,'Well Cal.'!F$3,'Schedule 4'!$J$89:$J$649,'Well Cal.'!$E348)</f>
        <v>0</v>
      </c>
      <c r="G348" s="727">
        <f>SUMIFS('Schedule 4'!$F$89:$F$649,'Schedule 4'!$I$89:$I$649,'Well Cal.'!G$3,'Schedule 4'!$J$89:$J$649,'Well Cal.'!$E348)</f>
        <v>0</v>
      </c>
      <c r="H348" s="727">
        <f>SUMIFS('Schedule 4'!$F$89:$F$649,'Schedule 4'!$I$89:$I$649,'Well Cal.'!H$3,'Schedule 4'!$J$89:$J$649,'Well Cal.'!$E348)</f>
        <v>0</v>
      </c>
      <c r="I348" s="727">
        <f>SUMIFS('Schedule 4'!$F$89:$F$649,'Schedule 4'!$I$89:$I$649,'Well Cal.'!I$3,'Schedule 4'!$J$89:$J$649,'Well Cal.'!$E348)</f>
        <v>0</v>
      </c>
      <c r="J348" s="727">
        <f>SUMIFS('Schedule 4'!$F$89:$F$649,'Schedule 4'!$I$89:$I$649,'Well Cal.'!J$3,'Schedule 4'!$J$89:$J$649,'Well Cal.'!$E348)</f>
        <v>0</v>
      </c>
      <c r="K348" s="727">
        <f>SUMIFS('Schedule 4'!$F$89:$F$649,'Schedule 4'!$I$89:$I$649,'Well Cal.'!K$3,'Schedule 4'!$J$89:$J$649,'Well Cal.'!$E348)</f>
        <v>0</v>
      </c>
      <c r="L348" s="727">
        <f>SUMIFS('Schedule 4'!$F$89:$F$649,'Schedule 4'!$I$89:$I$649,'Well Cal.'!L$3,'Schedule 4'!$J$89:$J$649,'Well Cal.'!$E348)</f>
        <v>0</v>
      </c>
      <c r="M348" s="727">
        <f>SUMIFS('Schedule 4'!$F$89:$F$649,'Schedule 4'!$I$89:$I$649,'Well Cal.'!M$3,'Schedule 4'!$J$89:$J$649,'Well Cal.'!$E348)</f>
        <v>0</v>
      </c>
      <c r="N348" s="727">
        <f>SUMIFS('Schedule 4'!$F$89:$F$649,'Schedule 4'!$I$89:$I$649,'Well Cal.'!N$3,'Schedule 4'!$J$89:$J$649,'Well Cal.'!$E348)</f>
        <v>0</v>
      </c>
      <c r="O348" s="727">
        <f>SUMIFS('Schedule 4'!$F$89:$F$649,'Schedule 4'!$I$89:$I$649,'Well Cal.'!O$3,'Schedule 4'!$J$89:$J$649,'Well Cal.'!$E348)</f>
        <v>0</v>
      </c>
      <c r="P348" s="727">
        <f>SUMIFS('Schedule 4'!$F$89:$F$649,'Schedule 4'!$I$89:$I$649,'Well Cal.'!P$3,'Schedule 4'!$J$89:$J$649,'Well Cal.'!$E348)</f>
        <v>0</v>
      </c>
      <c r="Q348" s="727">
        <f>SUMIFS('Schedule 4'!$F$89:$F$649,'Schedule 4'!$I$89:$I$649,'Well Cal.'!Q$3,'Schedule 4'!$J$89:$J$649,'Well Cal.'!$E348)</f>
        <v>0</v>
      </c>
      <c r="R348" s="727">
        <f>SUMIFS('Schedule 4'!$F$89:$F$649,'Schedule 4'!$I$89:$I$649,'Well Cal.'!R$3,'Schedule 4'!$J$89:$J$649,'Well Cal.'!$E348)</f>
        <v>0</v>
      </c>
      <c r="S348" s="727">
        <f>SUMIFS('Schedule 4'!$F$89:$F$649,'Schedule 4'!$I$89:$I$649,'Well Cal.'!S$3,'Schedule 4'!$J$89:$J$649,'Well Cal.'!$E348)</f>
        <v>0</v>
      </c>
      <c r="T348" s="727">
        <f>SUMIFS('Schedule 4'!$F$89:$F$649,'Schedule 4'!$I$89:$I$649,'Well Cal.'!T$3,'Schedule 4'!$J$89:$J$649,'Well Cal.'!$E348)</f>
        <v>0</v>
      </c>
      <c r="U348" s="727">
        <f>SUMIFS('Schedule 4'!$F$89:$F$649,'Schedule 4'!$I$89:$I$649,'Well Cal.'!U$3,'Schedule 4'!$J$89:$J$649,'Well Cal.'!$E348)</f>
        <v>0</v>
      </c>
      <c r="V348" s="727">
        <f>SUMIFS('Schedule 4'!$F$89:$F$649,'Schedule 4'!$I$89:$I$649,'Well Cal.'!V$3,'Schedule 4'!$J$89:$J$649,'Well Cal.'!$E348)</f>
        <v>0</v>
      </c>
      <c r="W348" s="727">
        <f>SUMIFS('Schedule 4'!$F$89:$F$649,'Schedule 4'!$I$89:$I$649,'Well Cal.'!W$3,'Schedule 4'!$J$89:$J$649,'Well Cal.'!$E348)</f>
        <v>0</v>
      </c>
      <c r="X348" s="727">
        <f>SUMIFS('Schedule 4'!$F$89:$F$649,'Schedule 4'!$I$89:$I$649,'Well Cal.'!X$3,'Schedule 4'!$J$89:$J$649,'Well Cal.'!$E348)</f>
        <v>0</v>
      </c>
      <c r="Y348" s="727">
        <f>SUMIFS('Schedule 4'!$F$89:$F$649,'Schedule 4'!$I$89:$I$649,'Well Cal.'!Y$3,'Schedule 4'!$J$89:$J$649,'Well Cal.'!$E348)</f>
        <v>0</v>
      </c>
      <c r="Z348" s="727">
        <f>SUMIFS('Schedule 4'!$F$89:$F$649,'Schedule 4'!$I$89:$I$649,'Well Cal.'!Z$3,'Schedule 4'!$J$89:$J$649,'Well Cal.'!$E348)</f>
        <v>0</v>
      </c>
      <c r="AA348" s="727"/>
      <c r="AB348" s="1731"/>
      <c r="AC348" s="1731"/>
    </row>
    <row r="349" spans="2:29" x14ac:dyDescent="0.3">
      <c r="B349" s="1735"/>
      <c r="C349" s="1738"/>
      <c r="D349" s="1731"/>
      <c r="E349" s="761" t="s">
        <v>3840</v>
      </c>
      <c r="F349" s="727">
        <f>SUMIFS('Schedule 4'!$F$89:$F$649,'Schedule 4'!$I$89:$I$649,'Well Cal.'!F$3,'Schedule 4'!$J$89:$J$649,'Well Cal.'!$E349)</f>
        <v>0</v>
      </c>
      <c r="G349" s="727">
        <f>SUMIFS('Schedule 4'!$F$89:$F$649,'Schedule 4'!$I$89:$I$649,'Well Cal.'!G$3,'Schedule 4'!$J$89:$J$649,'Well Cal.'!$E349)</f>
        <v>0</v>
      </c>
      <c r="H349" s="727">
        <f>SUMIFS('Schedule 4'!$F$89:$F$649,'Schedule 4'!$I$89:$I$649,'Well Cal.'!H$3,'Schedule 4'!$J$89:$J$649,'Well Cal.'!$E349)</f>
        <v>0</v>
      </c>
      <c r="I349" s="727">
        <f>SUMIFS('Schedule 4'!$F$89:$F$649,'Schedule 4'!$I$89:$I$649,'Well Cal.'!I$3,'Schedule 4'!$J$89:$J$649,'Well Cal.'!$E349)</f>
        <v>0</v>
      </c>
      <c r="J349" s="727">
        <f>SUMIFS('Schedule 4'!$F$89:$F$649,'Schedule 4'!$I$89:$I$649,'Well Cal.'!J$3,'Schedule 4'!$J$89:$J$649,'Well Cal.'!$E349)</f>
        <v>0</v>
      </c>
      <c r="K349" s="727">
        <f>SUMIFS('Schedule 4'!$F$89:$F$649,'Schedule 4'!$I$89:$I$649,'Well Cal.'!K$3,'Schedule 4'!$J$89:$J$649,'Well Cal.'!$E349)</f>
        <v>0</v>
      </c>
      <c r="L349" s="727">
        <f>SUMIFS('Schedule 4'!$F$89:$F$649,'Schedule 4'!$I$89:$I$649,'Well Cal.'!L$3,'Schedule 4'!$J$89:$J$649,'Well Cal.'!$E349)</f>
        <v>0</v>
      </c>
      <c r="M349" s="727">
        <f>SUMIFS('Schedule 4'!$F$89:$F$649,'Schedule 4'!$I$89:$I$649,'Well Cal.'!M$3,'Schedule 4'!$J$89:$J$649,'Well Cal.'!$E349)</f>
        <v>0</v>
      </c>
      <c r="N349" s="727">
        <f>SUMIFS('Schedule 4'!$F$89:$F$649,'Schedule 4'!$I$89:$I$649,'Well Cal.'!N$3,'Schedule 4'!$J$89:$J$649,'Well Cal.'!$E349)</f>
        <v>0</v>
      </c>
      <c r="O349" s="727">
        <f>SUMIFS('Schedule 4'!$F$89:$F$649,'Schedule 4'!$I$89:$I$649,'Well Cal.'!O$3,'Schedule 4'!$J$89:$J$649,'Well Cal.'!$E349)</f>
        <v>0</v>
      </c>
      <c r="P349" s="727">
        <f>SUMIFS('Schedule 4'!$F$89:$F$649,'Schedule 4'!$I$89:$I$649,'Well Cal.'!P$3,'Schedule 4'!$J$89:$J$649,'Well Cal.'!$E349)</f>
        <v>0</v>
      </c>
      <c r="Q349" s="727">
        <f>SUMIFS('Schedule 4'!$F$89:$F$649,'Schedule 4'!$I$89:$I$649,'Well Cal.'!Q$3,'Schedule 4'!$J$89:$J$649,'Well Cal.'!$E349)</f>
        <v>0</v>
      </c>
      <c r="R349" s="727">
        <f>SUMIFS('Schedule 4'!$F$89:$F$649,'Schedule 4'!$I$89:$I$649,'Well Cal.'!R$3,'Schedule 4'!$J$89:$J$649,'Well Cal.'!$E349)</f>
        <v>0</v>
      </c>
      <c r="S349" s="727">
        <f>SUMIFS('Schedule 4'!$F$89:$F$649,'Schedule 4'!$I$89:$I$649,'Well Cal.'!S$3,'Schedule 4'!$J$89:$J$649,'Well Cal.'!$E349)</f>
        <v>0</v>
      </c>
      <c r="T349" s="727">
        <f>SUMIFS('Schedule 4'!$F$89:$F$649,'Schedule 4'!$I$89:$I$649,'Well Cal.'!T$3,'Schedule 4'!$J$89:$J$649,'Well Cal.'!$E349)</f>
        <v>0</v>
      </c>
      <c r="U349" s="727">
        <f>SUMIFS('Schedule 4'!$F$89:$F$649,'Schedule 4'!$I$89:$I$649,'Well Cal.'!U$3,'Schedule 4'!$J$89:$J$649,'Well Cal.'!$E349)</f>
        <v>0</v>
      </c>
      <c r="V349" s="727">
        <f>SUMIFS('Schedule 4'!$F$89:$F$649,'Schedule 4'!$I$89:$I$649,'Well Cal.'!V$3,'Schedule 4'!$J$89:$J$649,'Well Cal.'!$E349)</f>
        <v>0</v>
      </c>
      <c r="W349" s="727">
        <f>SUMIFS('Schedule 4'!$F$89:$F$649,'Schedule 4'!$I$89:$I$649,'Well Cal.'!W$3,'Schedule 4'!$J$89:$J$649,'Well Cal.'!$E349)</f>
        <v>0</v>
      </c>
      <c r="X349" s="727">
        <f>SUMIFS('Schedule 4'!$F$89:$F$649,'Schedule 4'!$I$89:$I$649,'Well Cal.'!X$3,'Schedule 4'!$J$89:$J$649,'Well Cal.'!$E349)</f>
        <v>0</v>
      </c>
      <c r="Y349" s="727">
        <f>SUMIFS('Schedule 4'!$F$89:$F$649,'Schedule 4'!$I$89:$I$649,'Well Cal.'!Y$3,'Schedule 4'!$J$89:$J$649,'Well Cal.'!$E349)</f>
        <v>0</v>
      </c>
      <c r="Z349" s="727">
        <f>SUMIFS('Schedule 4'!$F$89:$F$649,'Schedule 4'!$I$89:$I$649,'Well Cal.'!Z$3,'Schedule 4'!$J$89:$J$649,'Well Cal.'!$E349)</f>
        <v>0</v>
      </c>
      <c r="AA349" s="727"/>
      <c r="AB349" s="1731"/>
      <c r="AC349" s="1731"/>
    </row>
    <row r="350" spans="2:29" x14ac:dyDescent="0.3">
      <c r="B350" s="1735"/>
      <c r="C350" s="1738"/>
      <c r="D350" s="1731"/>
      <c r="E350" s="761" t="s">
        <v>3908</v>
      </c>
      <c r="F350" s="727">
        <f>SUMIFS('Schedule 4'!$F$89:$F$649,'Schedule 4'!$I$89:$I$649,'Well Cal.'!F$3,'Schedule 4'!$J$89:$J$649,'Well Cal.'!$E350)</f>
        <v>0</v>
      </c>
      <c r="G350" s="727">
        <f>SUMIFS('Schedule 4'!$F$89:$F$649,'Schedule 4'!$I$89:$I$649,'Well Cal.'!G$3,'Schedule 4'!$J$89:$J$649,'Well Cal.'!$E350)</f>
        <v>0</v>
      </c>
      <c r="H350" s="727">
        <f>SUMIFS('Schedule 4'!$F$89:$F$649,'Schedule 4'!$I$89:$I$649,'Well Cal.'!H$3,'Schedule 4'!$J$89:$J$649,'Well Cal.'!$E350)</f>
        <v>0</v>
      </c>
      <c r="I350" s="727">
        <f>SUMIFS('Schedule 4'!$F$89:$F$649,'Schedule 4'!$I$89:$I$649,'Well Cal.'!I$3,'Schedule 4'!$J$89:$J$649,'Well Cal.'!$E350)</f>
        <v>0</v>
      </c>
      <c r="J350" s="727">
        <f>SUMIFS('Schedule 4'!$F$89:$F$649,'Schedule 4'!$I$89:$I$649,'Well Cal.'!J$3,'Schedule 4'!$J$89:$J$649,'Well Cal.'!$E350)</f>
        <v>0</v>
      </c>
      <c r="K350" s="727">
        <f>SUMIFS('Schedule 4'!$F$89:$F$649,'Schedule 4'!$I$89:$I$649,'Well Cal.'!K$3,'Schedule 4'!$J$89:$J$649,'Well Cal.'!$E350)</f>
        <v>0</v>
      </c>
      <c r="L350" s="727">
        <f>SUMIFS('Schedule 4'!$F$89:$F$649,'Schedule 4'!$I$89:$I$649,'Well Cal.'!L$3,'Schedule 4'!$J$89:$J$649,'Well Cal.'!$E350)</f>
        <v>0</v>
      </c>
      <c r="M350" s="727">
        <f>SUMIFS('Schedule 4'!$F$89:$F$649,'Schedule 4'!$I$89:$I$649,'Well Cal.'!M$3,'Schedule 4'!$J$89:$J$649,'Well Cal.'!$E350)</f>
        <v>0</v>
      </c>
      <c r="N350" s="727">
        <f>SUMIFS('Schedule 4'!$F$89:$F$649,'Schedule 4'!$I$89:$I$649,'Well Cal.'!N$3,'Schedule 4'!$J$89:$J$649,'Well Cal.'!$E350)</f>
        <v>0</v>
      </c>
      <c r="O350" s="727">
        <f>SUMIFS('Schedule 4'!$F$89:$F$649,'Schedule 4'!$I$89:$I$649,'Well Cal.'!O$3,'Schedule 4'!$J$89:$J$649,'Well Cal.'!$E350)</f>
        <v>0</v>
      </c>
      <c r="P350" s="727">
        <f>SUMIFS('Schedule 4'!$F$89:$F$649,'Schedule 4'!$I$89:$I$649,'Well Cal.'!P$3,'Schedule 4'!$J$89:$J$649,'Well Cal.'!$E350)</f>
        <v>0</v>
      </c>
      <c r="Q350" s="727">
        <f>SUMIFS('Schedule 4'!$F$89:$F$649,'Schedule 4'!$I$89:$I$649,'Well Cal.'!Q$3,'Schedule 4'!$J$89:$J$649,'Well Cal.'!$E350)</f>
        <v>0</v>
      </c>
      <c r="R350" s="727">
        <f>SUMIFS('Schedule 4'!$F$89:$F$649,'Schedule 4'!$I$89:$I$649,'Well Cal.'!R$3,'Schedule 4'!$J$89:$J$649,'Well Cal.'!$E350)</f>
        <v>0</v>
      </c>
      <c r="S350" s="727">
        <f>SUMIFS('Schedule 4'!$F$89:$F$649,'Schedule 4'!$I$89:$I$649,'Well Cal.'!S$3,'Schedule 4'!$J$89:$J$649,'Well Cal.'!$E350)</f>
        <v>0</v>
      </c>
      <c r="T350" s="727">
        <f>SUMIFS('Schedule 4'!$F$89:$F$649,'Schedule 4'!$I$89:$I$649,'Well Cal.'!T$3,'Schedule 4'!$J$89:$J$649,'Well Cal.'!$E350)</f>
        <v>0</v>
      </c>
      <c r="U350" s="727">
        <f>SUMIFS('Schedule 4'!$F$89:$F$649,'Schedule 4'!$I$89:$I$649,'Well Cal.'!U$3,'Schedule 4'!$J$89:$J$649,'Well Cal.'!$E350)</f>
        <v>0</v>
      </c>
      <c r="V350" s="727">
        <f>SUMIFS('Schedule 4'!$F$89:$F$649,'Schedule 4'!$I$89:$I$649,'Well Cal.'!V$3,'Schedule 4'!$J$89:$J$649,'Well Cal.'!$E350)</f>
        <v>0</v>
      </c>
      <c r="W350" s="727">
        <f>SUMIFS('Schedule 4'!$F$89:$F$649,'Schedule 4'!$I$89:$I$649,'Well Cal.'!W$3,'Schedule 4'!$J$89:$J$649,'Well Cal.'!$E350)</f>
        <v>0</v>
      </c>
      <c r="X350" s="727">
        <f>SUMIFS('Schedule 4'!$F$89:$F$649,'Schedule 4'!$I$89:$I$649,'Well Cal.'!X$3,'Schedule 4'!$J$89:$J$649,'Well Cal.'!$E350)</f>
        <v>0</v>
      </c>
      <c r="Y350" s="727">
        <f>SUMIFS('Schedule 4'!$F$89:$F$649,'Schedule 4'!$I$89:$I$649,'Well Cal.'!Y$3,'Schedule 4'!$J$89:$J$649,'Well Cal.'!$E350)</f>
        <v>0</v>
      </c>
      <c r="Z350" s="727">
        <f>SUMIFS('Schedule 4'!$F$89:$F$649,'Schedule 4'!$I$89:$I$649,'Well Cal.'!Z$3,'Schedule 4'!$J$89:$J$649,'Well Cal.'!$E350)</f>
        <v>0</v>
      </c>
      <c r="AA350" s="727"/>
      <c r="AB350" s="1731"/>
      <c r="AC350" s="1731"/>
    </row>
    <row r="351" spans="2:29" x14ac:dyDescent="0.3">
      <c r="B351" s="1735"/>
      <c r="C351" s="1738"/>
      <c r="D351" s="1731"/>
      <c r="E351" s="761" t="s">
        <v>3994</v>
      </c>
      <c r="F351" s="727">
        <f>SUMIFS('Schedule 4'!$F$89:$F$649,'Schedule 4'!$I$89:$I$649,'Well Cal.'!F$3,'Schedule 4'!$J$89:$J$649,'Well Cal.'!$E351)</f>
        <v>0</v>
      </c>
      <c r="G351" s="727">
        <f>SUMIFS('Schedule 4'!$F$89:$F$649,'Schedule 4'!$I$89:$I$649,'Well Cal.'!G$3,'Schedule 4'!$J$89:$J$649,'Well Cal.'!$E351)</f>
        <v>0</v>
      </c>
      <c r="H351" s="727">
        <f>SUMIFS('Schedule 4'!$F$89:$F$649,'Schedule 4'!$I$89:$I$649,'Well Cal.'!H$3,'Schedule 4'!$J$89:$J$649,'Well Cal.'!$E351)</f>
        <v>0</v>
      </c>
      <c r="I351" s="727">
        <f>SUMIFS('Schedule 4'!$F$89:$F$649,'Schedule 4'!$I$89:$I$649,'Well Cal.'!I$3,'Schedule 4'!$J$89:$J$649,'Well Cal.'!$E351)</f>
        <v>0</v>
      </c>
      <c r="J351" s="727">
        <f>SUMIFS('Schedule 4'!$F$89:$F$649,'Schedule 4'!$I$89:$I$649,'Well Cal.'!J$3,'Schedule 4'!$J$89:$J$649,'Well Cal.'!$E351)</f>
        <v>0</v>
      </c>
      <c r="K351" s="727">
        <f>SUMIFS('Schedule 4'!$F$89:$F$649,'Schedule 4'!$I$89:$I$649,'Well Cal.'!K$3,'Schedule 4'!$J$89:$J$649,'Well Cal.'!$E351)</f>
        <v>0</v>
      </c>
      <c r="L351" s="727">
        <f>SUMIFS('Schedule 4'!$F$89:$F$649,'Schedule 4'!$I$89:$I$649,'Well Cal.'!L$3,'Schedule 4'!$J$89:$J$649,'Well Cal.'!$E351)</f>
        <v>0</v>
      </c>
      <c r="M351" s="727">
        <f>SUMIFS('Schedule 4'!$F$89:$F$649,'Schedule 4'!$I$89:$I$649,'Well Cal.'!M$3,'Schedule 4'!$J$89:$J$649,'Well Cal.'!$E351)</f>
        <v>0</v>
      </c>
      <c r="N351" s="727">
        <f>SUMIFS('Schedule 4'!$F$89:$F$649,'Schedule 4'!$I$89:$I$649,'Well Cal.'!N$3,'Schedule 4'!$J$89:$J$649,'Well Cal.'!$E351)</f>
        <v>0</v>
      </c>
      <c r="O351" s="727">
        <f>SUMIFS('Schedule 4'!$F$89:$F$649,'Schedule 4'!$I$89:$I$649,'Well Cal.'!O$3,'Schedule 4'!$J$89:$J$649,'Well Cal.'!$E351)</f>
        <v>0</v>
      </c>
      <c r="P351" s="727">
        <f>SUMIFS('Schedule 4'!$F$89:$F$649,'Schedule 4'!$I$89:$I$649,'Well Cal.'!P$3,'Schedule 4'!$J$89:$J$649,'Well Cal.'!$E351)</f>
        <v>0</v>
      </c>
      <c r="Q351" s="727">
        <f>SUMIFS('Schedule 4'!$F$89:$F$649,'Schedule 4'!$I$89:$I$649,'Well Cal.'!Q$3,'Schedule 4'!$J$89:$J$649,'Well Cal.'!$E351)</f>
        <v>0</v>
      </c>
      <c r="R351" s="727">
        <f>SUMIFS('Schedule 4'!$F$89:$F$649,'Schedule 4'!$I$89:$I$649,'Well Cal.'!R$3,'Schedule 4'!$J$89:$J$649,'Well Cal.'!$E351)</f>
        <v>0</v>
      </c>
      <c r="S351" s="727">
        <f>SUMIFS('Schedule 4'!$F$89:$F$649,'Schedule 4'!$I$89:$I$649,'Well Cal.'!S$3,'Schedule 4'!$J$89:$J$649,'Well Cal.'!$E351)</f>
        <v>0</v>
      </c>
      <c r="T351" s="727">
        <f>SUMIFS('Schedule 4'!$F$89:$F$649,'Schedule 4'!$I$89:$I$649,'Well Cal.'!T$3,'Schedule 4'!$J$89:$J$649,'Well Cal.'!$E351)</f>
        <v>0</v>
      </c>
      <c r="U351" s="727">
        <f>SUMIFS('Schedule 4'!$F$89:$F$649,'Schedule 4'!$I$89:$I$649,'Well Cal.'!U$3,'Schedule 4'!$J$89:$J$649,'Well Cal.'!$E351)</f>
        <v>0</v>
      </c>
      <c r="V351" s="727">
        <f>SUMIFS('Schedule 4'!$F$89:$F$649,'Schedule 4'!$I$89:$I$649,'Well Cal.'!V$3,'Schedule 4'!$J$89:$J$649,'Well Cal.'!$E351)</f>
        <v>0</v>
      </c>
      <c r="W351" s="727">
        <f>SUMIFS('Schedule 4'!$F$89:$F$649,'Schedule 4'!$I$89:$I$649,'Well Cal.'!W$3,'Schedule 4'!$J$89:$J$649,'Well Cal.'!$E351)</f>
        <v>0</v>
      </c>
      <c r="X351" s="727">
        <f>SUMIFS('Schedule 4'!$F$89:$F$649,'Schedule 4'!$I$89:$I$649,'Well Cal.'!X$3,'Schedule 4'!$J$89:$J$649,'Well Cal.'!$E351)</f>
        <v>0</v>
      </c>
      <c r="Y351" s="727">
        <f>SUMIFS('Schedule 4'!$F$89:$F$649,'Schedule 4'!$I$89:$I$649,'Well Cal.'!Y$3,'Schedule 4'!$J$89:$J$649,'Well Cal.'!$E351)</f>
        <v>0</v>
      </c>
      <c r="Z351" s="727">
        <f>SUMIFS('Schedule 4'!$F$89:$F$649,'Schedule 4'!$I$89:$I$649,'Well Cal.'!Z$3,'Schedule 4'!$J$89:$J$649,'Well Cal.'!$E351)</f>
        <v>0</v>
      </c>
      <c r="AA351" s="727"/>
      <c r="AB351" s="1731"/>
      <c r="AC351" s="1731"/>
    </row>
    <row r="352" spans="2:29" x14ac:dyDescent="0.3">
      <c r="B352" s="1735"/>
      <c r="C352" s="1738"/>
      <c r="D352" s="1731"/>
      <c r="E352" s="761" t="s">
        <v>4063</v>
      </c>
      <c r="F352" s="727">
        <f>SUMIFS('Schedule 4'!$F$89:$F$649,'Schedule 4'!$I$89:$I$649,'Well Cal.'!F$3,'Schedule 4'!$J$89:$J$649,'Well Cal.'!$E352)</f>
        <v>0</v>
      </c>
      <c r="G352" s="727">
        <f>SUMIFS('Schedule 4'!$F$89:$F$649,'Schedule 4'!$I$89:$I$649,'Well Cal.'!G$3,'Schedule 4'!$J$89:$J$649,'Well Cal.'!$E352)</f>
        <v>0</v>
      </c>
      <c r="H352" s="727">
        <f>SUMIFS('Schedule 4'!$F$89:$F$649,'Schedule 4'!$I$89:$I$649,'Well Cal.'!H$3,'Schedule 4'!$J$89:$J$649,'Well Cal.'!$E352)</f>
        <v>0</v>
      </c>
      <c r="I352" s="727">
        <f>SUMIFS('Schedule 4'!$F$89:$F$649,'Schedule 4'!$I$89:$I$649,'Well Cal.'!I$3,'Schedule 4'!$J$89:$J$649,'Well Cal.'!$E352)</f>
        <v>0</v>
      </c>
      <c r="J352" s="727">
        <f>SUMIFS('Schedule 4'!$F$89:$F$649,'Schedule 4'!$I$89:$I$649,'Well Cal.'!J$3,'Schedule 4'!$J$89:$J$649,'Well Cal.'!$E352)</f>
        <v>0</v>
      </c>
      <c r="K352" s="727">
        <f>SUMIFS('Schedule 4'!$F$89:$F$649,'Schedule 4'!$I$89:$I$649,'Well Cal.'!K$3,'Schedule 4'!$J$89:$J$649,'Well Cal.'!$E352)</f>
        <v>0</v>
      </c>
      <c r="L352" s="727">
        <f>SUMIFS('Schedule 4'!$F$89:$F$649,'Schedule 4'!$I$89:$I$649,'Well Cal.'!L$3,'Schedule 4'!$J$89:$J$649,'Well Cal.'!$E352)</f>
        <v>0</v>
      </c>
      <c r="M352" s="727">
        <f>SUMIFS('Schedule 4'!$F$89:$F$649,'Schedule 4'!$I$89:$I$649,'Well Cal.'!M$3,'Schedule 4'!$J$89:$J$649,'Well Cal.'!$E352)</f>
        <v>0</v>
      </c>
      <c r="N352" s="727">
        <f>SUMIFS('Schedule 4'!$F$89:$F$649,'Schedule 4'!$I$89:$I$649,'Well Cal.'!N$3,'Schedule 4'!$J$89:$J$649,'Well Cal.'!$E352)</f>
        <v>0</v>
      </c>
      <c r="O352" s="727">
        <f>SUMIFS('Schedule 4'!$F$89:$F$649,'Schedule 4'!$I$89:$I$649,'Well Cal.'!O$3,'Schedule 4'!$J$89:$J$649,'Well Cal.'!$E352)</f>
        <v>0</v>
      </c>
      <c r="P352" s="727">
        <f>SUMIFS('Schedule 4'!$F$89:$F$649,'Schedule 4'!$I$89:$I$649,'Well Cal.'!P$3,'Schedule 4'!$J$89:$J$649,'Well Cal.'!$E352)</f>
        <v>0</v>
      </c>
      <c r="Q352" s="727">
        <f>SUMIFS('Schedule 4'!$F$89:$F$649,'Schedule 4'!$I$89:$I$649,'Well Cal.'!Q$3,'Schedule 4'!$J$89:$J$649,'Well Cal.'!$E352)</f>
        <v>0</v>
      </c>
      <c r="R352" s="727">
        <f>SUMIFS('Schedule 4'!$F$89:$F$649,'Schedule 4'!$I$89:$I$649,'Well Cal.'!R$3,'Schedule 4'!$J$89:$J$649,'Well Cal.'!$E352)</f>
        <v>0</v>
      </c>
      <c r="S352" s="727">
        <f>SUMIFS('Schedule 4'!$F$89:$F$649,'Schedule 4'!$I$89:$I$649,'Well Cal.'!S$3,'Schedule 4'!$J$89:$J$649,'Well Cal.'!$E352)</f>
        <v>0</v>
      </c>
      <c r="T352" s="727">
        <f>SUMIFS('Schedule 4'!$F$89:$F$649,'Schedule 4'!$I$89:$I$649,'Well Cal.'!T$3,'Schedule 4'!$J$89:$J$649,'Well Cal.'!$E352)</f>
        <v>0</v>
      </c>
      <c r="U352" s="727">
        <f>SUMIFS('Schedule 4'!$F$89:$F$649,'Schedule 4'!$I$89:$I$649,'Well Cal.'!U$3,'Schedule 4'!$J$89:$J$649,'Well Cal.'!$E352)</f>
        <v>0</v>
      </c>
      <c r="V352" s="727">
        <f>SUMIFS('Schedule 4'!$F$89:$F$649,'Schedule 4'!$I$89:$I$649,'Well Cal.'!V$3,'Schedule 4'!$J$89:$J$649,'Well Cal.'!$E352)</f>
        <v>0</v>
      </c>
      <c r="W352" s="727">
        <f>SUMIFS('Schedule 4'!$F$89:$F$649,'Schedule 4'!$I$89:$I$649,'Well Cal.'!W$3,'Schedule 4'!$J$89:$J$649,'Well Cal.'!$E352)</f>
        <v>0</v>
      </c>
      <c r="X352" s="727">
        <f>SUMIFS('Schedule 4'!$F$89:$F$649,'Schedule 4'!$I$89:$I$649,'Well Cal.'!X$3,'Schedule 4'!$J$89:$J$649,'Well Cal.'!$E352)</f>
        <v>0</v>
      </c>
      <c r="Y352" s="727">
        <f>SUMIFS('Schedule 4'!$F$89:$F$649,'Schedule 4'!$I$89:$I$649,'Well Cal.'!Y$3,'Schedule 4'!$J$89:$J$649,'Well Cal.'!$E352)</f>
        <v>0</v>
      </c>
      <c r="Z352" s="727">
        <f>SUMIFS('Schedule 4'!$F$89:$F$649,'Schedule 4'!$I$89:$I$649,'Well Cal.'!Z$3,'Schedule 4'!$J$89:$J$649,'Well Cal.'!$E352)</f>
        <v>0</v>
      </c>
      <c r="AA352" s="727"/>
      <c r="AB352" s="1731"/>
      <c r="AC352" s="1731"/>
    </row>
    <row r="353" spans="2:29" x14ac:dyDescent="0.3">
      <c r="B353" s="1735"/>
      <c r="C353" s="1738"/>
      <c r="D353" s="1731"/>
      <c r="E353" s="761" t="s">
        <v>4139</v>
      </c>
      <c r="F353" s="727">
        <f>SUMIFS('Schedule 4'!$F$89:$F$649,'Schedule 4'!$I$89:$I$649,'Well Cal.'!F$3,'Schedule 4'!$J$89:$J$649,'Well Cal.'!$E353)</f>
        <v>0</v>
      </c>
      <c r="G353" s="727">
        <f>SUMIFS('Schedule 4'!$F$89:$F$649,'Schedule 4'!$I$89:$I$649,'Well Cal.'!G$3,'Schedule 4'!$J$89:$J$649,'Well Cal.'!$E353)</f>
        <v>0</v>
      </c>
      <c r="H353" s="727">
        <f>SUMIFS('Schedule 4'!$F$89:$F$649,'Schedule 4'!$I$89:$I$649,'Well Cal.'!H$3,'Schedule 4'!$J$89:$J$649,'Well Cal.'!$E353)</f>
        <v>0</v>
      </c>
      <c r="I353" s="727">
        <f>SUMIFS('Schedule 4'!$F$89:$F$649,'Schedule 4'!$I$89:$I$649,'Well Cal.'!I$3,'Schedule 4'!$J$89:$J$649,'Well Cal.'!$E353)</f>
        <v>0</v>
      </c>
      <c r="J353" s="727">
        <f>SUMIFS('Schedule 4'!$F$89:$F$649,'Schedule 4'!$I$89:$I$649,'Well Cal.'!J$3,'Schedule 4'!$J$89:$J$649,'Well Cal.'!$E353)</f>
        <v>0</v>
      </c>
      <c r="K353" s="727">
        <f>SUMIFS('Schedule 4'!$F$89:$F$649,'Schedule 4'!$I$89:$I$649,'Well Cal.'!K$3,'Schedule 4'!$J$89:$J$649,'Well Cal.'!$E353)</f>
        <v>0</v>
      </c>
      <c r="L353" s="727">
        <f>SUMIFS('Schedule 4'!$F$89:$F$649,'Schedule 4'!$I$89:$I$649,'Well Cal.'!L$3,'Schedule 4'!$J$89:$J$649,'Well Cal.'!$E353)</f>
        <v>0</v>
      </c>
      <c r="M353" s="727">
        <f>SUMIFS('Schedule 4'!$F$89:$F$649,'Schedule 4'!$I$89:$I$649,'Well Cal.'!M$3,'Schedule 4'!$J$89:$J$649,'Well Cal.'!$E353)</f>
        <v>0</v>
      </c>
      <c r="N353" s="727">
        <f>SUMIFS('Schedule 4'!$F$89:$F$649,'Schedule 4'!$I$89:$I$649,'Well Cal.'!N$3,'Schedule 4'!$J$89:$J$649,'Well Cal.'!$E353)</f>
        <v>0</v>
      </c>
      <c r="O353" s="727">
        <f>SUMIFS('Schedule 4'!$F$89:$F$649,'Schedule 4'!$I$89:$I$649,'Well Cal.'!O$3,'Schedule 4'!$J$89:$J$649,'Well Cal.'!$E353)</f>
        <v>0</v>
      </c>
      <c r="P353" s="727">
        <f>SUMIFS('Schedule 4'!$F$89:$F$649,'Schedule 4'!$I$89:$I$649,'Well Cal.'!P$3,'Schedule 4'!$J$89:$J$649,'Well Cal.'!$E353)</f>
        <v>0</v>
      </c>
      <c r="Q353" s="727">
        <f>SUMIFS('Schedule 4'!$F$89:$F$649,'Schedule 4'!$I$89:$I$649,'Well Cal.'!Q$3,'Schedule 4'!$J$89:$J$649,'Well Cal.'!$E353)</f>
        <v>0</v>
      </c>
      <c r="R353" s="727">
        <f>SUMIFS('Schedule 4'!$F$89:$F$649,'Schedule 4'!$I$89:$I$649,'Well Cal.'!R$3,'Schedule 4'!$J$89:$J$649,'Well Cal.'!$E353)</f>
        <v>0</v>
      </c>
      <c r="S353" s="727">
        <f>SUMIFS('Schedule 4'!$F$89:$F$649,'Schedule 4'!$I$89:$I$649,'Well Cal.'!S$3,'Schedule 4'!$J$89:$J$649,'Well Cal.'!$E353)</f>
        <v>0</v>
      </c>
      <c r="T353" s="727">
        <f>SUMIFS('Schedule 4'!$F$89:$F$649,'Schedule 4'!$I$89:$I$649,'Well Cal.'!T$3,'Schedule 4'!$J$89:$J$649,'Well Cal.'!$E353)</f>
        <v>0</v>
      </c>
      <c r="U353" s="727">
        <f>SUMIFS('Schedule 4'!$F$89:$F$649,'Schedule 4'!$I$89:$I$649,'Well Cal.'!U$3,'Schedule 4'!$J$89:$J$649,'Well Cal.'!$E353)</f>
        <v>0</v>
      </c>
      <c r="V353" s="727">
        <f>SUMIFS('Schedule 4'!$F$89:$F$649,'Schedule 4'!$I$89:$I$649,'Well Cal.'!V$3,'Schedule 4'!$J$89:$J$649,'Well Cal.'!$E353)</f>
        <v>0</v>
      </c>
      <c r="W353" s="727">
        <f>SUMIFS('Schedule 4'!$F$89:$F$649,'Schedule 4'!$I$89:$I$649,'Well Cal.'!W$3,'Schedule 4'!$J$89:$J$649,'Well Cal.'!$E353)</f>
        <v>0</v>
      </c>
      <c r="X353" s="727">
        <f>SUMIFS('Schedule 4'!$F$89:$F$649,'Schedule 4'!$I$89:$I$649,'Well Cal.'!X$3,'Schedule 4'!$J$89:$J$649,'Well Cal.'!$E353)</f>
        <v>0</v>
      </c>
      <c r="Y353" s="727">
        <f>SUMIFS('Schedule 4'!$F$89:$F$649,'Schedule 4'!$I$89:$I$649,'Well Cal.'!Y$3,'Schedule 4'!$J$89:$J$649,'Well Cal.'!$E353)</f>
        <v>0</v>
      </c>
      <c r="Z353" s="727">
        <f>SUMIFS('Schedule 4'!$F$89:$F$649,'Schedule 4'!$I$89:$I$649,'Well Cal.'!Z$3,'Schedule 4'!$J$89:$J$649,'Well Cal.'!$E353)</f>
        <v>0</v>
      </c>
      <c r="AA353" s="727"/>
      <c r="AB353" s="1731"/>
      <c r="AC353" s="1731"/>
    </row>
    <row r="354" spans="2:29" x14ac:dyDescent="0.3">
      <c r="B354" s="1735"/>
      <c r="C354" s="1738"/>
      <c r="D354" s="1731"/>
      <c r="E354" s="761" t="s">
        <v>4209</v>
      </c>
      <c r="F354" s="727">
        <f>SUMIFS('Schedule 4'!$F$89:$F$649,'Schedule 4'!$I$89:$I$649,'Well Cal.'!F$3,'Schedule 4'!$J$89:$J$649,'Well Cal.'!$E354)</f>
        <v>0</v>
      </c>
      <c r="G354" s="727">
        <f>SUMIFS('Schedule 4'!$F$89:$F$649,'Schedule 4'!$I$89:$I$649,'Well Cal.'!G$3,'Schedule 4'!$J$89:$J$649,'Well Cal.'!$E354)</f>
        <v>0</v>
      </c>
      <c r="H354" s="727">
        <f>SUMIFS('Schedule 4'!$F$89:$F$649,'Schedule 4'!$I$89:$I$649,'Well Cal.'!H$3,'Schedule 4'!$J$89:$J$649,'Well Cal.'!$E354)</f>
        <v>0</v>
      </c>
      <c r="I354" s="727">
        <f>SUMIFS('Schedule 4'!$F$89:$F$649,'Schedule 4'!$I$89:$I$649,'Well Cal.'!I$3,'Schedule 4'!$J$89:$J$649,'Well Cal.'!$E354)</f>
        <v>0</v>
      </c>
      <c r="J354" s="727">
        <f>SUMIFS('Schedule 4'!$F$89:$F$649,'Schedule 4'!$I$89:$I$649,'Well Cal.'!J$3,'Schedule 4'!$J$89:$J$649,'Well Cal.'!$E354)</f>
        <v>0</v>
      </c>
      <c r="K354" s="727">
        <f>SUMIFS('Schedule 4'!$F$89:$F$649,'Schedule 4'!$I$89:$I$649,'Well Cal.'!K$3,'Schedule 4'!$J$89:$J$649,'Well Cal.'!$E354)</f>
        <v>0</v>
      </c>
      <c r="L354" s="727">
        <f>SUMIFS('Schedule 4'!$F$89:$F$649,'Schedule 4'!$I$89:$I$649,'Well Cal.'!L$3,'Schedule 4'!$J$89:$J$649,'Well Cal.'!$E354)</f>
        <v>0</v>
      </c>
      <c r="M354" s="727">
        <f>SUMIFS('Schedule 4'!$F$89:$F$649,'Schedule 4'!$I$89:$I$649,'Well Cal.'!M$3,'Schedule 4'!$J$89:$J$649,'Well Cal.'!$E354)</f>
        <v>0</v>
      </c>
      <c r="N354" s="727">
        <f>SUMIFS('Schedule 4'!$F$89:$F$649,'Schedule 4'!$I$89:$I$649,'Well Cal.'!N$3,'Schedule 4'!$J$89:$J$649,'Well Cal.'!$E354)</f>
        <v>0</v>
      </c>
      <c r="O354" s="727">
        <f>SUMIFS('Schedule 4'!$F$89:$F$649,'Schedule 4'!$I$89:$I$649,'Well Cal.'!O$3,'Schedule 4'!$J$89:$J$649,'Well Cal.'!$E354)</f>
        <v>0</v>
      </c>
      <c r="P354" s="727">
        <f>SUMIFS('Schedule 4'!$F$89:$F$649,'Schedule 4'!$I$89:$I$649,'Well Cal.'!P$3,'Schedule 4'!$J$89:$J$649,'Well Cal.'!$E354)</f>
        <v>0</v>
      </c>
      <c r="Q354" s="727">
        <f>SUMIFS('Schedule 4'!$F$89:$F$649,'Schedule 4'!$I$89:$I$649,'Well Cal.'!Q$3,'Schedule 4'!$J$89:$J$649,'Well Cal.'!$E354)</f>
        <v>0</v>
      </c>
      <c r="R354" s="727">
        <f>SUMIFS('Schedule 4'!$F$89:$F$649,'Schedule 4'!$I$89:$I$649,'Well Cal.'!R$3,'Schedule 4'!$J$89:$J$649,'Well Cal.'!$E354)</f>
        <v>0</v>
      </c>
      <c r="S354" s="727">
        <f>SUMIFS('Schedule 4'!$F$89:$F$649,'Schedule 4'!$I$89:$I$649,'Well Cal.'!S$3,'Schedule 4'!$J$89:$J$649,'Well Cal.'!$E354)</f>
        <v>0</v>
      </c>
      <c r="T354" s="727">
        <f>SUMIFS('Schedule 4'!$F$89:$F$649,'Schedule 4'!$I$89:$I$649,'Well Cal.'!T$3,'Schedule 4'!$J$89:$J$649,'Well Cal.'!$E354)</f>
        <v>0</v>
      </c>
      <c r="U354" s="727">
        <f>SUMIFS('Schedule 4'!$F$89:$F$649,'Schedule 4'!$I$89:$I$649,'Well Cal.'!U$3,'Schedule 4'!$J$89:$J$649,'Well Cal.'!$E354)</f>
        <v>0</v>
      </c>
      <c r="V354" s="727">
        <f>SUMIFS('Schedule 4'!$F$89:$F$649,'Schedule 4'!$I$89:$I$649,'Well Cal.'!V$3,'Schedule 4'!$J$89:$J$649,'Well Cal.'!$E354)</f>
        <v>0</v>
      </c>
      <c r="W354" s="727">
        <f>SUMIFS('Schedule 4'!$F$89:$F$649,'Schedule 4'!$I$89:$I$649,'Well Cal.'!W$3,'Schedule 4'!$J$89:$J$649,'Well Cal.'!$E354)</f>
        <v>0</v>
      </c>
      <c r="X354" s="727">
        <f>SUMIFS('Schedule 4'!$F$89:$F$649,'Schedule 4'!$I$89:$I$649,'Well Cal.'!X$3,'Schedule 4'!$J$89:$J$649,'Well Cal.'!$E354)</f>
        <v>0</v>
      </c>
      <c r="Y354" s="727">
        <f>SUMIFS('Schedule 4'!$F$89:$F$649,'Schedule 4'!$I$89:$I$649,'Well Cal.'!Y$3,'Schedule 4'!$J$89:$J$649,'Well Cal.'!$E354)</f>
        <v>0</v>
      </c>
      <c r="Z354" s="727">
        <f>SUMIFS('Schedule 4'!$F$89:$F$649,'Schedule 4'!$I$89:$I$649,'Well Cal.'!Z$3,'Schedule 4'!$J$89:$J$649,'Well Cal.'!$E354)</f>
        <v>0</v>
      </c>
      <c r="AA354" s="727"/>
      <c r="AB354" s="1731"/>
      <c r="AC354" s="1731"/>
    </row>
    <row r="355" spans="2:29" x14ac:dyDescent="0.3">
      <c r="B355" s="1735"/>
      <c r="C355" s="1738"/>
      <c r="D355" s="1731"/>
      <c r="E355" s="761" t="s">
        <v>4278</v>
      </c>
      <c r="F355" s="727">
        <f>SUMIFS('Schedule 4'!$F$89:$F$649,'Schedule 4'!$I$89:$I$649,'Well Cal.'!F$3,'Schedule 4'!$J$89:$J$649,'Well Cal.'!$E355)</f>
        <v>0</v>
      </c>
      <c r="G355" s="727">
        <f>SUMIFS('Schedule 4'!$F$89:$F$649,'Schedule 4'!$I$89:$I$649,'Well Cal.'!G$3,'Schedule 4'!$J$89:$J$649,'Well Cal.'!$E355)</f>
        <v>0</v>
      </c>
      <c r="H355" s="727">
        <f>SUMIFS('Schedule 4'!$F$89:$F$649,'Schedule 4'!$I$89:$I$649,'Well Cal.'!H$3,'Schedule 4'!$J$89:$J$649,'Well Cal.'!$E355)</f>
        <v>0</v>
      </c>
      <c r="I355" s="727">
        <f>SUMIFS('Schedule 4'!$F$89:$F$649,'Schedule 4'!$I$89:$I$649,'Well Cal.'!I$3,'Schedule 4'!$J$89:$J$649,'Well Cal.'!$E355)</f>
        <v>0</v>
      </c>
      <c r="J355" s="727">
        <f>SUMIFS('Schedule 4'!$F$89:$F$649,'Schedule 4'!$I$89:$I$649,'Well Cal.'!J$3,'Schedule 4'!$J$89:$J$649,'Well Cal.'!$E355)</f>
        <v>0</v>
      </c>
      <c r="K355" s="727">
        <f>SUMIFS('Schedule 4'!$F$89:$F$649,'Schedule 4'!$I$89:$I$649,'Well Cal.'!K$3,'Schedule 4'!$J$89:$J$649,'Well Cal.'!$E355)</f>
        <v>0</v>
      </c>
      <c r="L355" s="727">
        <f>SUMIFS('Schedule 4'!$F$89:$F$649,'Schedule 4'!$I$89:$I$649,'Well Cal.'!L$3,'Schedule 4'!$J$89:$J$649,'Well Cal.'!$E355)</f>
        <v>0</v>
      </c>
      <c r="M355" s="727">
        <f>SUMIFS('Schedule 4'!$F$89:$F$649,'Schedule 4'!$I$89:$I$649,'Well Cal.'!M$3,'Schedule 4'!$J$89:$J$649,'Well Cal.'!$E355)</f>
        <v>0</v>
      </c>
      <c r="N355" s="727">
        <f>SUMIFS('Schedule 4'!$F$89:$F$649,'Schedule 4'!$I$89:$I$649,'Well Cal.'!N$3,'Schedule 4'!$J$89:$J$649,'Well Cal.'!$E355)</f>
        <v>0</v>
      </c>
      <c r="O355" s="727">
        <f>SUMIFS('Schedule 4'!$F$89:$F$649,'Schedule 4'!$I$89:$I$649,'Well Cal.'!O$3,'Schedule 4'!$J$89:$J$649,'Well Cal.'!$E355)</f>
        <v>0</v>
      </c>
      <c r="P355" s="727">
        <f>SUMIFS('Schedule 4'!$F$89:$F$649,'Schedule 4'!$I$89:$I$649,'Well Cal.'!P$3,'Schedule 4'!$J$89:$J$649,'Well Cal.'!$E355)</f>
        <v>0</v>
      </c>
      <c r="Q355" s="727">
        <f>SUMIFS('Schedule 4'!$F$89:$F$649,'Schedule 4'!$I$89:$I$649,'Well Cal.'!Q$3,'Schedule 4'!$J$89:$J$649,'Well Cal.'!$E355)</f>
        <v>0</v>
      </c>
      <c r="R355" s="727">
        <f>SUMIFS('Schedule 4'!$F$89:$F$649,'Schedule 4'!$I$89:$I$649,'Well Cal.'!R$3,'Schedule 4'!$J$89:$J$649,'Well Cal.'!$E355)</f>
        <v>0</v>
      </c>
      <c r="S355" s="727">
        <f>SUMIFS('Schedule 4'!$F$89:$F$649,'Schedule 4'!$I$89:$I$649,'Well Cal.'!S$3,'Schedule 4'!$J$89:$J$649,'Well Cal.'!$E355)</f>
        <v>0</v>
      </c>
      <c r="T355" s="727">
        <f>SUMIFS('Schedule 4'!$F$89:$F$649,'Schedule 4'!$I$89:$I$649,'Well Cal.'!T$3,'Schedule 4'!$J$89:$J$649,'Well Cal.'!$E355)</f>
        <v>0</v>
      </c>
      <c r="U355" s="727">
        <f>SUMIFS('Schedule 4'!$F$89:$F$649,'Schedule 4'!$I$89:$I$649,'Well Cal.'!U$3,'Schedule 4'!$J$89:$J$649,'Well Cal.'!$E355)</f>
        <v>0</v>
      </c>
      <c r="V355" s="727">
        <f>SUMIFS('Schedule 4'!$F$89:$F$649,'Schedule 4'!$I$89:$I$649,'Well Cal.'!V$3,'Schedule 4'!$J$89:$J$649,'Well Cal.'!$E355)</f>
        <v>0</v>
      </c>
      <c r="W355" s="727">
        <f>SUMIFS('Schedule 4'!$F$89:$F$649,'Schedule 4'!$I$89:$I$649,'Well Cal.'!W$3,'Schedule 4'!$J$89:$J$649,'Well Cal.'!$E355)</f>
        <v>0</v>
      </c>
      <c r="X355" s="727">
        <f>SUMIFS('Schedule 4'!$F$89:$F$649,'Schedule 4'!$I$89:$I$649,'Well Cal.'!X$3,'Schedule 4'!$J$89:$J$649,'Well Cal.'!$E355)</f>
        <v>0</v>
      </c>
      <c r="Y355" s="727">
        <f>SUMIFS('Schedule 4'!$F$89:$F$649,'Schedule 4'!$I$89:$I$649,'Well Cal.'!Y$3,'Schedule 4'!$J$89:$J$649,'Well Cal.'!$E355)</f>
        <v>0</v>
      </c>
      <c r="Z355" s="727">
        <f>SUMIFS('Schedule 4'!$F$89:$F$649,'Schedule 4'!$I$89:$I$649,'Well Cal.'!Z$3,'Schedule 4'!$J$89:$J$649,'Well Cal.'!$E355)</f>
        <v>0</v>
      </c>
      <c r="AA355" s="727"/>
      <c r="AB355" s="1731"/>
      <c r="AC355" s="1731"/>
    </row>
    <row r="356" spans="2:29" x14ac:dyDescent="0.3">
      <c r="B356" s="1735"/>
      <c r="C356" s="1738"/>
      <c r="D356" s="1731"/>
      <c r="E356" s="761" t="s">
        <v>4349</v>
      </c>
      <c r="F356" s="727">
        <f>SUMIFS('Schedule 4'!$F$89:$F$649,'Schedule 4'!$I$89:$I$649,'Well Cal.'!F$3,'Schedule 4'!$J$89:$J$649,'Well Cal.'!$E356)</f>
        <v>0</v>
      </c>
      <c r="G356" s="727">
        <f>SUMIFS('Schedule 4'!$F$89:$F$649,'Schedule 4'!$I$89:$I$649,'Well Cal.'!G$3,'Schedule 4'!$J$89:$J$649,'Well Cal.'!$E356)</f>
        <v>0</v>
      </c>
      <c r="H356" s="727">
        <f>SUMIFS('Schedule 4'!$F$89:$F$649,'Schedule 4'!$I$89:$I$649,'Well Cal.'!H$3,'Schedule 4'!$J$89:$J$649,'Well Cal.'!$E356)</f>
        <v>0</v>
      </c>
      <c r="I356" s="727">
        <f>SUMIFS('Schedule 4'!$F$89:$F$649,'Schedule 4'!$I$89:$I$649,'Well Cal.'!I$3,'Schedule 4'!$J$89:$J$649,'Well Cal.'!$E356)</f>
        <v>0</v>
      </c>
      <c r="J356" s="727">
        <f>SUMIFS('Schedule 4'!$F$89:$F$649,'Schedule 4'!$I$89:$I$649,'Well Cal.'!J$3,'Schedule 4'!$J$89:$J$649,'Well Cal.'!$E356)</f>
        <v>0</v>
      </c>
      <c r="K356" s="727">
        <f>SUMIFS('Schedule 4'!$F$89:$F$649,'Schedule 4'!$I$89:$I$649,'Well Cal.'!K$3,'Schedule 4'!$J$89:$J$649,'Well Cal.'!$E356)</f>
        <v>0</v>
      </c>
      <c r="L356" s="727">
        <f>SUMIFS('Schedule 4'!$F$89:$F$649,'Schedule 4'!$I$89:$I$649,'Well Cal.'!L$3,'Schedule 4'!$J$89:$J$649,'Well Cal.'!$E356)</f>
        <v>0</v>
      </c>
      <c r="M356" s="727">
        <f>SUMIFS('Schedule 4'!$F$89:$F$649,'Schedule 4'!$I$89:$I$649,'Well Cal.'!M$3,'Schedule 4'!$J$89:$J$649,'Well Cal.'!$E356)</f>
        <v>0</v>
      </c>
      <c r="N356" s="727">
        <f>SUMIFS('Schedule 4'!$F$89:$F$649,'Schedule 4'!$I$89:$I$649,'Well Cal.'!N$3,'Schedule 4'!$J$89:$J$649,'Well Cal.'!$E356)</f>
        <v>0</v>
      </c>
      <c r="O356" s="727">
        <f>SUMIFS('Schedule 4'!$F$89:$F$649,'Schedule 4'!$I$89:$I$649,'Well Cal.'!O$3,'Schedule 4'!$J$89:$J$649,'Well Cal.'!$E356)</f>
        <v>0</v>
      </c>
      <c r="P356" s="727">
        <f>SUMIFS('Schedule 4'!$F$89:$F$649,'Schedule 4'!$I$89:$I$649,'Well Cal.'!P$3,'Schedule 4'!$J$89:$J$649,'Well Cal.'!$E356)</f>
        <v>0</v>
      </c>
      <c r="Q356" s="727">
        <f>SUMIFS('Schedule 4'!$F$89:$F$649,'Schedule 4'!$I$89:$I$649,'Well Cal.'!Q$3,'Schedule 4'!$J$89:$J$649,'Well Cal.'!$E356)</f>
        <v>0</v>
      </c>
      <c r="R356" s="727">
        <f>SUMIFS('Schedule 4'!$F$89:$F$649,'Schedule 4'!$I$89:$I$649,'Well Cal.'!R$3,'Schedule 4'!$J$89:$J$649,'Well Cal.'!$E356)</f>
        <v>0</v>
      </c>
      <c r="S356" s="727">
        <f>SUMIFS('Schedule 4'!$F$89:$F$649,'Schedule 4'!$I$89:$I$649,'Well Cal.'!S$3,'Schedule 4'!$J$89:$J$649,'Well Cal.'!$E356)</f>
        <v>0</v>
      </c>
      <c r="T356" s="727">
        <f>SUMIFS('Schedule 4'!$F$89:$F$649,'Schedule 4'!$I$89:$I$649,'Well Cal.'!T$3,'Schedule 4'!$J$89:$J$649,'Well Cal.'!$E356)</f>
        <v>0</v>
      </c>
      <c r="U356" s="727">
        <f>SUMIFS('Schedule 4'!$F$89:$F$649,'Schedule 4'!$I$89:$I$649,'Well Cal.'!U$3,'Schedule 4'!$J$89:$J$649,'Well Cal.'!$E356)</f>
        <v>0</v>
      </c>
      <c r="V356" s="727">
        <f>SUMIFS('Schedule 4'!$F$89:$F$649,'Schedule 4'!$I$89:$I$649,'Well Cal.'!V$3,'Schedule 4'!$J$89:$J$649,'Well Cal.'!$E356)</f>
        <v>0</v>
      </c>
      <c r="W356" s="727">
        <f>SUMIFS('Schedule 4'!$F$89:$F$649,'Schedule 4'!$I$89:$I$649,'Well Cal.'!W$3,'Schedule 4'!$J$89:$J$649,'Well Cal.'!$E356)</f>
        <v>0</v>
      </c>
      <c r="X356" s="727">
        <f>SUMIFS('Schedule 4'!$F$89:$F$649,'Schedule 4'!$I$89:$I$649,'Well Cal.'!X$3,'Schedule 4'!$J$89:$J$649,'Well Cal.'!$E356)</f>
        <v>0</v>
      </c>
      <c r="Y356" s="727">
        <f>SUMIFS('Schedule 4'!$F$89:$F$649,'Schedule 4'!$I$89:$I$649,'Well Cal.'!Y$3,'Schedule 4'!$J$89:$J$649,'Well Cal.'!$E356)</f>
        <v>0</v>
      </c>
      <c r="Z356" s="727">
        <f>SUMIFS('Schedule 4'!$F$89:$F$649,'Schedule 4'!$I$89:$I$649,'Well Cal.'!Z$3,'Schedule 4'!$J$89:$J$649,'Well Cal.'!$E356)</f>
        <v>0</v>
      </c>
      <c r="AA356" s="727"/>
      <c r="AB356" s="1731"/>
      <c r="AC356" s="1731"/>
    </row>
    <row r="357" spans="2:29" x14ac:dyDescent="0.3">
      <c r="B357" s="1735"/>
      <c r="C357" s="1738"/>
      <c r="D357" s="1731"/>
      <c r="E357" s="761" t="s">
        <v>4409</v>
      </c>
      <c r="F357" s="727">
        <f>SUMIFS('Schedule 4'!$F$89:$F$649,'Schedule 4'!$I$89:$I$649,'Well Cal.'!F$3,'Schedule 4'!$J$89:$J$649,'Well Cal.'!$E357)</f>
        <v>0</v>
      </c>
      <c r="G357" s="727">
        <f>SUMIFS('Schedule 4'!$F$89:$F$649,'Schedule 4'!$I$89:$I$649,'Well Cal.'!G$3,'Schedule 4'!$J$89:$J$649,'Well Cal.'!$E357)</f>
        <v>0</v>
      </c>
      <c r="H357" s="727">
        <f>SUMIFS('Schedule 4'!$F$89:$F$649,'Schedule 4'!$I$89:$I$649,'Well Cal.'!H$3,'Schedule 4'!$J$89:$J$649,'Well Cal.'!$E357)</f>
        <v>0</v>
      </c>
      <c r="I357" s="727">
        <f>SUMIFS('Schedule 4'!$F$89:$F$649,'Schedule 4'!$I$89:$I$649,'Well Cal.'!I$3,'Schedule 4'!$J$89:$J$649,'Well Cal.'!$E357)</f>
        <v>0</v>
      </c>
      <c r="J357" s="727">
        <f>SUMIFS('Schedule 4'!$F$89:$F$649,'Schedule 4'!$I$89:$I$649,'Well Cal.'!J$3,'Schedule 4'!$J$89:$J$649,'Well Cal.'!$E357)</f>
        <v>0</v>
      </c>
      <c r="K357" s="727">
        <f>SUMIFS('Schedule 4'!$F$89:$F$649,'Schedule 4'!$I$89:$I$649,'Well Cal.'!K$3,'Schedule 4'!$J$89:$J$649,'Well Cal.'!$E357)</f>
        <v>0</v>
      </c>
      <c r="L357" s="727">
        <f>SUMIFS('Schedule 4'!$F$89:$F$649,'Schedule 4'!$I$89:$I$649,'Well Cal.'!L$3,'Schedule 4'!$J$89:$J$649,'Well Cal.'!$E357)</f>
        <v>0</v>
      </c>
      <c r="M357" s="727">
        <f>SUMIFS('Schedule 4'!$F$89:$F$649,'Schedule 4'!$I$89:$I$649,'Well Cal.'!M$3,'Schedule 4'!$J$89:$J$649,'Well Cal.'!$E357)</f>
        <v>0</v>
      </c>
      <c r="N357" s="727">
        <f>SUMIFS('Schedule 4'!$F$89:$F$649,'Schedule 4'!$I$89:$I$649,'Well Cal.'!N$3,'Schedule 4'!$J$89:$J$649,'Well Cal.'!$E357)</f>
        <v>0</v>
      </c>
      <c r="O357" s="727">
        <f>SUMIFS('Schedule 4'!$F$89:$F$649,'Schedule 4'!$I$89:$I$649,'Well Cal.'!O$3,'Schedule 4'!$J$89:$J$649,'Well Cal.'!$E357)</f>
        <v>0</v>
      </c>
      <c r="P357" s="727">
        <f>SUMIFS('Schedule 4'!$F$89:$F$649,'Schedule 4'!$I$89:$I$649,'Well Cal.'!P$3,'Schedule 4'!$J$89:$J$649,'Well Cal.'!$E357)</f>
        <v>0</v>
      </c>
      <c r="Q357" s="727">
        <f>SUMIFS('Schedule 4'!$F$89:$F$649,'Schedule 4'!$I$89:$I$649,'Well Cal.'!Q$3,'Schedule 4'!$J$89:$J$649,'Well Cal.'!$E357)</f>
        <v>0</v>
      </c>
      <c r="R357" s="727">
        <f>SUMIFS('Schedule 4'!$F$89:$F$649,'Schedule 4'!$I$89:$I$649,'Well Cal.'!R$3,'Schedule 4'!$J$89:$J$649,'Well Cal.'!$E357)</f>
        <v>0</v>
      </c>
      <c r="S357" s="727">
        <f>SUMIFS('Schedule 4'!$F$89:$F$649,'Schedule 4'!$I$89:$I$649,'Well Cal.'!S$3,'Schedule 4'!$J$89:$J$649,'Well Cal.'!$E357)</f>
        <v>0</v>
      </c>
      <c r="T357" s="727">
        <f>SUMIFS('Schedule 4'!$F$89:$F$649,'Schedule 4'!$I$89:$I$649,'Well Cal.'!T$3,'Schedule 4'!$J$89:$J$649,'Well Cal.'!$E357)</f>
        <v>0</v>
      </c>
      <c r="U357" s="727">
        <f>SUMIFS('Schedule 4'!$F$89:$F$649,'Schedule 4'!$I$89:$I$649,'Well Cal.'!U$3,'Schedule 4'!$J$89:$J$649,'Well Cal.'!$E357)</f>
        <v>0</v>
      </c>
      <c r="V357" s="727">
        <f>SUMIFS('Schedule 4'!$F$89:$F$649,'Schedule 4'!$I$89:$I$649,'Well Cal.'!V$3,'Schedule 4'!$J$89:$J$649,'Well Cal.'!$E357)</f>
        <v>0</v>
      </c>
      <c r="W357" s="727">
        <f>SUMIFS('Schedule 4'!$F$89:$F$649,'Schedule 4'!$I$89:$I$649,'Well Cal.'!W$3,'Schedule 4'!$J$89:$J$649,'Well Cal.'!$E357)</f>
        <v>0</v>
      </c>
      <c r="X357" s="727">
        <f>SUMIFS('Schedule 4'!$F$89:$F$649,'Schedule 4'!$I$89:$I$649,'Well Cal.'!X$3,'Schedule 4'!$J$89:$J$649,'Well Cal.'!$E357)</f>
        <v>0</v>
      </c>
      <c r="Y357" s="727">
        <f>SUMIFS('Schedule 4'!$F$89:$F$649,'Schedule 4'!$I$89:$I$649,'Well Cal.'!Y$3,'Schedule 4'!$J$89:$J$649,'Well Cal.'!$E357)</f>
        <v>0</v>
      </c>
      <c r="Z357" s="727">
        <f>SUMIFS('Schedule 4'!$F$89:$F$649,'Schedule 4'!$I$89:$I$649,'Well Cal.'!Z$3,'Schedule 4'!$J$89:$J$649,'Well Cal.'!$E357)</f>
        <v>0</v>
      </c>
      <c r="AA357" s="727"/>
      <c r="AB357" s="1731"/>
      <c r="AC357" s="1731"/>
    </row>
    <row r="358" spans="2:29" x14ac:dyDescent="0.3">
      <c r="B358" s="1735"/>
      <c r="C358" s="1738"/>
      <c r="D358" s="1731"/>
      <c r="E358" s="761" t="s">
        <v>4458</v>
      </c>
      <c r="F358" s="727">
        <f>SUMIFS('Schedule 4'!$F$89:$F$649,'Schedule 4'!$I$89:$I$649,'Well Cal.'!F$3,'Schedule 4'!$J$89:$J$649,'Well Cal.'!$E358)</f>
        <v>0</v>
      </c>
      <c r="G358" s="727">
        <f>SUMIFS('Schedule 4'!$F$89:$F$649,'Schedule 4'!$I$89:$I$649,'Well Cal.'!G$3,'Schedule 4'!$J$89:$J$649,'Well Cal.'!$E358)</f>
        <v>0</v>
      </c>
      <c r="H358" s="727">
        <f>SUMIFS('Schedule 4'!$F$89:$F$649,'Schedule 4'!$I$89:$I$649,'Well Cal.'!H$3,'Schedule 4'!$J$89:$J$649,'Well Cal.'!$E358)</f>
        <v>0</v>
      </c>
      <c r="I358" s="727">
        <f>SUMIFS('Schedule 4'!$F$89:$F$649,'Schedule 4'!$I$89:$I$649,'Well Cal.'!I$3,'Schedule 4'!$J$89:$J$649,'Well Cal.'!$E358)</f>
        <v>0</v>
      </c>
      <c r="J358" s="727">
        <f>SUMIFS('Schedule 4'!$F$89:$F$649,'Schedule 4'!$I$89:$I$649,'Well Cal.'!J$3,'Schedule 4'!$J$89:$J$649,'Well Cal.'!$E358)</f>
        <v>0</v>
      </c>
      <c r="K358" s="727">
        <f>SUMIFS('Schedule 4'!$F$89:$F$649,'Schedule 4'!$I$89:$I$649,'Well Cal.'!K$3,'Schedule 4'!$J$89:$J$649,'Well Cal.'!$E358)</f>
        <v>0</v>
      </c>
      <c r="L358" s="727">
        <f>SUMIFS('Schedule 4'!$F$89:$F$649,'Schedule 4'!$I$89:$I$649,'Well Cal.'!L$3,'Schedule 4'!$J$89:$J$649,'Well Cal.'!$E358)</f>
        <v>0</v>
      </c>
      <c r="M358" s="727">
        <f>SUMIFS('Schedule 4'!$F$89:$F$649,'Schedule 4'!$I$89:$I$649,'Well Cal.'!M$3,'Schedule 4'!$J$89:$J$649,'Well Cal.'!$E358)</f>
        <v>0</v>
      </c>
      <c r="N358" s="727">
        <f>SUMIFS('Schedule 4'!$F$89:$F$649,'Schedule 4'!$I$89:$I$649,'Well Cal.'!N$3,'Schedule 4'!$J$89:$J$649,'Well Cal.'!$E358)</f>
        <v>0</v>
      </c>
      <c r="O358" s="727">
        <f>SUMIFS('Schedule 4'!$F$89:$F$649,'Schedule 4'!$I$89:$I$649,'Well Cal.'!O$3,'Schedule 4'!$J$89:$J$649,'Well Cal.'!$E358)</f>
        <v>0</v>
      </c>
      <c r="P358" s="727">
        <f>SUMIFS('Schedule 4'!$F$89:$F$649,'Schedule 4'!$I$89:$I$649,'Well Cal.'!P$3,'Schedule 4'!$J$89:$J$649,'Well Cal.'!$E358)</f>
        <v>0</v>
      </c>
      <c r="Q358" s="727">
        <f>SUMIFS('Schedule 4'!$F$89:$F$649,'Schedule 4'!$I$89:$I$649,'Well Cal.'!Q$3,'Schedule 4'!$J$89:$J$649,'Well Cal.'!$E358)</f>
        <v>0</v>
      </c>
      <c r="R358" s="727">
        <f>SUMIFS('Schedule 4'!$F$89:$F$649,'Schedule 4'!$I$89:$I$649,'Well Cal.'!R$3,'Schedule 4'!$J$89:$J$649,'Well Cal.'!$E358)</f>
        <v>0</v>
      </c>
      <c r="S358" s="727">
        <f>SUMIFS('Schedule 4'!$F$89:$F$649,'Schedule 4'!$I$89:$I$649,'Well Cal.'!S$3,'Schedule 4'!$J$89:$J$649,'Well Cal.'!$E358)</f>
        <v>0</v>
      </c>
      <c r="T358" s="727">
        <f>SUMIFS('Schedule 4'!$F$89:$F$649,'Schedule 4'!$I$89:$I$649,'Well Cal.'!T$3,'Schedule 4'!$J$89:$J$649,'Well Cal.'!$E358)</f>
        <v>0</v>
      </c>
      <c r="U358" s="727">
        <f>SUMIFS('Schedule 4'!$F$89:$F$649,'Schedule 4'!$I$89:$I$649,'Well Cal.'!U$3,'Schedule 4'!$J$89:$J$649,'Well Cal.'!$E358)</f>
        <v>0</v>
      </c>
      <c r="V358" s="727">
        <f>SUMIFS('Schedule 4'!$F$89:$F$649,'Schedule 4'!$I$89:$I$649,'Well Cal.'!V$3,'Schedule 4'!$J$89:$J$649,'Well Cal.'!$E358)</f>
        <v>0</v>
      </c>
      <c r="W358" s="727">
        <f>SUMIFS('Schedule 4'!$F$89:$F$649,'Schedule 4'!$I$89:$I$649,'Well Cal.'!W$3,'Schedule 4'!$J$89:$J$649,'Well Cal.'!$E358)</f>
        <v>0</v>
      </c>
      <c r="X358" s="727">
        <f>SUMIFS('Schedule 4'!$F$89:$F$649,'Schedule 4'!$I$89:$I$649,'Well Cal.'!X$3,'Schedule 4'!$J$89:$J$649,'Well Cal.'!$E358)</f>
        <v>0</v>
      </c>
      <c r="Y358" s="727">
        <f>SUMIFS('Schedule 4'!$F$89:$F$649,'Schedule 4'!$I$89:$I$649,'Well Cal.'!Y$3,'Schedule 4'!$J$89:$J$649,'Well Cal.'!$E358)</f>
        <v>0</v>
      </c>
      <c r="Z358" s="727">
        <f>SUMIFS('Schedule 4'!$F$89:$F$649,'Schedule 4'!$I$89:$I$649,'Well Cal.'!Z$3,'Schedule 4'!$J$89:$J$649,'Well Cal.'!$E358)</f>
        <v>0</v>
      </c>
      <c r="AA358" s="727"/>
      <c r="AB358" s="1731"/>
      <c r="AC358" s="1731"/>
    </row>
    <row r="359" spans="2:29" x14ac:dyDescent="0.3">
      <c r="B359" s="1735"/>
      <c r="C359" s="1738"/>
      <c r="D359" s="1731"/>
      <c r="E359" s="761" t="s">
        <v>4515</v>
      </c>
      <c r="F359" s="727">
        <f>SUMIFS('Schedule 4'!$F$89:$F$649,'Schedule 4'!$I$89:$I$649,'Well Cal.'!F$3,'Schedule 4'!$J$89:$J$649,'Well Cal.'!$E359)</f>
        <v>0</v>
      </c>
      <c r="G359" s="727">
        <f>SUMIFS('Schedule 4'!$F$89:$F$649,'Schedule 4'!$I$89:$I$649,'Well Cal.'!G$3,'Schedule 4'!$J$89:$J$649,'Well Cal.'!$E359)</f>
        <v>0</v>
      </c>
      <c r="H359" s="727">
        <f>SUMIFS('Schedule 4'!$F$89:$F$649,'Schedule 4'!$I$89:$I$649,'Well Cal.'!H$3,'Schedule 4'!$J$89:$J$649,'Well Cal.'!$E359)</f>
        <v>0</v>
      </c>
      <c r="I359" s="727">
        <f>SUMIFS('Schedule 4'!$F$89:$F$649,'Schedule 4'!$I$89:$I$649,'Well Cal.'!I$3,'Schedule 4'!$J$89:$J$649,'Well Cal.'!$E359)</f>
        <v>0</v>
      </c>
      <c r="J359" s="727">
        <f>SUMIFS('Schedule 4'!$F$89:$F$649,'Schedule 4'!$I$89:$I$649,'Well Cal.'!J$3,'Schedule 4'!$J$89:$J$649,'Well Cal.'!$E359)</f>
        <v>0</v>
      </c>
      <c r="K359" s="727">
        <f>SUMIFS('Schedule 4'!$F$89:$F$649,'Schedule 4'!$I$89:$I$649,'Well Cal.'!K$3,'Schedule 4'!$J$89:$J$649,'Well Cal.'!$E359)</f>
        <v>0</v>
      </c>
      <c r="L359" s="727">
        <f>SUMIFS('Schedule 4'!$F$89:$F$649,'Schedule 4'!$I$89:$I$649,'Well Cal.'!L$3,'Schedule 4'!$J$89:$J$649,'Well Cal.'!$E359)</f>
        <v>0</v>
      </c>
      <c r="M359" s="727">
        <f>SUMIFS('Schedule 4'!$F$89:$F$649,'Schedule 4'!$I$89:$I$649,'Well Cal.'!M$3,'Schedule 4'!$J$89:$J$649,'Well Cal.'!$E359)</f>
        <v>0</v>
      </c>
      <c r="N359" s="727">
        <f>SUMIFS('Schedule 4'!$F$89:$F$649,'Schedule 4'!$I$89:$I$649,'Well Cal.'!N$3,'Schedule 4'!$J$89:$J$649,'Well Cal.'!$E359)</f>
        <v>0</v>
      </c>
      <c r="O359" s="727">
        <f>SUMIFS('Schedule 4'!$F$89:$F$649,'Schedule 4'!$I$89:$I$649,'Well Cal.'!O$3,'Schedule 4'!$J$89:$J$649,'Well Cal.'!$E359)</f>
        <v>0</v>
      </c>
      <c r="P359" s="727">
        <f>SUMIFS('Schedule 4'!$F$89:$F$649,'Schedule 4'!$I$89:$I$649,'Well Cal.'!P$3,'Schedule 4'!$J$89:$J$649,'Well Cal.'!$E359)</f>
        <v>0</v>
      </c>
      <c r="Q359" s="727">
        <f>SUMIFS('Schedule 4'!$F$89:$F$649,'Schedule 4'!$I$89:$I$649,'Well Cal.'!Q$3,'Schedule 4'!$J$89:$J$649,'Well Cal.'!$E359)</f>
        <v>0</v>
      </c>
      <c r="R359" s="727">
        <f>SUMIFS('Schedule 4'!$F$89:$F$649,'Schedule 4'!$I$89:$I$649,'Well Cal.'!R$3,'Schedule 4'!$J$89:$J$649,'Well Cal.'!$E359)</f>
        <v>0</v>
      </c>
      <c r="S359" s="727">
        <f>SUMIFS('Schedule 4'!$F$89:$F$649,'Schedule 4'!$I$89:$I$649,'Well Cal.'!S$3,'Schedule 4'!$J$89:$J$649,'Well Cal.'!$E359)</f>
        <v>0</v>
      </c>
      <c r="T359" s="727">
        <f>SUMIFS('Schedule 4'!$F$89:$F$649,'Schedule 4'!$I$89:$I$649,'Well Cal.'!T$3,'Schedule 4'!$J$89:$J$649,'Well Cal.'!$E359)</f>
        <v>0</v>
      </c>
      <c r="U359" s="727">
        <f>SUMIFS('Schedule 4'!$F$89:$F$649,'Schedule 4'!$I$89:$I$649,'Well Cal.'!U$3,'Schedule 4'!$J$89:$J$649,'Well Cal.'!$E359)</f>
        <v>0</v>
      </c>
      <c r="V359" s="727">
        <f>SUMIFS('Schedule 4'!$F$89:$F$649,'Schedule 4'!$I$89:$I$649,'Well Cal.'!V$3,'Schedule 4'!$J$89:$J$649,'Well Cal.'!$E359)</f>
        <v>0</v>
      </c>
      <c r="W359" s="727">
        <f>SUMIFS('Schedule 4'!$F$89:$F$649,'Schedule 4'!$I$89:$I$649,'Well Cal.'!W$3,'Schedule 4'!$J$89:$J$649,'Well Cal.'!$E359)</f>
        <v>0</v>
      </c>
      <c r="X359" s="727">
        <f>SUMIFS('Schedule 4'!$F$89:$F$649,'Schedule 4'!$I$89:$I$649,'Well Cal.'!X$3,'Schedule 4'!$J$89:$J$649,'Well Cal.'!$E359)</f>
        <v>0</v>
      </c>
      <c r="Y359" s="727">
        <f>SUMIFS('Schedule 4'!$F$89:$F$649,'Schedule 4'!$I$89:$I$649,'Well Cal.'!Y$3,'Schedule 4'!$J$89:$J$649,'Well Cal.'!$E359)</f>
        <v>0</v>
      </c>
      <c r="Z359" s="727">
        <f>SUMIFS('Schedule 4'!$F$89:$F$649,'Schedule 4'!$I$89:$I$649,'Well Cal.'!Z$3,'Schedule 4'!$J$89:$J$649,'Well Cal.'!$E359)</f>
        <v>0</v>
      </c>
      <c r="AA359" s="727"/>
      <c r="AB359" s="1731"/>
      <c r="AC359" s="1731"/>
    </row>
    <row r="360" spans="2:29" x14ac:dyDescent="0.3">
      <c r="B360" s="1735"/>
      <c r="C360" s="1738"/>
      <c r="D360" s="1731"/>
      <c r="E360" s="761" t="s">
        <v>4552</v>
      </c>
      <c r="F360" s="727">
        <f>SUMIFS('Schedule 4'!$F$89:$F$649,'Schedule 4'!$I$89:$I$649,'Well Cal.'!F$3,'Schedule 4'!$J$89:$J$649,'Well Cal.'!$E360)</f>
        <v>0</v>
      </c>
      <c r="G360" s="727">
        <f>SUMIFS('Schedule 4'!$F$89:$F$649,'Schedule 4'!$I$89:$I$649,'Well Cal.'!G$3,'Schedule 4'!$J$89:$J$649,'Well Cal.'!$E360)</f>
        <v>0</v>
      </c>
      <c r="H360" s="727">
        <f>SUMIFS('Schedule 4'!$F$89:$F$649,'Schedule 4'!$I$89:$I$649,'Well Cal.'!H$3,'Schedule 4'!$J$89:$J$649,'Well Cal.'!$E360)</f>
        <v>0</v>
      </c>
      <c r="I360" s="727">
        <f>SUMIFS('Schedule 4'!$F$89:$F$649,'Schedule 4'!$I$89:$I$649,'Well Cal.'!I$3,'Schedule 4'!$J$89:$J$649,'Well Cal.'!$E360)</f>
        <v>0</v>
      </c>
      <c r="J360" s="727">
        <f>SUMIFS('Schedule 4'!$F$89:$F$649,'Schedule 4'!$I$89:$I$649,'Well Cal.'!J$3,'Schedule 4'!$J$89:$J$649,'Well Cal.'!$E360)</f>
        <v>0</v>
      </c>
      <c r="K360" s="727">
        <f>SUMIFS('Schedule 4'!$F$89:$F$649,'Schedule 4'!$I$89:$I$649,'Well Cal.'!K$3,'Schedule 4'!$J$89:$J$649,'Well Cal.'!$E360)</f>
        <v>0</v>
      </c>
      <c r="L360" s="727">
        <f>SUMIFS('Schedule 4'!$F$89:$F$649,'Schedule 4'!$I$89:$I$649,'Well Cal.'!L$3,'Schedule 4'!$J$89:$J$649,'Well Cal.'!$E360)</f>
        <v>0</v>
      </c>
      <c r="M360" s="727">
        <f>SUMIFS('Schedule 4'!$F$89:$F$649,'Schedule 4'!$I$89:$I$649,'Well Cal.'!M$3,'Schedule 4'!$J$89:$J$649,'Well Cal.'!$E360)</f>
        <v>0</v>
      </c>
      <c r="N360" s="727">
        <f>SUMIFS('Schedule 4'!$F$89:$F$649,'Schedule 4'!$I$89:$I$649,'Well Cal.'!N$3,'Schedule 4'!$J$89:$J$649,'Well Cal.'!$E360)</f>
        <v>0</v>
      </c>
      <c r="O360" s="727">
        <f>SUMIFS('Schedule 4'!$F$89:$F$649,'Schedule 4'!$I$89:$I$649,'Well Cal.'!O$3,'Schedule 4'!$J$89:$J$649,'Well Cal.'!$E360)</f>
        <v>0</v>
      </c>
      <c r="P360" s="727">
        <f>SUMIFS('Schedule 4'!$F$89:$F$649,'Schedule 4'!$I$89:$I$649,'Well Cal.'!P$3,'Schedule 4'!$J$89:$J$649,'Well Cal.'!$E360)</f>
        <v>0</v>
      </c>
      <c r="Q360" s="727">
        <f>SUMIFS('Schedule 4'!$F$89:$F$649,'Schedule 4'!$I$89:$I$649,'Well Cal.'!Q$3,'Schedule 4'!$J$89:$J$649,'Well Cal.'!$E360)</f>
        <v>0</v>
      </c>
      <c r="R360" s="727">
        <f>SUMIFS('Schedule 4'!$F$89:$F$649,'Schedule 4'!$I$89:$I$649,'Well Cal.'!R$3,'Schedule 4'!$J$89:$J$649,'Well Cal.'!$E360)</f>
        <v>0</v>
      </c>
      <c r="S360" s="727">
        <f>SUMIFS('Schedule 4'!$F$89:$F$649,'Schedule 4'!$I$89:$I$649,'Well Cal.'!S$3,'Schedule 4'!$J$89:$J$649,'Well Cal.'!$E360)</f>
        <v>0</v>
      </c>
      <c r="T360" s="727">
        <f>SUMIFS('Schedule 4'!$F$89:$F$649,'Schedule 4'!$I$89:$I$649,'Well Cal.'!T$3,'Schedule 4'!$J$89:$J$649,'Well Cal.'!$E360)</f>
        <v>0</v>
      </c>
      <c r="U360" s="727">
        <f>SUMIFS('Schedule 4'!$F$89:$F$649,'Schedule 4'!$I$89:$I$649,'Well Cal.'!U$3,'Schedule 4'!$J$89:$J$649,'Well Cal.'!$E360)</f>
        <v>0</v>
      </c>
      <c r="V360" s="727">
        <f>SUMIFS('Schedule 4'!$F$89:$F$649,'Schedule 4'!$I$89:$I$649,'Well Cal.'!V$3,'Schedule 4'!$J$89:$J$649,'Well Cal.'!$E360)</f>
        <v>0</v>
      </c>
      <c r="W360" s="727">
        <f>SUMIFS('Schedule 4'!$F$89:$F$649,'Schedule 4'!$I$89:$I$649,'Well Cal.'!W$3,'Schedule 4'!$J$89:$J$649,'Well Cal.'!$E360)</f>
        <v>0</v>
      </c>
      <c r="X360" s="727">
        <f>SUMIFS('Schedule 4'!$F$89:$F$649,'Schedule 4'!$I$89:$I$649,'Well Cal.'!X$3,'Schedule 4'!$J$89:$J$649,'Well Cal.'!$E360)</f>
        <v>0</v>
      </c>
      <c r="Y360" s="727">
        <f>SUMIFS('Schedule 4'!$F$89:$F$649,'Schedule 4'!$I$89:$I$649,'Well Cal.'!Y$3,'Schedule 4'!$J$89:$J$649,'Well Cal.'!$E360)</f>
        <v>0</v>
      </c>
      <c r="Z360" s="727">
        <f>SUMIFS('Schedule 4'!$F$89:$F$649,'Schedule 4'!$I$89:$I$649,'Well Cal.'!Z$3,'Schedule 4'!$J$89:$J$649,'Well Cal.'!$E360)</f>
        <v>0</v>
      </c>
      <c r="AA360" s="727"/>
      <c r="AB360" s="1731"/>
      <c r="AC360" s="1731"/>
    </row>
    <row r="361" spans="2:29" x14ac:dyDescent="0.3">
      <c r="B361" s="1740"/>
      <c r="C361" s="1739"/>
      <c r="D361" s="1732"/>
      <c r="E361" s="776"/>
      <c r="F361" s="777"/>
      <c r="G361" s="777"/>
      <c r="H361" s="777"/>
      <c r="I361" s="777"/>
      <c r="J361" s="777"/>
      <c r="K361" s="777"/>
      <c r="L361" s="777"/>
      <c r="M361" s="777"/>
      <c r="N361" s="777"/>
      <c r="O361" s="777"/>
      <c r="P361" s="777"/>
      <c r="Q361" s="777"/>
      <c r="R361" s="777"/>
      <c r="S361" s="777"/>
      <c r="T361" s="777"/>
      <c r="U361" s="777"/>
      <c r="V361" s="777"/>
      <c r="W361" s="777"/>
      <c r="X361" s="777"/>
      <c r="Y361" s="777"/>
      <c r="Z361" s="777"/>
      <c r="AA361" s="777"/>
      <c r="AB361" s="1732"/>
      <c r="AC361" s="1732"/>
    </row>
    <row r="362" spans="2:29" x14ac:dyDescent="0.3">
      <c r="B362" s="1723" t="s">
        <v>2512</v>
      </c>
      <c r="C362" s="1726">
        <v>54.05</v>
      </c>
      <c r="D362" s="1720">
        <f>SUMIFS('Schedule 4'!$F$89:$F$649,'Schedule 4'!$K$89:$K$649,'Well Cal.'!$B362)</f>
        <v>0</v>
      </c>
      <c r="E362" s="754" t="s">
        <v>3129</v>
      </c>
      <c r="F362" s="728">
        <f>SUMIFS('Schedule 4'!$F$89:$F$649,'Schedule 4'!$I$89:$I$649,'Well Cal.'!F$3,'Schedule 4'!$J$89:$J$649,'Well Cal.'!$E362)</f>
        <v>0</v>
      </c>
      <c r="G362" s="728">
        <f>SUMIFS('Schedule 4'!$F$89:$F$649,'Schedule 4'!$I$89:$I$649,'Well Cal.'!G$3,'Schedule 4'!$J$89:$J$649,'Well Cal.'!$E362)</f>
        <v>0</v>
      </c>
      <c r="H362" s="728">
        <f>SUMIFS('Schedule 4'!$F$89:$F$649,'Schedule 4'!$I$89:$I$649,'Well Cal.'!H$3,'Schedule 4'!$J$89:$J$649,'Well Cal.'!$E362)</f>
        <v>0</v>
      </c>
      <c r="I362" s="728">
        <f>SUMIFS('Schedule 4'!$F$89:$F$649,'Schedule 4'!$I$89:$I$649,'Well Cal.'!I$3,'Schedule 4'!$J$89:$J$649,'Well Cal.'!$E362)</f>
        <v>0</v>
      </c>
      <c r="J362" s="728">
        <f>SUMIFS('Schedule 4'!$F$89:$F$649,'Schedule 4'!$I$89:$I$649,'Well Cal.'!J$3,'Schedule 4'!$J$89:$J$649,'Well Cal.'!$E362)</f>
        <v>0</v>
      </c>
      <c r="K362" s="728">
        <f>SUMIFS('Schedule 4'!$F$89:$F$649,'Schedule 4'!$I$89:$I$649,'Well Cal.'!K$3,'Schedule 4'!$J$89:$J$649,'Well Cal.'!$E362)</f>
        <v>0</v>
      </c>
      <c r="L362" s="728">
        <f>SUMIFS('Schedule 4'!$F$89:$F$649,'Schedule 4'!$I$89:$I$649,'Well Cal.'!L$3,'Schedule 4'!$J$89:$J$649,'Well Cal.'!$E362)</f>
        <v>0</v>
      </c>
      <c r="M362" s="728">
        <f>SUMIFS('Schedule 4'!$F$89:$F$649,'Schedule 4'!$I$89:$I$649,'Well Cal.'!M$3,'Schedule 4'!$J$89:$J$649,'Well Cal.'!$E362)</f>
        <v>0</v>
      </c>
      <c r="N362" s="728">
        <f>SUMIFS('Schedule 4'!$F$89:$F$649,'Schedule 4'!$I$89:$I$649,'Well Cal.'!N$3,'Schedule 4'!$J$89:$J$649,'Well Cal.'!$E362)</f>
        <v>0</v>
      </c>
      <c r="O362" s="728">
        <f>SUMIFS('Schedule 4'!$F$89:$F$649,'Schedule 4'!$I$89:$I$649,'Well Cal.'!O$3,'Schedule 4'!$J$89:$J$649,'Well Cal.'!$E362)</f>
        <v>0</v>
      </c>
      <c r="P362" s="728">
        <f>SUMIFS('Schedule 4'!$F$89:$F$649,'Schedule 4'!$I$89:$I$649,'Well Cal.'!P$3,'Schedule 4'!$J$89:$J$649,'Well Cal.'!$E362)</f>
        <v>0</v>
      </c>
      <c r="Q362" s="728">
        <f>SUMIFS('Schedule 4'!$F$89:$F$649,'Schedule 4'!$I$89:$I$649,'Well Cal.'!Q$3,'Schedule 4'!$J$89:$J$649,'Well Cal.'!$E362)</f>
        <v>0</v>
      </c>
      <c r="R362" s="728">
        <f>SUMIFS('Schedule 4'!$F$89:$F$649,'Schedule 4'!$I$89:$I$649,'Well Cal.'!R$3,'Schedule 4'!$J$89:$J$649,'Well Cal.'!$E362)</f>
        <v>0</v>
      </c>
      <c r="S362" s="728">
        <f>SUMIFS('Schedule 4'!$F$89:$F$649,'Schedule 4'!$I$89:$I$649,'Well Cal.'!S$3,'Schedule 4'!$J$89:$J$649,'Well Cal.'!$E362)</f>
        <v>0</v>
      </c>
      <c r="T362" s="728">
        <f>SUMIFS('Schedule 4'!$F$89:$F$649,'Schedule 4'!$I$89:$I$649,'Well Cal.'!T$3,'Schedule 4'!$J$89:$J$649,'Well Cal.'!$E362)</f>
        <v>0</v>
      </c>
      <c r="U362" s="728">
        <f>SUMIFS('Schedule 4'!$F$89:$F$649,'Schedule 4'!$I$89:$I$649,'Well Cal.'!U$3,'Schedule 4'!$J$89:$J$649,'Well Cal.'!$E362)</f>
        <v>0</v>
      </c>
      <c r="V362" s="728">
        <f>SUMIFS('Schedule 4'!$F$89:$F$649,'Schedule 4'!$I$89:$I$649,'Well Cal.'!V$3,'Schedule 4'!$J$89:$J$649,'Well Cal.'!$E362)</f>
        <v>0</v>
      </c>
      <c r="W362" s="728">
        <f>SUMIFS('Schedule 4'!$F$89:$F$649,'Schedule 4'!$I$89:$I$649,'Well Cal.'!W$3,'Schedule 4'!$J$89:$J$649,'Well Cal.'!$E362)</f>
        <v>0</v>
      </c>
      <c r="X362" s="728">
        <f>SUMIFS('Schedule 4'!$F$89:$F$649,'Schedule 4'!$I$89:$I$649,'Well Cal.'!X$3,'Schedule 4'!$J$89:$J$649,'Well Cal.'!$E362)</f>
        <v>0</v>
      </c>
      <c r="Y362" s="728">
        <f>SUMIFS('Schedule 4'!$F$89:$F$649,'Schedule 4'!$I$89:$I$649,'Well Cal.'!Y$3,'Schedule 4'!$J$89:$J$649,'Well Cal.'!$E362)</f>
        <v>0</v>
      </c>
      <c r="Z362" s="728">
        <f>SUMIFS('Schedule 4'!$F$89:$F$649,'Schedule 4'!$I$89:$I$649,'Well Cal.'!Z$3,'Schedule 4'!$J$89:$J$649,'Well Cal.'!$E362)</f>
        <v>0</v>
      </c>
      <c r="AA362" s="728"/>
      <c r="AB362" s="1729">
        <f>SUM(F362:AA383)</f>
        <v>0</v>
      </c>
      <c r="AC362" s="1729">
        <f>D362-AB362</f>
        <v>0</v>
      </c>
    </row>
    <row r="363" spans="2:29" x14ac:dyDescent="0.3">
      <c r="B363" s="1724"/>
      <c r="C363" s="1727"/>
      <c r="D363" s="1721"/>
      <c r="E363" s="761" t="s">
        <v>3211</v>
      </c>
      <c r="F363" s="726">
        <f>SUMIFS('Schedule 4'!$F$89:$F$649,'Schedule 4'!$I$89:$I$649,'Well Cal.'!F$3,'Schedule 4'!$J$89:$J$649,'Well Cal.'!$E363)</f>
        <v>0</v>
      </c>
      <c r="G363" s="726">
        <f>SUMIFS('Schedule 4'!$F$89:$F$649,'Schedule 4'!$I$89:$I$649,'Well Cal.'!G$3,'Schedule 4'!$J$89:$J$649,'Well Cal.'!$E363)</f>
        <v>0</v>
      </c>
      <c r="H363" s="726">
        <f>SUMIFS('Schedule 4'!$F$89:$F$649,'Schedule 4'!$I$89:$I$649,'Well Cal.'!H$3,'Schedule 4'!$J$89:$J$649,'Well Cal.'!$E363)</f>
        <v>0</v>
      </c>
      <c r="I363" s="726">
        <f>SUMIFS('Schedule 4'!$F$89:$F$649,'Schedule 4'!$I$89:$I$649,'Well Cal.'!I$3,'Schedule 4'!$J$89:$J$649,'Well Cal.'!$E363)</f>
        <v>0</v>
      </c>
      <c r="J363" s="726">
        <f>SUMIFS('Schedule 4'!$F$89:$F$649,'Schedule 4'!$I$89:$I$649,'Well Cal.'!J$3,'Schedule 4'!$J$89:$J$649,'Well Cal.'!$E363)</f>
        <v>0</v>
      </c>
      <c r="K363" s="726">
        <f>SUMIFS('Schedule 4'!$F$89:$F$649,'Schedule 4'!$I$89:$I$649,'Well Cal.'!K$3,'Schedule 4'!$J$89:$J$649,'Well Cal.'!$E363)</f>
        <v>0</v>
      </c>
      <c r="L363" s="726">
        <f>SUMIFS('Schedule 4'!$F$89:$F$649,'Schedule 4'!$I$89:$I$649,'Well Cal.'!L$3,'Schedule 4'!$J$89:$J$649,'Well Cal.'!$E363)</f>
        <v>0</v>
      </c>
      <c r="M363" s="726">
        <f>SUMIFS('Schedule 4'!$F$89:$F$649,'Schedule 4'!$I$89:$I$649,'Well Cal.'!M$3,'Schedule 4'!$J$89:$J$649,'Well Cal.'!$E363)</f>
        <v>0</v>
      </c>
      <c r="N363" s="726">
        <f>SUMIFS('Schedule 4'!$F$89:$F$649,'Schedule 4'!$I$89:$I$649,'Well Cal.'!N$3,'Schedule 4'!$J$89:$J$649,'Well Cal.'!$E363)</f>
        <v>0</v>
      </c>
      <c r="O363" s="726">
        <f>SUMIFS('Schedule 4'!$F$89:$F$649,'Schedule 4'!$I$89:$I$649,'Well Cal.'!O$3,'Schedule 4'!$J$89:$J$649,'Well Cal.'!$E363)</f>
        <v>0</v>
      </c>
      <c r="P363" s="726">
        <f>SUMIFS('Schedule 4'!$F$89:$F$649,'Schedule 4'!$I$89:$I$649,'Well Cal.'!P$3,'Schedule 4'!$J$89:$J$649,'Well Cal.'!$E363)</f>
        <v>0</v>
      </c>
      <c r="Q363" s="726">
        <f>SUMIFS('Schedule 4'!$F$89:$F$649,'Schedule 4'!$I$89:$I$649,'Well Cal.'!Q$3,'Schedule 4'!$J$89:$J$649,'Well Cal.'!$E363)</f>
        <v>0</v>
      </c>
      <c r="R363" s="726">
        <f>SUMIFS('Schedule 4'!$F$89:$F$649,'Schedule 4'!$I$89:$I$649,'Well Cal.'!R$3,'Schedule 4'!$J$89:$J$649,'Well Cal.'!$E363)</f>
        <v>0</v>
      </c>
      <c r="S363" s="726">
        <f>SUMIFS('Schedule 4'!$F$89:$F$649,'Schedule 4'!$I$89:$I$649,'Well Cal.'!S$3,'Schedule 4'!$J$89:$J$649,'Well Cal.'!$E363)</f>
        <v>0</v>
      </c>
      <c r="T363" s="726">
        <f>SUMIFS('Schedule 4'!$F$89:$F$649,'Schedule 4'!$I$89:$I$649,'Well Cal.'!T$3,'Schedule 4'!$J$89:$J$649,'Well Cal.'!$E363)</f>
        <v>0</v>
      </c>
      <c r="U363" s="726">
        <f>SUMIFS('Schedule 4'!$F$89:$F$649,'Schedule 4'!$I$89:$I$649,'Well Cal.'!U$3,'Schedule 4'!$J$89:$J$649,'Well Cal.'!$E363)</f>
        <v>0</v>
      </c>
      <c r="V363" s="726">
        <f>SUMIFS('Schedule 4'!$F$89:$F$649,'Schedule 4'!$I$89:$I$649,'Well Cal.'!V$3,'Schedule 4'!$J$89:$J$649,'Well Cal.'!$E363)</f>
        <v>0</v>
      </c>
      <c r="W363" s="726">
        <f>SUMIFS('Schedule 4'!$F$89:$F$649,'Schedule 4'!$I$89:$I$649,'Well Cal.'!W$3,'Schedule 4'!$J$89:$J$649,'Well Cal.'!$E363)</f>
        <v>0</v>
      </c>
      <c r="X363" s="726">
        <f>SUMIFS('Schedule 4'!$F$89:$F$649,'Schedule 4'!$I$89:$I$649,'Well Cal.'!X$3,'Schedule 4'!$J$89:$J$649,'Well Cal.'!$E363)</f>
        <v>0</v>
      </c>
      <c r="Y363" s="726">
        <f>SUMIFS('Schedule 4'!$F$89:$F$649,'Schedule 4'!$I$89:$I$649,'Well Cal.'!Y$3,'Schedule 4'!$J$89:$J$649,'Well Cal.'!$E363)</f>
        <v>0</v>
      </c>
      <c r="Z363" s="726">
        <f>SUMIFS('Schedule 4'!$F$89:$F$649,'Schedule 4'!$I$89:$I$649,'Well Cal.'!Z$3,'Schedule 4'!$J$89:$J$649,'Well Cal.'!$E363)</f>
        <v>0</v>
      </c>
      <c r="AA363" s="726"/>
      <c r="AB363" s="1730"/>
      <c r="AC363" s="1730"/>
    </row>
    <row r="364" spans="2:29" x14ac:dyDescent="0.3">
      <c r="B364" s="1724"/>
      <c r="C364" s="1727"/>
      <c r="D364" s="1721"/>
      <c r="E364" s="775" t="s">
        <v>3290</v>
      </c>
      <c r="F364" s="726">
        <f>SUMIFS('Schedule 4'!$F$89:$F$649,'Schedule 4'!$I$89:$I$649,'Well Cal.'!F$3,'Schedule 4'!$J$89:$J$649,'Well Cal.'!$E364)</f>
        <v>0</v>
      </c>
      <c r="G364" s="726">
        <f>SUMIFS('Schedule 4'!$F$89:$F$649,'Schedule 4'!$I$89:$I$649,'Well Cal.'!G$3,'Schedule 4'!$J$89:$J$649,'Well Cal.'!$E364)</f>
        <v>0</v>
      </c>
      <c r="H364" s="726">
        <f>SUMIFS('Schedule 4'!$F$89:$F$649,'Schedule 4'!$I$89:$I$649,'Well Cal.'!H$3,'Schedule 4'!$J$89:$J$649,'Well Cal.'!$E364)</f>
        <v>0</v>
      </c>
      <c r="I364" s="726">
        <f>SUMIFS('Schedule 4'!$F$89:$F$649,'Schedule 4'!$I$89:$I$649,'Well Cal.'!I$3,'Schedule 4'!$J$89:$J$649,'Well Cal.'!$E364)</f>
        <v>0</v>
      </c>
      <c r="J364" s="726">
        <f>SUMIFS('Schedule 4'!$F$89:$F$649,'Schedule 4'!$I$89:$I$649,'Well Cal.'!J$3,'Schedule 4'!$J$89:$J$649,'Well Cal.'!$E364)</f>
        <v>0</v>
      </c>
      <c r="K364" s="726">
        <f>SUMIFS('Schedule 4'!$F$89:$F$649,'Schedule 4'!$I$89:$I$649,'Well Cal.'!K$3,'Schedule 4'!$J$89:$J$649,'Well Cal.'!$E364)</f>
        <v>0</v>
      </c>
      <c r="L364" s="726">
        <f>SUMIFS('Schedule 4'!$F$89:$F$649,'Schedule 4'!$I$89:$I$649,'Well Cal.'!L$3,'Schedule 4'!$J$89:$J$649,'Well Cal.'!$E364)</f>
        <v>0</v>
      </c>
      <c r="M364" s="726">
        <f>SUMIFS('Schedule 4'!$F$89:$F$649,'Schedule 4'!$I$89:$I$649,'Well Cal.'!M$3,'Schedule 4'!$J$89:$J$649,'Well Cal.'!$E364)</f>
        <v>0</v>
      </c>
      <c r="N364" s="726">
        <f>SUMIFS('Schedule 4'!$F$89:$F$649,'Schedule 4'!$I$89:$I$649,'Well Cal.'!N$3,'Schedule 4'!$J$89:$J$649,'Well Cal.'!$E364)</f>
        <v>0</v>
      </c>
      <c r="O364" s="726">
        <f>SUMIFS('Schedule 4'!$F$89:$F$649,'Schedule 4'!$I$89:$I$649,'Well Cal.'!O$3,'Schedule 4'!$J$89:$J$649,'Well Cal.'!$E364)</f>
        <v>0</v>
      </c>
      <c r="P364" s="726">
        <f>SUMIFS('Schedule 4'!$F$89:$F$649,'Schedule 4'!$I$89:$I$649,'Well Cal.'!P$3,'Schedule 4'!$J$89:$J$649,'Well Cal.'!$E364)</f>
        <v>0</v>
      </c>
      <c r="Q364" s="726">
        <f>SUMIFS('Schedule 4'!$F$89:$F$649,'Schedule 4'!$I$89:$I$649,'Well Cal.'!Q$3,'Schedule 4'!$J$89:$J$649,'Well Cal.'!$E364)</f>
        <v>0</v>
      </c>
      <c r="R364" s="726">
        <f>SUMIFS('Schedule 4'!$F$89:$F$649,'Schedule 4'!$I$89:$I$649,'Well Cal.'!R$3,'Schedule 4'!$J$89:$J$649,'Well Cal.'!$E364)</f>
        <v>0</v>
      </c>
      <c r="S364" s="726">
        <f>SUMIFS('Schedule 4'!$F$89:$F$649,'Schedule 4'!$I$89:$I$649,'Well Cal.'!S$3,'Schedule 4'!$J$89:$J$649,'Well Cal.'!$E364)</f>
        <v>0</v>
      </c>
      <c r="T364" s="726">
        <f>SUMIFS('Schedule 4'!$F$89:$F$649,'Schedule 4'!$I$89:$I$649,'Well Cal.'!T$3,'Schedule 4'!$J$89:$J$649,'Well Cal.'!$E364)</f>
        <v>0</v>
      </c>
      <c r="U364" s="726">
        <f>SUMIFS('Schedule 4'!$F$89:$F$649,'Schedule 4'!$I$89:$I$649,'Well Cal.'!U$3,'Schedule 4'!$J$89:$J$649,'Well Cal.'!$E364)</f>
        <v>0</v>
      </c>
      <c r="V364" s="726">
        <f>SUMIFS('Schedule 4'!$F$89:$F$649,'Schedule 4'!$I$89:$I$649,'Well Cal.'!V$3,'Schedule 4'!$J$89:$J$649,'Well Cal.'!$E364)</f>
        <v>0</v>
      </c>
      <c r="W364" s="726">
        <f>SUMIFS('Schedule 4'!$F$89:$F$649,'Schedule 4'!$I$89:$I$649,'Well Cal.'!W$3,'Schedule 4'!$J$89:$J$649,'Well Cal.'!$E364)</f>
        <v>0</v>
      </c>
      <c r="X364" s="726">
        <f>SUMIFS('Schedule 4'!$F$89:$F$649,'Schedule 4'!$I$89:$I$649,'Well Cal.'!X$3,'Schedule 4'!$J$89:$J$649,'Well Cal.'!$E364)</f>
        <v>0</v>
      </c>
      <c r="Y364" s="726">
        <f>SUMIFS('Schedule 4'!$F$89:$F$649,'Schedule 4'!$I$89:$I$649,'Well Cal.'!Y$3,'Schedule 4'!$J$89:$J$649,'Well Cal.'!$E364)</f>
        <v>0</v>
      </c>
      <c r="Z364" s="726">
        <f>SUMIFS('Schedule 4'!$F$89:$F$649,'Schedule 4'!$I$89:$I$649,'Well Cal.'!Z$3,'Schedule 4'!$J$89:$J$649,'Well Cal.'!$E364)</f>
        <v>0</v>
      </c>
      <c r="AA364" s="726"/>
      <c r="AB364" s="1730"/>
      <c r="AC364" s="1730"/>
    </row>
    <row r="365" spans="2:29" x14ac:dyDescent="0.3">
      <c r="B365" s="1724"/>
      <c r="C365" s="1727"/>
      <c r="D365" s="1721"/>
      <c r="E365" s="775" t="s">
        <v>3364</v>
      </c>
      <c r="F365" s="726">
        <f>SUMIFS('Schedule 4'!$F$89:$F$649,'Schedule 4'!$I$89:$I$649,'Well Cal.'!F$3,'Schedule 4'!$J$89:$J$649,'Well Cal.'!$E365)</f>
        <v>0</v>
      </c>
      <c r="G365" s="726">
        <f>SUMIFS('Schedule 4'!$F$89:$F$649,'Schedule 4'!$I$89:$I$649,'Well Cal.'!G$3,'Schedule 4'!$J$89:$J$649,'Well Cal.'!$E365)</f>
        <v>0</v>
      </c>
      <c r="H365" s="726">
        <f>SUMIFS('Schedule 4'!$F$89:$F$649,'Schedule 4'!$I$89:$I$649,'Well Cal.'!H$3,'Schedule 4'!$J$89:$J$649,'Well Cal.'!$E365)</f>
        <v>0</v>
      </c>
      <c r="I365" s="726">
        <f>SUMIFS('Schedule 4'!$F$89:$F$649,'Schedule 4'!$I$89:$I$649,'Well Cal.'!I$3,'Schedule 4'!$J$89:$J$649,'Well Cal.'!$E365)</f>
        <v>0</v>
      </c>
      <c r="J365" s="726">
        <f>SUMIFS('Schedule 4'!$F$89:$F$649,'Schedule 4'!$I$89:$I$649,'Well Cal.'!J$3,'Schedule 4'!$J$89:$J$649,'Well Cal.'!$E365)</f>
        <v>0</v>
      </c>
      <c r="K365" s="726">
        <f>SUMIFS('Schedule 4'!$F$89:$F$649,'Schedule 4'!$I$89:$I$649,'Well Cal.'!K$3,'Schedule 4'!$J$89:$J$649,'Well Cal.'!$E365)</f>
        <v>0</v>
      </c>
      <c r="L365" s="726">
        <f>SUMIFS('Schedule 4'!$F$89:$F$649,'Schedule 4'!$I$89:$I$649,'Well Cal.'!L$3,'Schedule 4'!$J$89:$J$649,'Well Cal.'!$E365)</f>
        <v>0</v>
      </c>
      <c r="M365" s="726">
        <f>SUMIFS('Schedule 4'!$F$89:$F$649,'Schedule 4'!$I$89:$I$649,'Well Cal.'!M$3,'Schedule 4'!$J$89:$J$649,'Well Cal.'!$E365)</f>
        <v>0</v>
      </c>
      <c r="N365" s="726">
        <f>SUMIFS('Schedule 4'!$F$89:$F$649,'Schedule 4'!$I$89:$I$649,'Well Cal.'!N$3,'Schedule 4'!$J$89:$J$649,'Well Cal.'!$E365)</f>
        <v>0</v>
      </c>
      <c r="O365" s="726">
        <f>SUMIFS('Schedule 4'!$F$89:$F$649,'Schedule 4'!$I$89:$I$649,'Well Cal.'!O$3,'Schedule 4'!$J$89:$J$649,'Well Cal.'!$E365)</f>
        <v>0</v>
      </c>
      <c r="P365" s="726">
        <f>SUMIFS('Schedule 4'!$F$89:$F$649,'Schedule 4'!$I$89:$I$649,'Well Cal.'!P$3,'Schedule 4'!$J$89:$J$649,'Well Cal.'!$E365)</f>
        <v>0</v>
      </c>
      <c r="Q365" s="726">
        <f>SUMIFS('Schedule 4'!$F$89:$F$649,'Schedule 4'!$I$89:$I$649,'Well Cal.'!Q$3,'Schedule 4'!$J$89:$J$649,'Well Cal.'!$E365)</f>
        <v>0</v>
      </c>
      <c r="R365" s="726">
        <f>SUMIFS('Schedule 4'!$F$89:$F$649,'Schedule 4'!$I$89:$I$649,'Well Cal.'!R$3,'Schedule 4'!$J$89:$J$649,'Well Cal.'!$E365)</f>
        <v>0</v>
      </c>
      <c r="S365" s="726">
        <f>SUMIFS('Schedule 4'!$F$89:$F$649,'Schedule 4'!$I$89:$I$649,'Well Cal.'!S$3,'Schedule 4'!$J$89:$J$649,'Well Cal.'!$E365)</f>
        <v>0</v>
      </c>
      <c r="T365" s="726">
        <f>SUMIFS('Schedule 4'!$F$89:$F$649,'Schedule 4'!$I$89:$I$649,'Well Cal.'!T$3,'Schedule 4'!$J$89:$J$649,'Well Cal.'!$E365)</f>
        <v>0</v>
      </c>
      <c r="U365" s="726">
        <f>SUMIFS('Schedule 4'!$F$89:$F$649,'Schedule 4'!$I$89:$I$649,'Well Cal.'!U$3,'Schedule 4'!$J$89:$J$649,'Well Cal.'!$E365)</f>
        <v>0</v>
      </c>
      <c r="V365" s="726">
        <f>SUMIFS('Schedule 4'!$F$89:$F$649,'Schedule 4'!$I$89:$I$649,'Well Cal.'!V$3,'Schedule 4'!$J$89:$J$649,'Well Cal.'!$E365)</f>
        <v>0</v>
      </c>
      <c r="W365" s="726">
        <f>SUMIFS('Schedule 4'!$F$89:$F$649,'Schedule 4'!$I$89:$I$649,'Well Cal.'!W$3,'Schedule 4'!$J$89:$J$649,'Well Cal.'!$E365)</f>
        <v>0</v>
      </c>
      <c r="X365" s="726">
        <f>SUMIFS('Schedule 4'!$F$89:$F$649,'Schedule 4'!$I$89:$I$649,'Well Cal.'!X$3,'Schedule 4'!$J$89:$J$649,'Well Cal.'!$E365)</f>
        <v>0</v>
      </c>
      <c r="Y365" s="726">
        <f>SUMIFS('Schedule 4'!$F$89:$F$649,'Schedule 4'!$I$89:$I$649,'Well Cal.'!Y$3,'Schedule 4'!$J$89:$J$649,'Well Cal.'!$E365)</f>
        <v>0</v>
      </c>
      <c r="Z365" s="726">
        <f>SUMIFS('Schedule 4'!$F$89:$F$649,'Schedule 4'!$I$89:$I$649,'Well Cal.'!Z$3,'Schedule 4'!$J$89:$J$649,'Well Cal.'!$E365)</f>
        <v>0</v>
      </c>
      <c r="AA365" s="726"/>
      <c r="AB365" s="1730"/>
      <c r="AC365" s="1730"/>
    </row>
    <row r="366" spans="2:29" x14ac:dyDescent="0.3">
      <c r="B366" s="1724"/>
      <c r="C366" s="1727"/>
      <c r="D366" s="1721"/>
      <c r="E366" s="775" t="s">
        <v>3448</v>
      </c>
      <c r="F366" s="726">
        <f>SUMIFS('Schedule 4'!$F$89:$F$649,'Schedule 4'!$I$89:$I$649,'Well Cal.'!F$3,'Schedule 4'!$J$89:$J$649,'Well Cal.'!$E366)</f>
        <v>0</v>
      </c>
      <c r="G366" s="726">
        <f>SUMIFS('Schedule 4'!$F$89:$F$649,'Schedule 4'!$I$89:$I$649,'Well Cal.'!G$3,'Schedule 4'!$J$89:$J$649,'Well Cal.'!$E366)</f>
        <v>0</v>
      </c>
      <c r="H366" s="726">
        <f>SUMIFS('Schedule 4'!$F$89:$F$649,'Schedule 4'!$I$89:$I$649,'Well Cal.'!H$3,'Schedule 4'!$J$89:$J$649,'Well Cal.'!$E366)</f>
        <v>0</v>
      </c>
      <c r="I366" s="726">
        <f>SUMIFS('Schedule 4'!$F$89:$F$649,'Schedule 4'!$I$89:$I$649,'Well Cal.'!I$3,'Schedule 4'!$J$89:$J$649,'Well Cal.'!$E366)</f>
        <v>0</v>
      </c>
      <c r="J366" s="726">
        <f>SUMIFS('Schedule 4'!$F$89:$F$649,'Schedule 4'!$I$89:$I$649,'Well Cal.'!J$3,'Schedule 4'!$J$89:$J$649,'Well Cal.'!$E366)</f>
        <v>0</v>
      </c>
      <c r="K366" s="726">
        <f>SUMIFS('Schedule 4'!$F$89:$F$649,'Schedule 4'!$I$89:$I$649,'Well Cal.'!K$3,'Schedule 4'!$J$89:$J$649,'Well Cal.'!$E366)</f>
        <v>0</v>
      </c>
      <c r="L366" s="726">
        <f>SUMIFS('Schedule 4'!$F$89:$F$649,'Schedule 4'!$I$89:$I$649,'Well Cal.'!L$3,'Schedule 4'!$J$89:$J$649,'Well Cal.'!$E366)</f>
        <v>0</v>
      </c>
      <c r="M366" s="726">
        <f>SUMIFS('Schedule 4'!$F$89:$F$649,'Schedule 4'!$I$89:$I$649,'Well Cal.'!M$3,'Schedule 4'!$J$89:$J$649,'Well Cal.'!$E366)</f>
        <v>0</v>
      </c>
      <c r="N366" s="726">
        <f>SUMIFS('Schedule 4'!$F$89:$F$649,'Schedule 4'!$I$89:$I$649,'Well Cal.'!N$3,'Schedule 4'!$J$89:$J$649,'Well Cal.'!$E366)</f>
        <v>0</v>
      </c>
      <c r="O366" s="726">
        <f>SUMIFS('Schedule 4'!$F$89:$F$649,'Schedule 4'!$I$89:$I$649,'Well Cal.'!O$3,'Schedule 4'!$J$89:$J$649,'Well Cal.'!$E366)</f>
        <v>0</v>
      </c>
      <c r="P366" s="726">
        <f>SUMIFS('Schedule 4'!$F$89:$F$649,'Schedule 4'!$I$89:$I$649,'Well Cal.'!P$3,'Schedule 4'!$J$89:$J$649,'Well Cal.'!$E366)</f>
        <v>0</v>
      </c>
      <c r="Q366" s="726">
        <f>SUMIFS('Schedule 4'!$F$89:$F$649,'Schedule 4'!$I$89:$I$649,'Well Cal.'!Q$3,'Schedule 4'!$J$89:$J$649,'Well Cal.'!$E366)</f>
        <v>0</v>
      </c>
      <c r="R366" s="726">
        <f>SUMIFS('Schedule 4'!$F$89:$F$649,'Schedule 4'!$I$89:$I$649,'Well Cal.'!R$3,'Schedule 4'!$J$89:$J$649,'Well Cal.'!$E366)</f>
        <v>0</v>
      </c>
      <c r="S366" s="726">
        <f>SUMIFS('Schedule 4'!$F$89:$F$649,'Schedule 4'!$I$89:$I$649,'Well Cal.'!S$3,'Schedule 4'!$J$89:$J$649,'Well Cal.'!$E366)</f>
        <v>0</v>
      </c>
      <c r="T366" s="726">
        <f>SUMIFS('Schedule 4'!$F$89:$F$649,'Schedule 4'!$I$89:$I$649,'Well Cal.'!T$3,'Schedule 4'!$J$89:$J$649,'Well Cal.'!$E366)</f>
        <v>0</v>
      </c>
      <c r="U366" s="726">
        <f>SUMIFS('Schedule 4'!$F$89:$F$649,'Schedule 4'!$I$89:$I$649,'Well Cal.'!U$3,'Schedule 4'!$J$89:$J$649,'Well Cal.'!$E366)</f>
        <v>0</v>
      </c>
      <c r="V366" s="726">
        <f>SUMIFS('Schedule 4'!$F$89:$F$649,'Schedule 4'!$I$89:$I$649,'Well Cal.'!V$3,'Schedule 4'!$J$89:$J$649,'Well Cal.'!$E366)</f>
        <v>0</v>
      </c>
      <c r="W366" s="726">
        <f>SUMIFS('Schedule 4'!$F$89:$F$649,'Schedule 4'!$I$89:$I$649,'Well Cal.'!W$3,'Schedule 4'!$J$89:$J$649,'Well Cal.'!$E366)</f>
        <v>0</v>
      </c>
      <c r="X366" s="726">
        <f>SUMIFS('Schedule 4'!$F$89:$F$649,'Schedule 4'!$I$89:$I$649,'Well Cal.'!X$3,'Schedule 4'!$J$89:$J$649,'Well Cal.'!$E366)</f>
        <v>0</v>
      </c>
      <c r="Y366" s="726">
        <f>SUMIFS('Schedule 4'!$F$89:$F$649,'Schedule 4'!$I$89:$I$649,'Well Cal.'!Y$3,'Schedule 4'!$J$89:$J$649,'Well Cal.'!$E366)</f>
        <v>0</v>
      </c>
      <c r="Z366" s="726">
        <f>SUMIFS('Schedule 4'!$F$89:$F$649,'Schedule 4'!$I$89:$I$649,'Well Cal.'!Z$3,'Schedule 4'!$J$89:$J$649,'Well Cal.'!$E366)</f>
        <v>0</v>
      </c>
      <c r="AA366" s="726"/>
      <c r="AB366" s="1730"/>
      <c r="AC366" s="1730"/>
    </row>
    <row r="367" spans="2:29" x14ac:dyDescent="0.3">
      <c r="B367" s="1724"/>
      <c r="C367" s="1727"/>
      <c r="D367" s="1721"/>
      <c r="E367" s="775" t="s">
        <v>3522</v>
      </c>
      <c r="F367" s="726">
        <f>SUMIFS('Schedule 4'!$F$89:$F$649,'Schedule 4'!$I$89:$I$649,'Well Cal.'!F$3,'Schedule 4'!$J$89:$J$649,'Well Cal.'!$E367)</f>
        <v>0</v>
      </c>
      <c r="G367" s="726">
        <f>SUMIFS('Schedule 4'!$F$89:$F$649,'Schedule 4'!$I$89:$I$649,'Well Cal.'!G$3,'Schedule 4'!$J$89:$J$649,'Well Cal.'!$E367)</f>
        <v>0</v>
      </c>
      <c r="H367" s="726">
        <f>SUMIFS('Schedule 4'!$F$89:$F$649,'Schedule 4'!$I$89:$I$649,'Well Cal.'!H$3,'Schedule 4'!$J$89:$J$649,'Well Cal.'!$E367)</f>
        <v>0</v>
      </c>
      <c r="I367" s="726">
        <f>SUMIFS('Schedule 4'!$F$89:$F$649,'Schedule 4'!$I$89:$I$649,'Well Cal.'!I$3,'Schedule 4'!$J$89:$J$649,'Well Cal.'!$E367)</f>
        <v>0</v>
      </c>
      <c r="J367" s="726">
        <f>SUMIFS('Schedule 4'!$F$89:$F$649,'Schedule 4'!$I$89:$I$649,'Well Cal.'!J$3,'Schedule 4'!$J$89:$J$649,'Well Cal.'!$E367)</f>
        <v>0</v>
      </c>
      <c r="K367" s="726">
        <f>SUMIFS('Schedule 4'!$F$89:$F$649,'Schedule 4'!$I$89:$I$649,'Well Cal.'!K$3,'Schedule 4'!$J$89:$J$649,'Well Cal.'!$E367)</f>
        <v>0</v>
      </c>
      <c r="L367" s="726">
        <f>SUMIFS('Schedule 4'!$F$89:$F$649,'Schedule 4'!$I$89:$I$649,'Well Cal.'!L$3,'Schedule 4'!$J$89:$J$649,'Well Cal.'!$E367)</f>
        <v>0</v>
      </c>
      <c r="M367" s="726">
        <f>SUMIFS('Schedule 4'!$F$89:$F$649,'Schedule 4'!$I$89:$I$649,'Well Cal.'!M$3,'Schedule 4'!$J$89:$J$649,'Well Cal.'!$E367)</f>
        <v>0</v>
      </c>
      <c r="N367" s="726">
        <f>SUMIFS('Schedule 4'!$F$89:$F$649,'Schedule 4'!$I$89:$I$649,'Well Cal.'!N$3,'Schedule 4'!$J$89:$J$649,'Well Cal.'!$E367)</f>
        <v>0</v>
      </c>
      <c r="O367" s="726">
        <f>SUMIFS('Schedule 4'!$F$89:$F$649,'Schedule 4'!$I$89:$I$649,'Well Cal.'!O$3,'Schedule 4'!$J$89:$J$649,'Well Cal.'!$E367)</f>
        <v>0</v>
      </c>
      <c r="P367" s="726">
        <f>SUMIFS('Schedule 4'!$F$89:$F$649,'Schedule 4'!$I$89:$I$649,'Well Cal.'!P$3,'Schedule 4'!$J$89:$J$649,'Well Cal.'!$E367)</f>
        <v>0</v>
      </c>
      <c r="Q367" s="726">
        <f>SUMIFS('Schedule 4'!$F$89:$F$649,'Schedule 4'!$I$89:$I$649,'Well Cal.'!Q$3,'Schedule 4'!$J$89:$J$649,'Well Cal.'!$E367)</f>
        <v>0</v>
      </c>
      <c r="R367" s="726">
        <f>SUMIFS('Schedule 4'!$F$89:$F$649,'Schedule 4'!$I$89:$I$649,'Well Cal.'!R$3,'Schedule 4'!$J$89:$J$649,'Well Cal.'!$E367)</f>
        <v>0</v>
      </c>
      <c r="S367" s="726">
        <f>SUMIFS('Schedule 4'!$F$89:$F$649,'Schedule 4'!$I$89:$I$649,'Well Cal.'!S$3,'Schedule 4'!$J$89:$J$649,'Well Cal.'!$E367)</f>
        <v>0</v>
      </c>
      <c r="T367" s="726">
        <f>SUMIFS('Schedule 4'!$F$89:$F$649,'Schedule 4'!$I$89:$I$649,'Well Cal.'!T$3,'Schedule 4'!$J$89:$J$649,'Well Cal.'!$E367)</f>
        <v>0</v>
      </c>
      <c r="U367" s="726">
        <f>SUMIFS('Schedule 4'!$F$89:$F$649,'Schedule 4'!$I$89:$I$649,'Well Cal.'!U$3,'Schedule 4'!$J$89:$J$649,'Well Cal.'!$E367)</f>
        <v>0</v>
      </c>
      <c r="V367" s="726">
        <f>SUMIFS('Schedule 4'!$F$89:$F$649,'Schedule 4'!$I$89:$I$649,'Well Cal.'!V$3,'Schedule 4'!$J$89:$J$649,'Well Cal.'!$E367)</f>
        <v>0</v>
      </c>
      <c r="W367" s="726">
        <f>SUMIFS('Schedule 4'!$F$89:$F$649,'Schedule 4'!$I$89:$I$649,'Well Cal.'!W$3,'Schedule 4'!$J$89:$J$649,'Well Cal.'!$E367)</f>
        <v>0</v>
      </c>
      <c r="X367" s="726">
        <f>SUMIFS('Schedule 4'!$F$89:$F$649,'Schedule 4'!$I$89:$I$649,'Well Cal.'!X$3,'Schedule 4'!$J$89:$J$649,'Well Cal.'!$E367)</f>
        <v>0</v>
      </c>
      <c r="Y367" s="726">
        <f>SUMIFS('Schedule 4'!$F$89:$F$649,'Schedule 4'!$I$89:$I$649,'Well Cal.'!Y$3,'Schedule 4'!$J$89:$J$649,'Well Cal.'!$E367)</f>
        <v>0</v>
      </c>
      <c r="Z367" s="726">
        <f>SUMIFS('Schedule 4'!$F$89:$F$649,'Schedule 4'!$I$89:$I$649,'Well Cal.'!Z$3,'Schedule 4'!$J$89:$J$649,'Well Cal.'!$E367)</f>
        <v>0</v>
      </c>
      <c r="AA367" s="726"/>
      <c r="AB367" s="1730"/>
      <c r="AC367" s="1730"/>
    </row>
    <row r="368" spans="2:29" x14ac:dyDescent="0.3">
      <c r="B368" s="1724"/>
      <c r="C368" s="1727"/>
      <c r="D368" s="1721"/>
      <c r="E368" s="775" t="s">
        <v>3604</v>
      </c>
      <c r="F368" s="726">
        <f>SUMIFS('Schedule 4'!$F$89:$F$649,'Schedule 4'!$I$89:$I$649,'Well Cal.'!F$3,'Schedule 4'!$J$89:$J$649,'Well Cal.'!$E368)</f>
        <v>0</v>
      </c>
      <c r="G368" s="726">
        <f>SUMIFS('Schedule 4'!$F$89:$F$649,'Schedule 4'!$I$89:$I$649,'Well Cal.'!G$3,'Schedule 4'!$J$89:$J$649,'Well Cal.'!$E368)</f>
        <v>0</v>
      </c>
      <c r="H368" s="726">
        <f>SUMIFS('Schedule 4'!$F$89:$F$649,'Schedule 4'!$I$89:$I$649,'Well Cal.'!H$3,'Schedule 4'!$J$89:$J$649,'Well Cal.'!$E368)</f>
        <v>0</v>
      </c>
      <c r="I368" s="726">
        <f>SUMIFS('Schedule 4'!$F$89:$F$649,'Schedule 4'!$I$89:$I$649,'Well Cal.'!I$3,'Schedule 4'!$J$89:$J$649,'Well Cal.'!$E368)</f>
        <v>0</v>
      </c>
      <c r="J368" s="726">
        <f>SUMIFS('Schedule 4'!$F$89:$F$649,'Schedule 4'!$I$89:$I$649,'Well Cal.'!J$3,'Schedule 4'!$J$89:$J$649,'Well Cal.'!$E368)</f>
        <v>0</v>
      </c>
      <c r="K368" s="726">
        <f>SUMIFS('Schedule 4'!$F$89:$F$649,'Schedule 4'!$I$89:$I$649,'Well Cal.'!K$3,'Schedule 4'!$J$89:$J$649,'Well Cal.'!$E368)</f>
        <v>0</v>
      </c>
      <c r="L368" s="726">
        <f>SUMIFS('Schedule 4'!$F$89:$F$649,'Schedule 4'!$I$89:$I$649,'Well Cal.'!L$3,'Schedule 4'!$J$89:$J$649,'Well Cal.'!$E368)</f>
        <v>0</v>
      </c>
      <c r="M368" s="726">
        <f>SUMIFS('Schedule 4'!$F$89:$F$649,'Schedule 4'!$I$89:$I$649,'Well Cal.'!M$3,'Schedule 4'!$J$89:$J$649,'Well Cal.'!$E368)</f>
        <v>0</v>
      </c>
      <c r="N368" s="726">
        <f>SUMIFS('Schedule 4'!$F$89:$F$649,'Schedule 4'!$I$89:$I$649,'Well Cal.'!N$3,'Schedule 4'!$J$89:$J$649,'Well Cal.'!$E368)</f>
        <v>0</v>
      </c>
      <c r="O368" s="726">
        <f>SUMIFS('Schedule 4'!$F$89:$F$649,'Schedule 4'!$I$89:$I$649,'Well Cal.'!O$3,'Schedule 4'!$J$89:$J$649,'Well Cal.'!$E368)</f>
        <v>0</v>
      </c>
      <c r="P368" s="726">
        <f>SUMIFS('Schedule 4'!$F$89:$F$649,'Schedule 4'!$I$89:$I$649,'Well Cal.'!P$3,'Schedule 4'!$J$89:$J$649,'Well Cal.'!$E368)</f>
        <v>0</v>
      </c>
      <c r="Q368" s="726">
        <f>SUMIFS('Schedule 4'!$F$89:$F$649,'Schedule 4'!$I$89:$I$649,'Well Cal.'!Q$3,'Schedule 4'!$J$89:$J$649,'Well Cal.'!$E368)</f>
        <v>0</v>
      </c>
      <c r="R368" s="726">
        <f>SUMIFS('Schedule 4'!$F$89:$F$649,'Schedule 4'!$I$89:$I$649,'Well Cal.'!R$3,'Schedule 4'!$J$89:$J$649,'Well Cal.'!$E368)</f>
        <v>0</v>
      </c>
      <c r="S368" s="726">
        <f>SUMIFS('Schedule 4'!$F$89:$F$649,'Schedule 4'!$I$89:$I$649,'Well Cal.'!S$3,'Schedule 4'!$J$89:$J$649,'Well Cal.'!$E368)</f>
        <v>0</v>
      </c>
      <c r="T368" s="726">
        <f>SUMIFS('Schedule 4'!$F$89:$F$649,'Schedule 4'!$I$89:$I$649,'Well Cal.'!T$3,'Schedule 4'!$J$89:$J$649,'Well Cal.'!$E368)</f>
        <v>0</v>
      </c>
      <c r="U368" s="726">
        <f>SUMIFS('Schedule 4'!$F$89:$F$649,'Schedule 4'!$I$89:$I$649,'Well Cal.'!U$3,'Schedule 4'!$J$89:$J$649,'Well Cal.'!$E368)</f>
        <v>0</v>
      </c>
      <c r="V368" s="726">
        <f>SUMIFS('Schedule 4'!$F$89:$F$649,'Schedule 4'!$I$89:$I$649,'Well Cal.'!V$3,'Schedule 4'!$J$89:$J$649,'Well Cal.'!$E368)</f>
        <v>0</v>
      </c>
      <c r="W368" s="726">
        <f>SUMIFS('Schedule 4'!$F$89:$F$649,'Schedule 4'!$I$89:$I$649,'Well Cal.'!W$3,'Schedule 4'!$J$89:$J$649,'Well Cal.'!$E368)</f>
        <v>0</v>
      </c>
      <c r="X368" s="726">
        <f>SUMIFS('Schedule 4'!$F$89:$F$649,'Schedule 4'!$I$89:$I$649,'Well Cal.'!X$3,'Schedule 4'!$J$89:$J$649,'Well Cal.'!$E368)</f>
        <v>0</v>
      </c>
      <c r="Y368" s="726">
        <f>SUMIFS('Schedule 4'!$F$89:$F$649,'Schedule 4'!$I$89:$I$649,'Well Cal.'!Y$3,'Schedule 4'!$J$89:$J$649,'Well Cal.'!$E368)</f>
        <v>0</v>
      </c>
      <c r="Z368" s="726">
        <f>SUMIFS('Schedule 4'!$F$89:$F$649,'Schedule 4'!$I$89:$I$649,'Well Cal.'!Z$3,'Schedule 4'!$J$89:$J$649,'Well Cal.'!$E368)</f>
        <v>0</v>
      </c>
      <c r="AA368" s="726"/>
      <c r="AB368" s="1730"/>
      <c r="AC368" s="1730"/>
    </row>
    <row r="369" spans="2:29" x14ac:dyDescent="0.3">
      <c r="B369" s="1724"/>
      <c r="C369" s="1727"/>
      <c r="D369" s="1721"/>
      <c r="E369" s="775" t="s">
        <v>3699</v>
      </c>
      <c r="F369" s="726">
        <f>SUMIFS('Schedule 4'!$F$89:$F$649,'Schedule 4'!$I$89:$I$649,'Well Cal.'!F$3,'Schedule 4'!$J$89:$J$649,'Well Cal.'!$E369)</f>
        <v>0</v>
      </c>
      <c r="G369" s="726">
        <f>SUMIFS('Schedule 4'!$F$89:$F$649,'Schedule 4'!$I$89:$I$649,'Well Cal.'!G$3,'Schedule 4'!$J$89:$J$649,'Well Cal.'!$E369)</f>
        <v>0</v>
      </c>
      <c r="H369" s="726">
        <f>SUMIFS('Schedule 4'!$F$89:$F$649,'Schedule 4'!$I$89:$I$649,'Well Cal.'!H$3,'Schedule 4'!$J$89:$J$649,'Well Cal.'!$E369)</f>
        <v>0</v>
      </c>
      <c r="I369" s="726">
        <f>SUMIFS('Schedule 4'!$F$89:$F$649,'Schedule 4'!$I$89:$I$649,'Well Cal.'!I$3,'Schedule 4'!$J$89:$J$649,'Well Cal.'!$E369)</f>
        <v>0</v>
      </c>
      <c r="J369" s="726">
        <f>SUMIFS('Schedule 4'!$F$89:$F$649,'Schedule 4'!$I$89:$I$649,'Well Cal.'!J$3,'Schedule 4'!$J$89:$J$649,'Well Cal.'!$E369)</f>
        <v>0</v>
      </c>
      <c r="K369" s="726">
        <f>SUMIFS('Schedule 4'!$F$89:$F$649,'Schedule 4'!$I$89:$I$649,'Well Cal.'!K$3,'Schedule 4'!$J$89:$J$649,'Well Cal.'!$E369)</f>
        <v>0</v>
      </c>
      <c r="L369" s="726">
        <f>SUMIFS('Schedule 4'!$F$89:$F$649,'Schedule 4'!$I$89:$I$649,'Well Cal.'!L$3,'Schedule 4'!$J$89:$J$649,'Well Cal.'!$E369)</f>
        <v>0</v>
      </c>
      <c r="M369" s="726">
        <f>SUMIFS('Schedule 4'!$F$89:$F$649,'Schedule 4'!$I$89:$I$649,'Well Cal.'!M$3,'Schedule 4'!$J$89:$J$649,'Well Cal.'!$E369)</f>
        <v>0</v>
      </c>
      <c r="N369" s="726">
        <f>SUMIFS('Schedule 4'!$F$89:$F$649,'Schedule 4'!$I$89:$I$649,'Well Cal.'!N$3,'Schedule 4'!$J$89:$J$649,'Well Cal.'!$E369)</f>
        <v>0</v>
      </c>
      <c r="O369" s="726">
        <f>SUMIFS('Schedule 4'!$F$89:$F$649,'Schedule 4'!$I$89:$I$649,'Well Cal.'!O$3,'Schedule 4'!$J$89:$J$649,'Well Cal.'!$E369)</f>
        <v>0</v>
      </c>
      <c r="P369" s="726">
        <f>SUMIFS('Schedule 4'!$F$89:$F$649,'Schedule 4'!$I$89:$I$649,'Well Cal.'!P$3,'Schedule 4'!$J$89:$J$649,'Well Cal.'!$E369)</f>
        <v>0</v>
      </c>
      <c r="Q369" s="726">
        <f>SUMIFS('Schedule 4'!$F$89:$F$649,'Schedule 4'!$I$89:$I$649,'Well Cal.'!Q$3,'Schedule 4'!$J$89:$J$649,'Well Cal.'!$E369)</f>
        <v>0</v>
      </c>
      <c r="R369" s="726">
        <f>SUMIFS('Schedule 4'!$F$89:$F$649,'Schedule 4'!$I$89:$I$649,'Well Cal.'!R$3,'Schedule 4'!$J$89:$J$649,'Well Cal.'!$E369)</f>
        <v>0</v>
      </c>
      <c r="S369" s="726">
        <f>SUMIFS('Schedule 4'!$F$89:$F$649,'Schedule 4'!$I$89:$I$649,'Well Cal.'!S$3,'Schedule 4'!$J$89:$J$649,'Well Cal.'!$E369)</f>
        <v>0</v>
      </c>
      <c r="T369" s="726">
        <f>SUMIFS('Schedule 4'!$F$89:$F$649,'Schedule 4'!$I$89:$I$649,'Well Cal.'!T$3,'Schedule 4'!$J$89:$J$649,'Well Cal.'!$E369)</f>
        <v>0</v>
      </c>
      <c r="U369" s="726">
        <f>SUMIFS('Schedule 4'!$F$89:$F$649,'Schedule 4'!$I$89:$I$649,'Well Cal.'!U$3,'Schedule 4'!$J$89:$J$649,'Well Cal.'!$E369)</f>
        <v>0</v>
      </c>
      <c r="V369" s="726">
        <f>SUMIFS('Schedule 4'!$F$89:$F$649,'Schedule 4'!$I$89:$I$649,'Well Cal.'!V$3,'Schedule 4'!$J$89:$J$649,'Well Cal.'!$E369)</f>
        <v>0</v>
      </c>
      <c r="W369" s="726">
        <f>SUMIFS('Schedule 4'!$F$89:$F$649,'Schedule 4'!$I$89:$I$649,'Well Cal.'!W$3,'Schedule 4'!$J$89:$J$649,'Well Cal.'!$E369)</f>
        <v>0</v>
      </c>
      <c r="X369" s="726">
        <f>SUMIFS('Schedule 4'!$F$89:$F$649,'Schedule 4'!$I$89:$I$649,'Well Cal.'!X$3,'Schedule 4'!$J$89:$J$649,'Well Cal.'!$E369)</f>
        <v>0</v>
      </c>
      <c r="Y369" s="726">
        <f>SUMIFS('Schedule 4'!$F$89:$F$649,'Schedule 4'!$I$89:$I$649,'Well Cal.'!Y$3,'Schedule 4'!$J$89:$J$649,'Well Cal.'!$E369)</f>
        <v>0</v>
      </c>
      <c r="Z369" s="726">
        <f>SUMIFS('Schedule 4'!$F$89:$F$649,'Schedule 4'!$I$89:$I$649,'Well Cal.'!Z$3,'Schedule 4'!$J$89:$J$649,'Well Cal.'!$E369)</f>
        <v>0</v>
      </c>
      <c r="AA369" s="726"/>
      <c r="AB369" s="1731"/>
      <c r="AC369" s="1731"/>
    </row>
    <row r="370" spans="2:29" x14ac:dyDescent="0.3">
      <c r="B370" s="1724"/>
      <c r="C370" s="1727"/>
      <c r="D370" s="1721"/>
      <c r="E370" s="775" t="s">
        <v>3742</v>
      </c>
      <c r="F370" s="726">
        <f>SUMIFS('Schedule 4'!$F$89:$F$649,'Schedule 4'!$I$89:$I$649,'Well Cal.'!F$3,'Schedule 4'!$J$89:$J$649,'Well Cal.'!$E370)</f>
        <v>0</v>
      </c>
      <c r="G370" s="726">
        <f>SUMIFS('Schedule 4'!$F$89:$F$649,'Schedule 4'!$I$89:$I$649,'Well Cal.'!G$3,'Schedule 4'!$J$89:$J$649,'Well Cal.'!$E370)</f>
        <v>0</v>
      </c>
      <c r="H370" s="726">
        <f>SUMIFS('Schedule 4'!$F$89:$F$649,'Schedule 4'!$I$89:$I$649,'Well Cal.'!H$3,'Schedule 4'!$J$89:$J$649,'Well Cal.'!$E370)</f>
        <v>0</v>
      </c>
      <c r="I370" s="726">
        <f>SUMIFS('Schedule 4'!$F$89:$F$649,'Schedule 4'!$I$89:$I$649,'Well Cal.'!I$3,'Schedule 4'!$J$89:$J$649,'Well Cal.'!$E370)</f>
        <v>0</v>
      </c>
      <c r="J370" s="726">
        <f>SUMIFS('Schedule 4'!$F$89:$F$649,'Schedule 4'!$I$89:$I$649,'Well Cal.'!J$3,'Schedule 4'!$J$89:$J$649,'Well Cal.'!$E370)</f>
        <v>0</v>
      </c>
      <c r="K370" s="726">
        <f>SUMIFS('Schedule 4'!$F$89:$F$649,'Schedule 4'!$I$89:$I$649,'Well Cal.'!K$3,'Schedule 4'!$J$89:$J$649,'Well Cal.'!$E370)</f>
        <v>0</v>
      </c>
      <c r="L370" s="726">
        <f>SUMIFS('Schedule 4'!$F$89:$F$649,'Schedule 4'!$I$89:$I$649,'Well Cal.'!L$3,'Schedule 4'!$J$89:$J$649,'Well Cal.'!$E370)</f>
        <v>0</v>
      </c>
      <c r="M370" s="726">
        <f>SUMIFS('Schedule 4'!$F$89:$F$649,'Schedule 4'!$I$89:$I$649,'Well Cal.'!M$3,'Schedule 4'!$J$89:$J$649,'Well Cal.'!$E370)</f>
        <v>0</v>
      </c>
      <c r="N370" s="726">
        <f>SUMIFS('Schedule 4'!$F$89:$F$649,'Schedule 4'!$I$89:$I$649,'Well Cal.'!N$3,'Schedule 4'!$J$89:$J$649,'Well Cal.'!$E370)</f>
        <v>0</v>
      </c>
      <c r="O370" s="726">
        <f>SUMIFS('Schedule 4'!$F$89:$F$649,'Schedule 4'!$I$89:$I$649,'Well Cal.'!O$3,'Schedule 4'!$J$89:$J$649,'Well Cal.'!$E370)</f>
        <v>0</v>
      </c>
      <c r="P370" s="726">
        <f>SUMIFS('Schedule 4'!$F$89:$F$649,'Schedule 4'!$I$89:$I$649,'Well Cal.'!P$3,'Schedule 4'!$J$89:$J$649,'Well Cal.'!$E370)</f>
        <v>0</v>
      </c>
      <c r="Q370" s="726">
        <f>SUMIFS('Schedule 4'!$F$89:$F$649,'Schedule 4'!$I$89:$I$649,'Well Cal.'!Q$3,'Schedule 4'!$J$89:$J$649,'Well Cal.'!$E370)</f>
        <v>0</v>
      </c>
      <c r="R370" s="726">
        <f>SUMIFS('Schedule 4'!$F$89:$F$649,'Schedule 4'!$I$89:$I$649,'Well Cal.'!R$3,'Schedule 4'!$J$89:$J$649,'Well Cal.'!$E370)</f>
        <v>0</v>
      </c>
      <c r="S370" s="726">
        <f>SUMIFS('Schedule 4'!$F$89:$F$649,'Schedule 4'!$I$89:$I$649,'Well Cal.'!S$3,'Schedule 4'!$J$89:$J$649,'Well Cal.'!$E370)</f>
        <v>0</v>
      </c>
      <c r="T370" s="726">
        <f>SUMIFS('Schedule 4'!$F$89:$F$649,'Schedule 4'!$I$89:$I$649,'Well Cal.'!T$3,'Schedule 4'!$J$89:$J$649,'Well Cal.'!$E370)</f>
        <v>0</v>
      </c>
      <c r="U370" s="726">
        <f>SUMIFS('Schedule 4'!$F$89:$F$649,'Schedule 4'!$I$89:$I$649,'Well Cal.'!U$3,'Schedule 4'!$J$89:$J$649,'Well Cal.'!$E370)</f>
        <v>0</v>
      </c>
      <c r="V370" s="726">
        <f>SUMIFS('Schedule 4'!$F$89:$F$649,'Schedule 4'!$I$89:$I$649,'Well Cal.'!V$3,'Schedule 4'!$J$89:$J$649,'Well Cal.'!$E370)</f>
        <v>0</v>
      </c>
      <c r="W370" s="726">
        <f>SUMIFS('Schedule 4'!$F$89:$F$649,'Schedule 4'!$I$89:$I$649,'Well Cal.'!W$3,'Schedule 4'!$J$89:$J$649,'Well Cal.'!$E370)</f>
        <v>0</v>
      </c>
      <c r="X370" s="726">
        <f>SUMIFS('Schedule 4'!$F$89:$F$649,'Schedule 4'!$I$89:$I$649,'Well Cal.'!X$3,'Schedule 4'!$J$89:$J$649,'Well Cal.'!$E370)</f>
        <v>0</v>
      </c>
      <c r="Y370" s="726">
        <f>SUMIFS('Schedule 4'!$F$89:$F$649,'Schedule 4'!$I$89:$I$649,'Well Cal.'!Y$3,'Schedule 4'!$J$89:$J$649,'Well Cal.'!$E370)</f>
        <v>0</v>
      </c>
      <c r="Z370" s="726">
        <f>SUMIFS('Schedule 4'!$F$89:$F$649,'Schedule 4'!$I$89:$I$649,'Well Cal.'!Z$3,'Schedule 4'!$J$89:$J$649,'Well Cal.'!$E370)</f>
        <v>0</v>
      </c>
      <c r="AA370" s="726"/>
      <c r="AB370" s="1731"/>
      <c r="AC370" s="1731"/>
    </row>
    <row r="371" spans="2:29" x14ac:dyDescent="0.3">
      <c r="B371" s="1724"/>
      <c r="C371" s="1727"/>
      <c r="D371" s="1721"/>
      <c r="E371" s="775" t="s">
        <v>3813</v>
      </c>
      <c r="F371" s="726">
        <f>SUMIFS('Schedule 4'!$F$89:$F$649,'Schedule 4'!$I$89:$I$649,'Well Cal.'!F$3,'Schedule 4'!$J$89:$J$649,'Well Cal.'!$E371)</f>
        <v>0</v>
      </c>
      <c r="G371" s="726">
        <f>SUMIFS('Schedule 4'!$F$89:$F$649,'Schedule 4'!$I$89:$I$649,'Well Cal.'!G$3,'Schedule 4'!$J$89:$J$649,'Well Cal.'!$E371)</f>
        <v>0</v>
      </c>
      <c r="H371" s="726">
        <f>SUMIFS('Schedule 4'!$F$89:$F$649,'Schedule 4'!$I$89:$I$649,'Well Cal.'!H$3,'Schedule 4'!$J$89:$J$649,'Well Cal.'!$E371)</f>
        <v>0</v>
      </c>
      <c r="I371" s="726">
        <f>SUMIFS('Schedule 4'!$F$89:$F$649,'Schedule 4'!$I$89:$I$649,'Well Cal.'!I$3,'Schedule 4'!$J$89:$J$649,'Well Cal.'!$E371)</f>
        <v>0</v>
      </c>
      <c r="J371" s="726">
        <f>SUMIFS('Schedule 4'!$F$89:$F$649,'Schedule 4'!$I$89:$I$649,'Well Cal.'!J$3,'Schedule 4'!$J$89:$J$649,'Well Cal.'!$E371)</f>
        <v>0</v>
      </c>
      <c r="K371" s="726">
        <f>SUMIFS('Schedule 4'!$F$89:$F$649,'Schedule 4'!$I$89:$I$649,'Well Cal.'!K$3,'Schedule 4'!$J$89:$J$649,'Well Cal.'!$E371)</f>
        <v>0</v>
      </c>
      <c r="L371" s="726">
        <f>SUMIFS('Schedule 4'!$F$89:$F$649,'Schedule 4'!$I$89:$I$649,'Well Cal.'!L$3,'Schedule 4'!$J$89:$J$649,'Well Cal.'!$E371)</f>
        <v>0</v>
      </c>
      <c r="M371" s="726">
        <f>SUMIFS('Schedule 4'!$F$89:$F$649,'Schedule 4'!$I$89:$I$649,'Well Cal.'!M$3,'Schedule 4'!$J$89:$J$649,'Well Cal.'!$E371)</f>
        <v>0</v>
      </c>
      <c r="N371" s="726">
        <f>SUMIFS('Schedule 4'!$F$89:$F$649,'Schedule 4'!$I$89:$I$649,'Well Cal.'!N$3,'Schedule 4'!$J$89:$J$649,'Well Cal.'!$E371)</f>
        <v>0</v>
      </c>
      <c r="O371" s="726">
        <f>SUMIFS('Schedule 4'!$F$89:$F$649,'Schedule 4'!$I$89:$I$649,'Well Cal.'!O$3,'Schedule 4'!$J$89:$J$649,'Well Cal.'!$E371)</f>
        <v>0</v>
      </c>
      <c r="P371" s="726">
        <f>SUMIFS('Schedule 4'!$F$89:$F$649,'Schedule 4'!$I$89:$I$649,'Well Cal.'!P$3,'Schedule 4'!$J$89:$J$649,'Well Cal.'!$E371)</f>
        <v>0</v>
      </c>
      <c r="Q371" s="726">
        <f>SUMIFS('Schedule 4'!$F$89:$F$649,'Schedule 4'!$I$89:$I$649,'Well Cal.'!Q$3,'Schedule 4'!$J$89:$J$649,'Well Cal.'!$E371)</f>
        <v>0</v>
      </c>
      <c r="R371" s="726">
        <f>SUMIFS('Schedule 4'!$F$89:$F$649,'Schedule 4'!$I$89:$I$649,'Well Cal.'!R$3,'Schedule 4'!$J$89:$J$649,'Well Cal.'!$E371)</f>
        <v>0</v>
      </c>
      <c r="S371" s="726">
        <f>SUMIFS('Schedule 4'!$F$89:$F$649,'Schedule 4'!$I$89:$I$649,'Well Cal.'!S$3,'Schedule 4'!$J$89:$J$649,'Well Cal.'!$E371)</f>
        <v>0</v>
      </c>
      <c r="T371" s="726">
        <f>SUMIFS('Schedule 4'!$F$89:$F$649,'Schedule 4'!$I$89:$I$649,'Well Cal.'!T$3,'Schedule 4'!$J$89:$J$649,'Well Cal.'!$E371)</f>
        <v>0</v>
      </c>
      <c r="U371" s="726">
        <f>SUMIFS('Schedule 4'!$F$89:$F$649,'Schedule 4'!$I$89:$I$649,'Well Cal.'!U$3,'Schedule 4'!$J$89:$J$649,'Well Cal.'!$E371)</f>
        <v>0</v>
      </c>
      <c r="V371" s="726">
        <f>SUMIFS('Schedule 4'!$F$89:$F$649,'Schedule 4'!$I$89:$I$649,'Well Cal.'!V$3,'Schedule 4'!$J$89:$J$649,'Well Cal.'!$E371)</f>
        <v>0</v>
      </c>
      <c r="W371" s="726">
        <f>SUMIFS('Schedule 4'!$F$89:$F$649,'Schedule 4'!$I$89:$I$649,'Well Cal.'!W$3,'Schedule 4'!$J$89:$J$649,'Well Cal.'!$E371)</f>
        <v>0</v>
      </c>
      <c r="X371" s="726">
        <f>SUMIFS('Schedule 4'!$F$89:$F$649,'Schedule 4'!$I$89:$I$649,'Well Cal.'!X$3,'Schedule 4'!$J$89:$J$649,'Well Cal.'!$E371)</f>
        <v>0</v>
      </c>
      <c r="Y371" s="726">
        <f>SUMIFS('Schedule 4'!$F$89:$F$649,'Schedule 4'!$I$89:$I$649,'Well Cal.'!Y$3,'Schedule 4'!$J$89:$J$649,'Well Cal.'!$E371)</f>
        <v>0</v>
      </c>
      <c r="Z371" s="726">
        <f>SUMIFS('Schedule 4'!$F$89:$F$649,'Schedule 4'!$I$89:$I$649,'Well Cal.'!Z$3,'Schedule 4'!$J$89:$J$649,'Well Cal.'!$E371)</f>
        <v>0</v>
      </c>
      <c r="AA371" s="726"/>
      <c r="AB371" s="1731"/>
      <c r="AC371" s="1731"/>
    </row>
    <row r="372" spans="2:29" x14ac:dyDescent="0.3">
      <c r="B372" s="1724"/>
      <c r="C372" s="1727"/>
      <c r="D372" s="1721"/>
      <c r="E372" s="775" t="s">
        <v>3878</v>
      </c>
      <c r="F372" s="726">
        <f>SUMIFS('Schedule 4'!$F$89:$F$649,'Schedule 4'!$I$89:$I$649,'Well Cal.'!F$3,'Schedule 4'!$J$89:$J$649,'Well Cal.'!$E372)</f>
        <v>0</v>
      </c>
      <c r="G372" s="726">
        <f>SUMIFS('Schedule 4'!$F$89:$F$649,'Schedule 4'!$I$89:$I$649,'Well Cal.'!G$3,'Schedule 4'!$J$89:$J$649,'Well Cal.'!$E372)</f>
        <v>0</v>
      </c>
      <c r="H372" s="726">
        <f>SUMIFS('Schedule 4'!$F$89:$F$649,'Schedule 4'!$I$89:$I$649,'Well Cal.'!H$3,'Schedule 4'!$J$89:$J$649,'Well Cal.'!$E372)</f>
        <v>0</v>
      </c>
      <c r="I372" s="726">
        <f>SUMIFS('Schedule 4'!$F$89:$F$649,'Schedule 4'!$I$89:$I$649,'Well Cal.'!I$3,'Schedule 4'!$J$89:$J$649,'Well Cal.'!$E372)</f>
        <v>0</v>
      </c>
      <c r="J372" s="726">
        <f>SUMIFS('Schedule 4'!$F$89:$F$649,'Schedule 4'!$I$89:$I$649,'Well Cal.'!J$3,'Schedule 4'!$J$89:$J$649,'Well Cal.'!$E372)</f>
        <v>0</v>
      </c>
      <c r="K372" s="726">
        <f>SUMIFS('Schedule 4'!$F$89:$F$649,'Schedule 4'!$I$89:$I$649,'Well Cal.'!K$3,'Schedule 4'!$J$89:$J$649,'Well Cal.'!$E372)</f>
        <v>0</v>
      </c>
      <c r="L372" s="726">
        <f>SUMIFS('Schedule 4'!$F$89:$F$649,'Schedule 4'!$I$89:$I$649,'Well Cal.'!L$3,'Schedule 4'!$J$89:$J$649,'Well Cal.'!$E372)</f>
        <v>0</v>
      </c>
      <c r="M372" s="726">
        <f>SUMIFS('Schedule 4'!$F$89:$F$649,'Schedule 4'!$I$89:$I$649,'Well Cal.'!M$3,'Schedule 4'!$J$89:$J$649,'Well Cal.'!$E372)</f>
        <v>0</v>
      </c>
      <c r="N372" s="726">
        <f>SUMIFS('Schedule 4'!$F$89:$F$649,'Schedule 4'!$I$89:$I$649,'Well Cal.'!N$3,'Schedule 4'!$J$89:$J$649,'Well Cal.'!$E372)</f>
        <v>0</v>
      </c>
      <c r="O372" s="726">
        <f>SUMIFS('Schedule 4'!$F$89:$F$649,'Schedule 4'!$I$89:$I$649,'Well Cal.'!O$3,'Schedule 4'!$J$89:$J$649,'Well Cal.'!$E372)</f>
        <v>0</v>
      </c>
      <c r="P372" s="726">
        <f>SUMIFS('Schedule 4'!$F$89:$F$649,'Schedule 4'!$I$89:$I$649,'Well Cal.'!P$3,'Schedule 4'!$J$89:$J$649,'Well Cal.'!$E372)</f>
        <v>0</v>
      </c>
      <c r="Q372" s="726">
        <f>SUMIFS('Schedule 4'!$F$89:$F$649,'Schedule 4'!$I$89:$I$649,'Well Cal.'!Q$3,'Schedule 4'!$J$89:$J$649,'Well Cal.'!$E372)</f>
        <v>0</v>
      </c>
      <c r="R372" s="726">
        <f>SUMIFS('Schedule 4'!$F$89:$F$649,'Schedule 4'!$I$89:$I$649,'Well Cal.'!R$3,'Schedule 4'!$J$89:$J$649,'Well Cal.'!$E372)</f>
        <v>0</v>
      </c>
      <c r="S372" s="726">
        <f>SUMIFS('Schedule 4'!$F$89:$F$649,'Schedule 4'!$I$89:$I$649,'Well Cal.'!S$3,'Schedule 4'!$J$89:$J$649,'Well Cal.'!$E372)</f>
        <v>0</v>
      </c>
      <c r="T372" s="726">
        <f>SUMIFS('Schedule 4'!$F$89:$F$649,'Schedule 4'!$I$89:$I$649,'Well Cal.'!T$3,'Schedule 4'!$J$89:$J$649,'Well Cal.'!$E372)</f>
        <v>0</v>
      </c>
      <c r="U372" s="726">
        <f>SUMIFS('Schedule 4'!$F$89:$F$649,'Schedule 4'!$I$89:$I$649,'Well Cal.'!U$3,'Schedule 4'!$J$89:$J$649,'Well Cal.'!$E372)</f>
        <v>0</v>
      </c>
      <c r="V372" s="726">
        <f>SUMIFS('Schedule 4'!$F$89:$F$649,'Schedule 4'!$I$89:$I$649,'Well Cal.'!V$3,'Schedule 4'!$J$89:$J$649,'Well Cal.'!$E372)</f>
        <v>0</v>
      </c>
      <c r="W372" s="726">
        <f>SUMIFS('Schedule 4'!$F$89:$F$649,'Schedule 4'!$I$89:$I$649,'Well Cal.'!W$3,'Schedule 4'!$J$89:$J$649,'Well Cal.'!$E372)</f>
        <v>0</v>
      </c>
      <c r="X372" s="726">
        <f>SUMIFS('Schedule 4'!$F$89:$F$649,'Schedule 4'!$I$89:$I$649,'Well Cal.'!X$3,'Schedule 4'!$J$89:$J$649,'Well Cal.'!$E372)</f>
        <v>0</v>
      </c>
      <c r="Y372" s="726">
        <f>SUMIFS('Schedule 4'!$F$89:$F$649,'Schedule 4'!$I$89:$I$649,'Well Cal.'!Y$3,'Schedule 4'!$J$89:$J$649,'Well Cal.'!$E372)</f>
        <v>0</v>
      </c>
      <c r="Z372" s="726">
        <f>SUMIFS('Schedule 4'!$F$89:$F$649,'Schedule 4'!$I$89:$I$649,'Well Cal.'!Z$3,'Schedule 4'!$J$89:$J$649,'Well Cal.'!$E372)</f>
        <v>0</v>
      </c>
      <c r="AA372" s="726"/>
      <c r="AB372" s="1731"/>
      <c r="AC372" s="1731"/>
    </row>
    <row r="373" spans="2:29" x14ac:dyDescent="0.3">
      <c r="B373" s="1724"/>
      <c r="C373" s="1727"/>
      <c r="D373" s="1721"/>
      <c r="E373" s="775" t="s">
        <v>3943</v>
      </c>
      <c r="F373" s="726">
        <f>SUMIFS('Schedule 4'!$F$89:$F$649,'Schedule 4'!$I$89:$I$649,'Well Cal.'!F$3,'Schedule 4'!$J$89:$J$649,'Well Cal.'!$E373)</f>
        <v>0</v>
      </c>
      <c r="G373" s="726">
        <f>SUMIFS('Schedule 4'!$F$89:$F$649,'Schedule 4'!$I$89:$I$649,'Well Cal.'!G$3,'Schedule 4'!$J$89:$J$649,'Well Cal.'!$E373)</f>
        <v>0</v>
      </c>
      <c r="H373" s="726">
        <f>SUMIFS('Schedule 4'!$F$89:$F$649,'Schedule 4'!$I$89:$I$649,'Well Cal.'!H$3,'Schedule 4'!$J$89:$J$649,'Well Cal.'!$E373)</f>
        <v>0</v>
      </c>
      <c r="I373" s="726">
        <f>SUMIFS('Schedule 4'!$F$89:$F$649,'Schedule 4'!$I$89:$I$649,'Well Cal.'!I$3,'Schedule 4'!$J$89:$J$649,'Well Cal.'!$E373)</f>
        <v>0</v>
      </c>
      <c r="J373" s="726">
        <f>SUMIFS('Schedule 4'!$F$89:$F$649,'Schedule 4'!$I$89:$I$649,'Well Cal.'!J$3,'Schedule 4'!$J$89:$J$649,'Well Cal.'!$E373)</f>
        <v>0</v>
      </c>
      <c r="K373" s="726">
        <f>SUMIFS('Schedule 4'!$F$89:$F$649,'Schedule 4'!$I$89:$I$649,'Well Cal.'!K$3,'Schedule 4'!$J$89:$J$649,'Well Cal.'!$E373)</f>
        <v>0</v>
      </c>
      <c r="L373" s="726">
        <f>SUMIFS('Schedule 4'!$F$89:$F$649,'Schedule 4'!$I$89:$I$649,'Well Cal.'!L$3,'Schedule 4'!$J$89:$J$649,'Well Cal.'!$E373)</f>
        <v>0</v>
      </c>
      <c r="M373" s="726">
        <f>SUMIFS('Schedule 4'!$F$89:$F$649,'Schedule 4'!$I$89:$I$649,'Well Cal.'!M$3,'Schedule 4'!$J$89:$J$649,'Well Cal.'!$E373)</f>
        <v>0</v>
      </c>
      <c r="N373" s="726">
        <f>SUMIFS('Schedule 4'!$F$89:$F$649,'Schedule 4'!$I$89:$I$649,'Well Cal.'!N$3,'Schedule 4'!$J$89:$J$649,'Well Cal.'!$E373)</f>
        <v>0</v>
      </c>
      <c r="O373" s="726">
        <f>SUMIFS('Schedule 4'!$F$89:$F$649,'Schedule 4'!$I$89:$I$649,'Well Cal.'!O$3,'Schedule 4'!$J$89:$J$649,'Well Cal.'!$E373)</f>
        <v>0</v>
      </c>
      <c r="P373" s="726">
        <f>SUMIFS('Schedule 4'!$F$89:$F$649,'Schedule 4'!$I$89:$I$649,'Well Cal.'!P$3,'Schedule 4'!$J$89:$J$649,'Well Cal.'!$E373)</f>
        <v>0</v>
      </c>
      <c r="Q373" s="726">
        <f>SUMIFS('Schedule 4'!$F$89:$F$649,'Schedule 4'!$I$89:$I$649,'Well Cal.'!Q$3,'Schedule 4'!$J$89:$J$649,'Well Cal.'!$E373)</f>
        <v>0</v>
      </c>
      <c r="R373" s="726">
        <f>SUMIFS('Schedule 4'!$F$89:$F$649,'Schedule 4'!$I$89:$I$649,'Well Cal.'!R$3,'Schedule 4'!$J$89:$J$649,'Well Cal.'!$E373)</f>
        <v>0</v>
      </c>
      <c r="S373" s="726">
        <f>SUMIFS('Schedule 4'!$F$89:$F$649,'Schedule 4'!$I$89:$I$649,'Well Cal.'!S$3,'Schedule 4'!$J$89:$J$649,'Well Cal.'!$E373)</f>
        <v>0</v>
      </c>
      <c r="T373" s="726">
        <f>SUMIFS('Schedule 4'!$F$89:$F$649,'Schedule 4'!$I$89:$I$649,'Well Cal.'!T$3,'Schedule 4'!$J$89:$J$649,'Well Cal.'!$E373)</f>
        <v>0</v>
      </c>
      <c r="U373" s="726">
        <f>SUMIFS('Schedule 4'!$F$89:$F$649,'Schedule 4'!$I$89:$I$649,'Well Cal.'!U$3,'Schedule 4'!$J$89:$J$649,'Well Cal.'!$E373)</f>
        <v>0</v>
      </c>
      <c r="V373" s="726">
        <f>SUMIFS('Schedule 4'!$F$89:$F$649,'Schedule 4'!$I$89:$I$649,'Well Cal.'!V$3,'Schedule 4'!$J$89:$J$649,'Well Cal.'!$E373)</f>
        <v>0</v>
      </c>
      <c r="W373" s="726">
        <f>SUMIFS('Schedule 4'!$F$89:$F$649,'Schedule 4'!$I$89:$I$649,'Well Cal.'!W$3,'Schedule 4'!$J$89:$J$649,'Well Cal.'!$E373)</f>
        <v>0</v>
      </c>
      <c r="X373" s="726">
        <f>SUMIFS('Schedule 4'!$F$89:$F$649,'Schedule 4'!$I$89:$I$649,'Well Cal.'!X$3,'Schedule 4'!$J$89:$J$649,'Well Cal.'!$E373)</f>
        <v>0</v>
      </c>
      <c r="Y373" s="726">
        <f>SUMIFS('Schedule 4'!$F$89:$F$649,'Schedule 4'!$I$89:$I$649,'Well Cal.'!Y$3,'Schedule 4'!$J$89:$J$649,'Well Cal.'!$E373)</f>
        <v>0</v>
      </c>
      <c r="Z373" s="726">
        <f>SUMIFS('Schedule 4'!$F$89:$F$649,'Schedule 4'!$I$89:$I$649,'Well Cal.'!Z$3,'Schedule 4'!$J$89:$J$649,'Well Cal.'!$E373)</f>
        <v>0</v>
      </c>
      <c r="AA373" s="726"/>
      <c r="AB373" s="1731"/>
      <c r="AC373" s="1731"/>
    </row>
    <row r="374" spans="2:29" x14ac:dyDescent="0.3">
      <c r="B374" s="1724"/>
      <c r="C374" s="1727"/>
      <c r="D374" s="1721"/>
      <c r="E374" s="775" t="s">
        <v>4022</v>
      </c>
      <c r="F374" s="726">
        <f>SUMIFS('Schedule 4'!$F$89:$F$649,'Schedule 4'!$I$89:$I$649,'Well Cal.'!F$3,'Schedule 4'!$J$89:$J$649,'Well Cal.'!$E374)</f>
        <v>0</v>
      </c>
      <c r="G374" s="726">
        <f>SUMIFS('Schedule 4'!$F$89:$F$649,'Schedule 4'!$I$89:$I$649,'Well Cal.'!G$3,'Schedule 4'!$J$89:$J$649,'Well Cal.'!$E374)</f>
        <v>0</v>
      </c>
      <c r="H374" s="726">
        <f>SUMIFS('Schedule 4'!$F$89:$F$649,'Schedule 4'!$I$89:$I$649,'Well Cal.'!H$3,'Schedule 4'!$J$89:$J$649,'Well Cal.'!$E374)</f>
        <v>0</v>
      </c>
      <c r="I374" s="726">
        <f>SUMIFS('Schedule 4'!$F$89:$F$649,'Schedule 4'!$I$89:$I$649,'Well Cal.'!I$3,'Schedule 4'!$J$89:$J$649,'Well Cal.'!$E374)</f>
        <v>0</v>
      </c>
      <c r="J374" s="726">
        <f>SUMIFS('Schedule 4'!$F$89:$F$649,'Schedule 4'!$I$89:$I$649,'Well Cal.'!J$3,'Schedule 4'!$J$89:$J$649,'Well Cal.'!$E374)</f>
        <v>0</v>
      </c>
      <c r="K374" s="726">
        <f>SUMIFS('Schedule 4'!$F$89:$F$649,'Schedule 4'!$I$89:$I$649,'Well Cal.'!K$3,'Schedule 4'!$J$89:$J$649,'Well Cal.'!$E374)</f>
        <v>0</v>
      </c>
      <c r="L374" s="726">
        <f>SUMIFS('Schedule 4'!$F$89:$F$649,'Schedule 4'!$I$89:$I$649,'Well Cal.'!L$3,'Schedule 4'!$J$89:$J$649,'Well Cal.'!$E374)</f>
        <v>0</v>
      </c>
      <c r="M374" s="726">
        <f>SUMIFS('Schedule 4'!$F$89:$F$649,'Schedule 4'!$I$89:$I$649,'Well Cal.'!M$3,'Schedule 4'!$J$89:$J$649,'Well Cal.'!$E374)</f>
        <v>0</v>
      </c>
      <c r="N374" s="726">
        <f>SUMIFS('Schedule 4'!$F$89:$F$649,'Schedule 4'!$I$89:$I$649,'Well Cal.'!N$3,'Schedule 4'!$J$89:$J$649,'Well Cal.'!$E374)</f>
        <v>0</v>
      </c>
      <c r="O374" s="726">
        <f>SUMIFS('Schedule 4'!$F$89:$F$649,'Schedule 4'!$I$89:$I$649,'Well Cal.'!O$3,'Schedule 4'!$J$89:$J$649,'Well Cal.'!$E374)</f>
        <v>0</v>
      </c>
      <c r="P374" s="726">
        <f>SUMIFS('Schedule 4'!$F$89:$F$649,'Schedule 4'!$I$89:$I$649,'Well Cal.'!P$3,'Schedule 4'!$J$89:$J$649,'Well Cal.'!$E374)</f>
        <v>0</v>
      </c>
      <c r="Q374" s="726">
        <f>SUMIFS('Schedule 4'!$F$89:$F$649,'Schedule 4'!$I$89:$I$649,'Well Cal.'!Q$3,'Schedule 4'!$J$89:$J$649,'Well Cal.'!$E374)</f>
        <v>0</v>
      </c>
      <c r="R374" s="726">
        <f>SUMIFS('Schedule 4'!$F$89:$F$649,'Schedule 4'!$I$89:$I$649,'Well Cal.'!R$3,'Schedule 4'!$J$89:$J$649,'Well Cal.'!$E374)</f>
        <v>0</v>
      </c>
      <c r="S374" s="726">
        <f>SUMIFS('Schedule 4'!$F$89:$F$649,'Schedule 4'!$I$89:$I$649,'Well Cal.'!S$3,'Schedule 4'!$J$89:$J$649,'Well Cal.'!$E374)</f>
        <v>0</v>
      </c>
      <c r="T374" s="726">
        <f>SUMIFS('Schedule 4'!$F$89:$F$649,'Schedule 4'!$I$89:$I$649,'Well Cal.'!T$3,'Schedule 4'!$J$89:$J$649,'Well Cal.'!$E374)</f>
        <v>0</v>
      </c>
      <c r="U374" s="726">
        <f>SUMIFS('Schedule 4'!$F$89:$F$649,'Schedule 4'!$I$89:$I$649,'Well Cal.'!U$3,'Schedule 4'!$J$89:$J$649,'Well Cal.'!$E374)</f>
        <v>0</v>
      </c>
      <c r="V374" s="726">
        <f>SUMIFS('Schedule 4'!$F$89:$F$649,'Schedule 4'!$I$89:$I$649,'Well Cal.'!V$3,'Schedule 4'!$J$89:$J$649,'Well Cal.'!$E374)</f>
        <v>0</v>
      </c>
      <c r="W374" s="726">
        <f>SUMIFS('Schedule 4'!$F$89:$F$649,'Schedule 4'!$I$89:$I$649,'Well Cal.'!W$3,'Schedule 4'!$J$89:$J$649,'Well Cal.'!$E374)</f>
        <v>0</v>
      </c>
      <c r="X374" s="726">
        <f>SUMIFS('Schedule 4'!$F$89:$F$649,'Schedule 4'!$I$89:$I$649,'Well Cal.'!X$3,'Schedule 4'!$J$89:$J$649,'Well Cal.'!$E374)</f>
        <v>0</v>
      </c>
      <c r="Y374" s="726">
        <f>SUMIFS('Schedule 4'!$F$89:$F$649,'Schedule 4'!$I$89:$I$649,'Well Cal.'!Y$3,'Schedule 4'!$J$89:$J$649,'Well Cal.'!$E374)</f>
        <v>0</v>
      </c>
      <c r="Z374" s="726">
        <f>SUMIFS('Schedule 4'!$F$89:$F$649,'Schedule 4'!$I$89:$I$649,'Well Cal.'!Z$3,'Schedule 4'!$J$89:$J$649,'Well Cal.'!$E374)</f>
        <v>0</v>
      </c>
      <c r="AA374" s="726"/>
      <c r="AB374" s="1731"/>
      <c r="AC374" s="1731"/>
    </row>
    <row r="375" spans="2:29" x14ac:dyDescent="0.3">
      <c r="B375" s="1724"/>
      <c r="C375" s="1727"/>
      <c r="D375" s="1721"/>
      <c r="E375" s="775" t="s">
        <v>4095</v>
      </c>
      <c r="F375" s="726">
        <f>SUMIFS('Schedule 4'!$F$89:$F$649,'Schedule 4'!$I$89:$I$649,'Well Cal.'!F$3,'Schedule 4'!$J$89:$J$649,'Well Cal.'!$E375)</f>
        <v>0</v>
      </c>
      <c r="G375" s="726">
        <f>SUMIFS('Schedule 4'!$F$89:$F$649,'Schedule 4'!$I$89:$I$649,'Well Cal.'!G$3,'Schedule 4'!$J$89:$J$649,'Well Cal.'!$E375)</f>
        <v>0</v>
      </c>
      <c r="H375" s="726">
        <f>SUMIFS('Schedule 4'!$F$89:$F$649,'Schedule 4'!$I$89:$I$649,'Well Cal.'!H$3,'Schedule 4'!$J$89:$J$649,'Well Cal.'!$E375)</f>
        <v>0</v>
      </c>
      <c r="I375" s="726">
        <f>SUMIFS('Schedule 4'!$F$89:$F$649,'Schedule 4'!$I$89:$I$649,'Well Cal.'!I$3,'Schedule 4'!$J$89:$J$649,'Well Cal.'!$E375)</f>
        <v>0</v>
      </c>
      <c r="J375" s="726">
        <f>SUMIFS('Schedule 4'!$F$89:$F$649,'Schedule 4'!$I$89:$I$649,'Well Cal.'!J$3,'Schedule 4'!$J$89:$J$649,'Well Cal.'!$E375)</f>
        <v>0</v>
      </c>
      <c r="K375" s="726">
        <f>SUMIFS('Schedule 4'!$F$89:$F$649,'Schedule 4'!$I$89:$I$649,'Well Cal.'!K$3,'Schedule 4'!$J$89:$J$649,'Well Cal.'!$E375)</f>
        <v>0</v>
      </c>
      <c r="L375" s="726">
        <f>SUMIFS('Schedule 4'!$F$89:$F$649,'Schedule 4'!$I$89:$I$649,'Well Cal.'!L$3,'Schedule 4'!$J$89:$J$649,'Well Cal.'!$E375)</f>
        <v>0</v>
      </c>
      <c r="M375" s="726">
        <f>SUMIFS('Schedule 4'!$F$89:$F$649,'Schedule 4'!$I$89:$I$649,'Well Cal.'!M$3,'Schedule 4'!$J$89:$J$649,'Well Cal.'!$E375)</f>
        <v>0</v>
      </c>
      <c r="N375" s="726">
        <f>SUMIFS('Schedule 4'!$F$89:$F$649,'Schedule 4'!$I$89:$I$649,'Well Cal.'!N$3,'Schedule 4'!$J$89:$J$649,'Well Cal.'!$E375)</f>
        <v>0</v>
      </c>
      <c r="O375" s="726">
        <f>SUMIFS('Schedule 4'!$F$89:$F$649,'Schedule 4'!$I$89:$I$649,'Well Cal.'!O$3,'Schedule 4'!$J$89:$J$649,'Well Cal.'!$E375)</f>
        <v>0</v>
      </c>
      <c r="P375" s="726">
        <f>SUMIFS('Schedule 4'!$F$89:$F$649,'Schedule 4'!$I$89:$I$649,'Well Cal.'!P$3,'Schedule 4'!$J$89:$J$649,'Well Cal.'!$E375)</f>
        <v>0</v>
      </c>
      <c r="Q375" s="726">
        <f>SUMIFS('Schedule 4'!$F$89:$F$649,'Schedule 4'!$I$89:$I$649,'Well Cal.'!Q$3,'Schedule 4'!$J$89:$J$649,'Well Cal.'!$E375)</f>
        <v>0</v>
      </c>
      <c r="R375" s="726">
        <f>SUMIFS('Schedule 4'!$F$89:$F$649,'Schedule 4'!$I$89:$I$649,'Well Cal.'!R$3,'Schedule 4'!$J$89:$J$649,'Well Cal.'!$E375)</f>
        <v>0</v>
      </c>
      <c r="S375" s="726">
        <f>SUMIFS('Schedule 4'!$F$89:$F$649,'Schedule 4'!$I$89:$I$649,'Well Cal.'!S$3,'Schedule 4'!$J$89:$J$649,'Well Cal.'!$E375)</f>
        <v>0</v>
      </c>
      <c r="T375" s="726">
        <f>SUMIFS('Schedule 4'!$F$89:$F$649,'Schedule 4'!$I$89:$I$649,'Well Cal.'!T$3,'Schedule 4'!$J$89:$J$649,'Well Cal.'!$E375)</f>
        <v>0</v>
      </c>
      <c r="U375" s="726">
        <f>SUMIFS('Schedule 4'!$F$89:$F$649,'Schedule 4'!$I$89:$I$649,'Well Cal.'!U$3,'Schedule 4'!$J$89:$J$649,'Well Cal.'!$E375)</f>
        <v>0</v>
      </c>
      <c r="V375" s="726">
        <f>SUMIFS('Schedule 4'!$F$89:$F$649,'Schedule 4'!$I$89:$I$649,'Well Cal.'!V$3,'Schedule 4'!$J$89:$J$649,'Well Cal.'!$E375)</f>
        <v>0</v>
      </c>
      <c r="W375" s="726">
        <f>SUMIFS('Schedule 4'!$F$89:$F$649,'Schedule 4'!$I$89:$I$649,'Well Cal.'!W$3,'Schedule 4'!$J$89:$J$649,'Well Cal.'!$E375)</f>
        <v>0</v>
      </c>
      <c r="X375" s="726">
        <f>SUMIFS('Schedule 4'!$F$89:$F$649,'Schedule 4'!$I$89:$I$649,'Well Cal.'!X$3,'Schedule 4'!$J$89:$J$649,'Well Cal.'!$E375)</f>
        <v>0</v>
      </c>
      <c r="Y375" s="726">
        <f>SUMIFS('Schedule 4'!$F$89:$F$649,'Schedule 4'!$I$89:$I$649,'Well Cal.'!Y$3,'Schedule 4'!$J$89:$J$649,'Well Cal.'!$E375)</f>
        <v>0</v>
      </c>
      <c r="Z375" s="726">
        <f>SUMIFS('Schedule 4'!$F$89:$F$649,'Schedule 4'!$I$89:$I$649,'Well Cal.'!Z$3,'Schedule 4'!$J$89:$J$649,'Well Cal.'!$E375)</f>
        <v>0</v>
      </c>
      <c r="AA375" s="726"/>
      <c r="AB375" s="1731"/>
      <c r="AC375" s="1731"/>
    </row>
    <row r="376" spans="2:29" x14ac:dyDescent="0.3">
      <c r="B376" s="1724"/>
      <c r="C376" s="1727"/>
      <c r="D376" s="1721"/>
      <c r="E376" s="775" t="s">
        <v>4197</v>
      </c>
      <c r="F376" s="726">
        <f>SUMIFS('Schedule 4'!$F$89:$F$649,'Schedule 4'!$I$89:$I$649,'Well Cal.'!F$3,'Schedule 4'!$J$89:$J$649,'Well Cal.'!$E376)</f>
        <v>0</v>
      </c>
      <c r="G376" s="726">
        <f>SUMIFS('Schedule 4'!$F$89:$F$649,'Schedule 4'!$I$89:$I$649,'Well Cal.'!G$3,'Schedule 4'!$J$89:$J$649,'Well Cal.'!$E376)</f>
        <v>0</v>
      </c>
      <c r="H376" s="726">
        <f>SUMIFS('Schedule 4'!$F$89:$F$649,'Schedule 4'!$I$89:$I$649,'Well Cal.'!H$3,'Schedule 4'!$J$89:$J$649,'Well Cal.'!$E376)</f>
        <v>0</v>
      </c>
      <c r="I376" s="726">
        <f>SUMIFS('Schedule 4'!$F$89:$F$649,'Schedule 4'!$I$89:$I$649,'Well Cal.'!I$3,'Schedule 4'!$J$89:$J$649,'Well Cal.'!$E376)</f>
        <v>0</v>
      </c>
      <c r="J376" s="726">
        <f>SUMIFS('Schedule 4'!$F$89:$F$649,'Schedule 4'!$I$89:$I$649,'Well Cal.'!J$3,'Schedule 4'!$J$89:$J$649,'Well Cal.'!$E376)</f>
        <v>0</v>
      </c>
      <c r="K376" s="726">
        <f>SUMIFS('Schedule 4'!$F$89:$F$649,'Schedule 4'!$I$89:$I$649,'Well Cal.'!K$3,'Schedule 4'!$J$89:$J$649,'Well Cal.'!$E376)</f>
        <v>0</v>
      </c>
      <c r="L376" s="726">
        <f>SUMIFS('Schedule 4'!$F$89:$F$649,'Schedule 4'!$I$89:$I$649,'Well Cal.'!L$3,'Schedule 4'!$J$89:$J$649,'Well Cal.'!$E376)</f>
        <v>0</v>
      </c>
      <c r="M376" s="726">
        <f>SUMIFS('Schedule 4'!$F$89:$F$649,'Schedule 4'!$I$89:$I$649,'Well Cal.'!M$3,'Schedule 4'!$J$89:$J$649,'Well Cal.'!$E376)</f>
        <v>0</v>
      </c>
      <c r="N376" s="726">
        <f>SUMIFS('Schedule 4'!$F$89:$F$649,'Schedule 4'!$I$89:$I$649,'Well Cal.'!N$3,'Schedule 4'!$J$89:$J$649,'Well Cal.'!$E376)</f>
        <v>0</v>
      </c>
      <c r="O376" s="726">
        <f>SUMIFS('Schedule 4'!$F$89:$F$649,'Schedule 4'!$I$89:$I$649,'Well Cal.'!O$3,'Schedule 4'!$J$89:$J$649,'Well Cal.'!$E376)</f>
        <v>0</v>
      </c>
      <c r="P376" s="726">
        <f>SUMIFS('Schedule 4'!$F$89:$F$649,'Schedule 4'!$I$89:$I$649,'Well Cal.'!P$3,'Schedule 4'!$J$89:$J$649,'Well Cal.'!$E376)</f>
        <v>0</v>
      </c>
      <c r="Q376" s="726">
        <f>SUMIFS('Schedule 4'!$F$89:$F$649,'Schedule 4'!$I$89:$I$649,'Well Cal.'!Q$3,'Schedule 4'!$J$89:$J$649,'Well Cal.'!$E376)</f>
        <v>0</v>
      </c>
      <c r="R376" s="726">
        <f>SUMIFS('Schedule 4'!$F$89:$F$649,'Schedule 4'!$I$89:$I$649,'Well Cal.'!R$3,'Schedule 4'!$J$89:$J$649,'Well Cal.'!$E376)</f>
        <v>0</v>
      </c>
      <c r="S376" s="726">
        <f>SUMIFS('Schedule 4'!$F$89:$F$649,'Schedule 4'!$I$89:$I$649,'Well Cal.'!S$3,'Schedule 4'!$J$89:$J$649,'Well Cal.'!$E376)</f>
        <v>0</v>
      </c>
      <c r="T376" s="726">
        <f>SUMIFS('Schedule 4'!$F$89:$F$649,'Schedule 4'!$I$89:$I$649,'Well Cal.'!T$3,'Schedule 4'!$J$89:$J$649,'Well Cal.'!$E376)</f>
        <v>0</v>
      </c>
      <c r="U376" s="726">
        <f>SUMIFS('Schedule 4'!$F$89:$F$649,'Schedule 4'!$I$89:$I$649,'Well Cal.'!U$3,'Schedule 4'!$J$89:$J$649,'Well Cal.'!$E376)</f>
        <v>0</v>
      </c>
      <c r="V376" s="726">
        <f>SUMIFS('Schedule 4'!$F$89:$F$649,'Schedule 4'!$I$89:$I$649,'Well Cal.'!V$3,'Schedule 4'!$J$89:$J$649,'Well Cal.'!$E376)</f>
        <v>0</v>
      </c>
      <c r="W376" s="726">
        <f>SUMIFS('Schedule 4'!$F$89:$F$649,'Schedule 4'!$I$89:$I$649,'Well Cal.'!W$3,'Schedule 4'!$J$89:$J$649,'Well Cal.'!$E376)</f>
        <v>0</v>
      </c>
      <c r="X376" s="726">
        <f>SUMIFS('Schedule 4'!$F$89:$F$649,'Schedule 4'!$I$89:$I$649,'Well Cal.'!X$3,'Schedule 4'!$J$89:$J$649,'Well Cal.'!$E376)</f>
        <v>0</v>
      </c>
      <c r="Y376" s="726">
        <f>SUMIFS('Schedule 4'!$F$89:$F$649,'Schedule 4'!$I$89:$I$649,'Well Cal.'!Y$3,'Schedule 4'!$J$89:$J$649,'Well Cal.'!$E376)</f>
        <v>0</v>
      </c>
      <c r="Z376" s="726">
        <f>SUMIFS('Schedule 4'!$F$89:$F$649,'Schedule 4'!$I$89:$I$649,'Well Cal.'!Z$3,'Schedule 4'!$J$89:$J$649,'Well Cal.'!$E376)</f>
        <v>0</v>
      </c>
      <c r="AA376" s="726"/>
      <c r="AB376" s="1731"/>
      <c r="AC376" s="1731"/>
    </row>
    <row r="377" spans="2:29" x14ac:dyDescent="0.3">
      <c r="B377" s="1724"/>
      <c r="C377" s="1727"/>
      <c r="D377" s="1721"/>
      <c r="E377" s="775" t="s">
        <v>4262</v>
      </c>
      <c r="F377" s="726">
        <f>SUMIFS('Schedule 4'!$F$89:$F$649,'Schedule 4'!$I$89:$I$649,'Well Cal.'!F$3,'Schedule 4'!$J$89:$J$649,'Well Cal.'!$E377)</f>
        <v>0</v>
      </c>
      <c r="G377" s="726">
        <f>SUMIFS('Schedule 4'!$F$89:$F$649,'Schedule 4'!$I$89:$I$649,'Well Cal.'!G$3,'Schedule 4'!$J$89:$J$649,'Well Cal.'!$E377)</f>
        <v>0</v>
      </c>
      <c r="H377" s="726">
        <f>SUMIFS('Schedule 4'!$F$89:$F$649,'Schedule 4'!$I$89:$I$649,'Well Cal.'!H$3,'Schedule 4'!$J$89:$J$649,'Well Cal.'!$E377)</f>
        <v>0</v>
      </c>
      <c r="I377" s="726">
        <f>SUMIFS('Schedule 4'!$F$89:$F$649,'Schedule 4'!$I$89:$I$649,'Well Cal.'!I$3,'Schedule 4'!$J$89:$J$649,'Well Cal.'!$E377)</f>
        <v>0</v>
      </c>
      <c r="J377" s="726">
        <f>SUMIFS('Schedule 4'!$F$89:$F$649,'Schedule 4'!$I$89:$I$649,'Well Cal.'!J$3,'Schedule 4'!$J$89:$J$649,'Well Cal.'!$E377)</f>
        <v>0</v>
      </c>
      <c r="K377" s="726">
        <f>SUMIFS('Schedule 4'!$F$89:$F$649,'Schedule 4'!$I$89:$I$649,'Well Cal.'!K$3,'Schedule 4'!$J$89:$J$649,'Well Cal.'!$E377)</f>
        <v>0</v>
      </c>
      <c r="L377" s="726">
        <f>SUMIFS('Schedule 4'!$F$89:$F$649,'Schedule 4'!$I$89:$I$649,'Well Cal.'!L$3,'Schedule 4'!$J$89:$J$649,'Well Cal.'!$E377)</f>
        <v>0</v>
      </c>
      <c r="M377" s="726">
        <f>SUMIFS('Schedule 4'!$F$89:$F$649,'Schedule 4'!$I$89:$I$649,'Well Cal.'!M$3,'Schedule 4'!$J$89:$J$649,'Well Cal.'!$E377)</f>
        <v>0</v>
      </c>
      <c r="N377" s="726">
        <f>SUMIFS('Schedule 4'!$F$89:$F$649,'Schedule 4'!$I$89:$I$649,'Well Cal.'!N$3,'Schedule 4'!$J$89:$J$649,'Well Cal.'!$E377)</f>
        <v>0</v>
      </c>
      <c r="O377" s="726">
        <f>SUMIFS('Schedule 4'!$F$89:$F$649,'Schedule 4'!$I$89:$I$649,'Well Cal.'!O$3,'Schedule 4'!$J$89:$J$649,'Well Cal.'!$E377)</f>
        <v>0</v>
      </c>
      <c r="P377" s="726">
        <f>SUMIFS('Schedule 4'!$F$89:$F$649,'Schedule 4'!$I$89:$I$649,'Well Cal.'!P$3,'Schedule 4'!$J$89:$J$649,'Well Cal.'!$E377)</f>
        <v>0</v>
      </c>
      <c r="Q377" s="726">
        <f>SUMIFS('Schedule 4'!$F$89:$F$649,'Schedule 4'!$I$89:$I$649,'Well Cal.'!Q$3,'Schedule 4'!$J$89:$J$649,'Well Cal.'!$E377)</f>
        <v>0</v>
      </c>
      <c r="R377" s="726">
        <f>SUMIFS('Schedule 4'!$F$89:$F$649,'Schedule 4'!$I$89:$I$649,'Well Cal.'!R$3,'Schedule 4'!$J$89:$J$649,'Well Cal.'!$E377)</f>
        <v>0</v>
      </c>
      <c r="S377" s="726">
        <f>SUMIFS('Schedule 4'!$F$89:$F$649,'Schedule 4'!$I$89:$I$649,'Well Cal.'!S$3,'Schedule 4'!$J$89:$J$649,'Well Cal.'!$E377)</f>
        <v>0</v>
      </c>
      <c r="T377" s="726">
        <f>SUMIFS('Schedule 4'!$F$89:$F$649,'Schedule 4'!$I$89:$I$649,'Well Cal.'!T$3,'Schedule 4'!$J$89:$J$649,'Well Cal.'!$E377)</f>
        <v>0</v>
      </c>
      <c r="U377" s="726">
        <f>SUMIFS('Schedule 4'!$F$89:$F$649,'Schedule 4'!$I$89:$I$649,'Well Cal.'!U$3,'Schedule 4'!$J$89:$J$649,'Well Cal.'!$E377)</f>
        <v>0</v>
      </c>
      <c r="V377" s="726">
        <f>SUMIFS('Schedule 4'!$F$89:$F$649,'Schedule 4'!$I$89:$I$649,'Well Cal.'!V$3,'Schedule 4'!$J$89:$J$649,'Well Cal.'!$E377)</f>
        <v>0</v>
      </c>
      <c r="W377" s="726">
        <f>SUMIFS('Schedule 4'!$F$89:$F$649,'Schedule 4'!$I$89:$I$649,'Well Cal.'!W$3,'Schedule 4'!$J$89:$J$649,'Well Cal.'!$E377)</f>
        <v>0</v>
      </c>
      <c r="X377" s="726">
        <f>SUMIFS('Schedule 4'!$F$89:$F$649,'Schedule 4'!$I$89:$I$649,'Well Cal.'!X$3,'Schedule 4'!$J$89:$J$649,'Well Cal.'!$E377)</f>
        <v>0</v>
      </c>
      <c r="Y377" s="726">
        <f>SUMIFS('Schedule 4'!$F$89:$F$649,'Schedule 4'!$I$89:$I$649,'Well Cal.'!Y$3,'Schedule 4'!$J$89:$J$649,'Well Cal.'!$E377)</f>
        <v>0</v>
      </c>
      <c r="Z377" s="726">
        <f>SUMIFS('Schedule 4'!$F$89:$F$649,'Schedule 4'!$I$89:$I$649,'Well Cal.'!Z$3,'Schedule 4'!$J$89:$J$649,'Well Cal.'!$E377)</f>
        <v>0</v>
      </c>
      <c r="AA377" s="726"/>
      <c r="AB377" s="1731"/>
      <c r="AC377" s="1731"/>
    </row>
    <row r="378" spans="2:29" x14ac:dyDescent="0.3">
      <c r="B378" s="1724"/>
      <c r="C378" s="1727"/>
      <c r="D378" s="1721"/>
      <c r="E378" s="775" t="s">
        <v>4324</v>
      </c>
      <c r="F378" s="726">
        <f>SUMIFS('Schedule 4'!$F$89:$F$649,'Schedule 4'!$I$89:$I$649,'Well Cal.'!F$3,'Schedule 4'!$J$89:$J$649,'Well Cal.'!$E378)</f>
        <v>0</v>
      </c>
      <c r="G378" s="726">
        <f>SUMIFS('Schedule 4'!$F$89:$F$649,'Schedule 4'!$I$89:$I$649,'Well Cal.'!G$3,'Schedule 4'!$J$89:$J$649,'Well Cal.'!$E378)</f>
        <v>0</v>
      </c>
      <c r="H378" s="726">
        <f>SUMIFS('Schedule 4'!$F$89:$F$649,'Schedule 4'!$I$89:$I$649,'Well Cal.'!H$3,'Schedule 4'!$J$89:$J$649,'Well Cal.'!$E378)</f>
        <v>0</v>
      </c>
      <c r="I378" s="726">
        <f>SUMIFS('Schedule 4'!$F$89:$F$649,'Schedule 4'!$I$89:$I$649,'Well Cal.'!I$3,'Schedule 4'!$J$89:$J$649,'Well Cal.'!$E378)</f>
        <v>0</v>
      </c>
      <c r="J378" s="726">
        <f>SUMIFS('Schedule 4'!$F$89:$F$649,'Schedule 4'!$I$89:$I$649,'Well Cal.'!J$3,'Schedule 4'!$J$89:$J$649,'Well Cal.'!$E378)</f>
        <v>0</v>
      </c>
      <c r="K378" s="726">
        <f>SUMIFS('Schedule 4'!$F$89:$F$649,'Schedule 4'!$I$89:$I$649,'Well Cal.'!K$3,'Schedule 4'!$J$89:$J$649,'Well Cal.'!$E378)</f>
        <v>0</v>
      </c>
      <c r="L378" s="726">
        <f>SUMIFS('Schedule 4'!$F$89:$F$649,'Schedule 4'!$I$89:$I$649,'Well Cal.'!L$3,'Schedule 4'!$J$89:$J$649,'Well Cal.'!$E378)</f>
        <v>0</v>
      </c>
      <c r="M378" s="726">
        <f>SUMIFS('Schedule 4'!$F$89:$F$649,'Schedule 4'!$I$89:$I$649,'Well Cal.'!M$3,'Schedule 4'!$J$89:$J$649,'Well Cal.'!$E378)</f>
        <v>0</v>
      </c>
      <c r="N378" s="726">
        <f>SUMIFS('Schedule 4'!$F$89:$F$649,'Schedule 4'!$I$89:$I$649,'Well Cal.'!N$3,'Schedule 4'!$J$89:$J$649,'Well Cal.'!$E378)</f>
        <v>0</v>
      </c>
      <c r="O378" s="726">
        <f>SUMIFS('Schedule 4'!$F$89:$F$649,'Schedule 4'!$I$89:$I$649,'Well Cal.'!O$3,'Schedule 4'!$J$89:$J$649,'Well Cal.'!$E378)</f>
        <v>0</v>
      </c>
      <c r="P378" s="726">
        <f>SUMIFS('Schedule 4'!$F$89:$F$649,'Schedule 4'!$I$89:$I$649,'Well Cal.'!P$3,'Schedule 4'!$J$89:$J$649,'Well Cal.'!$E378)</f>
        <v>0</v>
      </c>
      <c r="Q378" s="726">
        <f>SUMIFS('Schedule 4'!$F$89:$F$649,'Schedule 4'!$I$89:$I$649,'Well Cal.'!Q$3,'Schedule 4'!$J$89:$J$649,'Well Cal.'!$E378)</f>
        <v>0</v>
      </c>
      <c r="R378" s="726">
        <f>SUMIFS('Schedule 4'!$F$89:$F$649,'Schedule 4'!$I$89:$I$649,'Well Cal.'!R$3,'Schedule 4'!$J$89:$J$649,'Well Cal.'!$E378)</f>
        <v>0</v>
      </c>
      <c r="S378" s="726">
        <f>SUMIFS('Schedule 4'!$F$89:$F$649,'Schedule 4'!$I$89:$I$649,'Well Cal.'!S$3,'Schedule 4'!$J$89:$J$649,'Well Cal.'!$E378)</f>
        <v>0</v>
      </c>
      <c r="T378" s="726">
        <f>SUMIFS('Schedule 4'!$F$89:$F$649,'Schedule 4'!$I$89:$I$649,'Well Cal.'!T$3,'Schedule 4'!$J$89:$J$649,'Well Cal.'!$E378)</f>
        <v>0</v>
      </c>
      <c r="U378" s="726">
        <f>SUMIFS('Schedule 4'!$F$89:$F$649,'Schedule 4'!$I$89:$I$649,'Well Cal.'!U$3,'Schedule 4'!$J$89:$J$649,'Well Cal.'!$E378)</f>
        <v>0</v>
      </c>
      <c r="V378" s="726">
        <f>SUMIFS('Schedule 4'!$F$89:$F$649,'Schedule 4'!$I$89:$I$649,'Well Cal.'!V$3,'Schedule 4'!$J$89:$J$649,'Well Cal.'!$E378)</f>
        <v>0</v>
      </c>
      <c r="W378" s="726">
        <f>SUMIFS('Schedule 4'!$F$89:$F$649,'Schedule 4'!$I$89:$I$649,'Well Cal.'!W$3,'Schedule 4'!$J$89:$J$649,'Well Cal.'!$E378)</f>
        <v>0</v>
      </c>
      <c r="X378" s="726">
        <f>SUMIFS('Schedule 4'!$F$89:$F$649,'Schedule 4'!$I$89:$I$649,'Well Cal.'!X$3,'Schedule 4'!$J$89:$J$649,'Well Cal.'!$E378)</f>
        <v>0</v>
      </c>
      <c r="Y378" s="726">
        <f>SUMIFS('Schedule 4'!$F$89:$F$649,'Schedule 4'!$I$89:$I$649,'Well Cal.'!Y$3,'Schedule 4'!$J$89:$J$649,'Well Cal.'!$E378)</f>
        <v>0</v>
      </c>
      <c r="Z378" s="726">
        <f>SUMIFS('Schedule 4'!$F$89:$F$649,'Schedule 4'!$I$89:$I$649,'Well Cal.'!Z$3,'Schedule 4'!$J$89:$J$649,'Well Cal.'!$E378)</f>
        <v>0</v>
      </c>
      <c r="AA378" s="726"/>
      <c r="AB378" s="1731"/>
      <c r="AC378" s="1731"/>
    </row>
    <row r="379" spans="2:29" x14ac:dyDescent="0.3">
      <c r="B379" s="1724"/>
      <c r="C379" s="1727"/>
      <c r="D379" s="1721"/>
      <c r="E379" s="775" t="s">
        <v>4388</v>
      </c>
      <c r="F379" s="726">
        <f>SUMIFS('Schedule 4'!$F$89:$F$649,'Schedule 4'!$I$89:$I$649,'Well Cal.'!F$3,'Schedule 4'!$J$89:$J$649,'Well Cal.'!$E379)</f>
        <v>0</v>
      </c>
      <c r="G379" s="726">
        <f>SUMIFS('Schedule 4'!$F$89:$F$649,'Schedule 4'!$I$89:$I$649,'Well Cal.'!G$3,'Schedule 4'!$J$89:$J$649,'Well Cal.'!$E379)</f>
        <v>0</v>
      </c>
      <c r="H379" s="726">
        <f>SUMIFS('Schedule 4'!$F$89:$F$649,'Schedule 4'!$I$89:$I$649,'Well Cal.'!H$3,'Schedule 4'!$J$89:$J$649,'Well Cal.'!$E379)</f>
        <v>0</v>
      </c>
      <c r="I379" s="726">
        <f>SUMIFS('Schedule 4'!$F$89:$F$649,'Schedule 4'!$I$89:$I$649,'Well Cal.'!I$3,'Schedule 4'!$J$89:$J$649,'Well Cal.'!$E379)</f>
        <v>0</v>
      </c>
      <c r="J379" s="726">
        <f>SUMIFS('Schedule 4'!$F$89:$F$649,'Schedule 4'!$I$89:$I$649,'Well Cal.'!J$3,'Schedule 4'!$J$89:$J$649,'Well Cal.'!$E379)</f>
        <v>0</v>
      </c>
      <c r="K379" s="726">
        <f>SUMIFS('Schedule 4'!$F$89:$F$649,'Schedule 4'!$I$89:$I$649,'Well Cal.'!K$3,'Schedule 4'!$J$89:$J$649,'Well Cal.'!$E379)</f>
        <v>0</v>
      </c>
      <c r="L379" s="726">
        <f>SUMIFS('Schedule 4'!$F$89:$F$649,'Schedule 4'!$I$89:$I$649,'Well Cal.'!L$3,'Schedule 4'!$J$89:$J$649,'Well Cal.'!$E379)</f>
        <v>0</v>
      </c>
      <c r="M379" s="726">
        <f>SUMIFS('Schedule 4'!$F$89:$F$649,'Schedule 4'!$I$89:$I$649,'Well Cal.'!M$3,'Schedule 4'!$J$89:$J$649,'Well Cal.'!$E379)</f>
        <v>0</v>
      </c>
      <c r="N379" s="726">
        <f>SUMIFS('Schedule 4'!$F$89:$F$649,'Schedule 4'!$I$89:$I$649,'Well Cal.'!N$3,'Schedule 4'!$J$89:$J$649,'Well Cal.'!$E379)</f>
        <v>0</v>
      </c>
      <c r="O379" s="726">
        <f>SUMIFS('Schedule 4'!$F$89:$F$649,'Schedule 4'!$I$89:$I$649,'Well Cal.'!O$3,'Schedule 4'!$J$89:$J$649,'Well Cal.'!$E379)</f>
        <v>0</v>
      </c>
      <c r="P379" s="726">
        <f>SUMIFS('Schedule 4'!$F$89:$F$649,'Schedule 4'!$I$89:$I$649,'Well Cal.'!P$3,'Schedule 4'!$J$89:$J$649,'Well Cal.'!$E379)</f>
        <v>0</v>
      </c>
      <c r="Q379" s="726">
        <f>SUMIFS('Schedule 4'!$F$89:$F$649,'Schedule 4'!$I$89:$I$649,'Well Cal.'!Q$3,'Schedule 4'!$J$89:$J$649,'Well Cal.'!$E379)</f>
        <v>0</v>
      </c>
      <c r="R379" s="726">
        <f>SUMIFS('Schedule 4'!$F$89:$F$649,'Schedule 4'!$I$89:$I$649,'Well Cal.'!R$3,'Schedule 4'!$J$89:$J$649,'Well Cal.'!$E379)</f>
        <v>0</v>
      </c>
      <c r="S379" s="726">
        <f>SUMIFS('Schedule 4'!$F$89:$F$649,'Schedule 4'!$I$89:$I$649,'Well Cal.'!S$3,'Schedule 4'!$J$89:$J$649,'Well Cal.'!$E379)</f>
        <v>0</v>
      </c>
      <c r="T379" s="726">
        <f>SUMIFS('Schedule 4'!$F$89:$F$649,'Schedule 4'!$I$89:$I$649,'Well Cal.'!T$3,'Schedule 4'!$J$89:$J$649,'Well Cal.'!$E379)</f>
        <v>0</v>
      </c>
      <c r="U379" s="726">
        <f>SUMIFS('Schedule 4'!$F$89:$F$649,'Schedule 4'!$I$89:$I$649,'Well Cal.'!U$3,'Schedule 4'!$J$89:$J$649,'Well Cal.'!$E379)</f>
        <v>0</v>
      </c>
      <c r="V379" s="726">
        <f>SUMIFS('Schedule 4'!$F$89:$F$649,'Schedule 4'!$I$89:$I$649,'Well Cal.'!V$3,'Schedule 4'!$J$89:$J$649,'Well Cal.'!$E379)</f>
        <v>0</v>
      </c>
      <c r="W379" s="726">
        <f>SUMIFS('Schedule 4'!$F$89:$F$649,'Schedule 4'!$I$89:$I$649,'Well Cal.'!W$3,'Schedule 4'!$J$89:$J$649,'Well Cal.'!$E379)</f>
        <v>0</v>
      </c>
      <c r="X379" s="726">
        <f>SUMIFS('Schedule 4'!$F$89:$F$649,'Schedule 4'!$I$89:$I$649,'Well Cal.'!X$3,'Schedule 4'!$J$89:$J$649,'Well Cal.'!$E379)</f>
        <v>0</v>
      </c>
      <c r="Y379" s="726">
        <f>SUMIFS('Schedule 4'!$F$89:$F$649,'Schedule 4'!$I$89:$I$649,'Well Cal.'!Y$3,'Schedule 4'!$J$89:$J$649,'Well Cal.'!$E379)</f>
        <v>0</v>
      </c>
      <c r="Z379" s="726">
        <f>SUMIFS('Schedule 4'!$F$89:$F$649,'Schedule 4'!$I$89:$I$649,'Well Cal.'!Z$3,'Schedule 4'!$J$89:$J$649,'Well Cal.'!$E379)</f>
        <v>0</v>
      </c>
      <c r="AA379" s="726"/>
      <c r="AB379" s="1731"/>
      <c r="AC379" s="1731"/>
    </row>
    <row r="380" spans="2:29" x14ac:dyDescent="0.3">
      <c r="B380" s="1724"/>
      <c r="C380" s="1727"/>
      <c r="D380" s="1721"/>
      <c r="E380" s="775" t="s">
        <v>4441</v>
      </c>
      <c r="F380" s="726">
        <f>SUMIFS('Schedule 4'!$F$89:$F$649,'Schedule 4'!$I$89:$I$649,'Well Cal.'!F$3,'Schedule 4'!$J$89:$J$649,'Well Cal.'!$E380)</f>
        <v>0</v>
      </c>
      <c r="G380" s="726">
        <f>SUMIFS('Schedule 4'!$F$89:$F$649,'Schedule 4'!$I$89:$I$649,'Well Cal.'!G$3,'Schedule 4'!$J$89:$J$649,'Well Cal.'!$E380)</f>
        <v>0</v>
      </c>
      <c r="H380" s="726">
        <f>SUMIFS('Schedule 4'!$F$89:$F$649,'Schedule 4'!$I$89:$I$649,'Well Cal.'!H$3,'Schedule 4'!$J$89:$J$649,'Well Cal.'!$E380)</f>
        <v>0</v>
      </c>
      <c r="I380" s="726">
        <f>SUMIFS('Schedule 4'!$F$89:$F$649,'Schedule 4'!$I$89:$I$649,'Well Cal.'!I$3,'Schedule 4'!$J$89:$J$649,'Well Cal.'!$E380)</f>
        <v>0</v>
      </c>
      <c r="J380" s="726">
        <f>SUMIFS('Schedule 4'!$F$89:$F$649,'Schedule 4'!$I$89:$I$649,'Well Cal.'!J$3,'Schedule 4'!$J$89:$J$649,'Well Cal.'!$E380)</f>
        <v>0</v>
      </c>
      <c r="K380" s="726">
        <f>SUMIFS('Schedule 4'!$F$89:$F$649,'Schedule 4'!$I$89:$I$649,'Well Cal.'!K$3,'Schedule 4'!$J$89:$J$649,'Well Cal.'!$E380)</f>
        <v>0</v>
      </c>
      <c r="L380" s="726">
        <f>SUMIFS('Schedule 4'!$F$89:$F$649,'Schedule 4'!$I$89:$I$649,'Well Cal.'!L$3,'Schedule 4'!$J$89:$J$649,'Well Cal.'!$E380)</f>
        <v>0</v>
      </c>
      <c r="M380" s="726">
        <f>SUMIFS('Schedule 4'!$F$89:$F$649,'Schedule 4'!$I$89:$I$649,'Well Cal.'!M$3,'Schedule 4'!$J$89:$J$649,'Well Cal.'!$E380)</f>
        <v>0</v>
      </c>
      <c r="N380" s="726">
        <f>SUMIFS('Schedule 4'!$F$89:$F$649,'Schedule 4'!$I$89:$I$649,'Well Cal.'!N$3,'Schedule 4'!$J$89:$J$649,'Well Cal.'!$E380)</f>
        <v>0</v>
      </c>
      <c r="O380" s="726">
        <f>SUMIFS('Schedule 4'!$F$89:$F$649,'Schedule 4'!$I$89:$I$649,'Well Cal.'!O$3,'Schedule 4'!$J$89:$J$649,'Well Cal.'!$E380)</f>
        <v>0</v>
      </c>
      <c r="P380" s="726">
        <f>SUMIFS('Schedule 4'!$F$89:$F$649,'Schedule 4'!$I$89:$I$649,'Well Cal.'!P$3,'Schedule 4'!$J$89:$J$649,'Well Cal.'!$E380)</f>
        <v>0</v>
      </c>
      <c r="Q380" s="726">
        <f>SUMIFS('Schedule 4'!$F$89:$F$649,'Schedule 4'!$I$89:$I$649,'Well Cal.'!Q$3,'Schedule 4'!$J$89:$J$649,'Well Cal.'!$E380)</f>
        <v>0</v>
      </c>
      <c r="R380" s="726">
        <f>SUMIFS('Schedule 4'!$F$89:$F$649,'Schedule 4'!$I$89:$I$649,'Well Cal.'!R$3,'Schedule 4'!$J$89:$J$649,'Well Cal.'!$E380)</f>
        <v>0</v>
      </c>
      <c r="S380" s="726">
        <f>SUMIFS('Schedule 4'!$F$89:$F$649,'Schedule 4'!$I$89:$I$649,'Well Cal.'!S$3,'Schedule 4'!$J$89:$J$649,'Well Cal.'!$E380)</f>
        <v>0</v>
      </c>
      <c r="T380" s="726">
        <f>SUMIFS('Schedule 4'!$F$89:$F$649,'Schedule 4'!$I$89:$I$649,'Well Cal.'!T$3,'Schedule 4'!$J$89:$J$649,'Well Cal.'!$E380)</f>
        <v>0</v>
      </c>
      <c r="U380" s="726">
        <f>SUMIFS('Schedule 4'!$F$89:$F$649,'Schedule 4'!$I$89:$I$649,'Well Cal.'!U$3,'Schedule 4'!$J$89:$J$649,'Well Cal.'!$E380)</f>
        <v>0</v>
      </c>
      <c r="V380" s="726">
        <f>SUMIFS('Schedule 4'!$F$89:$F$649,'Schedule 4'!$I$89:$I$649,'Well Cal.'!V$3,'Schedule 4'!$J$89:$J$649,'Well Cal.'!$E380)</f>
        <v>0</v>
      </c>
      <c r="W380" s="726">
        <f>SUMIFS('Schedule 4'!$F$89:$F$649,'Schedule 4'!$I$89:$I$649,'Well Cal.'!W$3,'Schedule 4'!$J$89:$J$649,'Well Cal.'!$E380)</f>
        <v>0</v>
      </c>
      <c r="X380" s="726">
        <f>SUMIFS('Schedule 4'!$F$89:$F$649,'Schedule 4'!$I$89:$I$649,'Well Cal.'!X$3,'Schedule 4'!$J$89:$J$649,'Well Cal.'!$E380)</f>
        <v>0</v>
      </c>
      <c r="Y380" s="726">
        <f>SUMIFS('Schedule 4'!$F$89:$F$649,'Schedule 4'!$I$89:$I$649,'Well Cal.'!Y$3,'Schedule 4'!$J$89:$J$649,'Well Cal.'!$E380)</f>
        <v>0</v>
      </c>
      <c r="Z380" s="726">
        <f>SUMIFS('Schedule 4'!$F$89:$F$649,'Schedule 4'!$I$89:$I$649,'Well Cal.'!Z$3,'Schedule 4'!$J$89:$J$649,'Well Cal.'!$E380)</f>
        <v>0</v>
      </c>
      <c r="AA380" s="726"/>
      <c r="AB380" s="1731"/>
      <c r="AC380" s="1731"/>
    </row>
    <row r="381" spans="2:29" x14ac:dyDescent="0.3">
      <c r="B381" s="1724"/>
      <c r="C381" s="1727"/>
      <c r="D381" s="1721"/>
      <c r="E381" s="775" t="s">
        <v>4498</v>
      </c>
      <c r="F381" s="726">
        <f>SUMIFS('Schedule 4'!$F$89:$F$649,'Schedule 4'!$I$89:$I$649,'Well Cal.'!F$3,'Schedule 4'!$J$89:$J$649,'Well Cal.'!$E381)</f>
        <v>0</v>
      </c>
      <c r="G381" s="726">
        <f>SUMIFS('Schedule 4'!$F$89:$F$649,'Schedule 4'!$I$89:$I$649,'Well Cal.'!G$3,'Schedule 4'!$J$89:$J$649,'Well Cal.'!$E381)</f>
        <v>0</v>
      </c>
      <c r="H381" s="726">
        <f>SUMIFS('Schedule 4'!$F$89:$F$649,'Schedule 4'!$I$89:$I$649,'Well Cal.'!H$3,'Schedule 4'!$J$89:$J$649,'Well Cal.'!$E381)</f>
        <v>0</v>
      </c>
      <c r="I381" s="726">
        <f>SUMIFS('Schedule 4'!$F$89:$F$649,'Schedule 4'!$I$89:$I$649,'Well Cal.'!I$3,'Schedule 4'!$J$89:$J$649,'Well Cal.'!$E381)</f>
        <v>0</v>
      </c>
      <c r="J381" s="726">
        <f>SUMIFS('Schedule 4'!$F$89:$F$649,'Schedule 4'!$I$89:$I$649,'Well Cal.'!J$3,'Schedule 4'!$J$89:$J$649,'Well Cal.'!$E381)</f>
        <v>0</v>
      </c>
      <c r="K381" s="726">
        <f>SUMIFS('Schedule 4'!$F$89:$F$649,'Schedule 4'!$I$89:$I$649,'Well Cal.'!K$3,'Schedule 4'!$J$89:$J$649,'Well Cal.'!$E381)</f>
        <v>0</v>
      </c>
      <c r="L381" s="726">
        <f>SUMIFS('Schedule 4'!$F$89:$F$649,'Schedule 4'!$I$89:$I$649,'Well Cal.'!L$3,'Schedule 4'!$J$89:$J$649,'Well Cal.'!$E381)</f>
        <v>0</v>
      </c>
      <c r="M381" s="726">
        <f>SUMIFS('Schedule 4'!$F$89:$F$649,'Schedule 4'!$I$89:$I$649,'Well Cal.'!M$3,'Schedule 4'!$J$89:$J$649,'Well Cal.'!$E381)</f>
        <v>0</v>
      </c>
      <c r="N381" s="726">
        <f>SUMIFS('Schedule 4'!$F$89:$F$649,'Schedule 4'!$I$89:$I$649,'Well Cal.'!N$3,'Schedule 4'!$J$89:$J$649,'Well Cal.'!$E381)</f>
        <v>0</v>
      </c>
      <c r="O381" s="726">
        <f>SUMIFS('Schedule 4'!$F$89:$F$649,'Schedule 4'!$I$89:$I$649,'Well Cal.'!O$3,'Schedule 4'!$J$89:$J$649,'Well Cal.'!$E381)</f>
        <v>0</v>
      </c>
      <c r="P381" s="726">
        <f>SUMIFS('Schedule 4'!$F$89:$F$649,'Schedule 4'!$I$89:$I$649,'Well Cal.'!P$3,'Schedule 4'!$J$89:$J$649,'Well Cal.'!$E381)</f>
        <v>0</v>
      </c>
      <c r="Q381" s="726">
        <f>SUMIFS('Schedule 4'!$F$89:$F$649,'Schedule 4'!$I$89:$I$649,'Well Cal.'!Q$3,'Schedule 4'!$J$89:$J$649,'Well Cal.'!$E381)</f>
        <v>0</v>
      </c>
      <c r="R381" s="726">
        <f>SUMIFS('Schedule 4'!$F$89:$F$649,'Schedule 4'!$I$89:$I$649,'Well Cal.'!R$3,'Schedule 4'!$J$89:$J$649,'Well Cal.'!$E381)</f>
        <v>0</v>
      </c>
      <c r="S381" s="726">
        <f>SUMIFS('Schedule 4'!$F$89:$F$649,'Schedule 4'!$I$89:$I$649,'Well Cal.'!S$3,'Schedule 4'!$J$89:$J$649,'Well Cal.'!$E381)</f>
        <v>0</v>
      </c>
      <c r="T381" s="726">
        <f>SUMIFS('Schedule 4'!$F$89:$F$649,'Schedule 4'!$I$89:$I$649,'Well Cal.'!T$3,'Schedule 4'!$J$89:$J$649,'Well Cal.'!$E381)</f>
        <v>0</v>
      </c>
      <c r="U381" s="726">
        <f>SUMIFS('Schedule 4'!$F$89:$F$649,'Schedule 4'!$I$89:$I$649,'Well Cal.'!U$3,'Schedule 4'!$J$89:$J$649,'Well Cal.'!$E381)</f>
        <v>0</v>
      </c>
      <c r="V381" s="726">
        <f>SUMIFS('Schedule 4'!$F$89:$F$649,'Schedule 4'!$I$89:$I$649,'Well Cal.'!V$3,'Schedule 4'!$J$89:$J$649,'Well Cal.'!$E381)</f>
        <v>0</v>
      </c>
      <c r="W381" s="726">
        <f>SUMIFS('Schedule 4'!$F$89:$F$649,'Schedule 4'!$I$89:$I$649,'Well Cal.'!W$3,'Schedule 4'!$J$89:$J$649,'Well Cal.'!$E381)</f>
        <v>0</v>
      </c>
      <c r="X381" s="726">
        <f>SUMIFS('Schedule 4'!$F$89:$F$649,'Schedule 4'!$I$89:$I$649,'Well Cal.'!X$3,'Schedule 4'!$J$89:$J$649,'Well Cal.'!$E381)</f>
        <v>0</v>
      </c>
      <c r="Y381" s="726">
        <f>SUMIFS('Schedule 4'!$F$89:$F$649,'Schedule 4'!$I$89:$I$649,'Well Cal.'!Y$3,'Schedule 4'!$J$89:$J$649,'Well Cal.'!$E381)</f>
        <v>0</v>
      </c>
      <c r="Z381" s="726">
        <f>SUMIFS('Schedule 4'!$F$89:$F$649,'Schedule 4'!$I$89:$I$649,'Well Cal.'!Z$3,'Schedule 4'!$J$89:$J$649,'Well Cal.'!$E381)</f>
        <v>0</v>
      </c>
      <c r="AA381" s="726"/>
      <c r="AB381" s="1731"/>
      <c r="AC381" s="1731"/>
    </row>
    <row r="382" spans="2:29" x14ac:dyDescent="0.3">
      <c r="B382" s="1724"/>
      <c r="C382" s="1727"/>
      <c r="D382" s="1721"/>
      <c r="E382" s="775" t="s">
        <v>4545</v>
      </c>
      <c r="F382" s="726">
        <f>SUMIFS('Schedule 4'!$F$89:$F$649,'Schedule 4'!$I$89:$I$649,'Well Cal.'!F$3,'Schedule 4'!$J$89:$J$649,'Well Cal.'!$E382)</f>
        <v>0</v>
      </c>
      <c r="G382" s="726">
        <f>SUMIFS('Schedule 4'!$F$89:$F$649,'Schedule 4'!$I$89:$I$649,'Well Cal.'!G$3,'Schedule 4'!$J$89:$J$649,'Well Cal.'!$E382)</f>
        <v>0</v>
      </c>
      <c r="H382" s="726">
        <f>SUMIFS('Schedule 4'!$F$89:$F$649,'Schedule 4'!$I$89:$I$649,'Well Cal.'!H$3,'Schedule 4'!$J$89:$J$649,'Well Cal.'!$E382)</f>
        <v>0</v>
      </c>
      <c r="I382" s="726">
        <f>SUMIFS('Schedule 4'!$F$89:$F$649,'Schedule 4'!$I$89:$I$649,'Well Cal.'!I$3,'Schedule 4'!$J$89:$J$649,'Well Cal.'!$E382)</f>
        <v>0</v>
      </c>
      <c r="J382" s="726">
        <f>SUMIFS('Schedule 4'!$F$89:$F$649,'Schedule 4'!$I$89:$I$649,'Well Cal.'!J$3,'Schedule 4'!$J$89:$J$649,'Well Cal.'!$E382)</f>
        <v>0</v>
      </c>
      <c r="K382" s="726">
        <f>SUMIFS('Schedule 4'!$F$89:$F$649,'Schedule 4'!$I$89:$I$649,'Well Cal.'!K$3,'Schedule 4'!$J$89:$J$649,'Well Cal.'!$E382)</f>
        <v>0</v>
      </c>
      <c r="L382" s="726">
        <f>SUMIFS('Schedule 4'!$F$89:$F$649,'Schedule 4'!$I$89:$I$649,'Well Cal.'!L$3,'Schedule 4'!$J$89:$J$649,'Well Cal.'!$E382)</f>
        <v>0</v>
      </c>
      <c r="M382" s="726">
        <f>SUMIFS('Schedule 4'!$F$89:$F$649,'Schedule 4'!$I$89:$I$649,'Well Cal.'!M$3,'Schedule 4'!$J$89:$J$649,'Well Cal.'!$E382)</f>
        <v>0</v>
      </c>
      <c r="N382" s="726">
        <f>SUMIFS('Schedule 4'!$F$89:$F$649,'Schedule 4'!$I$89:$I$649,'Well Cal.'!N$3,'Schedule 4'!$J$89:$J$649,'Well Cal.'!$E382)</f>
        <v>0</v>
      </c>
      <c r="O382" s="726">
        <f>SUMIFS('Schedule 4'!$F$89:$F$649,'Schedule 4'!$I$89:$I$649,'Well Cal.'!O$3,'Schedule 4'!$J$89:$J$649,'Well Cal.'!$E382)</f>
        <v>0</v>
      </c>
      <c r="P382" s="726">
        <f>SUMIFS('Schedule 4'!$F$89:$F$649,'Schedule 4'!$I$89:$I$649,'Well Cal.'!P$3,'Schedule 4'!$J$89:$J$649,'Well Cal.'!$E382)</f>
        <v>0</v>
      </c>
      <c r="Q382" s="726">
        <f>SUMIFS('Schedule 4'!$F$89:$F$649,'Schedule 4'!$I$89:$I$649,'Well Cal.'!Q$3,'Schedule 4'!$J$89:$J$649,'Well Cal.'!$E382)</f>
        <v>0</v>
      </c>
      <c r="R382" s="726">
        <f>SUMIFS('Schedule 4'!$F$89:$F$649,'Schedule 4'!$I$89:$I$649,'Well Cal.'!R$3,'Schedule 4'!$J$89:$J$649,'Well Cal.'!$E382)</f>
        <v>0</v>
      </c>
      <c r="S382" s="726">
        <f>SUMIFS('Schedule 4'!$F$89:$F$649,'Schedule 4'!$I$89:$I$649,'Well Cal.'!S$3,'Schedule 4'!$J$89:$J$649,'Well Cal.'!$E382)</f>
        <v>0</v>
      </c>
      <c r="T382" s="726">
        <f>SUMIFS('Schedule 4'!$F$89:$F$649,'Schedule 4'!$I$89:$I$649,'Well Cal.'!T$3,'Schedule 4'!$J$89:$J$649,'Well Cal.'!$E382)</f>
        <v>0</v>
      </c>
      <c r="U382" s="726">
        <f>SUMIFS('Schedule 4'!$F$89:$F$649,'Schedule 4'!$I$89:$I$649,'Well Cal.'!U$3,'Schedule 4'!$J$89:$J$649,'Well Cal.'!$E382)</f>
        <v>0</v>
      </c>
      <c r="V382" s="726">
        <f>SUMIFS('Schedule 4'!$F$89:$F$649,'Schedule 4'!$I$89:$I$649,'Well Cal.'!V$3,'Schedule 4'!$J$89:$J$649,'Well Cal.'!$E382)</f>
        <v>0</v>
      </c>
      <c r="W382" s="726">
        <f>SUMIFS('Schedule 4'!$F$89:$F$649,'Schedule 4'!$I$89:$I$649,'Well Cal.'!W$3,'Schedule 4'!$J$89:$J$649,'Well Cal.'!$E382)</f>
        <v>0</v>
      </c>
      <c r="X382" s="726">
        <f>SUMIFS('Schedule 4'!$F$89:$F$649,'Schedule 4'!$I$89:$I$649,'Well Cal.'!X$3,'Schedule 4'!$J$89:$J$649,'Well Cal.'!$E382)</f>
        <v>0</v>
      </c>
      <c r="Y382" s="726">
        <f>SUMIFS('Schedule 4'!$F$89:$F$649,'Schedule 4'!$I$89:$I$649,'Well Cal.'!Y$3,'Schedule 4'!$J$89:$J$649,'Well Cal.'!$E382)</f>
        <v>0</v>
      </c>
      <c r="Z382" s="726">
        <f>SUMIFS('Schedule 4'!$F$89:$F$649,'Schedule 4'!$I$89:$I$649,'Well Cal.'!Z$3,'Schedule 4'!$J$89:$J$649,'Well Cal.'!$E382)</f>
        <v>0</v>
      </c>
      <c r="AA382" s="726"/>
      <c r="AB382" s="1731"/>
      <c r="AC382" s="1731"/>
    </row>
    <row r="383" spans="2:29" x14ac:dyDescent="0.3">
      <c r="B383" s="1725"/>
      <c r="C383" s="1728"/>
      <c r="D383" s="1722"/>
      <c r="E383" s="776"/>
      <c r="F383" s="777"/>
      <c r="G383" s="777"/>
      <c r="H383" s="777"/>
      <c r="I383" s="777"/>
      <c r="J383" s="777"/>
      <c r="K383" s="777"/>
      <c r="L383" s="777"/>
      <c r="M383" s="777"/>
      <c r="N383" s="777"/>
      <c r="O383" s="777"/>
      <c r="P383" s="777"/>
      <c r="Q383" s="777"/>
      <c r="R383" s="777"/>
      <c r="S383" s="777"/>
      <c r="T383" s="777"/>
      <c r="U383" s="777"/>
      <c r="V383" s="777"/>
      <c r="W383" s="777"/>
      <c r="X383" s="777"/>
      <c r="Y383" s="777"/>
      <c r="Z383" s="777"/>
      <c r="AA383" s="777"/>
      <c r="AB383" s="1732"/>
      <c r="AC383" s="1732"/>
    </row>
    <row r="384" spans="2:29" x14ac:dyDescent="0.3">
      <c r="B384" s="1723" t="s">
        <v>2513</v>
      </c>
      <c r="C384" s="1726">
        <v>54.05</v>
      </c>
      <c r="D384" s="1720">
        <f>SUMIFS('Schedule 4'!$F$89:$F$649,'Schedule 4'!$K$89:$K$649,'Well Cal.'!$B384)</f>
        <v>0</v>
      </c>
      <c r="E384" s="754" t="s">
        <v>3174</v>
      </c>
      <c r="F384" s="728">
        <f>SUMIFS('Schedule 4'!$F$89:$F$649,'Schedule 4'!$I$89:$I$649,'Well Cal.'!F$3,'Schedule 4'!$J$89:$J$649,'Well Cal.'!$E384)</f>
        <v>0</v>
      </c>
      <c r="G384" s="728">
        <f>SUMIFS('Schedule 4'!$F$89:$F$649,'Schedule 4'!$I$89:$I$649,'Well Cal.'!G$3,'Schedule 4'!$J$89:$J$649,'Well Cal.'!$E384)</f>
        <v>0</v>
      </c>
      <c r="H384" s="728">
        <f>SUMIFS('Schedule 4'!$F$89:$F$649,'Schedule 4'!$I$89:$I$649,'Well Cal.'!H$3,'Schedule 4'!$J$89:$J$649,'Well Cal.'!$E384)</f>
        <v>0</v>
      </c>
      <c r="I384" s="728">
        <f>SUMIFS('Schedule 4'!$F$89:$F$649,'Schedule 4'!$I$89:$I$649,'Well Cal.'!I$3,'Schedule 4'!$J$89:$J$649,'Well Cal.'!$E384)</f>
        <v>0</v>
      </c>
      <c r="J384" s="728">
        <f>SUMIFS('Schedule 4'!$F$89:$F$649,'Schedule 4'!$I$89:$I$649,'Well Cal.'!J$3,'Schedule 4'!$J$89:$J$649,'Well Cal.'!$E384)</f>
        <v>0</v>
      </c>
      <c r="K384" s="728">
        <f>SUMIFS('Schedule 4'!$F$89:$F$649,'Schedule 4'!$I$89:$I$649,'Well Cal.'!K$3,'Schedule 4'!$J$89:$J$649,'Well Cal.'!$E384)</f>
        <v>0</v>
      </c>
      <c r="L384" s="728">
        <f>SUMIFS('Schedule 4'!$F$89:$F$649,'Schedule 4'!$I$89:$I$649,'Well Cal.'!L$3,'Schedule 4'!$J$89:$J$649,'Well Cal.'!$E384)</f>
        <v>0</v>
      </c>
      <c r="M384" s="728">
        <f>SUMIFS('Schedule 4'!$F$89:$F$649,'Schedule 4'!$I$89:$I$649,'Well Cal.'!M$3,'Schedule 4'!$J$89:$J$649,'Well Cal.'!$E384)</f>
        <v>0</v>
      </c>
      <c r="N384" s="728">
        <f>SUMIFS('Schedule 4'!$F$89:$F$649,'Schedule 4'!$I$89:$I$649,'Well Cal.'!N$3,'Schedule 4'!$J$89:$J$649,'Well Cal.'!$E384)</f>
        <v>0</v>
      </c>
      <c r="O384" s="728">
        <f>SUMIFS('Schedule 4'!$F$89:$F$649,'Schedule 4'!$I$89:$I$649,'Well Cal.'!O$3,'Schedule 4'!$J$89:$J$649,'Well Cal.'!$E384)</f>
        <v>0</v>
      </c>
      <c r="P384" s="728">
        <f>SUMIFS('Schedule 4'!$F$89:$F$649,'Schedule 4'!$I$89:$I$649,'Well Cal.'!P$3,'Schedule 4'!$J$89:$J$649,'Well Cal.'!$E384)</f>
        <v>0</v>
      </c>
      <c r="Q384" s="728">
        <f>SUMIFS('Schedule 4'!$F$89:$F$649,'Schedule 4'!$I$89:$I$649,'Well Cal.'!Q$3,'Schedule 4'!$J$89:$J$649,'Well Cal.'!$E384)</f>
        <v>0</v>
      </c>
      <c r="R384" s="728">
        <f>SUMIFS('Schedule 4'!$F$89:$F$649,'Schedule 4'!$I$89:$I$649,'Well Cal.'!R$3,'Schedule 4'!$J$89:$J$649,'Well Cal.'!$E384)</f>
        <v>0</v>
      </c>
      <c r="S384" s="728">
        <f>SUMIFS('Schedule 4'!$F$89:$F$649,'Schedule 4'!$I$89:$I$649,'Well Cal.'!S$3,'Schedule 4'!$J$89:$J$649,'Well Cal.'!$E384)</f>
        <v>0</v>
      </c>
      <c r="T384" s="728">
        <f>SUMIFS('Schedule 4'!$F$89:$F$649,'Schedule 4'!$I$89:$I$649,'Well Cal.'!T$3,'Schedule 4'!$J$89:$J$649,'Well Cal.'!$E384)</f>
        <v>0</v>
      </c>
      <c r="U384" s="728">
        <f>SUMIFS('Schedule 4'!$F$89:$F$649,'Schedule 4'!$I$89:$I$649,'Well Cal.'!U$3,'Schedule 4'!$J$89:$J$649,'Well Cal.'!$E384)</f>
        <v>0</v>
      </c>
      <c r="V384" s="728">
        <f>SUMIFS('Schedule 4'!$F$89:$F$649,'Schedule 4'!$I$89:$I$649,'Well Cal.'!V$3,'Schedule 4'!$J$89:$J$649,'Well Cal.'!$E384)</f>
        <v>0</v>
      </c>
      <c r="W384" s="728">
        <f>SUMIFS('Schedule 4'!$F$89:$F$649,'Schedule 4'!$I$89:$I$649,'Well Cal.'!W$3,'Schedule 4'!$J$89:$J$649,'Well Cal.'!$E384)</f>
        <v>0</v>
      </c>
      <c r="X384" s="728">
        <f>SUMIFS('Schedule 4'!$F$89:$F$649,'Schedule 4'!$I$89:$I$649,'Well Cal.'!X$3,'Schedule 4'!$J$89:$J$649,'Well Cal.'!$E384)</f>
        <v>0</v>
      </c>
      <c r="Y384" s="728">
        <f>SUMIFS('Schedule 4'!$F$89:$F$649,'Schedule 4'!$I$89:$I$649,'Well Cal.'!Y$3,'Schedule 4'!$J$89:$J$649,'Well Cal.'!$E384)</f>
        <v>0</v>
      </c>
      <c r="Z384" s="728">
        <f>SUMIFS('Schedule 4'!$F$89:$F$649,'Schedule 4'!$I$89:$I$649,'Well Cal.'!Z$3,'Schedule 4'!$J$89:$J$649,'Well Cal.'!$E384)</f>
        <v>0</v>
      </c>
      <c r="AA384" s="728"/>
      <c r="AB384" s="1729">
        <f>SUM(F384:AA406)</f>
        <v>0</v>
      </c>
      <c r="AC384" s="1729">
        <f>D384-AB384</f>
        <v>0</v>
      </c>
    </row>
    <row r="385" spans="2:29" x14ac:dyDescent="0.3">
      <c r="B385" s="1724"/>
      <c r="C385" s="1727"/>
      <c r="D385" s="1721"/>
      <c r="E385" s="761" t="s">
        <v>3258</v>
      </c>
      <c r="F385" s="726">
        <f>SUMIFS('Schedule 4'!$F$89:$F$649,'Schedule 4'!$I$89:$I$649,'Well Cal.'!F$3,'Schedule 4'!$J$89:$J$649,'Well Cal.'!$E385)</f>
        <v>0</v>
      </c>
      <c r="G385" s="726">
        <f>SUMIFS('Schedule 4'!$F$89:$F$649,'Schedule 4'!$I$89:$I$649,'Well Cal.'!G$3,'Schedule 4'!$J$89:$J$649,'Well Cal.'!$E385)</f>
        <v>0</v>
      </c>
      <c r="H385" s="726">
        <f>SUMIFS('Schedule 4'!$F$89:$F$649,'Schedule 4'!$I$89:$I$649,'Well Cal.'!H$3,'Schedule 4'!$J$89:$J$649,'Well Cal.'!$E385)</f>
        <v>0</v>
      </c>
      <c r="I385" s="726">
        <f>SUMIFS('Schedule 4'!$F$89:$F$649,'Schedule 4'!$I$89:$I$649,'Well Cal.'!I$3,'Schedule 4'!$J$89:$J$649,'Well Cal.'!$E385)</f>
        <v>0</v>
      </c>
      <c r="J385" s="726">
        <f>SUMIFS('Schedule 4'!$F$89:$F$649,'Schedule 4'!$I$89:$I$649,'Well Cal.'!J$3,'Schedule 4'!$J$89:$J$649,'Well Cal.'!$E385)</f>
        <v>0</v>
      </c>
      <c r="K385" s="726">
        <f>SUMIFS('Schedule 4'!$F$89:$F$649,'Schedule 4'!$I$89:$I$649,'Well Cal.'!K$3,'Schedule 4'!$J$89:$J$649,'Well Cal.'!$E385)</f>
        <v>0</v>
      </c>
      <c r="L385" s="726">
        <f>SUMIFS('Schedule 4'!$F$89:$F$649,'Schedule 4'!$I$89:$I$649,'Well Cal.'!L$3,'Schedule 4'!$J$89:$J$649,'Well Cal.'!$E385)</f>
        <v>0</v>
      </c>
      <c r="M385" s="726">
        <f>SUMIFS('Schedule 4'!$F$89:$F$649,'Schedule 4'!$I$89:$I$649,'Well Cal.'!M$3,'Schedule 4'!$J$89:$J$649,'Well Cal.'!$E385)</f>
        <v>0</v>
      </c>
      <c r="N385" s="726">
        <f>SUMIFS('Schedule 4'!$F$89:$F$649,'Schedule 4'!$I$89:$I$649,'Well Cal.'!N$3,'Schedule 4'!$J$89:$J$649,'Well Cal.'!$E385)</f>
        <v>0</v>
      </c>
      <c r="O385" s="726">
        <f>SUMIFS('Schedule 4'!$F$89:$F$649,'Schedule 4'!$I$89:$I$649,'Well Cal.'!O$3,'Schedule 4'!$J$89:$J$649,'Well Cal.'!$E385)</f>
        <v>0</v>
      </c>
      <c r="P385" s="726">
        <f>SUMIFS('Schedule 4'!$F$89:$F$649,'Schedule 4'!$I$89:$I$649,'Well Cal.'!P$3,'Schedule 4'!$J$89:$J$649,'Well Cal.'!$E385)</f>
        <v>0</v>
      </c>
      <c r="Q385" s="726">
        <f>SUMIFS('Schedule 4'!$F$89:$F$649,'Schedule 4'!$I$89:$I$649,'Well Cal.'!Q$3,'Schedule 4'!$J$89:$J$649,'Well Cal.'!$E385)</f>
        <v>0</v>
      </c>
      <c r="R385" s="726">
        <f>SUMIFS('Schedule 4'!$F$89:$F$649,'Schedule 4'!$I$89:$I$649,'Well Cal.'!R$3,'Schedule 4'!$J$89:$J$649,'Well Cal.'!$E385)</f>
        <v>0</v>
      </c>
      <c r="S385" s="726">
        <f>SUMIFS('Schedule 4'!$F$89:$F$649,'Schedule 4'!$I$89:$I$649,'Well Cal.'!S$3,'Schedule 4'!$J$89:$J$649,'Well Cal.'!$E385)</f>
        <v>0</v>
      </c>
      <c r="T385" s="726">
        <f>SUMIFS('Schedule 4'!$F$89:$F$649,'Schedule 4'!$I$89:$I$649,'Well Cal.'!T$3,'Schedule 4'!$J$89:$J$649,'Well Cal.'!$E385)</f>
        <v>0</v>
      </c>
      <c r="U385" s="726">
        <f>SUMIFS('Schedule 4'!$F$89:$F$649,'Schedule 4'!$I$89:$I$649,'Well Cal.'!U$3,'Schedule 4'!$J$89:$J$649,'Well Cal.'!$E385)</f>
        <v>0</v>
      </c>
      <c r="V385" s="726">
        <f>SUMIFS('Schedule 4'!$F$89:$F$649,'Schedule 4'!$I$89:$I$649,'Well Cal.'!V$3,'Schedule 4'!$J$89:$J$649,'Well Cal.'!$E385)</f>
        <v>0</v>
      </c>
      <c r="W385" s="726">
        <f>SUMIFS('Schedule 4'!$F$89:$F$649,'Schedule 4'!$I$89:$I$649,'Well Cal.'!W$3,'Schedule 4'!$J$89:$J$649,'Well Cal.'!$E385)</f>
        <v>0</v>
      </c>
      <c r="X385" s="726">
        <f>SUMIFS('Schedule 4'!$F$89:$F$649,'Schedule 4'!$I$89:$I$649,'Well Cal.'!X$3,'Schedule 4'!$J$89:$J$649,'Well Cal.'!$E385)</f>
        <v>0</v>
      </c>
      <c r="Y385" s="726">
        <f>SUMIFS('Schedule 4'!$F$89:$F$649,'Schedule 4'!$I$89:$I$649,'Well Cal.'!Y$3,'Schedule 4'!$J$89:$J$649,'Well Cal.'!$E385)</f>
        <v>0</v>
      </c>
      <c r="Z385" s="726">
        <f>SUMIFS('Schedule 4'!$F$89:$F$649,'Schedule 4'!$I$89:$I$649,'Well Cal.'!Z$3,'Schedule 4'!$J$89:$J$649,'Well Cal.'!$E385)</f>
        <v>0</v>
      </c>
      <c r="AA385" s="726"/>
      <c r="AB385" s="1730"/>
      <c r="AC385" s="1730"/>
    </row>
    <row r="386" spans="2:29" x14ac:dyDescent="0.3">
      <c r="B386" s="1724"/>
      <c r="C386" s="1727"/>
      <c r="D386" s="1721"/>
      <c r="E386" s="761" t="s">
        <v>3335</v>
      </c>
      <c r="F386" s="726">
        <f>SUMIFS('Schedule 4'!$F$89:$F$649,'Schedule 4'!$I$89:$I$649,'Well Cal.'!F$3,'Schedule 4'!$J$89:$J$649,'Well Cal.'!$E386)</f>
        <v>0</v>
      </c>
      <c r="G386" s="726">
        <f>SUMIFS('Schedule 4'!$F$89:$F$649,'Schedule 4'!$I$89:$I$649,'Well Cal.'!G$3,'Schedule 4'!$J$89:$J$649,'Well Cal.'!$E386)</f>
        <v>0</v>
      </c>
      <c r="H386" s="726">
        <f>SUMIFS('Schedule 4'!$F$89:$F$649,'Schedule 4'!$I$89:$I$649,'Well Cal.'!H$3,'Schedule 4'!$J$89:$J$649,'Well Cal.'!$E386)</f>
        <v>0</v>
      </c>
      <c r="I386" s="726">
        <f>SUMIFS('Schedule 4'!$F$89:$F$649,'Schedule 4'!$I$89:$I$649,'Well Cal.'!I$3,'Schedule 4'!$J$89:$J$649,'Well Cal.'!$E386)</f>
        <v>0</v>
      </c>
      <c r="J386" s="726">
        <f>SUMIFS('Schedule 4'!$F$89:$F$649,'Schedule 4'!$I$89:$I$649,'Well Cal.'!J$3,'Schedule 4'!$J$89:$J$649,'Well Cal.'!$E386)</f>
        <v>0</v>
      </c>
      <c r="K386" s="726">
        <f>SUMIFS('Schedule 4'!$F$89:$F$649,'Schedule 4'!$I$89:$I$649,'Well Cal.'!K$3,'Schedule 4'!$J$89:$J$649,'Well Cal.'!$E386)</f>
        <v>0</v>
      </c>
      <c r="L386" s="726">
        <f>SUMIFS('Schedule 4'!$F$89:$F$649,'Schedule 4'!$I$89:$I$649,'Well Cal.'!L$3,'Schedule 4'!$J$89:$J$649,'Well Cal.'!$E386)</f>
        <v>0</v>
      </c>
      <c r="M386" s="726">
        <f>SUMIFS('Schedule 4'!$F$89:$F$649,'Schedule 4'!$I$89:$I$649,'Well Cal.'!M$3,'Schedule 4'!$J$89:$J$649,'Well Cal.'!$E386)</f>
        <v>0</v>
      </c>
      <c r="N386" s="726">
        <f>SUMIFS('Schedule 4'!$F$89:$F$649,'Schedule 4'!$I$89:$I$649,'Well Cal.'!N$3,'Schedule 4'!$J$89:$J$649,'Well Cal.'!$E386)</f>
        <v>0</v>
      </c>
      <c r="O386" s="726">
        <f>SUMIFS('Schedule 4'!$F$89:$F$649,'Schedule 4'!$I$89:$I$649,'Well Cal.'!O$3,'Schedule 4'!$J$89:$J$649,'Well Cal.'!$E386)</f>
        <v>0</v>
      </c>
      <c r="P386" s="726">
        <f>SUMIFS('Schedule 4'!$F$89:$F$649,'Schedule 4'!$I$89:$I$649,'Well Cal.'!P$3,'Schedule 4'!$J$89:$J$649,'Well Cal.'!$E386)</f>
        <v>0</v>
      </c>
      <c r="Q386" s="726">
        <f>SUMIFS('Schedule 4'!$F$89:$F$649,'Schedule 4'!$I$89:$I$649,'Well Cal.'!Q$3,'Schedule 4'!$J$89:$J$649,'Well Cal.'!$E386)</f>
        <v>0</v>
      </c>
      <c r="R386" s="726">
        <f>SUMIFS('Schedule 4'!$F$89:$F$649,'Schedule 4'!$I$89:$I$649,'Well Cal.'!R$3,'Schedule 4'!$J$89:$J$649,'Well Cal.'!$E386)</f>
        <v>0</v>
      </c>
      <c r="S386" s="726">
        <f>SUMIFS('Schedule 4'!$F$89:$F$649,'Schedule 4'!$I$89:$I$649,'Well Cal.'!S$3,'Schedule 4'!$J$89:$J$649,'Well Cal.'!$E386)</f>
        <v>0</v>
      </c>
      <c r="T386" s="726">
        <f>SUMIFS('Schedule 4'!$F$89:$F$649,'Schedule 4'!$I$89:$I$649,'Well Cal.'!T$3,'Schedule 4'!$J$89:$J$649,'Well Cal.'!$E386)</f>
        <v>0</v>
      </c>
      <c r="U386" s="726">
        <f>SUMIFS('Schedule 4'!$F$89:$F$649,'Schedule 4'!$I$89:$I$649,'Well Cal.'!U$3,'Schedule 4'!$J$89:$J$649,'Well Cal.'!$E386)</f>
        <v>0</v>
      </c>
      <c r="V386" s="726">
        <f>SUMIFS('Schedule 4'!$F$89:$F$649,'Schedule 4'!$I$89:$I$649,'Well Cal.'!V$3,'Schedule 4'!$J$89:$J$649,'Well Cal.'!$E386)</f>
        <v>0</v>
      </c>
      <c r="W386" s="726">
        <f>SUMIFS('Schedule 4'!$F$89:$F$649,'Schedule 4'!$I$89:$I$649,'Well Cal.'!W$3,'Schedule 4'!$J$89:$J$649,'Well Cal.'!$E386)</f>
        <v>0</v>
      </c>
      <c r="X386" s="726">
        <f>SUMIFS('Schedule 4'!$F$89:$F$649,'Schedule 4'!$I$89:$I$649,'Well Cal.'!X$3,'Schedule 4'!$J$89:$J$649,'Well Cal.'!$E386)</f>
        <v>0</v>
      </c>
      <c r="Y386" s="726">
        <f>SUMIFS('Schedule 4'!$F$89:$F$649,'Schedule 4'!$I$89:$I$649,'Well Cal.'!Y$3,'Schedule 4'!$J$89:$J$649,'Well Cal.'!$E386)</f>
        <v>0</v>
      </c>
      <c r="Z386" s="726">
        <f>SUMIFS('Schedule 4'!$F$89:$F$649,'Schedule 4'!$I$89:$I$649,'Well Cal.'!Z$3,'Schedule 4'!$J$89:$J$649,'Well Cal.'!$E386)</f>
        <v>0</v>
      </c>
      <c r="AA386" s="726"/>
      <c r="AB386" s="1730"/>
      <c r="AC386" s="1730"/>
    </row>
    <row r="387" spans="2:29" x14ac:dyDescent="0.3">
      <c r="B387" s="1724"/>
      <c r="C387" s="1727"/>
      <c r="D387" s="1721"/>
      <c r="E387" s="775" t="s">
        <v>3409</v>
      </c>
      <c r="F387" s="726">
        <f>SUMIFS('Schedule 4'!$F$89:$F$649,'Schedule 4'!$I$89:$I$649,'Well Cal.'!F$3,'Schedule 4'!$J$89:$J$649,'Well Cal.'!$E387)</f>
        <v>0</v>
      </c>
      <c r="G387" s="726">
        <f>SUMIFS('Schedule 4'!$F$89:$F$649,'Schedule 4'!$I$89:$I$649,'Well Cal.'!G$3,'Schedule 4'!$J$89:$J$649,'Well Cal.'!$E387)</f>
        <v>0</v>
      </c>
      <c r="H387" s="726">
        <f>SUMIFS('Schedule 4'!$F$89:$F$649,'Schedule 4'!$I$89:$I$649,'Well Cal.'!H$3,'Schedule 4'!$J$89:$J$649,'Well Cal.'!$E387)</f>
        <v>0</v>
      </c>
      <c r="I387" s="726">
        <f>SUMIFS('Schedule 4'!$F$89:$F$649,'Schedule 4'!$I$89:$I$649,'Well Cal.'!I$3,'Schedule 4'!$J$89:$J$649,'Well Cal.'!$E387)</f>
        <v>0</v>
      </c>
      <c r="J387" s="726">
        <f>SUMIFS('Schedule 4'!$F$89:$F$649,'Schedule 4'!$I$89:$I$649,'Well Cal.'!J$3,'Schedule 4'!$J$89:$J$649,'Well Cal.'!$E387)</f>
        <v>0</v>
      </c>
      <c r="K387" s="726">
        <f>SUMIFS('Schedule 4'!$F$89:$F$649,'Schedule 4'!$I$89:$I$649,'Well Cal.'!K$3,'Schedule 4'!$J$89:$J$649,'Well Cal.'!$E387)</f>
        <v>0</v>
      </c>
      <c r="L387" s="726">
        <f>SUMIFS('Schedule 4'!$F$89:$F$649,'Schedule 4'!$I$89:$I$649,'Well Cal.'!L$3,'Schedule 4'!$J$89:$J$649,'Well Cal.'!$E387)</f>
        <v>0</v>
      </c>
      <c r="M387" s="726">
        <f>SUMIFS('Schedule 4'!$F$89:$F$649,'Schedule 4'!$I$89:$I$649,'Well Cal.'!M$3,'Schedule 4'!$J$89:$J$649,'Well Cal.'!$E387)</f>
        <v>0</v>
      </c>
      <c r="N387" s="726">
        <f>SUMIFS('Schedule 4'!$F$89:$F$649,'Schedule 4'!$I$89:$I$649,'Well Cal.'!N$3,'Schedule 4'!$J$89:$J$649,'Well Cal.'!$E387)</f>
        <v>0</v>
      </c>
      <c r="O387" s="726">
        <f>SUMIFS('Schedule 4'!$F$89:$F$649,'Schedule 4'!$I$89:$I$649,'Well Cal.'!O$3,'Schedule 4'!$J$89:$J$649,'Well Cal.'!$E387)</f>
        <v>0</v>
      </c>
      <c r="P387" s="726">
        <f>SUMIFS('Schedule 4'!$F$89:$F$649,'Schedule 4'!$I$89:$I$649,'Well Cal.'!P$3,'Schedule 4'!$J$89:$J$649,'Well Cal.'!$E387)</f>
        <v>0</v>
      </c>
      <c r="Q387" s="726">
        <f>SUMIFS('Schedule 4'!$F$89:$F$649,'Schedule 4'!$I$89:$I$649,'Well Cal.'!Q$3,'Schedule 4'!$J$89:$J$649,'Well Cal.'!$E387)</f>
        <v>0</v>
      </c>
      <c r="R387" s="726">
        <f>SUMIFS('Schedule 4'!$F$89:$F$649,'Schedule 4'!$I$89:$I$649,'Well Cal.'!R$3,'Schedule 4'!$J$89:$J$649,'Well Cal.'!$E387)</f>
        <v>0</v>
      </c>
      <c r="S387" s="726">
        <f>SUMIFS('Schedule 4'!$F$89:$F$649,'Schedule 4'!$I$89:$I$649,'Well Cal.'!S$3,'Schedule 4'!$J$89:$J$649,'Well Cal.'!$E387)</f>
        <v>0</v>
      </c>
      <c r="T387" s="726">
        <f>SUMIFS('Schedule 4'!$F$89:$F$649,'Schedule 4'!$I$89:$I$649,'Well Cal.'!T$3,'Schedule 4'!$J$89:$J$649,'Well Cal.'!$E387)</f>
        <v>0</v>
      </c>
      <c r="U387" s="726">
        <f>SUMIFS('Schedule 4'!$F$89:$F$649,'Schedule 4'!$I$89:$I$649,'Well Cal.'!U$3,'Schedule 4'!$J$89:$J$649,'Well Cal.'!$E387)</f>
        <v>0</v>
      </c>
      <c r="V387" s="726">
        <f>SUMIFS('Schedule 4'!$F$89:$F$649,'Schedule 4'!$I$89:$I$649,'Well Cal.'!V$3,'Schedule 4'!$J$89:$J$649,'Well Cal.'!$E387)</f>
        <v>0</v>
      </c>
      <c r="W387" s="726">
        <f>SUMIFS('Schedule 4'!$F$89:$F$649,'Schedule 4'!$I$89:$I$649,'Well Cal.'!W$3,'Schedule 4'!$J$89:$J$649,'Well Cal.'!$E387)</f>
        <v>0</v>
      </c>
      <c r="X387" s="726">
        <f>SUMIFS('Schedule 4'!$F$89:$F$649,'Schedule 4'!$I$89:$I$649,'Well Cal.'!X$3,'Schedule 4'!$J$89:$J$649,'Well Cal.'!$E387)</f>
        <v>0</v>
      </c>
      <c r="Y387" s="726">
        <f>SUMIFS('Schedule 4'!$F$89:$F$649,'Schedule 4'!$I$89:$I$649,'Well Cal.'!Y$3,'Schedule 4'!$J$89:$J$649,'Well Cal.'!$E387)</f>
        <v>0</v>
      </c>
      <c r="Z387" s="726">
        <f>SUMIFS('Schedule 4'!$F$89:$F$649,'Schedule 4'!$I$89:$I$649,'Well Cal.'!Z$3,'Schedule 4'!$J$89:$J$649,'Well Cal.'!$E387)</f>
        <v>0</v>
      </c>
      <c r="AA387" s="726"/>
      <c r="AB387" s="1730"/>
      <c r="AC387" s="1730"/>
    </row>
    <row r="388" spans="2:29" x14ac:dyDescent="0.3">
      <c r="B388" s="1724"/>
      <c r="C388" s="1727"/>
      <c r="D388" s="1721"/>
      <c r="E388" s="775" t="s">
        <v>3490</v>
      </c>
      <c r="F388" s="726">
        <f>SUMIFS('Schedule 4'!$F$89:$F$649,'Schedule 4'!$I$89:$I$649,'Well Cal.'!F$3,'Schedule 4'!$J$89:$J$649,'Well Cal.'!$E388)</f>
        <v>0</v>
      </c>
      <c r="G388" s="726">
        <f>SUMIFS('Schedule 4'!$F$89:$F$649,'Schedule 4'!$I$89:$I$649,'Well Cal.'!G$3,'Schedule 4'!$J$89:$J$649,'Well Cal.'!$E388)</f>
        <v>0</v>
      </c>
      <c r="H388" s="726">
        <f>SUMIFS('Schedule 4'!$F$89:$F$649,'Schedule 4'!$I$89:$I$649,'Well Cal.'!H$3,'Schedule 4'!$J$89:$J$649,'Well Cal.'!$E388)</f>
        <v>0</v>
      </c>
      <c r="I388" s="726">
        <f>SUMIFS('Schedule 4'!$F$89:$F$649,'Schedule 4'!$I$89:$I$649,'Well Cal.'!I$3,'Schedule 4'!$J$89:$J$649,'Well Cal.'!$E388)</f>
        <v>0</v>
      </c>
      <c r="J388" s="726">
        <f>SUMIFS('Schedule 4'!$F$89:$F$649,'Schedule 4'!$I$89:$I$649,'Well Cal.'!J$3,'Schedule 4'!$J$89:$J$649,'Well Cal.'!$E388)</f>
        <v>0</v>
      </c>
      <c r="K388" s="726">
        <f>SUMIFS('Schedule 4'!$F$89:$F$649,'Schedule 4'!$I$89:$I$649,'Well Cal.'!K$3,'Schedule 4'!$J$89:$J$649,'Well Cal.'!$E388)</f>
        <v>0</v>
      </c>
      <c r="L388" s="726">
        <f>SUMIFS('Schedule 4'!$F$89:$F$649,'Schedule 4'!$I$89:$I$649,'Well Cal.'!L$3,'Schedule 4'!$J$89:$J$649,'Well Cal.'!$E388)</f>
        <v>0</v>
      </c>
      <c r="M388" s="726">
        <f>SUMIFS('Schedule 4'!$F$89:$F$649,'Schedule 4'!$I$89:$I$649,'Well Cal.'!M$3,'Schedule 4'!$J$89:$J$649,'Well Cal.'!$E388)</f>
        <v>0</v>
      </c>
      <c r="N388" s="726">
        <f>SUMIFS('Schedule 4'!$F$89:$F$649,'Schedule 4'!$I$89:$I$649,'Well Cal.'!N$3,'Schedule 4'!$J$89:$J$649,'Well Cal.'!$E388)</f>
        <v>0</v>
      </c>
      <c r="O388" s="726">
        <f>SUMIFS('Schedule 4'!$F$89:$F$649,'Schedule 4'!$I$89:$I$649,'Well Cal.'!O$3,'Schedule 4'!$J$89:$J$649,'Well Cal.'!$E388)</f>
        <v>0</v>
      </c>
      <c r="P388" s="726">
        <f>SUMIFS('Schedule 4'!$F$89:$F$649,'Schedule 4'!$I$89:$I$649,'Well Cal.'!P$3,'Schedule 4'!$J$89:$J$649,'Well Cal.'!$E388)</f>
        <v>0</v>
      </c>
      <c r="Q388" s="726">
        <f>SUMIFS('Schedule 4'!$F$89:$F$649,'Schedule 4'!$I$89:$I$649,'Well Cal.'!Q$3,'Schedule 4'!$J$89:$J$649,'Well Cal.'!$E388)</f>
        <v>0</v>
      </c>
      <c r="R388" s="726">
        <f>SUMIFS('Schedule 4'!$F$89:$F$649,'Schedule 4'!$I$89:$I$649,'Well Cal.'!R$3,'Schedule 4'!$J$89:$J$649,'Well Cal.'!$E388)</f>
        <v>0</v>
      </c>
      <c r="S388" s="726">
        <f>SUMIFS('Schedule 4'!$F$89:$F$649,'Schedule 4'!$I$89:$I$649,'Well Cal.'!S$3,'Schedule 4'!$J$89:$J$649,'Well Cal.'!$E388)</f>
        <v>0</v>
      </c>
      <c r="T388" s="726">
        <f>SUMIFS('Schedule 4'!$F$89:$F$649,'Schedule 4'!$I$89:$I$649,'Well Cal.'!T$3,'Schedule 4'!$J$89:$J$649,'Well Cal.'!$E388)</f>
        <v>0</v>
      </c>
      <c r="U388" s="726">
        <f>SUMIFS('Schedule 4'!$F$89:$F$649,'Schedule 4'!$I$89:$I$649,'Well Cal.'!U$3,'Schedule 4'!$J$89:$J$649,'Well Cal.'!$E388)</f>
        <v>0</v>
      </c>
      <c r="V388" s="726">
        <f>SUMIFS('Schedule 4'!$F$89:$F$649,'Schedule 4'!$I$89:$I$649,'Well Cal.'!V$3,'Schedule 4'!$J$89:$J$649,'Well Cal.'!$E388)</f>
        <v>0</v>
      </c>
      <c r="W388" s="726">
        <f>SUMIFS('Schedule 4'!$F$89:$F$649,'Schedule 4'!$I$89:$I$649,'Well Cal.'!W$3,'Schedule 4'!$J$89:$J$649,'Well Cal.'!$E388)</f>
        <v>0</v>
      </c>
      <c r="X388" s="726">
        <f>SUMIFS('Schedule 4'!$F$89:$F$649,'Schedule 4'!$I$89:$I$649,'Well Cal.'!X$3,'Schedule 4'!$J$89:$J$649,'Well Cal.'!$E388)</f>
        <v>0</v>
      </c>
      <c r="Y388" s="726">
        <f>SUMIFS('Schedule 4'!$F$89:$F$649,'Schedule 4'!$I$89:$I$649,'Well Cal.'!Y$3,'Schedule 4'!$J$89:$J$649,'Well Cal.'!$E388)</f>
        <v>0</v>
      </c>
      <c r="Z388" s="726">
        <f>SUMIFS('Schedule 4'!$F$89:$F$649,'Schedule 4'!$I$89:$I$649,'Well Cal.'!Z$3,'Schedule 4'!$J$89:$J$649,'Well Cal.'!$E388)</f>
        <v>0</v>
      </c>
      <c r="AA388" s="726"/>
      <c r="AB388" s="1730"/>
      <c r="AC388" s="1730"/>
    </row>
    <row r="389" spans="2:29" x14ac:dyDescent="0.3">
      <c r="B389" s="1724"/>
      <c r="C389" s="1727"/>
      <c r="D389" s="1721"/>
      <c r="E389" s="775" t="s">
        <v>3565</v>
      </c>
      <c r="F389" s="726">
        <f>SUMIFS('Schedule 4'!$F$89:$F$649,'Schedule 4'!$I$89:$I$649,'Well Cal.'!F$3,'Schedule 4'!$J$89:$J$649,'Well Cal.'!$E389)</f>
        <v>0</v>
      </c>
      <c r="G389" s="726">
        <f>SUMIFS('Schedule 4'!$F$89:$F$649,'Schedule 4'!$I$89:$I$649,'Well Cal.'!G$3,'Schedule 4'!$J$89:$J$649,'Well Cal.'!$E389)</f>
        <v>0</v>
      </c>
      <c r="H389" s="726">
        <f>SUMIFS('Schedule 4'!$F$89:$F$649,'Schedule 4'!$I$89:$I$649,'Well Cal.'!H$3,'Schedule 4'!$J$89:$J$649,'Well Cal.'!$E389)</f>
        <v>0</v>
      </c>
      <c r="I389" s="726">
        <f>SUMIFS('Schedule 4'!$F$89:$F$649,'Schedule 4'!$I$89:$I$649,'Well Cal.'!I$3,'Schedule 4'!$J$89:$J$649,'Well Cal.'!$E389)</f>
        <v>0</v>
      </c>
      <c r="J389" s="726">
        <f>SUMIFS('Schedule 4'!$F$89:$F$649,'Schedule 4'!$I$89:$I$649,'Well Cal.'!J$3,'Schedule 4'!$J$89:$J$649,'Well Cal.'!$E389)</f>
        <v>0</v>
      </c>
      <c r="K389" s="726">
        <f>SUMIFS('Schedule 4'!$F$89:$F$649,'Schedule 4'!$I$89:$I$649,'Well Cal.'!K$3,'Schedule 4'!$J$89:$J$649,'Well Cal.'!$E389)</f>
        <v>0</v>
      </c>
      <c r="L389" s="726">
        <f>SUMIFS('Schedule 4'!$F$89:$F$649,'Schedule 4'!$I$89:$I$649,'Well Cal.'!L$3,'Schedule 4'!$J$89:$J$649,'Well Cal.'!$E389)</f>
        <v>0</v>
      </c>
      <c r="M389" s="726">
        <f>SUMIFS('Schedule 4'!$F$89:$F$649,'Schedule 4'!$I$89:$I$649,'Well Cal.'!M$3,'Schedule 4'!$J$89:$J$649,'Well Cal.'!$E389)</f>
        <v>0</v>
      </c>
      <c r="N389" s="726">
        <f>SUMIFS('Schedule 4'!$F$89:$F$649,'Schedule 4'!$I$89:$I$649,'Well Cal.'!N$3,'Schedule 4'!$J$89:$J$649,'Well Cal.'!$E389)</f>
        <v>0</v>
      </c>
      <c r="O389" s="726">
        <f>SUMIFS('Schedule 4'!$F$89:$F$649,'Schedule 4'!$I$89:$I$649,'Well Cal.'!O$3,'Schedule 4'!$J$89:$J$649,'Well Cal.'!$E389)</f>
        <v>0</v>
      </c>
      <c r="P389" s="726">
        <f>SUMIFS('Schedule 4'!$F$89:$F$649,'Schedule 4'!$I$89:$I$649,'Well Cal.'!P$3,'Schedule 4'!$J$89:$J$649,'Well Cal.'!$E389)</f>
        <v>0</v>
      </c>
      <c r="Q389" s="726">
        <f>SUMIFS('Schedule 4'!$F$89:$F$649,'Schedule 4'!$I$89:$I$649,'Well Cal.'!Q$3,'Schedule 4'!$J$89:$J$649,'Well Cal.'!$E389)</f>
        <v>0</v>
      </c>
      <c r="R389" s="726">
        <f>SUMIFS('Schedule 4'!$F$89:$F$649,'Schedule 4'!$I$89:$I$649,'Well Cal.'!R$3,'Schedule 4'!$J$89:$J$649,'Well Cal.'!$E389)</f>
        <v>0</v>
      </c>
      <c r="S389" s="726">
        <f>SUMIFS('Schedule 4'!$F$89:$F$649,'Schedule 4'!$I$89:$I$649,'Well Cal.'!S$3,'Schedule 4'!$J$89:$J$649,'Well Cal.'!$E389)</f>
        <v>0</v>
      </c>
      <c r="T389" s="726">
        <f>SUMIFS('Schedule 4'!$F$89:$F$649,'Schedule 4'!$I$89:$I$649,'Well Cal.'!T$3,'Schedule 4'!$J$89:$J$649,'Well Cal.'!$E389)</f>
        <v>0</v>
      </c>
      <c r="U389" s="726">
        <f>SUMIFS('Schedule 4'!$F$89:$F$649,'Schedule 4'!$I$89:$I$649,'Well Cal.'!U$3,'Schedule 4'!$J$89:$J$649,'Well Cal.'!$E389)</f>
        <v>0</v>
      </c>
      <c r="V389" s="726">
        <f>SUMIFS('Schedule 4'!$F$89:$F$649,'Schedule 4'!$I$89:$I$649,'Well Cal.'!V$3,'Schedule 4'!$J$89:$J$649,'Well Cal.'!$E389)</f>
        <v>0</v>
      </c>
      <c r="W389" s="726">
        <f>SUMIFS('Schedule 4'!$F$89:$F$649,'Schedule 4'!$I$89:$I$649,'Well Cal.'!W$3,'Schedule 4'!$J$89:$J$649,'Well Cal.'!$E389)</f>
        <v>0</v>
      </c>
      <c r="X389" s="726">
        <f>SUMIFS('Schedule 4'!$F$89:$F$649,'Schedule 4'!$I$89:$I$649,'Well Cal.'!X$3,'Schedule 4'!$J$89:$J$649,'Well Cal.'!$E389)</f>
        <v>0</v>
      </c>
      <c r="Y389" s="726">
        <f>SUMIFS('Schedule 4'!$F$89:$F$649,'Schedule 4'!$I$89:$I$649,'Well Cal.'!Y$3,'Schedule 4'!$J$89:$J$649,'Well Cal.'!$E389)</f>
        <v>0</v>
      </c>
      <c r="Z389" s="726">
        <f>SUMIFS('Schedule 4'!$F$89:$F$649,'Schedule 4'!$I$89:$I$649,'Well Cal.'!Z$3,'Schedule 4'!$J$89:$J$649,'Well Cal.'!$E389)</f>
        <v>0</v>
      </c>
      <c r="AA389" s="726"/>
      <c r="AB389" s="1730"/>
      <c r="AC389" s="1730"/>
    </row>
    <row r="390" spans="2:29" x14ac:dyDescent="0.3">
      <c r="B390" s="1724"/>
      <c r="C390" s="1727"/>
      <c r="D390" s="1721"/>
      <c r="E390" s="775" t="s">
        <v>3637</v>
      </c>
      <c r="F390" s="726">
        <f>SUMIFS('Schedule 4'!$F$89:$F$649,'Schedule 4'!$I$89:$I$649,'Well Cal.'!F$3,'Schedule 4'!$J$89:$J$649,'Well Cal.'!$E390)</f>
        <v>0</v>
      </c>
      <c r="G390" s="726">
        <f>SUMIFS('Schedule 4'!$F$89:$F$649,'Schedule 4'!$I$89:$I$649,'Well Cal.'!G$3,'Schedule 4'!$J$89:$J$649,'Well Cal.'!$E390)</f>
        <v>0</v>
      </c>
      <c r="H390" s="726">
        <f>SUMIFS('Schedule 4'!$F$89:$F$649,'Schedule 4'!$I$89:$I$649,'Well Cal.'!H$3,'Schedule 4'!$J$89:$J$649,'Well Cal.'!$E390)</f>
        <v>0</v>
      </c>
      <c r="I390" s="726">
        <f>SUMIFS('Schedule 4'!$F$89:$F$649,'Schedule 4'!$I$89:$I$649,'Well Cal.'!I$3,'Schedule 4'!$J$89:$J$649,'Well Cal.'!$E390)</f>
        <v>0</v>
      </c>
      <c r="J390" s="726">
        <f>SUMIFS('Schedule 4'!$F$89:$F$649,'Schedule 4'!$I$89:$I$649,'Well Cal.'!J$3,'Schedule 4'!$J$89:$J$649,'Well Cal.'!$E390)</f>
        <v>0</v>
      </c>
      <c r="K390" s="726">
        <f>SUMIFS('Schedule 4'!$F$89:$F$649,'Schedule 4'!$I$89:$I$649,'Well Cal.'!K$3,'Schedule 4'!$J$89:$J$649,'Well Cal.'!$E390)</f>
        <v>0</v>
      </c>
      <c r="L390" s="726">
        <f>SUMIFS('Schedule 4'!$F$89:$F$649,'Schedule 4'!$I$89:$I$649,'Well Cal.'!L$3,'Schedule 4'!$J$89:$J$649,'Well Cal.'!$E390)</f>
        <v>0</v>
      </c>
      <c r="M390" s="726">
        <f>SUMIFS('Schedule 4'!$F$89:$F$649,'Schedule 4'!$I$89:$I$649,'Well Cal.'!M$3,'Schedule 4'!$J$89:$J$649,'Well Cal.'!$E390)</f>
        <v>0</v>
      </c>
      <c r="N390" s="726">
        <f>SUMIFS('Schedule 4'!$F$89:$F$649,'Schedule 4'!$I$89:$I$649,'Well Cal.'!N$3,'Schedule 4'!$J$89:$J$649,'Well Cal.'!$E390)</f>
        <v>0</v>
      </c>
      <c r="O390" s="726">
        <f>SUMIFS('Schedule 4'!$F$89:$F$649,'Schedule 4'!$I$89:$I$649,'Well Cal.'!O$3,'Schedule 4'!$J$89:$J$649,'Well Cal.'!$E390)</f>
        <v>0</v>
      </c>
      <c r="P390" s="726">
        <f>SUMIFS('Schedule 4'!$F$89:$F$649,'Schedule 4'!$I$89:$I$649,'Well Cal.'!P$3,'Schedule 4'!$J$89:$J$649,'Well Cal.'!$E390)</f>
        <v>0</v>
      </c>
      <c r="Q390" s="726">
        <f>SUMIFS('Schedule 4'!$F$89:$F$649,'Schedule 4'!$I$89:$I$649,'Well Cal.'!Q$3,'Schedule 4'!$J$89:$J$649,'Well Cal.'!$E390)</f>
        <v>0</v>
      </c>
      <c r="R390" s="726">
        <f>SUMIFS('Schedule 4'!$F$89:$F$649,'Schedule 4'!$I$89:$I$649,'Well Cal.'!R$3,'Schedule 4'!$J$89:$J$649,'Well Cal.'!$E390)</f>
        <v>0</v>
      </c>
      <c r="S390" s="726">
        <f>SUMIFS('Schedule 4'!$F$89:$F$649,'Schedule 4'!$I$89:$I$649,'Well Cal.'!S$3,'Schedule 4'!$J$89:$J$649,'Well Cal.'!$E390)</f>
        <v>0</v>
      </c>
      <c r="T390" s="726">
        <f>SUMIFS('Schedule 4'!$F$89:$F$649,'Schedule 4'!$I$89:$I$649,'Well Cal.'!T$3,'Schedule 4'!$J$89:$J$649,'Well Cal.'!$E390)</f>
        <v>0</v>
      </c>
      <c r="U390" s="726">
        <f>SUMIFS('Schedule 4'!$F$89:$F$649,'Schedule 4'!$I$89:$I$649,'Well Cal.'!U$3,'Schedule 4'!$J$89:$J$649,'Well Cal.'!$E390)</f>
        <v>0</v>
      </c>
      <c r="V390" s="726">
        <f>SUMIFS('Schedule 4'!$F$89:$F$649,'Schedule 4'!$I$89:$I$649,'Well Cal.'!V$3,'Schedule 4'!$J$89:$J$649,'Well Cal.'!$E390)</f>
        <v>0</v>
      </c>
      <c r="W390" s="726">
        <f>SUMIFS('Schedule 4'!$F$89:$F$649,'Schedule 4'!$I$89:$I$649,'Well Cal.'!W$3,'Schedule 4'!$J$89:$J$649,'Well Cal.'!$E390)</f>
        <v>0</v>
      </c>
      <c r="X390" s="726">
        <f>SUMIFS('Schedule 4'!$F$89:$F$649,'Schedule 4'!$I$89:$I$649,'Well Cal.'!X$3,'Schedule 4'!$J$89:$J$649,'Well Cal.'!$E390)</f>
        <v>0</v>
      </c>
      <c r="Y390" s="726">
        <f>SUMIFS('Schedule 4'!$F$89:$F$649,'Schedule 4'!$I$89:$I$649,'Well Cal.'!Y$3,'Schedule 4'!$J$89:$J$649,'Well Cal.'!$E390)</f>
        <v>0</v>
      </c>
      <c r="Z390" s="726">
        <f>SUMIFS('Schedule 4'!$F$89:$F$649,'Schedule 4'!$I$89:$I$649,'Well Cal.'!Z$3,'Schedule 4'!$J$89:$J$649,'Well Cal.'!$E390)</f>
        <v>0</v>
      </c>
      <c r="AA390" s="726"/>
      <c r="AB390" s="1730"/>
      <c r="AC390" s="1730"/>
    </row>
    <row r="391" spans="2:29" x14ac:dyDescent="0.3">
      <c r="B391" s="1724"/>
      <c r="C391" s="1727"/>
      <c r="D391" s="1721"/>
      <c r="E391" s="775" t="s">
        <v>3702</v>
      </c>
      <c r="F391" s="726">
        <f>SUMIFS('Schedule 4'!$F$89:$F$649,'Schedule 4'!$I$89:$I$649,'Well Cal.'!F$3,'Schedule 4'!$J$89:$J$649,'Well Cal.'!$E391)</f>
        <v>0</v>
      </c>
      <c r="G391" s="726">
        <f>SUMIFS('Schedule 4'!$F$89:$F$649,'Schedule 4'!$I$89:$I$649,'Well Cal.'!G$3,'Schedule 4'!$J$89:$J$649,'Well Cal.'!$E391)</f>
        <v>0</v>
      </c>
      <c r="H391" s="726">
        <f>SUMIFS('Schedule 4'!$F$89:$F$649,'Schedule 4'!$I$89:$I$649,'Well Cal.'!H$3,'Schedule 4'!$J$89:$J$649,'Well Cal.'!$E391)</f>
        <v>0</v>
      </c>
      <c r="I391" s="726">
        <f>SUMIFS('Schedule 4'!$F$89:$F$649,'Schedule 4'!$I$89:$I$649,'Well Cal.'!I$3,'Schedule 4'!$J$89:$J$649,'Well Cal.'!$E391)</f>
        <v>0</v>
      </c>
      <c r="J391" s="726">
        <f>SUMIFS('Schedule 4'!$F$89:$F$649,'Schedule 4'!$I$89:$I$649,'Well Cal.'!J$3,'Schedule 4'!$J$89:$J$649,'Well Cal.'!$E391)</f>
        <v>0</v>
      </c>
      <c r="K391" s="726">
        <f>SUMIFS('Schedule 4'!$F$89:$F$649,'Schedule 4'!$I$89:$I$649,'Well Cal.'!K$3,'Schedule 4'!$J$89:$J$649,'Well Cal.'!$E391)</f>
        <v>0</v>
      </c>
      <c r="L391" s="726">
        <f>SUMIFS('Schedule 4'!$F$89:$F$649,'Schedule 4'!$I$89:$I$649,'Well Cal.'!L$3,'Schedule 4'!$J$89:$J$649,'Well Cal.'!$E391)</f>
        <v>0</v>
      </c>
      <c r="M391" s="726">
        <f>SUMIFS('Schedule 4'!$F$89:$F$649,'Schedule 4'!$I$89:$I$649,'Well Cal.'!M$3,'Schedule 4'!$J$89:$J$649,'Well Cal.'!$E391)</f>
        <v>0</v>
      </c>
      <c r="N391" s="726">
        <f>SUMIFS('Schedule 4'!$F$89:$F$649,'Schedule 4'!$I$89:$I$649,'Well Cal.'!N$3,'Schedule 4'!$J$89:$J$649,'Well Cal.'!$E391)</f>
        <v>0</v>
      </c>
      <c r="O391" s="726">
        <f>SUMIFS('Schedule 4'!$F$89:$F$649,'Schedule 4'!$I$89:$I$649,'Well Cal.'!O$3,'Schedule 4'!$J$89:$J$649,'Well Cal.'!$E391)</f>
        <v>0</v>
      </c>
      <c r="P391" s="726">
        <f>SUMIFS('Schedule 4'!$F$89:$F$649,'Schedule 4'!$I$89:$I$649,'Well Cal.'!P$3,'Schedule 4'!$J$89:$J$649,'Well Cal.'!$E391)</f>
        <v>0</v>
      </c>
      <c r="Q391" s="726">
        <f>SUMIFS('Schedule 4'!$F$89:$F$649,'Schedule 4'!$I$89:$I$649,'Well Cal.'!Q$3,'Schedule 4'!$J$89:$J$649,'Well Cal.'!$E391)</f>
        <v>0</v>
      </c>
      <c r="R391" s="726">
        <f>SUMIFS('Schedule 4'!$F$89:$F$649,'Schedule 4'!$I$89:$I$649,'Well Cal.'!R$3,'Schedule 4'!$J$89:$J$649,'Well Cal.'!$E391)</f>
        <v>0</v>
      </c>
      <c r="S391" s="726">
        <f>SUMIFS('Schedule 4'!$F$89:$F$649,'Schedule 4'!$I$89:$I$649,'Well Cal.'!S$3,'Schedule 4'!$J$89:$J$649,'Well Cal.'!$E391)</f>
        <v>0</v>
      </c>
      <c r="T391" s="726">
        <f>SUMIFS('Schedule 4'!$F$89:$F$649,'Schedule 4'!$I$89:$I$649,'Well Cal.'!T$3,'Schedule 4'!$J$89:$J$649,'Well Cal.'!$E391)</f>
        <v>0</v>
      </c>
      <c r="U391" s="726">
        <f>SUMIFS('Schedule 4'!$F$89:$F$649,'Schedule 4'!$I$89:$I$649,'Well Cal.'!U$3,'Schedule 4'!$J$89:$J$649,'Well Cal.'!$E391)</f>
        <v>0</v>
      </c>
      <c r="V391" s="726">
        <f>SUMIFS('Schedule 4'!$F$89:$F$649,'Schedule 4'!$I$89:$I$649,'Well Cal.'!V$3,'Schedule 4'!$J$89:$J$649,'Well Cal.'!$E391)</f>
        <v>0</v>
      </c>
      <c r="W391" s="726">
        <f>SUMIFS('Schedule 4'!$F$89:$F$649,'Schedule 4'!$I$89:$I$649,'Well Cal.'!W$3,'Schedule 4'!$J$89:$J$649,'Well Cal.'!$E391)</f>
        <v>0</v>
      </c>
      <c r="X391" s="726">
        <f>SUMIFS('Schedule 4'!$F$89:$F$649,'Schedule 4'!$I$89:$I$649,'Well Cal.'!X$3,'Schedule 4'!$J$89:$J$649,'Well Cal.'!$E391)</f>
        <v>0</v>
      </c>
      <c r="Y391" s="726">
        <f>SUMIFS('Schedule 4'!$F$89:$F$649,'Schedule 4'!$I$89:$I$649,'Well Cal.'!Y$3,'Schedule 4'!$J$89:$J$649,'Well Cal.'!$E391)</f>
        <v>0</v>
      </c>
      <c r="Z391" s="726">
        <f>SUMIFS('Schedule 4'!$F$89:$F$649,'Schedule 4'!$I$89:$I$649,'Well Cal.'!Z$3,'Schedule 4'!$J$89:$J$649,'Well Cal.'!$E391)</f>
        <v>0</v>
      </c>
      <c r="AA391" s="726"/>
      <c r="AB391" s="1731"/>
      <c r="AC391" s="1731"/>
    </row>
    <row r="392" spans="2:29" x14ac:dyDescent="0.3">
      <c r="B392" s="1724"/>
      <c r="C392" s="1727"/>
      <c r="D392" s="1721"/>
      <c r="E392" s="775" t="s">
        <v>3786</v>
      </c>
      <c r="F392" s="726">
        <f>SUMIFS('Schedule 4'!$F$89:$F$649,'Schedule 4'!$I$89:$I$649,'Well Cal.'!F$3,'Schedule 4'!$J$89:$J$649,'Well Cal.'!$E392)</f>
        <v>0</v>
      </c>
      <c r="G392" s="726">
        <f>SUMIFS('Schedule 4'!$F$89:$F$649,'Schedule 4'!$I$89:$I$649,'Well Cal.'!G$3,'Schedule 4'!$J$89:$J$649,'Well Cal.'!$E392)</f>
        <v>0</v>
      </c>
      <c r="H392" s="726">
        <f>SUMIFS('Schedule 4'!$F$89:$F$649,'Schedule 4'!$I$89:$I$649,'Well Cal.'!H$3,'Schedule 4'!$J$89:$J$649,'Well Cal.'!$E392)</f>
        <v>0</v>
      </c>
      <c r="I392" s="726">
        <f>SUMIFS('Schedule 4'!$F$89:$F$649,'Schedule 4'!$I$89:$I$649,'Well Cal.'!I$3,'Schedule 4'!$J$89:$J$649,'Well Cal.'!$E392)</f>
        <v>0</v>
      </c>
      <c r="J392" s="726">
        <f>SUMIFS('Schedule 4'!$F$89:$F$649,'Schedule 4'!$I$89:$I$649,'Well Cal.'!J$3,'Schedule 4'!$J$89:$J$649,'Well Cal.'!$E392)</f>
        <v>0</v>
      </c>
      <c r="K392" s="726">
        <f>SUMIFS('Schedule 4'!$F$89:$F$649,'Schedule 4'!$I$89:$I$649,'Well Cal.'!K$3,'Schedule 4'!$J$89:$J$649,'Well Cal.'!$E392)</f>
        <v>0</v>
      </c>
      <c r="L392" s="726">
        <f>SUMIFS('Schedule 4'!$F$89:$F$649,'Schedule 4'!$I$89:$I$649,'Well Cal.'!L$3,'Schedule 4'!$J$89:$J$649,'Well Cal.'!$E392)</f>
        <v>0</v>
      </c>
      <c r="M392" s="726">
        <f>SUMIFS('Schedule 4'!$F$89:$F$649,'Schedule 4'!$I$89:$I$649,'Well Cal.'!M$3,'Schedule 4'!$J$89:$J$649,'Well Cal.'!$E392)</f>
        <v>0</v>
      </c>
      <c r="N392" s="726">
        <f>SUMIFS('Schedule 4'!$F$89:$F$649,'Schedule 4'!$I$89:$I$649,'Well Cal.'!N$3,'Schedule 4'!$J$89:$J$649,'Well Cal.'!$E392)</f>
        <v>0</v>
      </c>
      <c r="O392" s="726">
        <f>SUMIFS('Schedule 4'!$F$89:$F$649,'Schedule 4'!$I$89:$I$649,'Well Cal.'!O$3,'Schedule 4'!$J$89:$J$649,'Well Cal.'!$E392)</f>
        <v>0</v>
      </c>
      <c r="P392" s="726">
        <f>SUMIFS('Schedule 4'!$F$89:$F$649,'Schedule 4'!$I$89:$I$649,'Well Cal.'!P$3,'Schedule 4'!$J$89:$J$649,'Well Cal.'!$E392)</f>
        <v>0</v>
      </c>
      <c r="Q392" s="726">
        <f>SUMIFS('Schedule 4'!$F$89:$F$649,'Schedule 4'!$I$89:$I$649,'Well Cal.'!Q$3,'Schedule 4'!$J$89:$J$649,'Well Cal.'!$E392)</f>
        <v>0</v>
      </c>
      <c r="R392" s="726">
        <f>SUMIFS('Schedule 4'!$F$89:$F$649,'Schedule 4'!$I$89:$I$649,'Well Cal.'!R$3,'Schedule 4'!$J$89:$J$649,'Well Cal.'!$E392)</f>
        <v>0</v>
      </c>
      <c r="S392" s="726">
        <f>SUMIFS('Schedule 4'!$F$89:$F$649,'Schedule 4'!$I$89:$I$649,'Well Cal.'!S$3,'Schedule 4'!$J$89:$J$649,'Well Cal.'!$E392)</f>
        <v>0</v>
      </c>
      <c r="T392" s="726">
        <f>SUMIFS('Schedule 4'!$F$89:$F$649,'Schedule 4'!$I$89:$I$649,'Well Cal.'!T$3,'Schedule 4'!$J$89:$J$649,'Well Cal.'!$E392)</f>
        <v>0</v>
      </c>
      <c r="U392" s="726">
        <f>SUMIFS('Schedule 4'!$F$89:$F$649,'Schedule 4'!$I$89:$I$649,'Well Cal.'!U$3,'Schedule 4'!$J$89:$J$649,'Well Cal.'!$E392)</f>
        <v>0</v>
      </c>
      <c r="V392" s="726">
        <f>SUMIFS('Schedule 4'!$F$89:$F$649,'Schedule 4'!$I$89:$I$649,'Well Cal.'!V$3,'Schedule 4'!$J$89:$J$649,'Well Cal.'!$E392)</f>
        <v>0</v>
      </c>
      <c r="W392" s="726">
        <f>SUMIFS('Schedule 4'!$F$89:$F$649,'Schedule 4'!$I$89:$I$649,'Well Cal.'!W$3,'Schedule 4'!$J$89:$J$649,'Well Cal.'!$E392)</f>
        <v>0</v>
      </c>
      <c r="X392" s="726">
        <f>SUMIFS('Schedule 4'!$F$89:$F$649,'Schedule 4'!$I$89:$I$649,'Well Cal.'!X$3,'Schedule 4'!$J$89:$J$649,'Well Cal.'!$E392)</f>
        <v>0</v>
      </c>
      <c r="Y392" s="726">
        <f>SUMIFS('Schedule 4'!$F$89:$F$649,'Schedule 4'!$I$89:$I$649,'Well Cal.'!Y$3,'Schedule 4'!$J$89:$J$649,'Well Cal.'!$E392)</f>
        <v>0</v>
      </c>
      <c r="Z392" s="726">
        <f>SUMIFS('Schedule 4'!$F$89:$F$649,'Schedule 4'!$I$89:$I$649,'Well Cal.'!Z$3,'Schedule 4'!$J$89:$J$649,'Well Cal.'!$E392)</f>
        <v>0</v>
      </c>
      <c r="AA392" s="726"/>
      <c r="AB392" s="1731"/>
      <c r="AC392" s="1731"/>
    </row>
    <row r="393" spans="2:29" x14ac:dyDescent="0.3">
      <c r="B393" s="1724"/>
      <c r="C393" s="1727"/>
      <c r="D393" s="1721"/>
      <c r="E393" s="775" t="s">
        <v>3855</v>
      </c>
      <c r="F393" s="726">
        <f>SUMIFS('Schedule 4'!$F$89:$F$649,'Schedule 4'!$I$89:$I$649,'Well Cal.'!F$3,'Schedule 4'!$J$89:$J$649,'Well Cal.'!$E393)</f>
        <v>0</v>
      </c>
      <c r="G393" s="726">
        <f>SUMIFS('Schedule 4'!$F$89:$F$649,'Schedule 4'!$I$89:$I$649,'Well Cal.'!G$3,'Schedule 4'!$J$89:$J$649,'Well Cal.'!$E393)</f>
        <v>0</v>
      </c>
      <c r="H393" s="726">
        <f>SUMIFS('Schedule 4'!$F$89:$F$649,'Schedule 4'!$I$89:$I$649,'Well Cal.'!H$3,'Schedule 4'!$J$89:$J$649,'Well Cal.'!$E393)</f>
        <v>0</v>
      </c>
      <c r="I393" s="726">
        <f>SUMIFS('Schedule 4'!$F$89:$F$649,'Schedule 4'!$I$89:$I$649,'Well Cal.'!I$3,'Schedule 4'!$J$89:$J$649,'Well Cal.'!$E393)</f>
        <v>0</v>
      </c>
      <c r="J393" s="726">
        <f>SUMIFS('Schedule 4'!$F$89:$F$649,'Schedule 4'!$I$89:$I$649,'Well Cal.'!J$3,'Schedule 4'!$J$89:$J$649,'Well Cal.'!$E393)</f>
        <v>0</v>
      </c>
      <c r="K393" s="726">
        <f>SUMIFS('Schedule 4'!$F$89:$F$649,'Schedule 4'!$I$89:$I$649,'Well Cal.'!K$3,'Schedule 4'!$J$89:$J$649,'Well Cal.'!$E393)</f>
        <v>0</v>
      </c>
      <c r="L393" s="726">
        <f>SUMIFS('Schedule 4'!$F$89:$F$649,'Schedule 4'!$I$89:$I$649,'Well Cal.'!L$3,'Schedule 4'!$J$89:$J$649,'Well Cal.'!$E393)</f>
        <v>0</v>
      </c>
      <c r="M393" s="726">
        <f>SUMIFS('Schedule 4'!$F$89:$F$649,'Schedule 4'!$I$89:$I$649,'Well Cal.'!M$3,'Schedule 4'!$J$89:$J$649,'Well Cal.'!$E393)</f>
        <v>0</v>
      </c>
      <c r="N393" s="726">
        <f>SUMIFS('Schedule 4'!$F$89:$F$649,'Schedule 4'!$I$89:$I$649,'Well Cal.'!N$3,'Schedule 4'!$J$89:$J$649,'Well Cal.'!$E393)</f>
        <v>0</v>
      </c>
      <c r="O393" s="726">
        <f>SUMIFS('Schedule 4'!$F$89:$F$649,'Schedule 4'!$I$89:$I$649,'Well Cal.'!O$3,'Schedule 4'!$J$89:$J$649,'Well Cal.'!$E393)</f>
        <v>0</v>
      </c>
      <c r="P393" s="726">
        <f>SUMIFS('Schedule 4'!$F$89:$F$649,'Schedule 4'!$I$89:$I$649,'Well Cal.'!P$3,'Schedule 4'!$J$89:$J$649,'Well Cal.'!$E393)</f>
        <v>0</v>
      </c>
      <c r="Q393" s="726">
        <f>SUMIFS('Schedule 4'!$F$89:$F$649,'Schedule 4'!$I$89:$I$649,'Well Cal.'!Q$3,'Schedule 4'!$J$89:$J$649,'Well Cal.'!$E393)</f>
        <v>0</v>
      </c>
      <c r="R393" s="726">
        <f>SUMIFS('Schedule 4'!$F$89:$F$649,'Schedule 4'!$I$89:$I$649,'Well Cal.'!R$3,'Schedule 4'!$J$89:$J$649,'Well Cal.'!$E393)</f>
        <v>0</v>
      </c>
      <c r="S393" s="726">
        <f>SUMIFS('Schedule 4'!$F$89:$F$649,'Schedule 4'!$I$89:$I$649,'Well Cal.'!S$3,'Schedule 4'!$J$89:$J$649,'Well Cal.'!$E393)</f>
        <v>0</v>
      </c>
      <c r="T393" s="726">
        <f>SUMIFS('Schedule 4'!$F$89:$F$649,'Schedule 4'!$I$89:$I$649,'Well Cal.'!T$3,'Schedule 4'!$J$89:$J$649,'Well Cal.'!$E393)</f>
        <v>0</v>
      </c>
      <c r="U393" s="726">
        <f>SUMIFS('Schedule 4'!$F$89:$F$649,'Schedule 4'!$I$89:$I$649,'Well Cal.'!U$3,'Schedule 4'!$J$89:$J$649,'Well Cal.'!$E393)</f>
        <v>0</v>
      </c>
      <c r="V393" s="726">
        <f>SUMIFS('Schedule 4'!$F$89:$F$649,'Schedule 4'!$I$89:$I$649,'Well Cal.'!V$3,'Schedule 4'!$J$89:$J$649,'Well Cal.'!$E393)</f>
        <v>0</v>
      </c>
      <c r="W393" s="726">
        <f>SUMIFS('Schedule 4'!$F$89:$F$649,'Schedule 4'!$I$89:$I$649,'Well Cal.'!W$3,'Schedule 4'!$J$89:$J$649,'Well Cal.'!$E393)</f>
        <v>0</v>
      </c>
      <c r="X393" s="726">
        <f>SUMIFS('Schedule 4'!$F$89:$F$649,'Schedule 4'!$I$89:$I$649,'Well Cal.'!X$3,'Schedule 4'!$J$89:$J$649,'Well Cal.'!$E393)</f>
        <v>0</v>
      </c>
      <c r="Y393" s="726">
        <f>SUMIFS('Schedule 4'!$F$89:$F$649,'Schedule 4'!$I$89:$I$649,'Well Cal.'!Y$3,'Schedule 4'!$J$89:$J$649,'Well Cal.'!$E393)</f>
        <v>0</v>
      </c>
      <c r="Z393" s="726">
        <f>SUMIFS('Schedule 4'!$F$89:$F$649,'Schedule 4'!$I$89:$I$649,'Well Cal.'!Z$3,'Schedule 4'!$J$89:$J$649,'Well Cal.'!$E393)</f>
        <v>0</v>
      </c>
      <c r="AA393" s="726"/>
      <c r="AB393" s="1731"/>
      <c r="AC393" s="1731"/>
    </row>
    <row r="394" spans="2:29" x14ac:dyDescent="0.3">
      <c r="B394" s="1724"/>
      <c r="C394" s="1727"/>
      <c r="D394" s="1721"/>
      <c r="E394" s="775" t="s">
        <v>3926</v>
      </c>
      <c r="F394" s="726">
        <f>SUMIFS('Schedule 4'!$F$89:$F$649,'Schedule 4'!$I$89:$I$649,'Well Cal.'!F$3,'Schedule 4'!$J$89:$J$649,'Well Cal.'!$E394)</f>
        <v>0</v>
      </c>
      <c r="G394" s="726">
        <f>SUMIFS('Schedule 4'!$F$89:$F$649,'Schedule 4'!$I$89:$I$649,'Well Cal.'!G$3,'Schedule 4'!$J$89:$J$649,'Well Cal.'!$E394)</f>
        <v>0</v>
      </c>
      <c r="H394" s="726">
        <f>SUMIFS('Schedule 4'!$F$89:$F$649,'Schedule 4'!$I$89:$I$649,'Well Cal.'!H$3,'Schedule 4'!$J$89:$J$649,'Well Cal.'!$E394)</f>
        <v>0</v>
      </c>
      <c r="I394" s="726">
        <f>SUMIFS('Schedule 4'!$F$89:$F$649,'Schedule 4'!$I$89:$I$649,'Well Cal.'!I$3,'Schedule 4'!$J$89:$J$649,'Well Cal.'!$E394)</f>
        <v>0</v>
      </c>
      <c r="J394" s="726">
        <f>SUMIFS('Schedule 4'!$F$89:$F$649,'Schedule 4'!$I$89:$I$649,'Well Cal.'!J$3,'Schedule 4'!$J$89:$J$649,'Well Cal.'!$E394)</f>
        <v>0</v>
      </c>
      <c r="K394" s="726">
        <f>SUMIFS('Schedule 4'!$F$89:$F$649,'Schedule 4'!$I$89:$I$649,'Well Cal.'!K$3,'Schedule 4'!$J$89:$J$649,'Well Cal.'!$E394)</f>
        <v>0</v>
      </c>
      <c r="L394" s="726">
        <f>SUMIFS('Schedule 4'!$F$89:$F$649,'Schedule 4'!$I$89:$I$649,'Well Cal.'!L$3,'Schedule 4'!$J$89:$J$649,'Well Cal.'!$E394)</f>
        <v>0</v>
      </c>
      <c r="M394" s="726">
        <f>SUMIFS('Schedule 4'!$F$89:$F$649,'Schedule 4'!$I$89:$I$649,'Well Cal.'!M$3,'Schedule 4'!$J$89:$J$649,'Well Cal.'!$E394)</f>
        <v>0</v>
      </c>
      <c r="N394" s="726">
        <f>SUMIFS('Schedule 4'!$F$89:$F$649,'Schedule 4'!$I$89:$I$649,'Well Cal.'!N$3,'Schedule 4'!$J$89:$J$649,'Well Cal.'!$E394)</f>
        <v>0</v>
      </c>
      <c r="O394" s="726">
        <f>SUMIFS('Schedule 4'!$F$89:$F$649,'Schedule 4'!$I$89:$I$649,'Well Cal.'!O$3,'Schedule 4'!$J$89:$J$649,'Well Cal.'!$E394)</f>
        <v>0</v>
      </c>
      <c r="P394" s="726">
        <f>SUMIFS('Schedule 4'!$F$89:$F$649,'Schedule 4'!$I$89:$I$649,'Well Cal.'!P$3,'Schedule 4'!$J$89:$J$649,'Well Cal.'!$E394)</f>
        <v>0</v>
      </c>
      <c r="Q394" s="726">
        <f>SUMIFS('Schedule 4'!$F$89:$F$649,'Schedule 4'!$I$89:$I$649,'Well Cal.'!Q$3,'Schedule 4'!$J$89:$J$649,'Well Cal.'!$E394)</f>
        <v>0</v>
      </c>
      <c r="R394" s="726">
        <f>SUMIFS('Schedule 4'!$F$89:$F$649,'Schedule 4'!$I$89:$I$649,'Well Cal.'!R$3,'Schedule 4'!$J$89:$J$649,'Well Cal.'!$E394)</f>
        <v>0</v>
      </c>
      <c r="S394" s="726">
        <f>SUMIFS('Schedule 4'!$F$89:$F$649,'Schedule 4'!$I$89:$I$649,'Well Cal.'!S$3,'Schedule 4'!$J$89:$J$649,'Well Cal.'!$E394)</f>
        <v>0</v>
      </c>
      <c r="T394" s="726">
        <f>SUMIFS('Schedule 4'!$F$89:$F$649,'Schedule 4'!$I$89:$I$649,'Well Cal.'!T$3,'Schedule 4'!$J$89:$J$649,'Well Cal.'!$E394)</f>
        <v>0</v>
      </c>
      <c r="U394" s="726">
        <f>SUMIFS('Schedule 4'!$F$89:$F$649,'Schedule 4'!$I$89:$I$649,'Well Cal.'!U$3,'Schedule 4'!$J$89:$J$649,'Well Cal.'!$E394)</f>
        <v>0</v>
      </c>
      <c r="V394" s="726">
        <f>SUMIFS('Schedule 4'!$F$89:$F$649,'Schedule 4'!$I$89:$I$649,'Well Cal.'!V$3,'Schedule 4'!$J$89:$J$649,'Well Cal.'!$E394)</f>
        <v>0</v>
      </c>
      <c r="W394" s="726">
        <f>SUMIFS('Schedule 4'!$F$89:$F$649,'Schedule 4'!$I$89:$I$649,'Well Cal.'!W$3,'Schedule 4'!$J$89:$J$649,'Well Cal.'!$E394)</f>
        <v>0</v>
      </c>
      <c r="X394" s="726">
        <f>SUMIFS('Schedule 4'!$F$89:$F$649,'Schedule 4'!$I$89:$I$649,'Well Cal.'!X$3,'Schedule 4'!$J$89:$J$649,'Well Cal.'!$E394)</f>
        <v>0</v>
      </c>
      <c r="Y394" s="726">
        <f>SUMIFS('Schedule 4'!$F$89:$F$649,'Schedule 4'!$I$89:$I$649,'Well Cal.'!Y$3,'Schedule 4'!$J$89:$J$649,'Well Cal.'!$E394)</f>
        <v>0</v>
      </c>
      <c r="Z394" s="726">
        <f>SUMIFS('Schedule 4'!$F$89:$F$649,'Schedule 4'!$I$89:$I$649,'Well Cal.'!Z$3,'Schedule 4'!$J$89:$J$649,'Well Cal.'!$E394)</f>
        <v>0</v>
      </c>
      <c r="AA394" s="726"/>
      <c r="AB394" s="1731"/>
      <c r="AC394" s="1731"/>
    </row>
    <row r="395" spans="2:29" x14ac:dyDescent="0.3">
      <c r="B395" s="1724"/>
      <c r="C395" s="1727"/>
      <c r="D395" s="1721"/>
      <c r="E395" s="775" t="s">
        <v>3996</v>
      </c>
      <c r="F395" s="726">
        <f>SUMIFS('Schedule 4'!$F$89:$F$649,'Schedule 4'!$I$89:$I$649,'Well Cal.'!F$3,'Schedule 4'!$J$89:$J$649,'Well Cal.'!$E395)</f>
        <v>0</v>
      </c>
      <c r="G395" s="726">
        <f>SUMIFS('Schedule 4'!$F$89:$F$649,'Schedule 4'!$I$89:$I$649,'Well Cal.'!G$3,'Schedule 4'!$J$89:$J$649,'Well Cal.'!$E395)</f>
        <v>0</v>
      </c>
      <c r="H395" s="726">
        <f>SUMIFS('Schedule 4'!$F$89:$F$649,'Schedule 4'!$I$89:$I$649,'Well Cal.'!H$3,'Schedule 4'!$J$89:$J$649,'Well Cal.'!$E395)</f>
        <v>0</v>
      </c>
      <c r="I395" s="726">
        <f>SUMIFS('Schedule 4'!$F$89:$F$649,'Schedule 4'!$I$89:$I$649,'Well Cal.'!I$3,'Schedule 4'!$J$89:$J$649,'Well Cal.'!$E395)</f>
        <v>0</v>
      </c>
      <c r="J395" s="726">
        <f>SUMIFS('Schedule 4'!$F$89:$F$649,'Schedule 4'!$I$89:$I$649,'Well Cal.'!J$3,'Schedule 4'!$J$89:$J$649,'Well Cal.'!$E395)</f>
        <v>0</v>
      </c>
      <c r="K395" s="726">
        <f>SUMIFS('Schedule 4'!$F$89:$F$649,'Schedule 4'!$I$89:$I$649,'Well Cal.'!K$3,'Schedule 4'!$J$89:$J$649,'Well Cal.'!$E395)</f>
        <v>0</v>
      </c>
      <c r="L395" s="726">
        <f>SUMIFS('Schedule 4'!$F$89:$F$649,'Schedule 4'!$I$89:$I$649,'Well Cal.'!L$3,'Schedule 4'!$J$89:$J$649,'Well Cal.'!$E395)</f>
        <v>0</v>
      </c>
      <c r="M395" s="726">
        <f>SUMIFS('Schedule 4'!$F$89:$F$649,'Schedule 4'!$I$89:$I$649,'Well Cal.'!M$3,'Schedule 4'!$J$89:$J$649,'Well Cal.'!$E395)</f>
        <v>0</v>
      </c>
      <c r="N395" s="726">
        <f>SUMIFS('Schedule 4'!$F$89:$F$649,'Schedule 4'!$I$89:$I$649,'Well Cal.'!N$3,'Schedule 4'!$J$89:$J$649,'Well Cal.'!$E395)</f>
        <v>0</v>
      </c>
      <c r="O395" s="726">
        <f>SUMIFS('Schedule 4'!$F$89:$F$649,'Schedule 4'!$I$89:$I$649,'Well Cal.'!O$3,'Schedule 4'!$J$89:$J$649,'Well Cal.'!$E395)</f>
        <v>0</v>
      </c>
      <c r="P395" s="726">
        <f>SUMIFS('Schedule 4'!$F$89:$F$649,'Schedule 4'!$I$89:$I$649,'Well Cal.'!P$3,'Schedule 4'!$J$89:$J$649,'Well Cal.'!$E395)</f>
        <v>0</v>
      </c>
      <c r="Q395" s="726">
        <f>SUMIFS('Schedule 4'!$F$89:$F$649,'Schedule 4'!$I$89:$I$649,'Well Cal.'!Q$3,'Schedule 4'!$J$89:$J$649,'Well Cal.'!$E395)</f>
        <v>0</v>
      </c>
      <c r="R395" s="726">
        <f>SUMIFS('Schedule 4'!$F$89:$F$649,'Schedule 4'!$I$89:$I$649,'Well Cal.'!R$3,'Schedule 4'!$J$89:$J$649,'Well Cal.'!$E395)</f>
        <v>0</v>
      </c>
      <c r="S395" s="726">
        <f>SUMIFS('Schedule 4'!$F$89:$F$649,'Schedule 4'!$I$89:$I$649,'Well Cal.'!S$3,'Schedule 4'!$J$89:$J$649,'Well Cal.'!$E395)</f>
        <v>0</v>
      </c>
      <c r="T395" s="726">
        <f>SUMIFS('Schedule 4'!$F$89:$F$649,'Schedule 4'!$I$89:$I$649,'Well Cal.'!T$3,'Schedule 4'!$J$89:$J$649,'Well Cal.'!$E395)</f>
        <v>0</v>
      </c>
      <c r="U395" s="726">
        <f>SUMIFS('Schedule 4'!$F$89:$F$649,'Schedule 4'!$I$89:$I$649,'Well Cal.'!U$3,'Schedule 4'!$J$89:$J$649,'Well Cal.'!$E395)</f>
        <v>0</v>
      </c>
      <c r="V395" s="726">
        <f>SUMIFS('Schedule 4'!$F$89:$F$649,'Schedule 4'!$I$89:$I$649,'Well Cal.'!V$3,'Schedule 4'!$J$89:$J$649,'Well Cal.'!$E395)</f>
        <v>0</v>
      </c>
      <c r="W395" s="726">
        <f>SUMIFS('Schedule 4'!$F$89:$F$649,'Schedule 4'!$I$89:$I$649,'Well Cal.'!W$3,'Schedule 4'!$J$89:$J$649,'Well Cal.'!$E395)</f>
        <v>0</v>
      </c>
      <c r="X395" s="726">
        <f>SUMIFS('Schedule 4'!$F$89:$F$649,'Schedule 4'!$I$89:$I$649,'Well Cal.'!X$3,'Schedule 4'!$J$89:$J$649,'Well Cal.'!$E395)</f>
        <v>0</v>
      </c>
      <c r="Y395" s="726">
        <f>SUMIFS('Schedule 4'!$F$89:$F$649,'Schedule 4'!$I$89:$I$649,'Well Cal.'!Y$3,'Schedule 4'!$J$89:$J$649,'Well Cal.'!$E395)</f>
        <v>0</v>
      </c>
      <c r="Z395" s="726">
        <f>SUMIFS('Schedule 4'!$F$89:$F$649,'Schedule 4'!$I$89:$I$649,'Well Cal.'!Z$3,'Schedule 4'!$J$89:$J$649,'Well Cal.'!$E395)</f>
        <v>0</v>
      </c>
      <c r="AA395" s="726"/>
      <c r="AB395" s="1731"/>
      <c r="AC395" s="1731"/>
    </row>
    <row r="396" spans="2:29" x14ac:dyDescent="0.3">
      <c r="B396" s="1724"/>
      <c r="C396" s="1727"/>
      <c r="D396" s="1721"/>
      <c r="E396" s="775" t="s">
        <v>4069</v>
      </c>
      <c r="F396" s="726">
        <f>SUMIFS('Schedule 4'!$F$89:$F$649,'Schedule 4'!$I$89:$I$649,'Well Cal.'!F$3,'Schedule 4'!$J$89:$J$649,'Well Cal.'!$E396)</f>
        <v>0</v>
      </c>
      <c r="G396" s="726">
        <f>SUMIFS('Schedule 4'!$F$89:$F$649,'Schedule 4'!$I$89:$I$649,'Well Cal.'!G$3,'Schedule 4'!$J$89:$J$649,'Well Cal.'!$E396)</f>
        <v>0</v>
      </c>
      <c r="H396" s="726">
        <f>SUMIFS('Schedule 4'!$F$89:$F$649,'Schedule 4'!$I$89:$I$649,'Well Cal.'!H$3,'Schedule 4'!$J$89:$J$649,'Well Cal.'!$E396)</f>
        <v>0</v>
      </c>
      <c r="I396" s="726">
        <f>SUMIFS('Schedule 4'!$F$89:$F$649,'Schedule 4'!$I$89:$I$649,'Well Cal.'!I$3,'Schedule 4'!$J$89:$J$649,'Well Cal.'!$E396)</f>
        <v>0</v>
      </c>
      <c r="J396" s="726">
        <f>SUMIFS('Schedule 4'!$F$89:$F$649,'Schedule 4'!$I$89:$I$649,'Well Cal.'!J$3,'Schedule 4'!$J$89:$J$649,'Well Cal.'!$E396)</f>
        <v>0</v>
      </c>
      <c r="K396" s="726">
        <f>SUMIFS('Schedule 4'!$F$89:$F$649,'Schedule 4'!$I$89:$I$649,'Well Cal.'!K$3,'Schedule 4'!$J$89:$J$649,'Well Cal.'!$E396)</f>
        <v>0</v>
      </c>
      <c r="L396" s="726">
        <f>SUMIFS('Schedule 4'!$F$89:$F$649,'Schedule 4'!$I$89:$I$649,'Well Cal.'!L$3,'Schedule 4'!$J$89:$J$649,'Well Cal.'!$E396)</f>
        <v>0</v>
      </c>
      <c r="M396" s="726">
        <f>SUMIFS('Schedule 4'!$F$89:$F$649,'Schedule 4'!$I$89:$I$649,'Well Cal.'!M$3,'Schedule 4'!$J$89:$J$649,'Well Cal.'!$E396)</f>
        <v>0</v>
      </c>
      <c r="N396" s="726">
        <f>SUMIFS('Schedule 4'!$F$89:$F$649,'Schedule 4'!$I$89:$I$649,'Well Cal.'!N$3,'Schedule 4'!$J$89:$J$649,'Well Cal.'!$E396)</f>
        <v>0</v>
      </c>
      <c r="O396" s="726">
        <f>SUMIFS('Schedule 4'!$F$89:$F$649,'Schedule 4'!$I$89:$I$649,'Well Cal.'!O$3,'Schedule 4'!$J$89:$J$649,'Well Cal.'!$E396)</f>
        <v>0</v>
      </c>
      <c r="P396" s="726">
        <f>SUMIFS('Schedule 4'!$F$89:$F$649,'Schedule 4'!$I$89:$I$649,'Well Cal.'!P$3,'Schedule 4'!$J$89:$J$649,'Well Cal.'!$E396)</f>
        <v>0</v>
      </c>
      <c r="Q396" s="726">
        <f>SUMIFS('Schedule 4'!$F$89:$F$649,'Schedule 4'!$I$89:$I$649,'Well Cal.'!Q$3,'Schedule 4'!$J$89:$J$649,'Well Cal.'!$E396)</f>
        <v>0</v>
      </c>
      <c r="R396" s="726">
        <f>SUMIFS('Schedule 4'!$F$89:$F$649,'Schedule 4'!$I$89:$I$649,'Well Cal.'!R$3,'Schedule 4'!$J$89:$J$649,'Well Cal.'!$E396)</f>
        <v>0</v>
      </c>
      <c r="S396" s="726">
        <f>SUMIFS('Schedule 4'!$F$89:$F$649,'Schedule 4'!$I$89:$I$649,'Well Cal.'!S$3,'Schedule 4'!$J$89:$J$649,'Well Cal.'!$E396)</f>
        <v>0</v>
      </c>
      <c r="T396" s="726">
        <f>SUMIFS('Schedule 4'!$F$89:$F$649,'Schedule 4'!$I$89:$I$649,'Well Cal.'!T$3,'Schedule 4'!$J$89:$J$649,'Well Cal.'!$E396)</f>
        <v>0</v>
      </c>
      <c r="U396" s="726">
        <f>SUMIFS('Schedule 4'!$F$89:$F$649,'Schedule 4'!$I$89:$I$649,'Well Cal.'!U$3,'Schedule 4'!$J$89:$J$649,'Well Cal.'!$E396)</f>
        <v>0</v>
      </c>
      <c r="V396" s="726">
        <f>SUMIFS('Schedule 4'!$F$89:$F$649,'Schedule 4'!$I$89:$I$649,'Well Cal.'!V$3,'Schedule 4'!$J$89:$J$649,'Well Cal.'!$E396)</f>
        <v>0</v>
      </c>
      <c r="W396" s="726">
        <f>SUMIFS('Schedule 4'!$F$89:$F$649,'Schedule 4'!$I$89:$I$649,'Well Cal.'!W$3,'Schedule 4'!$J$89:$J$649,'Well Cal.'!$E396)</f>
        <v>0</v>
      </c>
      <c r="X396" s="726">
        <f>SUMIFS('Schedule 4'!$F$89:$F$649,'Schedule 4'!$I$89:$I$649,'Well Cal.'!X$3,'Schedule 4'!$J$89:$J$649,'Well Cal.'!$E396)</f>
        <v>0</v>
      </c>
      <c r="Y396" s="726">
        <f>SUMIFS('Schedule 4'!$F$89:$F$649,'Schedule 4'!$I$89:$I$649,'Well Cal.'!Y$3,'Schedule 4'!$J$89:$J$649,'Well Cal.'!$E396)</f>
        <v>0</v>
      </c>
      <c r="Z396" s="726">
        <f>SUMIFS('Schedule 4'!$F$89:$F$649,'Schedule 4'!$I$89:$I$649,'Well Cal.'!Z$3,'Schedule 4'!$J$89:$J$649,'Well Cal.'!$E396)</f>
        <v>0</v>
      </c>
      <c r="AA396" s="726"/>
      <c r="AB396" s="1731"/>
      <c r="AC396" s="1731"/>
    </row>
    <row r="397" spans="2:29" x14ac:dyDescent="0.3">
      <c r="B397" s="1724"/>
      <c r="C397" s="1727"/>
      <c r="D397" s="1721"/>
      <c r="E397" s="775" t="s">
        <v>4142</v>
      </c>
      <c r="F397" s="726">
        <f>SUMIFS('Schedule 4'!$F$89:$F$649,'Schedule 4'!$I$89:$I$649,'Well Cal.'!F$3,'Schedule 4'!$J$89:$J$649,'Well Cal.'!$E397)</f>
        <v>0</v>
      </c>
      <c r="G397" s="726">
        <f>SUMIFS('Schedule 4'!$F$89:$F$649,'Schedule 4'!$I$89:$I$649,'Well Cal.'!G$3,'Schedule 4'!$J$89:$J$649,'Well Cal.'!$E397)</f>
        <v>0</v>
      </c>
      <c r="H397" s="726">
        <f>SUMIFS('Schedule 4'!$F$89:$F$649,'Schedule 4'!$I$89:$I$649,'Well Cal.'!H$3,'Schedule 4'!$J$89:$J$649,'Well Cal.'!$E397)</f>
        <v>0</v>
      </c>
      <c r="I397" s="726">
        <f>SUMIFS('Schedule 4'!$F$89:$F$649,'Schedule 4'!$I$89:$I$649,'Well Cal.'!I$3,'Schedule 4'!$J$89:$J$649,'Well Cal.'!$E397)</f>
        <v>0</v>
      </c>
      <c r="J397" s="726">
        <f>SUMIFS('Schedule 4'!$F$89:$F$649,'Schedule 4'!$I$89:$I$649,'Well Cal.'!J$3,'Schedule 4'!$J$89:$J$649,'Well Cal.'!$E397)</f>
        <v>0</v>
      </c>
      <c r="K397" s="726">
        <f>SUMIFS('Schedule 4'!$F$89:$F$649,'Schedule 4'!$I$89:$I$649,'Well Cal.'!K$3,'Schedule 4'!$J$89:$J$649,'Well Cal.'!$E397)</f>
        <v>0</v>
      </c>
      <c r="L397" s="726">
        <f>SUMIFS('Schedule 4'!$F$89:$F$649,'Schedule 4'!$I$89:$I$649,'Well Cal.'!L$3,'Schedule 4'!$J$89:$J$649,'Well Cal.'!$E397)</f>
        <v>0</v>
      </c>
      <c r="M397" s="726">
        <f>SUMIFS('Schedule 4'!$F$89:$F$649,'Schedule 4'!$I$89:$I$649,'Well Cal.'!M$3,'Schedule 4'!$J$89:$J$649,'Well Cal.'!$E397)</f>
        <v>0</v>
      </c>
      <c r="N397" s="726">
        <f>SUMIFS('Schedule 4'!$F$89:$F$649,'Schedule 4'!$I$89:$I$649,'Well Cal.'!N$3,'Schedule 4'!$J$89:$J$649,'Well Cal.'!$E397)</f>
        <v>0</v>
      </c>
      <c r="O397" s="726">
        <f>SUMIFS('Schedule 4'!$F$89:$F$649,'Schedule 4'!$I$89:$I$649,'Well Cal.'!O$3,'Schedule 4'!$J$89:$J$649,'Well Cal.'!$E397)</f>
        <v>0</v>
      </c>
      <c r="P397" s="726">
        <f>SUMIFS('Schedule 4'!$F$89:$F$649,'Schedule 4'!$I$89:$I$649,'Well Cal.'!P$3,'Schedule 4'!$J$89:$J$649,'Well Cal.'!$E397)</f>
        <v>0</v>
      </c>
      <c r="Q397" s="726">
        <f>SUMIFS('Schedule 4'!$F$89:$F$649,'Schedule 4'!$I$89:$I$649,'Well Cal.'!Q$3,'Schedule 4'!$J$89:$J$649,'Well Cal.'!$E397)</f>
        <v>0</v>
      </c>
      <c r="R397" s="726">
        <f>SUMIFS('Schedule 4'!$F$89:$F$649,'Schedule 4'!$I$89:$I$649,'Well Cal.'!R$3,'Schedule 4'!$J$89:$J$649,'Well Cal.'!$E397)</f>
        <v>0</v>
      </c>
      <c r="S397" s="726">
        <f>SUMIFS('Schedule 4'!$F$89:$F$649,'Schedule 4'!$I$89:$I$649,'Well Cal.'!S$3,'Schedule 4'!$J$89:$J$649,'Well Cal.'!$E397)</f>
        <v>0</v>
      </c>
      <c r="T397" s="726">
        <f>SUMIFS('Schedule 4'!$F$89:$F$649,'Schedule 4'!$I$89:$I$649,'Well Cal.'!T$3,'Schedule 4'!$J$89:$J$649,'Well Cal.'!$E397)</f>
        <v>0</v>
      </c>
      <c r="U397" s="726">
        <f>SUMIFS('Schedule 4'!$F$89:$F$649,'Schedule 4'!$I$89:$I$649,'Well Cal.'!U$3,'Schedule 4'!$J$89:$J$649,'Well Cal.'!$E397)</f>
        <v>0</v>
      </c>
      <c r="V397" s="726">
        <f>SUMIFS('Schedule 4'!$F$89:$F$649,'Schedule 4'!$I$89:$I$649,'Well Cal.'!V$3,'Schedule 4'!$J$89:$J$649,'Well Cal.'!$E397)</f>
        <v>0</v>
      </c>
      <c r="W397" s="726">
        <f>SUMIFS('Schedule 4'!$F$89:$F$649,'Schedule 4'!$I$89:$I$649,'Well Cal.'!W$3,'Schedule 4'!$J$89:$J$649,'Well Cal.'!$E397)</f>
        <v>0</v>
      </c>
      <c r="X397" s="726">
        <f>SUMIFS('Schedule 4'!$F$89:$F$649,'Schedule 4'!$I$89:$I$649,'Well Cal.'!X$3,'Schedule 4'!$J$89:$J$649,'Well Cal.'!$E397)</f>
        <v>0</v>
      </c>
      <c r="Y397" s="726">
        <f>SUMIFS('Schedule 4'!$F$89:$F$649,'Schedule 4'!$I$89:$I$649,'Well Cal.'!Y$3,'Schedule 4'!$J$89:$J$649,'Well Cal.'!$E397)</f>
        <v>0</v>
      </c>
      <c r="Z397" s="726">
        <f>SUMIFS('Schedule 4'!$F$89:$F$649,'Schedule 4'!$I$89:$I$649,'Well Cal.'!Z$3,'Schedule 4'!$J$89:$J$649,'Well Cal.'!$E397)</f>
        <v>0</v>
      </c>
      <c r="AA397" s="726"/>
      <c r="AB397" s="1731"/>
      <c r="AC397" s="1731"/>
    </row>
    <row r="398" spans="2:29" x14ac:dyDescent="0.3">
      <c r="B398" s="1724"/>
      <c r="C398" s="1727"/>
      <c r="D398" s="1721"/>
      <c r="E398" s="775" t="s">
        <v>4215</v>
      </c>
      <c r="F398" s="726">
        <f>SUMIFS('Schedule 4'!$F$89:$F$649,'Schedule 4'!$I$89:$I$649,'Well Cal.'!F$3,'Schedule 4'!$J$89:$J$649,'Well Cal.'!$E398)</f>
        <v>0</v>
      </c>
      <c r="G398" s="726">
        <f>SUMIFS('Schedule 4'!$F$89:$F$649,'Schedule 4'!$I$89:$I$649,'Well Cal.'!G$3,'Schedule 4'!$J$89:$J$649,'Well Cal.'!$E398)</f>
        <v>0</v>
      </c>
      <c r="H398" s="726">
        <f>SUMIFS('Schedule 4'!$F$89:$F$649,'Schedule 4'!$I$89:$I$649,'Well Cal.'!H$3,'Schedule 4'!$J$89:$J$649,'Well Cal.'!$E398)</f>
        <v>0</v>
      </c>
      <c r="I398" s="726">
        <f>SUMIFS('Schedule 4'!$F$89:$F$649,'Schedule 4'!$I$89:$I$649,'Well Cal.'!I$3,'Schedule 4'!$J$89:$J$649,'Well Cal.'!$E398)</f>
        <v>0</v>
      </c>
      <c r="J398" s="726">
        <f>SUMIFS('Schedule 4'!$F$89:$F$649,'Schedule 4'!$I$89:$I$649,'Well Cal.'!J$3,'Schedule 4'!$J$89:$J$649,'Well Cal.'!$E398)</f>
        <v>0</v>
      </c>
      <c r="K398" s="726">
        <f>SUMIFS('Schedule 4'!$F$89:$F$649,'Schedule 4'!$I$89:$I$649,'Well Cal.'!K$3,'Schedule 4'!$J$89:$J$649,'Well Cal.'!$E398)</f>
        <v>0</v>
      </c>
      <c r="L398" s="726">
        <f>SUMIFS('Schedule 4'!$F$89:$F$649,'Schedule 4'!$I$89:$I$649,'Well Cal.'!L$3,'Schedule 4'!$J$89:$J$649,'Well Cal.'!$E398)</f>
        <v>0</v>
      </c>
      <c r="M398" s="726">
        <f>SUMIFS('Schedule 4'!$F$89:$F$649,'Schedule 4'!$I$89:$I$649,'Well Cal.'!M$3,'Schedule 4'!$J$89:$J$649,'Well Cal.'!$E398)</f>
        <v>0</v>
      </c>
      <c r="N398" s="726">
        <f>SUMIFS('Schedule 4'!$F$89:$F$649,'Schedule 4'!$I$89:$I$649,'Well Cal.'!N$3,'Schedule 4'!$J$89:$J$649,'Well Cal.'!$E398)</f>
        <v>0</v>
      </c>
      <c r="O398" s="726">
        <f>SUMIFS('Schedule 4'!$F$89:$F$649,'Schedule 4'!$I$89:$I$649,'Well Cal.'!O$3,'Schedule 4'!$J$89:$J$649,'Well Cal.'!$E398)</f>
        <v>0</v>
      </c>
      <c r="P398" s="726">
        <f>SUMIFS('Schedule 4'!$F$89:$F$649,'Schedule 4'!$I$89:$I$649,'Well Cal.'!P$3,'Schedule 4'!$J$89:$J$649,'Well Cal.'!$E398)</f>
        <v>0</v>
      </c>
      <c r="Q398" s="726">
        <f>SUMIFS('Schedule 4'!$F$89:$F$649,'Schedule 4'!$I$89:$I$649,'Well Cal.'!Q$3,'Schedule 4'!$J$89:$J$649,'Well Cal.'!$E398)</f>
        <v>0</v>
      </c>
      <c r="R398" s="726">
        <f>SUMIFS('Schedule 4'!$F$89:$F$649,'Schedule 4'!$I$89:$I$649,'Well Cal.'!R$3,'Schedule 4'!$J$89:$J$649,'Well Cal.'!$E398)</f>
        <v>0</v>
      </c>
      <c r="S398" s="726">
        <f>SUMIFS('Schedule 4'!$F$89:$F$649,'Schedule 4'!$I$89:$I$649,'Well Cal.'!S$3,'Schedule 4'!$J$89:$J$649,'Well Cal.'!$E398)</f>
        <v>0</v>
      </c>
      <c r="T398" s="726">
        <f>SUMIFS('Schedule 4'!$F$89:$F$649,'Schedule 4'!$I$89:$I$649,'Well Cal.'!T$3,'Schedule 4'!$J$89:$J$649,'Well Cal.'!$E398)</f>
        <v>0</v>
      </c>
      <c r="U398" s="726">
        <f>SUMIFS('Schedule 4'!$F$89:$F$649,'Schedule 4'!$I$89:$I$649,'Well Cal.'!U$3,'Schedule 4'!$J$89:$J$649,'Well Cal.'!$E398)</f>
        <v>0</v>
      </c>
      <c r="V398" s="726">
        <f>SUMIFS('Schedule 4'!$F$89:$F$649,'Schedule 4'!$I$89:$I$649,'Well Cal.'!V$3,'Schedule 4'!$J$89:$J$649,'Well Cal.'!$E398)</f>
        <v>0</v>
      </c>
      <c r="W398" s="726">
        <f>SUMIFS('Schedule 4'!$F$89:$F$649,'Schedule 4'!$I$89:$I$649,'Well Cal.'!W$3,'Schedule 4'!$J$89:$J$649,'Well Cal.'!$E398)</f>
        <v>0</v>
      </c>
      <c r="X398" s="726">
        <f>SUMIFS('Schedule 4'!$F$89:$F$649,'Schedule 4'!$I$89:$I$649,'Well Cal.'!X$3,'Schedule 4'!$J$89:$J$649,'Well Cal.'!$E398)</f>
        <v>0</v>
      </c>
      <c r="Y398" s="726">
        <f>SUMIFS('Schedule 4'!$F$89:$F$649,'Schedule 4'!$I$89:$I$649,'Well Cal.'!Y$3,'Schedule 4'!$J$89:$J$649,'Well Cal.'!$E398)</f>
        <v>0</v>
      </c>
      <c r="Z398" s="726">
        <f>SUMIFS('Schedule 4'!$F$89:$F$649,'Schedule 4'!$I$89:$I$649,'Well Cal.'!Z$3,'Schedule 4'!$J$89:$J$649,'Well Cal.'!$E398)</f>
        <v>0</v>
      </c>
      <c r="AA398" s="726"/>
      <c r="AB398" s="1731"/>
      <c r="AC398" s="1731"/>
    </row>
    <row r="399" spans="2:29" x14ac:dyDescent="0.3">
      <c r="B399" s="1724"/>
      <c r="C399" s="1727"/>
      <c r="D399" s="1721"/>
      <c r="E399" s="775" t="s">
        <v>4284</v>
      </c>
      <c r="F399" s="726">
        <f>SUMIFS('Schedule 4'!$F$89:$F$649,'Schedule 4'!$I$89:$I$649,'Well Cal.'!F$3,'Schedule 4'!$J$89:$J$649,'Well Cal.'!$E399)</f>
        <v>0</v>
      </c>
      <c r="G399" s="726">
        <f>SUMIFS('Schedule 4'!$F$89:$F$649,'Schedule 4'!$I$89:$I$649,'Well Cal.'!G$3,'Schedule 4'!$J$89:$J$649,'Well Cal.'!$E399)</f>
        <v>0</v>
      </c>
      <c r="H399" s="726">
        <f>SUMIFS('Schedule 4'!$F$89:$F$649,'Schedule 4'!$I$89:$I$649,'Well Cal.'!H$3,'Schedule 4'!$J$89:$J$649,'Well Cal.'!$E399)</f>
        <v>0</v>
      </c>
      <c r="I399" s="726">
        <f>SUMIFS('Schedule 4'!$F$89:$F$649,'Schedule 4'!$I$89:$I$649,'Well Cal.'!I$3,'Schedule 4'!$J$89:$J$649,'Well Cal.'!$E399)</f>
        <v>0</v>
      </c>
      <c r="J399" s="726">
        <f>SUMIFS('Schedule 4'!$F$89:$F$649,'Schedule 4'!$I$89:$I$649,'Well Cal.'!J$3,'Schedule 4'!$J$89:$J$649,'Well Cal.'!$E399)</f>
        <v>0</v>
      </c>
      <c r="K399" s="726">
        <f>SUMIFS('Schedule 4'!$F$89:$F$649,'Schedule 4'!$I$89:$I$649,'Well Cal.'!K$3,'Schedule 4'!$J$89:$J$649,'Well Cal.'!$E399)</f>
        <v>0</v>
      </c>
      <c r="L399" s="726">
        <f>SUMIFS('Schedule 4'!$F$89:$F$649,'Schedule 4'!$I$89:$I$649,'Well Cal.'!L$3,'Schedule 4'!$J$89:$J$649,'Well Cal.'!$E399)</f>
        <v>0</v>
      </c>
      <c r="M399" s="726">
        <f>SUMIFS('Schedule 4'!$F$89:$F$649,'Schedule 4'!$I$89:$I$649,'Well Cal.'!M$3,'Schedule 4'!$J$89:$J$649,'Well Cal.'!$E399)</f>
        <v>0</v>
      </c>
      <c r="N399" s="726">
        <f>SUMIFS('Schedule 4'!$F$89:$F$649,'Schedule 4'!$I$89:$I$649,'Well Cal.'!N$3,'Schedule 4'!$J$89:$J$649,'Well Cal.'!$E399)</f>
        <v>0</v>
      </c>
      <c r="O399" s="726">
        <f>SUMIFS('Schedule 4'!$F$89:$F$649,'Schedule 4'!$I$89:$I$649,'Well Cal.'!O$3,'Schedule 4'!$J$89:$J$649,'Well Cal.'!$E399)</f>
        <v>0</v>
      </c>
      <c r="P399" s="726">
        <f>SUMIFS('Schedule 4'!$F$89:$F$649,'Schedule 4'!$I$89:$I$649,'Well Cal.'!P$3,'Schedule 4'!$J$89:$J$649,'Well Cal.'!$E399)</f>
        <v>0</v>
      </c>
      <c r="Q399" s="726">
        <f>SUMIFS('Schedule 4'!$F$89:$F$649,'Schedule 4'!$I$89:$I$649,'Well Cal.'!Q$3,'Schedule 4'!$J$89:$J$649,'Well Cal.'!$E399)</f>
        <v>0</v>
      </c>
      <c r="R399" s="726">
        <f>SUMIFS('Schedule 4'!$F$89:$F$649,'Schedule 4'!$I$89:$I$649,'Well Cal.'!R$3,'Schedule 4'!$J$89:$J$649,'Well Cal.'!$E399)</f>
        <v>0</v>
      </c>
      <c r="S399" s="726">
        <f>SUMIFS('Schedule 4'!$F$89:$F$649,'Schedule 4'!$I$89:$I$649,'Well Cal.'!S$3,'Schedule 4'!$J$89:$J$649,'Well Cal.'!$E399)</f>
        <v>0</v>
      </c>
      <c r="T399" s="726">
        <f>SUMIFS('Schedule 4'!$F$89:$F$649,'Schedule 4'!$I$89:$I$649,'Well Cal.'!T$3,'Schedule 4'!$J$89:$J$649,'Well Cal.'!$E399)</f>
        <v>0</v>
      </c>
      <c r="U399" s="726">
        <f>SUMIFS('Schedule 4'!$F$89:$F$649,'Schedule 4'!$I$89:$I$649,'Well Cal.'!U$3,'Schedule 4'!$J$89:$J$649,'Well Cal.'!$E399)</f>
        <v>0</v>
      </c>
      <c r="V399" s="726">
        <f>SUMIFS('Schedule 4'!$F$89:$F$649,'Schedule 4'!$I$89:$I$649,'Well Cal.'!V$3,'Schedule 4'!$J$89:$J$649,'Well Cal.'!$E399)</f>
        <v>0</v>
      </c>
      <c r="W399" s="726">
        <f>SUMIFS('Schedule 4'!$F$89:$F$649,'Schedule 4'!$I$89:$I$649,'Well Cal.'!W$3,'Schedule 4'!$J$89:$J$649,'Well Cal.'!$E399)</f>
        <v>0</v>
      </c>
      <c r="X399" s="726">
        <f>SUMIFS('Schedule 4'!$F$89:$F$649,'Schedule 4'!$I$89:$I$649,'Well Cal.'!X$3,'Schedule 4'!$J$89:$J$649,'Well Cal.'!$E399)</f>
        <v>0</v>
      </c>
      <c r="Y399" s="726">
        <f>SUMIFS('Schedule 4'!$F$89:$F$649,'Schedule 4'!$I$89:$I$649,'Well Cal.'!Y$3,'Schedule 4'!$J$89:$J$649,'Well Cal.'!$E399)</f>
        <v>0</v>
      </c>
      <c r="Z399" s="726">
        <f>SUMIFS('Schedule 4'!$F$89:$F$649,'Schedule 4'!$I$89:$I$649,'Well Cal.'!Z$3,'Schedule 4'!$J$89:$J$649,'Well Cal.'!$E399)</f>
        <v>0</v>
      </c>
      <c r="AA399" s="726"/>
      <c r="AB399" s="1731"/>
      <c r="AC399" s="1731"/>
    </row>
    <row r="400" spans="2:29" x14ac:dyDescent="0.3">
      <c r="B400" s="1724"/>
      <c r="C400" s="1727"/>
      <c r="D400" s="1721"/>
      <c r="E400" s="775" t="s">
        <v>4352</v>
      </c>
      <c r="F400" s="726">
        <f>SUMIFS('Schedule 4'!$F$89:$F$649,'Schedule 4'!$I$89:$I$649,'Well Cal.'!F$3,'Schedule 4'!$J$89:$J$649,'Well Cal.'!$E400)</f>
        <v>0</v>
      </c>
      <c r="G400" s="726">
        <f>SUMIFS('Schedule 4'!$F$89:$F$649,'Schedule 4'!$I$89:$I$649,'Well Cal.'!G$3,'Schedule 4'!$J$89:$J$649,'Well Cal.'!$E400)</f>
        <v>0</v>
      </c>
      <c r="H400" s="726">
        <f>SUMIFS('Schedule 4'!$F$89:$F$649,'Schedule 4'!$I$89:$I$649,'Well Cal.'!H$3,'Schedule 4'!$J$89:$J$649,'Well Cal.'!$E400)</f>
        <v>0</v>
      </c>
      <c r="I400" s="726">
        <f>SUMIFS('Schedule 4'!$F$89:$F$649,'Schedule 4'!$I$89:$I$649,'Well Cal.'!I$3,'Schedule 4'!$J$89:$J$649,'Well Cal.'!$E400)</f>
        <v>0</v>
      </c>
      <c r="J400" s="726">
        <f>SUMIFS('Schedule 4'!$F$89:$F$649,'Schedule 4'!$I$89:$I$649,'Well Cal.'!J$3,'Schedule 4'!$J$89:$J$649,'Well Cal.'!$E400)</f>
        <v>0</v>
      </c>
      <c r="K400" s="726">
        <f>SUMIFS('Schedule 4'!$F$89:$F$649,'Schedule 4'!$I$89:$I$649,'Well Cal.'!K$3,'Schedule 4'!$J$89:$J$649,'Well Cal.'!$E400)</f>
        <v>0</v>
      </c>
      <c r="L400" s="726">
        <f>SUMIFS('Schedule 4'!$F$89:$F$649,'Schedule 4'!$I$89:$I$649,'Well Cal.'!L$3,'Schedule 4'!$J$89:$J$649,'Well Cal.'!$E400)</f>
        <v>0</v>
      </c>
      <c r="M400" s="726">
        <f>SUMIFS('Schedule 4'!$F$89:$F$649,'Schedule 4'!$I$89:$I$649,'Well Cal.'!M$3,'Schedule 4'!$J$89:$J$649,'Well Cal.'!$E400)</f>
        <v>0</v>
      </c>
      <c r="N400" s="726">
        <f>SUMIFS('Schedule 4'!$F$89:$F$649,'Schedule 4'!$I$89:$I$649,'Well Cal.'!N$3,'Schedule 4'!$J$89:$J$649,'Well Cal.'!$E400)</f>
        <v>0</v>
      </c>
      <c r="O400" s="726">
        <f>SUMIFS('Schedule 4'!$F$89:$F$649,'Schedule 4'!$I$89:$I$649,'Well Cal.'!O$3,'Schedule 4'!$J$89:$J$649,'Well Cal.'!$E400)</f>
        <v>0</v>
      </c>
      <c r="P400" s="726">
        <f>SUMIFS('Schedule 4'!$F$89:$F$649,'Schedule 4'!$I$89:$I$649,'Well Cal.'!P$3,'Schedule 4'!$J$89:$J$649,'Well Cal.'!$E400)</f>
        <v>0</v>
      </c>
      <c r="Q400" s="726">
        <f>SUMIFS('Schedule 4'!$F$89:$F$649,'Schedule 4'!$I$89:$I$649,'Well Cal.'!Q$3,'Schedule 4'!$J$89:$J$649,'Well Cal.'!$E400)</f>
        <v>0</v>
      </c>
      <c r="R400" s="726">
        <f>SUMIFS('Schedule 4'!$F$89:$F$649,'Schedule 4'!$I$89:$I$649,'Well Cal.'!R$3,'Schedule 4'!$J$89:$J$649,'Well Cal.'!$E400)</f>
        <v>0</v>
      </c>
      <c r="S400" s="726">
        <f>SUMIFS('Schedule 4'!$F$89:$F$649,'Schedule 4'!$I$89:$I$649,'Well Cal.'!S$3,'Schedule 4'!$J$89:$J$649,'Well Cal.'!$E400)</f>
        <v>0</v>
      </c>
      <c r="T400" s="726">
        <f>SUMIFS('Schedule 4'!$F$89:$F$649,'Schedule 4'!$I$89:$I$649,'Well Cal.'!T$3,'Schedule 4'!$J$89:$J$649,'Well Cal.'!$E400)</f>
        <v>0</v>
      </c>
      <c r="U400" s="726">
        <f>SUMIFS('Schedule 4'!$F$89:$F$649,'Schedule 4'!$I$89:$I$649,'Well Cal.'!U$3,'Schedule 4'!$J$89:$J$649,'Well Cal.'!$E400)</f>
        <v>0</v>
      </c>
      <c r="V400" s="726">
        <f>SUMIFS('Schedule 4'!$F$89:$F$649,'Schedule 4'!$I$89:$I$649,'Well Cal.'!V$3,'Schedule 4'!$J$89:$J$649,'Well Cal.'!$E400)</f>
        <v>0</v>
      </c>
      <c r="W400" s="726">
        <f>SUMIFS('Schedule 4'!$F$89:$F$649,'Schedule 4'!$I$89:$I$649,'Well Cal.'!W$3,'Schedule 4'!$J$89:$J$649,'Well Cal.'!$E400)</f>
        <v>0</v>
      </c>
      <c r="X400" s="726">
        <f>SUMIFS('Schedule 4'!$F$89:$F$649,'Schedule 4'!$I$89:$I$649,'Well Cal.'!X$3,'Schedule 4'!$J$89:$J$649,'Well Cal.'!$E400)</f>
        <v>0</v>
      </c>
      <c r="Y400" s="726">
        <f>SUMIFS('Schedule 4'!$F$89:$F$649,'Schedule 4'!$I$89:$I$649,'Well Cal.'!Y$3,'Schedule 4'!$J$89:$J$649,'Well Cal.'!$E400)</f>
        <v>0</v>
      </c>
      <c r="Z400" s="726">
        <f>SUMIFS('Schedule 4'!$F$89:$F$649,'Schedule 4'!$I$89:$I$649,'Well Cal.'!Z$3,'Schedule 4'!$J$89:$J$649,'Well Cal.'!$E400)</f>
        <v>0</v>
      </c>
      <c r="AA400" s="726"/>
      <c r="AB400" s="1731"/>
      <c r="AC400" s="1731"/>
    </row>
    <row r="401" spans="2:29" x14ac:dyDescent="0.3">
      <c r="B401" s="1724"/>
      <c r="C401" s="1727"/>
      <c r="D401" s="1721"/>
      <c r="E401" s="775" t="s">
        <v>4412</v>
      </c>
      <c r="F401" s="726">
        <f>SUMIFS('Schedule 4'!$F$89:$F$649,'Schedule 4'!$I$89:$I$649,'Well Cal.'!F$3,'Schedule 4'!$J$89:$J$649,'Well Cal.'!$E401)</f>
        <v>0</v>
      </c>
      <c r="G401" s="726">
        <f>SUMIFS('Schedule 4'!$F$89:$F$649,'Schedule 4'!$I$89:$I$649,'Well Cal.'!G$3,'Schedule 4'!$J$89:$J$649,'Well Cal.'!$E401)</f>
        <v>0</v>
      </c>
      <c r="H401" s="726">
        <f>SUMIFS('Schedule 4'!$F$89:$F$649,'Schedule 4'!$I$89:$I$649,'Well Cal.'!H$3,'Schedule 4'!$J$89:$J$649,'Well Cal.'!$E401)</f>
        <v>0</v>
      </c>
      <c r="I401" s="726">
        <f>SUMIFS('Schedule 4'!$F$89:$F$649,'Schedule 4'!$I$89:$I$649,'Well Cal.'!I$3,'Schedule 4'!$J$89:$J$649,'Well Cal.'!$E401)</f>
        <v>0</v>
      </c>
      <c r="J401" s="726">
        <f>SUMIFS('Schedule 4'!$F$89:$F$649,'Schedule 4'!$I$89:$I$649,'Well Cal.'!J$3,'Schedule 4'!$J$89:$J$649,'Well Cal.'!$E401)</f>
        <v>0</v>
      </c>
      <c r="K401" s="726">
        <f>SUMIFS('Schedule 4'!$F$89:$F$649,'Schedule 4'!$I$89:$I$649,'Well Cal.'!K$3,'Schedule 4'!$J$89:$J$649,'Well Cal.'!$E401)</f>
        <v>0</v>
      </c>
      <c r="L401" s="726">
        <f>SUMIFS('Schedule 4'!$F$89:$F$649,'Schedule 4'!$I$89:$I$649,'Well Cal.'!L$3,'Schedule 4'!$J$89:$J$649,'Well Cal.'!$E401)</f>
        <v>0</v>
      </c>
      <c r="M401" s="726">
        <f>SUMIFS('Schedule 4'!$F$89:$F$649,'Schedule 4'!$I$89:$I$649,'Well Cal.'!M$3,'Schedule 4'!$J$89:$J$649,'Well Cal.'!$E401)</f>
        <v>0</v>
      </c>
      <c r="N401" s="726">
        <f>SUMIFS('Schedule 4'!$F$89:$F$649,'Schedule 4'!$I$89:$I$649,'Well Cal.'!N$3,'Schedule 4'!$J$89:$J$649,'Well Cal.'!$E401)</f>
        <v>0</v>
      </c>
      <c r="O401" s="726">
        <f>SUMIFS('Schedule 4'!$F$89:$F$649,'Schedule 4'!$I$89:$I$649,'Well Cal.'!O$3,'Schedule 4'!$J$89:$J$649,'Well Cal.'!$E401)</f>
        <v>0</v>
      </c>
      <c r="P401" s="726">
        <f>SUMIFS('Schedule 4'!$F$89:$F$649,'Schedule 4'!$I$89:$I$649,'Well Cal.'!P$3,'Schedule 4'!$J$89:$J$649,'Well Cal.'!$E401)</f>
        <v>0</v>
      </c>
      <c r="Q401" s="726">
        <f>SUMIFS('Schedule 4'!$F$89:$F$649,'Schedule 4'!$I$89:$I$649,'Well Cal.'!Q$3,'Schedule 4'!$J$89:$J$649,'Well Cal.'!$E401)</f>
        <v>0</v>
      </c>
      <c r="R401" s="726">
        <f>SUMIFS('Schedule 4'!$F$89:$F$649,'Schedule 4'!$I$89:$I$649,'Well Cal.'!R$3,'Schedule 4'!$J$89:$J$649,'Well Cal.'!$E401)</f>
        <v>0</v>
      </c>
      <c r="S401" s="726">
        <f>SUMIFS('Schedule 4'!$F$89:$F$649,'Schedule 4'!$I$89:$I$649,'Well Cal.'!S$3,'Schedule 4'!$J$89:$J$649,'Well Cal.'!$E401)</f>
        <v>0</v>
      </c>
      <c r="T401" s="726">
        <f>SUMIFS('Schedule 4'!$F$89:$F$649,'Schedule 4'!$I$89:$I$649,'Well Cal.'!T$3,'Schedule 4'!$J$89:$J$649,'Well Cal.'!$E401)</f>
        <v>0</v>
      </c>
      <c r="U401" s="726">
        <f>SUMIFS('Schedule 4'!$F$89:$F$649,'Schedule 4'!$I$89:$I$649,'Well Cal.'!U$3,'Schedule 4'!$J$89:$J$649,'Well Cal.'!$E401)</f>
        <v>0</v>
      </c>
      <c r="V401" s="726">
        <f>SUMIFS('Schedule 4'!$F$89:$F$649,'Schedule 4'!$I$89:$I$649,'Well Cal.'!V$3,'Schedule 4'!$J$89:$J$649,'Well Cal.'!$E401)</f>
        <v>0</v>
      </c>
      <c r="W401" s="726">
        <f>SUMIFS('Schedule 4'!$F$89:$F$649,'Schedule 4'!$I$89:$I$649,'Well Cal.'!W$3,'Schedule 4'!$J$89:$J$649,'Well Cal.'!$E401)</f>
        <v>0</v>
      </c>
      <c r="X401" s="726">
        <f>SUMIFS('Schedule 4'!$F$89:$F$649,'Schedule 4'!$I$89:$I$649,'Well Cal.'!X$3,'Schedule 4'!$J$89:$J$649,'Well Cal.'!$E401)</f>
        <v>0</v>
      </c>
      <c r="Y401" s="726">
        <f>SUMIFS('Schedule 4'!$F$89:$F$649,'Schedule 4'!$I$89:$I$649,'Well Cal.'!Y$3,'Schedule 4'!$J$89:$J$649,'Well Cal.'!$E401)</f>
        <v>0</v>
      </c>
      <c r="Z401" s="726">
        <f>SUMIFS('Schedule 4'!$F$89:$F$649,'Schedule 4'!$I$89:$I$649,'Well Cal.'!Z$3,'Schedule 4'!$J$89:$J$649,'Well Cal.'!$E401)</f>
        <v>0</v>
      </c>
      <c r="AA401" s="726"/>
      <c r="AB401" s="1731"/>
      <c r="AC401" s="1731"/>
    </row>
    <row r="402" spans="2:29" x14ac:dyDescent="0.3">
      <c r="B402" s="1724"/>
      <c r="C402" s="1727"/>
      <c r="D402" s="1721"/>
      <c r="E402" s="775" t="s">
        <v>4469</v>
      </c>
      <c r="F402" s="726">
        <f>SUMIFS('Schedule 4'!$F$89:$F$649,'Schedule 4'!$I$89:$I$649,'Well Cal.'!F$3,'Schedule 4'!$J$89:$J$649,'Well Cal.'!$E402)</f>
        <v>0</v>
      </c>
      <c r="G402" s="726">
        <f>SUMIFS('Schedule 4'!$F$89:$F$649,'Schedule 4'!$I$89:$I$649,'Well Cal.'!G$3,'Schedule 4'!$J$89:$J$649,'Well Cal.'!$E402)</f>
        <v>0</v>
      </c>
      <c r="H402" s="726">
        <f>SUMIFS('Schedule 4'!$F$89:$F$649,'Schedule 4'!$I$89:$I$649,'Well Cal.'!H$3,'Schedule 4'!$J$89:$J$649,'Well Cal.'!$E402)</f>
        <v>0</v>
      </c>
      <c r="I402" s="726">
        <f>SUMIFS('Schedule 4'!$F$89:$F$649,'Schedule 4'!$I$89:$I$649,'Well Cal.'!I$3,'Schedule 4'!$J$89:$J$649,'Well Cal.'!$E402)</f>
        <v>0</v>
      </c>
      <c r="J402" s="726">
        <f>SUMIFS('Schedule 4'!$F$89:$F$649,'Schedule 4'!$I$89:$I$649,'Well Cal.'!J$3,'Schedule 4'!$J$89:$J$649,'Well Cal.'!$E402)</f>
        <v>0</v>
      </c>
      <c r="K402" s="726">
        <f>SUMIFS('Schedule 4'!$F$89:$F$649,'Schedule 4'!$I$89:$I$649,'Well Cal.'!K$3,'Schedule 4'!$J$89:$J$649,'Well Cal.'!$E402)</f>
        <v>0</v>
      </c>
      <c r="L402" s="726">
        <f>SUMIFS('Schedule 4'!$F$89:$F$649,'Schedule 4'!$I$89:$I$649,'Well Cal.'!L$3,'Schedule 4'!$J$89:$J$649,'Well Cal.'!$E402)</f>
        <v>0</v>
      </c>
      <c r="M402" s="726">
        <f>SUMIFS('Schedule 4'!$F$89:$F$649,'Schedule 4'!$I$89:$I$649,'Well Cal.'!M$3,'Schedule 4'!$J$89:$J$649,'Well Cal.'!$E402)</f>
        <v>0</v>
      </c>
      <c r="N402" s="726">
        <f>SUMIFS('Schedule 4'!$F$89:$F$649,'Schedule 4'!$I$89:$I$649,'Well Cal.'!N$3,'Schedule 4'!$J$89:$J$649,'Well Cal.'!$E402)</f>
        <v>0</v>
      </c>
      <c r="O402" s="726">
        <f>SUMIFS('Schedule 4'!$F$89:$F$649,'Schedule 4'!$I$89:$I$649,'Well Cal.'!O$3,'Schedule 4'!$J$89:$J$649,'Well Cal.'!$E402)</f>
        <v>0</v>
      </c>
      <c r="P402" s="726">
        <f>SUMIFS('Schedule 4'!$F$89:$F$649,'Schedule 4'!$I$89:$I$649,'Well Cal.'!P$3,'Schedule 4'!$J$89:$J$649,'Well Cal.'!$E402)</f>
        <v>0</v>
      </c>
      <c r="Q402" s="726">
        <f>SUMIFS('Schedule 4'!$F$89:$F$649,'Schedule 4'!$I$89:$I$649,'Well Cal.'!Q$3,'Schedule 4'!$J$89:$J$649,'Well Cal.'!$E402)</f>
        <v>0</v>
      </c>
      <c r="R402" s="726">
        <f>SUMIFS('Schedule 4'!$F$89:$F$649,'Schedule 4'!$I$89:$I$649,'Well Cal.'!R$3,'Schedule 4'!$J$89:$J$649,'Well Cal.'!$E402)</f>
        <v>0</v>
      </c>
      <c r="S402" s="726">
        <f>SUMIFS('Schedule 4'!$F$89:$F$649,'Schedule 4'!$I$89:$I$649,'Well Cal.'!S$3,'Schedule 4'!$J$89:$J$649,'Well Cal.'!$E402)</f>
        <v>0</v>
      </c>
      <c r="T402" s="726">
        <f>SUMIFS('Schedule 4'!$F$89:$F$649,'Schedule 4'!$I$89:$I$649,'Well Cal.'!T$3,'Schedule 4'!$J$89:$J$649,'Well Cal.'!$E402)</f>
        <v>0</v>
      </c>
      <c r="U402" s="726">
        <f>SUMIFS('Schedule 4'!$F$89:$F$649,'Schedule 4'!$I$89:$I$649,'Well Cal.'!U$3,'Schedule 4'!$J$89:$J$649,'Well Cal.'!$E402)</f>
        <v>0</v>
      </c>
      <c r="V402" s="726">
        <f>SUMIFS('Schedule 4'!$F$89:$F$649,'Schedule 4'!$I$89:$I$649,'Well Cal.'!V$3,'Schedule 4'!$J$89:$J$649,'Well Cal.'!$E402)</f>
        <v>0</v>
      </c>
      <c r="W402" s="726">
        <f>SUMIFS('Schedule 4'!$F$89:$F$649,'Schedule 4'!$I$89:$I$649,'Well Cal.'!W$3,'Schedule 4'!$J$89:$J$649,'Well Cal.'!$E402)</f>
        <v>0</v>
      </c>
      <c r="X402" s="726">
        <f>SUMIFS('Schedule 4'!$F$89:$F$649,'Schedule 4'!$I$89:$I$649,'Well Cal.'!X$3,'Schedule 4'!$J$89:$J$649,'Well Cal.'!$E402)</f>
        <v>0</v>
      </c>
      <c r="Y402" s="726">
        <f>SUMIFS('Schedule 4'!$F$89:$F$649,'Schedule 4'!$I$89:$I$649,'Well Cal.'!Y$3,'Schedule 4'!$J$89:$J$649,'Well Cal.'!$E402)</f>
        <v>0</v>
      </c>
      <c r="Z402" s="726">
        <f>SUMIFS('Schedule 4'!$F$89:$F$649,'Schedule 4'!$I$89:$I$649,'Well Cal.'!Z$3,'Schedule 4'!$J$89:$J$649,'Well Cal.'!$E402)</f>
        <v>0</v>
      </c>
      <c r="AA402" s="726"/>
      <c r="AB402" s="1731"/>
      <c r="AC402" s="1731"/>
    </row>
    <row r="403" spans="2:29" x14ac:dyDescent="0.3">
      <c r="B403" s="1724"/>
      <c r="C403" s="1727"/>
      <c r="D403" s="1721"/>
      <c r="E403" s="775" t="s">
        <v>4517</v>
      </c>
      <c r="F403" s="726">
        <f>SUMIFS('Schedule 4'!$F$89:$F$649,'Schedule 4'!$I$89:$I$649,'Well Cal.'!F$3,'Schedule 4'!$J$89:$J$649,'Well Cal.'!$E403)</f>
        <v>0</v>
      </c>
      <c r="G403" s="726">
        <f>SUMIFS('Schedule 4'!$F$89:$F$649,'Schedule 4'!$I$89:$I$649,'Well Cal.'!G$3,'Schedule 4'!$J$89:$J$649,'Well Cal.'!$E403)</f>
        <v>0</v>
      </c>
      <c r="H403" s="726">
        <f>SUMIFS('Schedule 4'!$F$89:$F$649,'Schedule 4'!$I$89:$I$649,'Well Cal.'!H$3,'Schedule 4'!$J$89:$J$649,'Well Cal.'!$E403)</f>
        <v>0</v>
      </c>
      <c r="I403" s="726">
        <f>SUMIFS('Schedule 4'!$F$89:$F$649,'Schedule 4'!$I$89:$I$649,'Well Cal.'!I$3,'Schedule 4'!$J$89:$J$649,'Well Cal.'!$E403)</f>
        <v>0</v>
      </c>
      <c r="J403" s="726">
        <f>SUMIFS('Schedule 4'!$F$89:$F$649,'Schedule 4'!$I$89:$I$649,'Well Cal.'!J$3,'Schedule 4'!$J$89:$J$649,'Well Cal.'!$E403)</f>
        <v>0</v>
      </c>
      <c r="K403" s="726">
        <f>SUMIFS('Schedule 4'!$F$89:$F$649,'Schedule 4'!$I$89:$I$649,'Well Cal.'!K$3,'Schedule 4'!$J$89:$J$649,'Well Cal.'!$E403)</f>
        <v>0</v>
      </c>
      <c r="L403" s="726">
        <f>SUMIFS('Schedule 4'!$F$89:$F$649,'Schedule 4'!$I$89:$I$649,'Well Cal.'!L$3,'Schedule 4'!$J$89:$J$649,'Well Cal.'!$E403)</f>
        <v>0</v>
      </c>
      <c r="M403" s="726">
        <f>SUMIFS('Schedule 4'!$F$89:$F$649,'Schedule 4'!$I$89:$I$649,'Well Cal.'!M$3,'Schedule 4'!$J$89:$J$649,'Well Cal.'!$E403)</f>
        <v>0</v>
      </c>
      <c r="N403" s="726">
        <f>SUMIFS('Schedule 4'!$F$89:$F$649,'Schedule 4'!$I$89:$I$649,'Well Cal.'!N$3,'Schedule 4'!$J$89:$J$649,'Well Cal.'!$E403)</f>
        <v>0</v>
      </c>
      <c r="O403" s="726">
        <f>SUMIFS('Schedule 4'!$F$89:$F$649,'Schedule 4'!$I$89:$I$649,'Well Cal.'!O$3,'Schedule 4'!$J$89:$J$649,'Well Cal.'!$E403)</f>
        <v>0</v>
      </c>
      <c r="P403" s="726">
        <f>SUMIFS('Schedule 4'!$F$89:$F$649,'Schedule 4'!$I$89:$I$649,'Well Cal.'!P$3,'Schedule 4'!$J$89:$J$649,'Well Cal.'!$E403)</f>
        <v>0</v>
      </c>
      <c r="Q403" s="726">
        <f>SUMIFS('Schedule 4'!$F$89:$F$649,'Schedule 4'!$I$89:$I$649,'Well Cal.'!Q$3,'Schedule 4'!$J$89:$J$649,'Well Cal.'!$E403)</f>
        <v>0</v>
      </c>
      <c r="R403" s="726">
        <f>SUMIFS('Schedule 4'!$F$89:$F$649,'Schedule 4'!$I$89:$I$649,'Well Cal.'!R$3,'Schedule 4'!$J$89:$J$649,'Well Cal.'!$E403)</f>
        <v>0</v>
      </c>
      <c r="S403" s="726">
        <f>SUMIFS('Schedule 4'!$F$89:$F$649,'Schedule 4'!$I$89:$I$649,'Well Cal.'!S$3,'Schedule 4'!$J$89:$J$649,'Well Cal.'!$E403)</f>
        <v>0</v>
      </c>
      <c r="T403" s="726">
        <f>SUMIFS('Schedule 4'!$F$89:$F$649,'Schedule 4'!$I$89:$I$649,'Well Cal.'!T$3,'Schedule 4'!$J$89:$J$649,'Well Cal.'!$E403)</f>
        <v>0</v>
      </c>
      <c r="U403" s="726">
        <f>SUMIFS('Schedule 4'!$F$89:$F$649,'Schedule 4'!$I$89:$I$649,'Well Cal.'!U$3,'Schedule 4'!$J$89:$J$649,'Well Cal.'!$E403)</f>
        <v>0</v>
      </c>
      <c r="V403" s="726">
        <f>SUMIFS('Schedule 4'!$F$89:$F$649,'Schedule 4'!$I$89:$I$649,'Well Cal.'!V$3,'Schedule 4'!$J$89:$J$649,'Well Cal.'!$E403)</f>
        <v>0</v>
      </c>
      <c r="W403" s="726">
        <f>SUMIFS('Schedule 4'!$F$89:$F$649,'Schedule 4'!$I$89:$I$649,'Well Cal.'!W$3,'Schedule 4'!$J$89:$J$649,'Well Cal.'!$E403)</f>
        <v>0</v>
      </c>
      <c r="X403" s="726">
        <f>SUMIFS('Schedule 4'!$F$89:$F$649,'Schedule 4'!$I$89:$I$649,'Well Cal.'!X$3,'Schedule 4'!$J$89:$J$649,'Well Cal.'!$E403)</f>
        <v>0</v>
      </c>
      <c r="Y403" s="726">
        <f>SUMIFS('Schedule 4'!$F$89:$F$649,'Schedule 4'!$I$89:$I$649,'Well Cal.'!Y$3,'Schedule 4'!$J$89:$J$649,'Well Cal.'!$E403)</f>
        <v>0</v>
      </c>
      <c r="Z403" s="726">
        <f>SUMIFS('Schedule 4'!$F$89:$F$649,'Schedule 4'!$I$89:$I$649,'Well Cal.'!Z$3,'Schedule 4'!$J$89:$J$649,'Well Cal.'!$E403)</f>
        <v>0</v>
      </c>
      <c r="AA403" s="726"/>
      <c r="AB403" s="1731"/>
      <c r="AC403" s="1731"/>
    </row>
    <row r="404" spans="2:29" x14ac:dyDescent="0.3">
      <c r="B404" s="1724"/>
      <c r="C404" s="1727"/>
      <c r="D404" s="1721"/>
      <c r="E404" s="775" t="s">
        <v>4558</v>
      </c>
      <c r="F404" s="726">
        <f>SUMIFS('Schedule 4'!$F$89:$F$649,'Schedule 4'!$I$89:$I$649,'Well Cal.'!F$3,'Schedule 4'!$J$89:$J$649,'Well Cal.'!$E404)</f>
        <v>0</v>
      </c>
      <c r="G404" s="726">
        <f>SUMIFS('Schedule 4'!$F$89:$F$649,'Schedule 4'!$I$89:$I$649,'Well Cal.'!G$3,'Schedule 4'!$J$89:$J$649,'Well Cal.'!$E404)</f>
        <v>0</v>
      </c>
      <c r="H404" s="726">
        <f>SUMIFS('Schedule 4'!$F$89:$F$649,'Schedule 4'!$I$89:$I$649,'Well Cal.'!H$3,'Schedule 4'!$J$89:$J$649,'Well Cal.'!$E404)</f>
        <v>0</v>
      </c>
      <c r="I404" s="726">
        <f>SUMIFS('Schedule 4'!$F$89:$F$649,'Schedule 4'!$I$89:$I$649,'Well Cal.'!I$3,'Schedule 4'!$J$89:$J$649,'Well Cal.'!$E404)</f>
        <v>0</v>
      </c>
      <c r="J404" s="726">
        <f>SUMIFS('Schedule 4'!$F$89:$F$649,'Schedule 4'!$I$89:$I$649,'Well Cal.'!J$3,'Schedule 4'!$J$89:$J$649,'Well Cal.'!$E404)</f>
        <v>0</v>
      </c>
      <c r="K404" s="726">
        <f>SUMIFS('Schedule 4'!$F$89:$F$649,'Schedule 4'!$I$89:$I$649,'Well Cal.'!K$3,'Schedule 4'!$J$89:$J$649,'Well Cal.'!$E404)</f>
        <v>0</v>
      </c>
      <c r="L404" s="726">
        <f>SUMIFS('Schedule 4'!$F$89:$F$649,'Schedule 4'!$I$89:$I$649,'Well Cal.'!L$3,'Schedule 4'!$J$89:$J$649,'Well Cal.'!$E404)</f>
        <v>0</v>
      </c>
      <c r="M404" s="726">
        <f>SUMIFS('Schedule 4'!$F$89:$F$649,'Schedule 4'!$I$89:$I$649,'Well Cal.'!M$3,'Schedule 4'!$J$89:$J$649,'Well Cal.'!$E404)</f>
        <v>0</v>
      </c>
      <c r="N404" s="726">
        <f>SUMIFS('Schedule 4'!$F$89:$F$649,'Schedule 4'!$I$89:$I$649,'Well Cal.'!N$3,'Schedule 4'!$J$89:$J$649,'Well Cal.'!$E404)</f>
        <v>0</v>
      </c>
      <c r="O404" s="726">
        <f>SUMIFS('Schedule 4'!$F$89:$F$649,'Schedule 4'!$I$89:$I$649,'Well Cal.'!O$3,'Schedule 4'!$J$89:$J$649,'Well Cal.'!$E404)</f>
        <v>0</v>
      </c>
      <c r="P404" s="726">
        <f>SUMIFS('Schedule 4'!$F$89:$F$649,'Schedule 4'!$I$89:$I$649,'Well Cal.'!P$3,'Schedule 4'!$J$89:$J$649,'Well Cal.'!$E404)</f>
        <v>0</v>
      </c>
      <c r="Q404" s="726">
        <f>SUMIFS('Schedule 4'!$F$89:$F$649,'Schedule 4'!$I$89:$I$649,'Well Cal.'!Q$3,'Schedule 4'!$J$89:$J$649,'Well Cal.'!$E404)</f>
        <v>0</v>
      </c>
      <c r="R404" s="726">
        <f>SUMIFS('Schedule 4'!$F$89:$F$649,'Schedule 4'!$I$89:$I$649,'Well Cal.'!R$3,'Schedule 4'!$J$89:$J$649,'Well Cal.'!$E404)</f>
        <v>0</v>
      </c>
      <c r="S404" s="726">
        <f>SUMIFS('Schedule 4'!$F$89:$F$649,'Schedule 4'!$I$89:$I$649,'Well Cal.'!S$3,'Schedule 4'!$J$89:$J$649,'Well Cal.'!$E404)</f>
        <v>0</v>
      </c>
      <c r="T404" s="726">
        <f>SUMIFS('Schedule 4'!$F$89:$F$649,'Schedule 4'!$I$89:$I$649,'Well Cal.'!T$3,'Schedule 4'!$J$89:$J$649,'Well Cal.'!$E404)</f>
        <v>0</v>
      </c>
      <c r="U404" s="726">
        <f>SUMIFS('Schedule 4'!$F$89:$F$649,'Schedule 4'!$I$89:$I$649,'Well Cal.'!U$3,'Schedule 4'!$J$89:$J$649,'Well Cal.'!$E404)</f>
        <v>0</v>
      </c>
      <c r="V404" s="726">
        <f>SUMIFS('Schedule 4'!$F$89:$F$649,'Schedule 4'!$I$89:$I$649,'Well Cal.'!V$3,'Schedule 4'!$J$89:$J$649,'Well Cal.'!$E404)</f>
        <v>0</v>
      </c>
      <c r="W404" s="726">
        <f>SUMIFS('Schedule 4'!$F$89:$F$649,'Schedule 4'!$I$89:$I$649,'Well Cal.'!W$3,'Schedule 4'!$J$89:$J$649,'Well Cal.'!$E404)</f>
        <v>0</v>
      </c>
      <c r="X404" s="726">
        <f>SUMIFS('Schedule 4'!$F$89:$F$649,'Schedule 4'!$I$89:$I$649,'Well Cal.'!X$3,'Schedule 4'!$J$89:$J$649,'Well Cal.'!$E404)</f>
        <v>0</v>
      </c>
      <c r="Y404" s="726">
        <f>SUMIFS('Schedule 4'!$F$89:$F$649,'Schedule 4'!$I$89:$I$649,'Well Cal.'!Y$3,'Schedule 4'!$J$89:$J$649,'Well Cal.'!$E404)</f>
        <v>0</v>
      </c>
      <c r="Z404" s="726">
        <f>SUMIFS('Schedule 4'!$F$89:$F$649,'Schedule 4'!$I$89:$I$649,'Well Cal.'!Z$3,'Schedule 4'!$J$89:$J$649,'Well Cal.'!$E404)</f>
        <v>0</v>
      </c>
      <c r="AA404" s="726"/>
      <c r="AB404" s="1731"/>
      <c r="AC404" s="1731"/>
    </row>
    <row r="405" spans="2:29" x14ac:dyDescent="0.3">
      <c r="B405" s="1724"/>
      <c r="C405" s="1727"/>
      <c r="D405" s="1721"/>
      <c r="E405" s="775" t="s">
        <v>4580</v>
      </c>
      <c r="F405" s="726">
        <f>SUMIFS('Schedule 4'!$F$89:$F$649,'Schedule 4'!$I$89:$I$649,'Well Cal.'!F$3,'Schedule 4'!$J$89:$J$649,'Well Cal.'!$E405)</f>
        <v>0</v>
      </c>
      <c r="G405" s="726">
        <f>SUMIFS('Schedule 4'!$F$89:$F$649,'Schedule 4'!$I$89:$I$649,'Well Cal.'!G$3,'Schedule 4'!$J$89:$J$649,'Well Cal.'!$E405)</f>
        <v>0</v>
      </c>
      <c r="H405" s="726">
        <f>SUMIFS('Schedule 4'!$F$89:$F$649,'Schedule 4'!$I$89:$I$649,'Well Cal.'!H$3,'Schedule 4'!$J$89:$J$649,'Well Cal.'!$E405)</f>
        <v>0</v>
      </c>
      <c r="I405" s="726">
        <f>SUMIFS('Schedule 4'!$F$89:$F$649,'Schedule 4'!$I$89:$I$649,'Well Cal.'!I$3,'Schedule 4'!$J$89:$J$649,'Well Cal.'!$E405)</f>
        <v>0</v>
      </c>
      <c r="J405" s="726">
        <f>SUMIFS('Schedule 4'!$F$89:$F$649,'Schedule 4'!$I$89:$I$649,'Well Cal.'!J$3,'Schedule 4'!$J$89:$J$649,'Well Cal.'!$E405)</f>
        <v>0</v>
      </c>
      <c r="K405" s="726">
        <f>SUMIFS('Schedule 4'!$F$89:$F$649,'Schedule 4'!$I$89:$I$649,'Well Cal.'!K$3,'Schedule 4'!$J$89:$J$649,'Well Cal.'!$E405)</f>
        <v>0</v>
      </c>
      <c r="L405" s="726">
        <f>SUMIFS('Schedule 4'!$F$89:$F$649,'Schedule 4'!$I$89:$I$649,'Well Cal.'!L$3,'Schedule 4'!$J$89:$J$649,'Well Cal.'!$E405)</f>
        <v>0</v>
      </c>
      <c r="M405" s="726">
        <f>SUMIFS('Schedule 4'!$F$89:$F$649,'Schedule 4'!$I$89:$I$649,'Well Cal.'!M$3,'Schedule 4'!$J$89:$J$649,'Well Cal.'!$E405)</f>
        <v>0</v>
      </c>
      <c r="N405" s="726">
        <f>SUMIFS('Schedule 4'!$F$89:$F$649,'Schedule 4'!$I$89:$I$649,'Well Cal.'!N$3,'Schedule 4'!$J$89:$J$649,'Well Cal.'!$E405)</f>
        <v>0</v>
      </c>
      <c r="O405" s="726">
        <f>SUMIFS('Schedule 4'!$F$89:$F$649,'Schedule 4'!$I$89:$I$649,'Well Cal.'!O$3,'Schedule 4'!$J$89:$J$649,'Well Cal.'!$E405)</f>
        <v>0</v>
      </c>
      <c r="P405" s="726">
        <f>SUMIFS('Schedule 4'!$F$89:$F$649,'Schedule 4'!$I$89:$I$649,'Well Cal.'!P$3,'Schedule 4'!$J$89:$J$649,'Well Cal.'!$E405)</f>
        <v>0</v>
      </c>
      <c r="Q405" s="726">
        <f>SUMIFS('Schedule 4'!$F$89:$F$649,'Schedule 4'!$I$89:$I$649,'Well Cal.'!Q$3,'Schedule 4'!$J$89:$J$649,'Well Cal.'!$E405)</f>
        <v>0</v>
      </c>
      <c r="R405" s="726">
        <f>SUMIFS('Schedule 4'!$F$89:$F$649,'Schedule 4'!$I$89:$I$649,'Well Cal.'!R$3,'Schedule 4'!$J$89:$J$649,'Well Cal.'!$E405)</f>
        <v>0</v>
      </c>
      <c r="S405" s="726">
        <f>SUMIFS('Schedule 4'!$F$89:$F$649,'Schedule 4'!$I$89:$I$649,'Well Cal.'!S$3,'Schedule 4'!$J$89:$J$649,'Well Cal.'!$E405)</f>
        <v>0</v>
      </c>
      <c r="T405" s="726">
        <f>SUMIFS('Schedule 4'!$F$89:$F$649,'Schedule 4'!$I$89:$I$649,'Well Cal.'!T$3,'Schedule 4'!$J$89:$J$649,'Well Cal.'!$E405)</f>
        <v>0</v>
      </c>
      <c r="U405" s="726">
        <f>SUMIFS('Schedule 4'!$F$89:$F$649,'Schedule 4'!$I$89:$I$649,'Well Cal.'!U$3,'Schedule 4'!$J$89:$J$649,'Well Cal.'!$E405)</f>
        <v>0</v>
      </c>
      <c r="V405" s="726">
        <f>SUMIFS('Schedule 4'!$F$89:$F$649,'Schedule 4'!$I$89:$I$649,'Well Cal.'!V$3,'Schedule 4'!$J$89:$J$649,'Well Cal.'!$E405)</f>
        <v>0</v>
      </c>
      <c r="W405" s="726">
        <f>SUMIFS('Schedule 4'!$F$89:$F$649,'Schedule 4'!$I$89:$I$649,'Well Cal.'!W$3,'Schedule 4'!$J$89:$J$649,'Well Cal.'!$E405)</f>
        <v>0</v>
      </c>
      <c r="X405" s="726">
        <f>SUMIFS('Schedule 4'!$F$89:$F$649,'Schedule 4'!$I$89:$I$649,'Well Cal.'!X$3,'Schedule 4'!$J$89:$J$649,'Well Cal.'!$E405)</f>
        <v>0</v>
      </c>
      <c r="Y405" s="726">
        <f>SUMIFS('Schedule 4'!$F$89:$F$649,'Schedule 4'!$I$89:$I$649,'Well Cal.'!Y$3,'Schedule 4'!$J$89:$J$649,'Well Cal.'!$E405)</f>
        <v>0</v>
      </c>
      <c r="Z405" s="726">
        <f>SUMIFS('Schedule 4'!$F$89:$F$649,'Schedule 4'!$I$89:$I$649,'Well Cal.'!Z$3,'Schedule 4'!$J$89:$J$649,'Well Cal.'!$E405)</f>
        <v>0</v>
      </c>
      <c r="AA405" s="727"/>
      <c r="AB405" s="1731"/>
      <c r="AC405" s="1731"/>
    </row>
    <row r="406" spans="2:29" x14ac:dyDescent="0.3">
      <c r="B406" s="1725"/>
      <c r="C406" s="1728"/>
      <c r="D406" s="1722"/>
      <c r="E406" s="776"/>
      <c r="F406" s="777"/>
      <c r="G406" s="777"/>
      <c r="H406" s="777"/>
      <c r="I406" s="777"/>
      <c r="J406" s="777"/>
      <c r="K406" s="777"/>
      <c r="L406" s="777"/>
      <c r="M406" s="777"/>
      <c r="N406" s="777"/>
      <c r="O406" s="777"/>
      <c r="P406" s="777"/>
      <c r="Q406" s="777"/>
      <c r="R406" s="777"/>
      <c r="S406" s="777"/>
      <c r="T406" s="777"/>
      <c r="U406" s="777"/>
      <c r="V406" s="777"/>
      <c r="W406" s="777"/>
      <c r="X406" s="777"/>
      <c r="Y406" s="777"/>
      <c r="Z406" s="777"/>
      <c r="AA406" s="777"/>
      <c r="AB406" s="1732"/>
      <c r="AC406" s="1732"/>
    </row>
    <row r="407" spans="2:29" x14ac:dyDescent="0.3">
      <c r="B407" s="1723" t="s">
        <v>2514</v>
      </c>
      <c r="C407" s="1726">
        <f>50.55+1</f>
        <v>51.55</v>
      </c>
      <c r="D407" s="1720">
        <f>SUMIFS('Schedule 4'!$F$89:$F$649,'Schedule 4'!$K$89:$K$649,'Well Cal.'!$B407)</f>
        <v>0</v>
      </c>
      <c r="E407" s="754" t="s">
        <v>3119</v>
      </c>
      <c r="F407" s="728">
        <f>SUMIFS('Schedule 4'!$F$89:$F$649,'Schedule 4'!$I$89:$I$649,'Well Cal.'!F$3,'Schedule 4'!$J$89:$J$649,'Well Cal.'!$E407)</f>
        <v>0</v>
      </c>
      <c r="G407" s="728">
        <f>SUMIFS('Schedule 4'!$F$89:$F$649,'Schedule 4'!$I$89:$I$649,'Well Cal.'!G$3,'Schedule 4'!$J$89:$J$649,'Well Cal.'!$E407)</f>
        <v>0</v>
      </c>
      <c r="H407" s="728">
        <f>SUMIFS('Schedule 4'!$F$89:$F$649,'Schedule 4'!$I$89:$I$649,'Well Cal.'!H$3,'Schedule 4'!$J$89:$J$649,'Well Cal.'!$E407)</f>
        <v>0</v>
      </c>
      <c r="I407" s="728">
        <f>SUMIFS('Schedule 4'!$F$89:$F$649,'Schedule 4'!$I$89:$I$649,'Well Cal.'!I$3,'Schedule 4'!$J$89:$J$649,'Well Cal.'!$E407)</f>
        <v>0</v>
      </c>
      <c r="J407" s="728">
        <f>SUMIFS('Schedule 4'!$F$89:$F$649,'Schedule 4'!$I$89:$I$649,'Well Cal.'!J$3,'Schedule 4'!$J$89:$J$649,'Well Cal.'!$E407)</f>
        <v>0</v>
      </c>
      <c r="K407" s="728">
        <f>SUMIFS('Schedule 4'!$F$89:$F$649,'Schedule 4'!$I$89:$I$649,'Well Cal.'!K$3,'Schedule 4'!$J$89:$J$649,'Well Cal.'!$E407)</f>
        <v>0</v>
      </c>
      <c r="L407" s="728">
        <f>SUMIFS('Schedule 4'!$F$89:$F$649,'Schedule 4'!$I$89:$I$649,'Well Cal.'!L$3,'Schedule 4'!$J$89:$J$649,'Well Cal.'!$E407)</f>
        <v>0</v>
      </c>
      <c r="M407" s="728">
        <f>SUMIFS('Schedule 4'!$F$89:$F$649,'Schedule 4'!$I$89:$I$649,'Well Cal.'!M$3,'Schedule 4'!$J$89:$J$649,'Well Cal.'!$E407)</f>
        <v>0</v>
      </c>
      <c r="N407" s="728">
        <f>SUMIFS('Schedule 4'!$F$89:$F$649,'Schedule 4'!$I$89:$I$649,'Well Cal.'!N$3,'Schedule 4'!$J$89:$J$649,'Well Cal.'!$E407)</f>
        <v>0</v>
      </c>
      <c r="O407" s="728">
        <f>SUMIFS('Schedule 4'!$F$89:$F$649,'Schedule 4'!$I$89:$I$649,'Well Cal.'!O$3,'Schedule 4'!$J$89:$J$649,'Well Cal.'!$E407)</f>
        <v>0</v>
      </c>
      <c r="P407" s="728">
        <f>SUMIFS('Schedule 4'!$F$89:$F$649,'Schedule 4'!$I$89:$I$649,'Well Cal.'!P$3,'Schedule 4'!$J$89:$J$649,'Well Cal.'!$E407)</f>
        <v>0</v>
      </c>
      <c r="Q407" s="728">
        <f>SUMIFS('Schedule 4'!$F$89:$F$649,'Schedule 4'!$I$89:$I$649,'Well Cal.'!Q$3,'Schedule 4'!$J$89:$J$649,'Well Cal.'!$E407)</f>
        <v>0</v>
      </c>
      <c r="R407" s="728">
        <f>SUMIFS('Schedule 4'!$F$89:$F$649,'Schedule 4'!$I$89:$I$649,'Well Cal.'!R$3,'Schedule 4'!$J$89:$J$649,'Well Cal.'!$E407)</f>
        <v>0</v>
      </c>
      <c r="S407" s="728">
        <f>SUMIFS('Schedule 4'!$F$89:$F$649,'Schedule 4'!$I$89:$I$649,'Well Cal.'!S$3,'Schedule 4'!$J$89:$J$649,'Well Cal.'!$E407)</f>
        <v>0</v>
      </c>
      <c r="T407" s="728">
        <f>SUMIFS('Schedule 4'!$F$89:$F$649,'Schedule 4'!$I$89:$I$649,'Well Cal.'!T$3,'Schedule 4'!$J$89:$J$649,'Well Cal.'!$E407)</f>
        <v>0</v>
      </c>
      <c r="U407" s="728">
        <f>SUMIFS('Schedule 4'!$F$89:$F$649,'Schedule 4'!$I$89:$I$649,'Well Cal.'!U$3,'Schedule 4'!$J$89:$J$649,'Well Cal.'!$E407)</f>
        <v>0</v>
      </c>
      <c r="V407" s="728">
        <f>SUMIFS('Schedule 4'!$F$89:$F$649,'Schedule 4'!$I$89:$I$649,'Well Cal.'!V$3,'Schedule 4'!$J$89:$J$649,'Well Cal.'!$E407)</f>
        <v>0</v>
      </c>
      <c r="W407" s="728">
        <f>SUMIFS('Schedule 4'!$F$89:$F$649,'Schedule 4'!$I$89:$I$649,'Well Cal.'!W$3,'Schedule 4'!$J$89:$J$649,'Well Cal.'!$E407)</f>
        <v>0</v>
      </c>
      <c r="X407" s="728">
        <f>SUMIFS('Schedule 4'!$F$89:$F$649,'Schedule 4'!$I$89:$I$649,'Well Cal.'!X$3,'Schedule 4'!$J$89:$J$649,'Well Cal.'!$E407)</f>
        <v>0</v>
      </c>
      <c r="Y407" s="728">
        <f>SUMIFS('Schedule 4'!$F$89:$F$649,'Schedule 4'!$I$89:$I$649,'Well Cal.'!Y$3,'Schedule 4'!$J$89:$J$649,'Well Cal.'!$E407)</f>
        <v>0</v>
      </c>
      <c r="Z407" s="728">
        <f>SUMIFS('Schedule 4'!$F$89:$F$649,'Schedule 4'!$I$89:$I$649,'Well Cal.'!Z$3,'Schedule 4'!$J$89:$J$649,'Well Cal.'!$E407)</f>
        <v>0</v>
      </c>
      <c r="AA407" s="728"/>
      <c r="AB407" s="1729">
        <f>SUM(F407:AA429)</f>
        <v>0</v>
      </c>
      <c r="AC407" s="1729">
        <f>D407-AB407</f>
        <v>0</v>
      </c>
    </row>
    <row r="408" spans="2:29" x14ac:dyDescent="0.3">
      <c r="B408" s="1724"/>
      <c r="C408" s="1727"/>
      <c r="D408" s="1721"/>
      <c r="E408" s="761" t="s">
        <v>3201</v>
      </c>
      <c r="F408" s="726">
        <f>SUMIFS('Schedule 4'!$F$89:$F$649,'Schedule 4'!$I$89:$I$649,'Well Cal.'!F$3,'Schedule 4'!$J$89:$J$649,'Well Cal.'!$E408)</f>
        <v>0</v>
      </c>
      <c r="G408" s="726">
        <f>SUMIFS('Schedule 4'!$F$89:$F$649,'Schedule 4'!$I$89:$I$649,'Well Cal.'!G$3,'Schedule 4'!$J$89:$J$649,'Well Cal.'!$E408)</f>
        <v>0</v>
      </c>
      <c r="H408" s="726">
        <f>SUMIFS('Schedule 4'!$F$89:$F$649,'Schedule 4'!$I$89:$I$649,'Well Cal.'!H$3,'Schedule 4'!$J$89:$J$649,'Well Cal.'!$E408)</f>
        <v>0</v>
      </c>
      <c r="I408" s="726">
        <f>SUMIFS('Schedule 4'!$F$89:$F$649,'Schedule 4'!$I$89:$I$649,'Well Cal.'!I$3,'Schedule 4'!$J$89:$J$649,'Well Cal.'!$E408)</f>
        <v>0</v>
      </c>
      <c r="J408" s="726">
        <f>SUMIFS('Schedule 4'!$F$89:$F$649,'Schedule 4'!$I$89:$I$649,'Well Cal.'!J$3,'Schedule 4'!$J$89:$J$649,'Well Cal.'!$E408)</f>
        <v>0</v>
      </c>
      <c r="K408" s="726">
        <f>SUMIFS('Schedule 4'!$F$89:$F$649,'Schedule 4'!$I$89:$I$649,'Well Cal.'!K$3,'Schedule 4'!$J$89:$J$649,'Well Cal.'!$E408)</f>
        <v>0</v>
      </c>
      <c r="L408" s="726">
        <f>SUMIFS('Schedule 4'!$F$89:$F$649,'Schedule 4'!$I$89:$I$649,'Well Cal.'!L$3,'Schedule 4'!$J$89:$J$649,'Well Cal.'!$E408)</f>
        <v>0</v>
      </c>
      <c r="M408" s="726">
        <f>SUMIFS('Schedule 4'!$F$89:$F$649,'Schedule 4'!$I$89:$I$649,'Well Cal.'!M$3,'Schedule 4'!$J$89:$J$649,'Well Cal.'!$E408)</f>
        <v>0</v>
      </c>
      <c r="N408" s="726">
        <f>SUMIFS('Schedule 4'!$F$89:$F$649,'Schedule 4'!$I$89:$I$649,'Well Cal.'!N$3,'Schedule 4'!$J$89:$J$649,'Well Cal.'!$E408)</f>
        <v>0</v>
      </c>
      <c r="O408" s="726">
        <f>SUMIFS('Schedule 4'!$F$89:$F$649,'Schedule 4'!$I$89:$I$649,'Well Cal.'!O$3,'Schedule 4'!$J$89:$J$649,'Well Cal.'!$E408)</f>
        <v>0</v>
      </c>
      <c r="P408" s="726">
        <f>SUMIFS('Schedule 4'!$F$89:$F$649,'Schedule 4'!$I$89:$I$649,'Well Cal.'!P$3,'Schedule 4'!$J$89:$J$649,'Well Cal.'!$E408)</f>
        <v>0</v>
      </c>
      <c r="Q408" s="726">
        <f>SUMIFS('Schedule 4'!$F$89:$F$649,'Schedule 4'!$I$89:$I$649,'Well Cal.'!Q$3,'Schedule 4'!$J$89:$J$649,'Well Cal.'!$E408)</f>
        <v>0</v>
      </c>
      <c r="R408" s="726">
        <f>SUMIFS('Schedule 4'!$F$89:$F$649,'Schedule 4'!$I$89:$I$649,'Well Cal.'!R$3,'Schedule 4'!$J$89:$J$649,'Well Cal.'!$E408)</f>
        <v>0</v>
      </c>
      <c r="S408" s="726">
        <f>SUMIFS('Schedule 4'!$F$89:$F$649,'Schedule 4'!$I$89:$I$649,'Well Cal.'!S$3,'Schedule 4'!$J$89:$J$649,'Well Cal.'!$E408)</f>
        <v>0</v>
      </c>
      <c r="T408" s="726">
        <f>SUMIFS('Schedule 4'!$F$89:$F$649,'Schedule 4'!$I$89:$I$649,'Well Cal.'!T$3,'Schedule 4'!$J$89:$J$649,'Well Cal.'!$E408)</f>
        <v>0</v>
      </c>
      <c r="U408" s="726">
        <f>SUMIFS('Schedule 4'!$F$89:$F$649,'Schedule 4'!$I$89:$I$649,'Well Cal.'!U$3,'Schedule 4'!$J$89:$J$649,'Well Cal.'!$E408)</f>
        <v>0</v>
      </c>
      <c r="V408" s="726">
        <f>SUMIFS('Schedule 4'!$F$89:$F$649,'Schedule 4'!$I$89:$I$649,'Well Cal.'!V$3,'Schedule 4'!$J$89:$J$649,'Well Cal.'!$E408)</f>
        <v>0</v>
      </c>
      <c r="W408" s="726">
        <f>SUMIFS('Schedule 4'!$F$89:$F$649,'Schedule 4'!$I$89:$I$649,'Well Cal.'!W$3,'Schedule 4'!$J$89:$J$649,'Well Cal.'!$E408)</f>
        <v>0</v>
      </c>
      <c r="X408" s="726">
        <f>SUMIFS('Schedule 4'!$F$89:$F$649,'Schedule 4'!$I$89:$I$649,'Well Cal.'!X$3,'Schedule 4'!$J$89:$J$649,'Well Cal.'!$E408)</f>
        <v>0</v>
      </c>
      <c r="Y408" s="726">
        <f>SUMIFS('Schedule 4'!$F$89:$F$649,'Schedule 4'!$I$89:$I$649,'Well Cal.'!Y$3,'Schedule 4'!$J$89:$J$649,'Well Cal.'!$E408)</f>
        <v>0</v>
      </c>
      <c r="Z408" s="726">
        <f>SUMIFS('Schedule 4'!$F$89:$F$649,'Schedule 4'!$I$89:$I$649,'Well Cal.'!Z$3,'Schedule 4'!$J$89:$J$649,'Well Cal.'!$E408)</f>
        <v>0</v>
      </c>
      <c r="AA408" s="726"/>
      <c r="AB408" s="1730"/>
      <c r="AC408" s="1730"/>
    </row>
    <row r="409" spans="2:29" x14ac:dyDescent="0.3">
      <c r="B409" s="1724"/>
      <c r="C409" s="1727"/>
      <c r="D409" s="1721"/>
      <c r="E409" s="761" t="s">
        <v>3282</v>
      </c>
      <c r="F409" s="726">
        <f>SUMIFS('Schedule 4'!$F$89:$F$649,'Schedule 4'!$I$89:$I$649,'Well Cal.'!F$3,'Schedule 4'!$J$89:$J$649,'Well Cal.'!$E409)</f>
        <v>0</v>
      </c>
      <c r="G409" s="726">
        <f>SUMIFS('Schedule 4'!$F$89:$F$649,'Schedule 4'!$I$89:$I$649,'Well Cal.'!G$3,'Schedule 4'!$J$89:$J$649,'Well Cal.'!$E409)</f>
        <v>0</v>
      </c>
      <c r="H409" s="726">
        <f>SUMIFS('Schedule 4'!$F$89:$F$649,'Schedule 4'!$I$89:$I$649,'Well Cal.'!H$3,'Schedule 4'!$J$89:$J$649,'Well Cal.'!$E409)</f>
        <v>0</v>
      </c>
      <c r="I409" s="726">
        <f>SUMIFS('Schedule 4'!$F$89:$F$649,'Schedule 4'!$I$89:$I$649,'Well Cal.'!I$3,'Schedule 4'!$J$89:$J$649,'Well Cal.'!$E409)</f>
        <v>0</v>
      </c>
      <c r="J409" s="726">
        <f>SUMIFS('Schedule 4'!$F$89:$F$649,'Schedule 4'!$I$89:$I$649,'Well Cal.'!J$3,'Schedule 4'!$J$89:$J$649,'Well Cal.'!$E409)</f>
        <v>0</v>
      </c>
      <c r="K409" s="726">
        <f>SUMIFS('Schedule 4'!$F$89:$F$649,'Schedule 4'!$I$89:$I$649,'Well Cal.'!K$3,'Schedule 4'!$J$89:$J$649,'Well Cal.'!$E409)</f>
        <v>0</v>
      </c>
      <c r="L409" s="726">
        <f>SUMIFS('Schedule 4'!$F$89:$F$649,'Schedule 4'!$I$89:$I$649,'Well Cal.'!L$3,'Schedule 4'!$J$89:$J$649,'Well Cal.'!$E409)</f>
        <v>0</v>
      </c>
      <c r="M409" s="726">
        <f>SUMIFS('Schedule 4'!$F$89:$F$649,'Schedule 4'!$I$89:$I$649,'Well Cal.'!M$3,'Schedule 4'!$J$89:$J$649,'Well Cal.'!$E409)</f>
        <v>0</v>
      </c>
      <c r="N409" s="726">
        <f>SUMIFS('Schedule 4'!$F$89:$F$649,'Schedule 4'!$I$89:$I$649,'Well Cal.'!N$3,'Schedule 4'!$J$89:$J$649,'Well Cal.'!$E409)</f>
        <v>0</v>
      </c>
      <c r="O409" s="726">
        <f>SUMIFS('Schedule 4'!$F$89:$F$649,'Schedule 4'!$I$89:$I$649,'Well Cal.'!O$3,'Schedule 4'!$J$89:$J$649,'Well Cal.'!$E409)</f>
        <v>0</v>
      </c>
      <c r="P409" s="726">
        <f>SUMIFS('Schedule 4'!$F$89:$F$649,'Schedule 4'!$I$89:$I$649,'Well Cal.'!P$3,'Schedule 4'!$J$89:$J$649,'Well Cal.'!$E409)</f>
        <v>0</v>
      </c>
      <c r="Q409" s="726">
        <f>SUMIFS('Schedule 4'!$F$89:$F$649,'Schedule 4'!$I$89:$I$649,'Well Cal.'!Q$3,'Schedule 4'!$J$89:$J$649,'Well Cal.'!$E409)</f>
        <v>0</v>
      </c>
      <c r="R409" s="726">
        <f>SUMIFS('Schedule 4'!$F$89:$F$649,'Schedule 4'!$I$89:$I$649,'Well Cal.'!R$3,'Schedule 4'!$J$89:$J$649,'Well Cal.'!$E409)</f>
        <v>0</v>
      </c>
      <c r="S409" s="726">
        <f>SUMIFS('Schedule 4'!$F$89:$F$649,'Schedule 4'!$I$89:$I$649,'Well Cal.'!S$3,'Schedule 4'!$J$89:$J$649,'Well Cal.'!$E409)</f>
        <v>0</v>
      </c>
      <c r="T409" s="726">
        <f>SUMIFS('Schedule 4'!$F$89:$F$649,'Schedule 4'!$I$89:$I$649,'Well Cal.'!T$3,'Schedule 4'!$J$89:$J$649,'Well Cal.'!$E409)</f>
        <v>0</v>
      </c>
      <c r="U409" s="726">
        <f>SUMIFS('Schedule 4'!$F$89:$F$649,'Schedule 4'!$I$89:$I$649,'Well Cal.'!U$3,'Schedule 4'!$J$89:$J$649,'Well Cal.'!$E409)</f>
        <v>0</v>
      </c>
      <c r="V409" s="726">
        <f>SUMIFS('Schedule 4'!$F$89:$F$649,'Schedule 4'!$I$89:$I$649,'Well Cal.'!V$3,'Schedule 4'!$J$89:$J$649,'Well Cal.'!$E409)</f>
        <v>0</v>
      </c>
      <c r="W409" s="726">
        <f>SUMIFS('Schedule 4'!$F$89:$F$649,'Schedule 4'!$I$89:$I$649,'Well Cal.'!W$3,'Schedule 4'!$J$89:$J$649,'Well Cal.'!$E409)</f>
        <v>0</v>
      </c>
      <c r="X409" s="726">
        <f>SUMIFS('Schedule 4'!$F$89:$F$649,'Schedule 4'!$I$89:$I$649,'Well Cal.'!X$3,'Schedule 4'!$J$89:$J$649,'Well Cal.'!$E409)</f>
        <v>0</v>
      </c>
      <c r="Y409" s="726">
        <f>SUMIFS('Schedule 4'!$F$89:$F$649,'Schedule 4'!$I$89:$I$649,'Well Cal.'!Y$3,'Schedule 4'!$J$89:$J$649,'Well Cal.'!$E409)</f>
        <v>0</v>
      </c>
      <c r="Z409" s="726">
        <f>SUMIFS('Schedule 4'!$F$89:$F$649,'Schedule 4'!$I$89:$I$649,'Well Cal.'!Z$3,'Schedule 4'!$J$89:$J$649,'Well Cal.'!$E409)</f>
        <v>0</v>
      </c>
      <c r="AA409" s="726"/>
      <c r="AB409" s="1730"/>
      <c r="AC409" s="1730"/>
    </row>
    <row r="410" spans="2:29" x14ac:dyDescent="0.3">
      <c r="B410" s="1724"/>
      <c r="C410" s="1727"/>
      <c r="D410" s="1721"/>
      <c r="E410" s="775" t="s">
        <v>3358</v>
      </c>
      <c r="F410" s="727">
        <f>SUMIFS('Schedule 4'!$F$89:$F$649,'Schedule 4'!$I$89:$I$649,'Well Cal.'!F$3,'Schedule 4'!$J$89:$J$649,'Well Cal.'!$E410)</f>
        <v>0</v>
      </c>
      <c r="G410" s="727">
        <f>SUMIFS('Schedule 4'!$F$89:$F$649,'Schedule 4'!$I$89:$I$649,'Well Cal.'!G$3,'Schedule 4'!$J$89:$J$649,'Well Cal.'!$E410)</f>
        <v>0</v>
      </c>
      <c r="H410" s="727">
        <f>SUMIFS('Schedule 4'!$F$89:$F$649,'Schedule 4'!$I$89:$I$649,'Well Cal.'!H$3,'Schedule 4'!$J$89:$J$649,'Well Cal.'!$E410)</f>
        <v>0</v>
      </c>
      <c r="I410" s="727">
        <f>SUMIFS('Schedule 4'!$F$89:$F$649,'Schedule 4'!$I$89:$I$649,'Well Cal.'!I$3,'Schedule 4'!$J$89:$J$649,'Well Cal.'!$E410)</f>
        <v>0</v>
      </c>
      <c r="J410" s="727">
        <f>SUMIFS('Schedule 4'!$F$89:$F$649,'Schedule 4'!$I$89:$I$649,'Well Cal.'!J$3,'Schedule 4'!$J$89:$J$649,'Well Cal.'!$E410)</f>
        <v>0</v>
      </c>
      <c r="K410" s="727">
        <f>SUMIFS('Schedule 4'!$F$89:$F$649,'Schedule 4'!$I$89:$I$649,'Well Cal.'!K$3,'Schedule 4'!$J$89:$J$649,'Well Cal.'!$E410)</f>
        <v>0</v>
      </c>
      <c r="L410" s="727">
        <f>SUMIFS('Schedule 4'!$F$89:$F$649,'Schedule 4'!$I$89:$I$649,'Well Cal.'!L$3,'Schedule 4'!$J$89:$J$649,'Well Cal.'!$E410)</f>
        <v>0</v>
      </c>
      <c r="M410" s="727">
        <f>SUMIFS('Schedule 4'!$F$89:$F$649,'Schedule 4'!$I$89:$I$649,'Well Cal.'!M$3,'Schedule 4'!$J$89:$J$649,'Well Cal.'!$E410)</f>
        <v>0</v>
      </c>
      <c r="N410" s="727">
        <f>SUMIFS('Schedule 4'!$F$89:$F$649,'Schedule 4'!$I$89:$I$649,'Well Cal.'!N$3,'Schedule 4'!$J$89:$J$649,'Well Cal.'!$E410)</f>
        <v>0</v>
      </c>
      <c r="O410" s="727">
        <f>SUMIFS('Schedule 4'!$F$89:$F$649,'Schedule 4'!$I$89:$I$649,'Well Cal.'!O$3,'Schedule 4'!$J$89:$J$649,'Well Cal.'!$E410)</f>
        <v>0</v>
      </c>
      <c r="P410" s="727">
        <f>SUMIFS('Schedule 4'!$F$89:$F$649,'Schedule 4'!$I$89:$I$649,'Well Cal.'!P$3,'Schedule 4'!$J$89:$J$649,'Well Cal.'!$E410)</f>
        <v>0</v>
      </c>
      <c r="Q410" s="727">
        <f>SUMIFS('Schedule 4'!$F$89:$F$649,'Schedule 4'!$I$89:$I$649,'Well Cal.'!Q$3,'Schedule 4'!$J$89:$J$649,'Well Cal.'!$E410)</f>
        <v>0</v>
      </c>
      <c r="R410" s="727">
        <f>SUMIFS('Schedule 4'!$F$89:$F$649,'Schedule 4'!$I$89:$I$649,'Well Cal.'!R$3,'Schedule 4'!$J$89:$J$649,'Well Cal.'!$E410)</f>
        <v>0</v>
      </c>
      <c r="S410" s="727">
        <f>SUMIFS('Schedule 4'!$F$89:$F$649,'Schedule 4'!$I$89:$I$649,'Well Cal.'!S$3,'Schedule 4'!$J$89:$J$649,'Well Cal.'!$E410)</f>
        <v>0</v>
      </c>
      <c r="T410" s="727">
        <f>SUMIFS('Schedule 4'!$F$89:$F$649,'Schedule 4'!$I$89:$I$649,'Well Cal.'!T$3,'Schedule 4'!$J$89:$J$649,'Well Cal.'!$E410)</f>
        <v>0</v>
      </c>
      <c r="U410" s="727">
        <f>SUMIFS('Schedule 4'!$F$89:$F$649,'Schedule 4'!$I$89:$I$649,'Well Cal.'!U$3,'Schedule 4'!$J$89:$J$649,'Well Cal.'!$E410)</f>
        <v>0</v>
      </c>
      <c r="V410" s="727">
        <f>SUMIFS('Schedule 4'!$F$89:$F$649,'Schedule 4'!$I$89:$I$649,'Well Cal.'!V$3,'Schedule 4'!$J$89:$J$649,'Well Cal.'!$E410)</f>
        <v>0</v>
      </c>
      <c r="W410" s="727">
        <f>SUMIFS('Schedule 4'!$F$89:$F$649,'Schedule 4'!$I$89:$I$649,'Well Cal.'!W$3,'Schedule 4'!$J$89:$J$649,'Well Cal.'!$E410)</f>
        <v>0</v>
      </c>
      <c r="X410" s="727">
        <f>SUMIFS('Schedule 4'!$F$89:$F$649,'Schedule 4'!$I$89:$I$649,'Well Cal.'!X$3,'Schedule 4'!$J$89:$J$649,'Well Cal.'!$E410)</f>
        <v>0</v>
      </c>
      <c r="Y410" s="727">
        <f>SUMIFS('Schedule 4'!$F$89:$F$649,'Schedule 4'!$I$89:$I$649,'Well Cal.'!Y$3,'Schedule 4'!$J$89:$J$649,'Well Cal.'!$E410)</f>
        <v>0</v>
      </c>
      <c r="Z410" s="727">
        <f>SUMIFS('Schedule 4'!$F$89:$F$649,'Schedule 4'!$I$89:$I$649,'Well Cal.'!Z$3,'Schedule 4'!$J$89:$J$649,'Well Cal.'!$E410)</f>
        <v>0</v>
      </c>
      <c r="AA410" s="727"/>
      <c r="AB410" s="1730"/>
      <c r="AC410" s="1730"/>
    </row>
    <row r="411" spans="2:29" x14ac:dyDescent="0.3">
      <c r="B411" s="1724"/>
      <c r="C411" s="1727"/>
      <c r="D411" s="1721"/>
      <c r="E411" s="775" t="s">
        <v>3436</v>
      </c>
      <c r="F411" s="727">
        <f>SUMIFS('Schedule 4'!$F$89:$F$649,'Schedule 4'!$I$89:$I$649,'Well Cal.'!F$3,'Schedule 4'!$J$89:$J$649,'Well Cal.'!$E411)</f>
        <v>0</v>
      </c>
      <c r="G411" s="727">
        <f>SUMIFS('Schedule 4'!$F$89:$F$649,'Schedule 4'!$I$89:$I$649,'Well Cal.'!G$3,'Schedule 4'!$J$89:$J$649,'Well Cal.'!$E411)</f>
        <v>0</v>
      </c>
      <c r="H411" s="727">
        <f>SUMIFS('Schedule 4'!$F$89:$F$649,'Schedule 4'!$I$89:$I$649,'Well Cal.'!H$3,'Schedule 4'!$J$89:$J$649,'Well Cal.'!$E411)</f>
        <v>0</v>
      </c>
      <c r="I411" s="727">
        <f>SUMIFS('Schedule 4'!$F$89:$F$649,'Schedule 4'!$I$89:$I$649,'Well Cal.'!I$3,'Schedule 4'!$J$89:$J$649,'Well Cal.'!$E411)</f>
        <v>0</v>
      </c>
      <c r="J411" s="727">
        <f>SUMIFS('Schedule 4'!$F$89:$F$649,'Schedule 4'!$I$89:$I$649,'Well Cal.'!J$3,'Schedule 4'!$J$89:$J$649,'Well Cal.'!$E411)</f>
        <v>0</v>
      </c>
      <c r="K411" s="727">
        <f>SUMIFS('Schedule 4'!$F$89:$F$649,'Schedule 4'!$I$89:$I$649,'Well Cal.'!K$3,'Schedule 4'!$J$89:$J$649,'Well Cal.'!$E411)</f>
        <v>0</v>
      </c>
      <c r="L411" s="727">
        <f>SUMIFS('Schedule 4'!$F$89:$F$649,'Schedule 4'!$I$89:$I$649,'Well Cal.'!L$3,'Schedule 4'!$J$89:$J$649,'Well Cal.'!$E411)</f>
        <v>0</v>
      </c>
      <c r="M411" s="727">
        <f>SUMIFS('Schedule 4'!$F$89:$F$649,'Schedule 4'!$I$89:$I$649,'Well Cal.'!M$3,'Schedule 4'!$J$89:$J$649,'Well Cal.'!$E411)</f>
        <v>0</v>
      </c>
      <c r="N411" s="727">
        <f>SUMIFS('Schedule 4'!$F$89:$F$649,'Schedule 4'!$I$89:$I$649,'Well Cal.'!N$3,'Schedule 4'!$J$89:$J$649,'Well Cal.'!$E411)</f>
        <v>0</v>
      </c>
      <c r="O411" s="727">
        <f>SUMIFS('Schedule 4'!$F$89:$F$649,'Schedule 4'!$I$89:$I$649,'Well Cal.'!O$3,'Schedule 4'!$J$89:$J$649,'Well Cal.'!$E411)</f>
        <v>0</v>
      </c>
      <c r="P411" s="727">
        <f>SUMIFS('Schedule 4'!$F$89:$F$649,'Schedule 4'!$I$89:$I$649,'Well Cal.'!P$3,'Schedule 4'!$J$89:$J$649,'Well Cal.'!$E411)</f>
        <v>0</v>
      </c>
      <c r="Q411" s="727">
        <f>SUMIFS('Schedule 4'!$F$89:$F$649,'Schedule 4'!$I$89:$I$649,'Well Cal.'!Q$3,'Schedule 4'!$J$89:$J$649,'Well Cal.'!$E411)</f>
        <v>0</v>
      </c>
      <c r="R411" s="727">
        <f>SUMIFS('Schedule 4'!$F$89:$F$649,'Schedule 4'!$I$89:$I$649,'Well Cal.'!R$3,'Schedule 4'!$J$89:$J$649,'Well Cal.'!$E411)</f>
        <v>0</v>
      </c>
      <c r="S411" s="727">
        <f>SUMIFS('Schedule 4'!$F$89:$F$649,'Schedule 4'!$I$89:$I$649,'Well Cal.'!S$3,'Schedule 4'!$J$89:$J$649,'Well Cal.'!$E411)</f>
        <v>0</v>
      </c>
      <c r="T411" s="727">
        <f>SUMIFS('Schedule 4'!$F$89:$F$649,'Schedule 4'!$I$89:$I$649,'Well Cal.'!T$3,'Schedule 4'!$J$89:$J$649,'Well Cal.'!$E411)</f>
        <v>0</v>
      </c>
      <c r="U411" s="727">
        <f>SUMIFS('Schedule 4'!$F$89:$F$649,'Schedule 4'!$I$89:$I$649,'Well Cal.'!U$3,'Schedule 4'!$J$89:$J$649,'Well Cal.'!$E411)</f>
        <v>0</v>
      </c>
      <c r="V411" s="727">
        <f>SUMIFS('Schedule 4'!$F$89:$F$649,'Schedule 4'!$I$89:$I$649,'Well Cal.'!V$3,'Schedule 4'!$J$89:$J$649,'Well Cal.'!$E411)</f>
        <v>0</v>
      </c>
      <c r="W411" s="727">
        <f>SUMIFS('Schedule 4'!$F$89:$F$649,'Schedule 4'!$I$89:$I$649,'Well Cal.'!W$3,'Schedule 4'!$J$89:$J$649,'Well Cal.'!$E411)</f>
        <v>0</v>
      </c>
      <c r="X411" s="727">
        <f>SUMIFS('Schedule 4'!$F$89:$F$649,'Schedule 4'!$I$89:$I$649,'Well Cal.'!X$3,'Schedule 4'!$J$89:$J$649,'Well Cal.'!$E411)</f>
        <v>0</v>
      </c>
      <c r="Y411" s="727">
        <f>SUMIFS('Schedule 4'!$F$89:$F$649,'Schedule 4'!$I$89:$I$649,'Well Cal.'!Y$3,'Schedule 4'!$J$89:$J$649,'Well Cal.'!$E411)</f>
        <v>0</v>
      </c>
      <c r="Z411" s="727">
        <f>SUMIFS('Schedule 4'!$F$89:$F$649,'Schedule 4'!$I$89:$I$649,'Well Cal.'!Z$3,'Schedule 4'!$J$89:$J$649,'Well Cal.'!$E411)</f>
        <v>0</v>
      </c>
      <c r="AA411" s="727"/>
      <c r="AB411" s="1730"/>
      <c r="AC411" s="1730"/>
    </row>
    <row r="412" spans="2:29" x14ac:dyDescent="0.3">
      <c r="B412" s="1724"/>
      <c r="C412" s="1727"/>
      <c r="D412" s="1721"/>
      <c r="E412" s="775" t="s">
        <v>3513</v>
      </c>
      <c r="F412" s="727">
        <f>SUMIFS('Schedule 4'!$F$89:$F$649,'Schedule 4'!$I$89:$I$649,'Well Cal.'!F$3,'Schedule 4'!$J$89:$J$649,'Well Cal.'!$E412)</f>
        <v>0</v>
      </c>
      <c r="G412" s="727">
        <f>SUMIFS('Schedule 4'!$F$89:$F$649,'Schedule 4'!$I$89:$I$649,'Well Cal.'!G$3,'Schedule 4'!$J$89:$J$649,'Well Cal.'!$E412)</f>
        <v>0</v>
      </c>
      <c r="H412" s="727">
        <f>SUMIFS('Schedule 4'!$F$89:$F$649,'Schedule 4'!$I$89:$I$649,'Well Cal.'!H$3,'Schedule 4'!$J$89:$J$649,'Well Cal.'!$E412)</f>
        <v>0</v>
      </c>
      <c r="I412" s="727">
        <f>SUMIFS('Schedule 4'!$F$89:$F$649,'Schedule 4'!$I$89:$I$649,'Well Cal.'!I$3,'Schedule 4'!$J$89:$J$649,'Well Cal.'!$E412)</f>
        <v>0</v>
      </c>
      <c r="J412" s="727">
        <f>SUMIFS('Schedule 4'!$F$89:$F$649,'Schedule 4'!$I$89:$I$649,'Well Cal.'!J$3,'Schedule 4'!$J$89:$J$649,'Well Cal.'!$E412)</f>
        <v>0</v>
      </c>
      <c r="K412" s="727">
        <f>SUMIFS('Schedule 4'!$F$89:$F$649,'Schedule 4'!$I$89:$I$649,'Well Cal.'!K$3,'Schedule 4'!$J$89:$J$649,'Well Cal.'!$E412)</f>
        <v>0</v>
      </c>
      <c r="L412" s="727">
        <f>SUMIFS('Schedule 4'!$F$89:$F$649,'Schedule 4'!$I$89:$I$649,'Well Cal.'!L$3,'Schedule 4'!$J$89:$J$649,'Well Cal.'!$E412)</f>
        <v>0</v>
      </c>
      <c r="M412" s="727">
        <f>SUMIFS('Schedule 4'!$F$89:$F$649,'Schedule 4'!$I$89:$I$649,'Well Cal.'!M$3,'Schedule 4'!$J$89:$J$649,'Well Cal.'!$E412)</f>
        <v>0</v>
      </c>
      <c r="N412" s="727">
        <f>SUMIFS('Schedule 4'!$F$89:$F$649,'Schedule 4'!$I$89:$I$649,'Well Cal.'!N$3,'Schedule 4'!$J$89:$J$649,'Well Cal.'!$E412)</f>
        <v>0</v>
      </c>
      <c r="O412" s="727">
        <f>SUMIFS('Schedule 4'!$F$89:$F$649,'Schedule 4'!$I$89:$I$649,'Well Cal.'!O$3,'Schedule 4'!$J$89:$J$649,'Well Cal.'!$E412)</f>
        <v>0</v>
      </c>
      <c r="P412" s="727">
        <f>SUMIFS('Schedule 4'!$F$89:$F$649,'Schedule 4'!$I$89:$I$649,'Well Cal.'!P$3,'Schedule 4'!$J$89:$J$649,'Well Cal.'!$E412)</f>
        <v>0</v>
      </c>
      <c r="Q412" s="727">
        <f>SUMIFS('Schedule 4'!$F$89:$F$649,'Schedule 4'!$I$89:$I$649,'Well Cal.'!Q$3,'Schedule 4'!$J$89:$J$649,'Well Cal.'!$E412)</f>
        <v>0</v>
      </c>
      <c r="R412" s="727">
        <f>SUMIFS('Schedule 4'!$F$89:$F$649,'Schedule 4'!$I$89:$I$649,'Well Cal.'!R$3,'Schedule 4'!$J$89:$J$649,'Well Cal.'!$E412)</f>
        <v>0</v>
      </c>
      <c r="S412" s="727">
        <f>SUMIFS('Schedule 4'!$F$89:$F$649,'Schedule 4'!$I$89:$I$649,'Well Cal.'!S$3,'Schedule 4'!$J$89:$J$649,'Well Cal.'!$E412)</f>
        <v>0</v>
      </c>
      <c r="T412" s="727">
        <f>SUMIFS('Schedule 4'!$F$89:$F$649,'Schedule 4'!$I$89:$I$649,'Well Cal.'!T$3,'Schedule 4'!$J$89:$J$649,'Well Cal.'!$E412)</f>
        <v>0</v>
      </c>
      <c r="U412" s="727">
        <f>SUMIFS('Schedule 4'!$F$89:$F$649,'Schedule 4'!$I$89:$I$649,'Well Cal.'!U$3,'Schedule 4'!$J$89:$J$649,'Well Cal.'!$E412)</f>
        <v>0</v>
      </c>
      <c r="V412" s="727">
        <f>SUMIFS('Schedule 4'!$F$89:$F$649,'Schedule 4'!$I$89:$I$649,'Well Cal.'!V$3,'Schedule 4'!$J$89:$J$649,'Well Cal.'!$E412)</f>
        <v>0</v>
      </c>
      <c r="W412" s="727">
        <f>SUMIFS('Schedule 4'!$F$89:$F$649,'Schedule 4'!$I$89:$I$649,'Well Cal.'!W$3,'Schedule 4'!$J$89:$J$649,'Well Cal.'!$E412)</f>
        <v>0</v>
      </c>
      <c r="X412" s="727">
        <f>SUMIFS('Schedule 4'!$F$89:$F$649,'Schedule 4'!$I$89:$I$649,'Well Cal.'!X$3,'Schedule 4'!$J$89:$J$649,'Well Cal.'!$E412)</f>
        <v>0</v>
      </c>
      <c r="Y412" s="727">
        <f>SUMIFS('Schedule 4'!$F$89:$F$649,'Schedule 4'!$I$89:$I$649,'Well Cal.'!Y$3,'Schedule 4'!$J$89:$J$649,'Well Cal.'!$E412)</f>
        <v>0</v>
      </c>
      <c r="Z412" s="727">
        <f>SUMIFS('Schedule 4'!$F$89:$F$649,'Schedule 4'!$I$89:$I$649,'Well Cal.'!Z$3,'Schedule 4'!$J$89:$J$649,'Well Cal.'!$E412)</f>
        <v>0</v>
      </c>
      <c r="AA412" s="727"/>
      <c r="AB412" s="1730"/>
      <c r="AC412" s="1730"/>
    </row>
    <row r="413" spans="2:29" x14ac:dyDescent="0.3">
      <c r="B413" s="1724"/>
      <c r="C413" s="1727"/>
      <c r="D413" s="1721"/>
      <c r="E413" s="775" t="s">
        <v>3594</v>
      </c>
      <c r="F413" s="727">
        <f>SUMIFS('Schedule 4'!$F$89:$F$649,'Schedule 4'!$I$89:$I$649,'Well Cal.'!F$3,'Schedule 4'!$J$89:$J$649,'Well Cal.'!$E413)</f>
        <v>0</v>
      </c>
      <c r="G413" s="727">
        <f>SUMIFS('Schedule 4'!$F$89:$F$649,'Schedule 4'!$I$89:$I$649,'Well Cal.'!G$3,'Schedule 4'!$J$89:$J$649,'Well Cal.'!$E413)</f>
        <v>0</v>
      </c>
      <c r="H413" s="727">
        <f>SUMIFS('Schedule 4'!$F$89:$F$649,'Schedule 4'!$I$89:$I$649,'Well Cal.'!H$3,'Schedule 4'!$J$89:$J$649,'Well Cal.'!$E413)</f>
        <v>0</v>
      </c>
      <c r="I413" s="727">
        <f>SUMIFS('Schedule 4'!$F$89:$F$649,'Schedule 4'!$I$89:$I$649,'Well Cal.'!I$3,'Schedule 4'!$J$89:$J$649,'Well Cal.'!$E413)</f>
        <v>0</v>
      </c>
      <c r="J413" s="727">
        <f>SUMIFS('Schedule 4'!$F$89:$F$649,'Schedule 4'!$I$89:$I$649,'Well Cal.'!J$3,'Schedule 4'!$J$89:$J$649,'Well Cal.'!$E413)</f>
        <v>0</v>
      </c>
      <c r="K413" s="727">
        <f>SUMIFS('Schedule 4'!$F$89:$F$649,'Schedule 4'!$I$89:$I$649,'Well Cal.'!K$3,'Schedule 4'!$J$89:$J$649,'Well Cal.'!$E413)</f>
        <v>0</v>
      </c>
      <c r="L413" s="727">
        <f>SUMIFS('Schedule 4'!$F$89:$F$649,'Schedule 4'!$I$89:$I$649,'Well Cal.'!L$3,'Schedule 4'!$J$89:$J$649,'Well Cal.'!$E413)</f>
        <v>0</v>
      </c>
      <c r="M413" s="727">
        <f>SUMIFS('Schedule 4'!$F$89:$F$649,'Schedule 4'!$I$89:$I$649,'Well Cal.'!M$3,'Schedule 4'!$J$89:$J$649,'Well Cal.'!$E413)</f>
        <v>0</v>
      </c>
      <c r="N413" s="727">
        <f>SUMIFS('Schedule 4'!$F$89:$F$649,'Schedule 4'!$I$89:$I$649,'Well Cal.'!N$3,'Schedule 4'!$J$89:$J$649,'Well Cal.'!$E413)</f>
        <v>0</v>
      </c>
      <c r="O413" s="727">
        <f>SUMIFS('Schedule 4'!$F$89:$F$649,'Schedule 4'!$I$89:$I$649,'Well Cal.'!O$3,'Schedule 4'!$J$89:$J$649,'Well Cal.'!$E413)</f>
        <v>0</v>
      </c>
      <c r="P413" s="727">
        <f>SUMIFS('Schedule 4'!$F$89:$F$649,'Schedule 4'!$I$89:$I$649,'Well Cal.'!P$3,'Schedule 4'!$J$89:$J$649,'Well Cal.'!$E413)</f>
        <v>0</v>
      </c>
      <c r="Q413" s="727">
        <f>SUMIFS('Schedule 4'!$F$89:$F$649,'Schedule 4'!$I$89:$I$649,'Well Cal.'!Q$3,'Schedule 4'!$J$89:$J$649,'Well Cal.'!$E413)</f>
        <v>0</v>
      </c>
      <c r="R413" s="727">
        <f>SUMIFS('Schedule 4'!$F$89:$F$649,'Schedule 4'!$I$89:$I$649,'Well Cal.'!R$3,'Schedule 4'!$J$89:$J$649,'Well Cal.'!$E413)</f>
        <v>0</v>
      </c>
      <c r="S413" s="727">
        <f>SUMIFS('Schedule 4'!$F$89:$F$649,'Schedule 4'!$I$89:$I$649,'Well Cal.'!S$3,'Schedule 4'!$J$89:$J$649,'Well Cal.'!$E413)</f>
        <v>0</v>
      </c>
      <c r="T413" s="727">
        <f>SUMIFS('Schedule 4'!$F$89:$F$649,'Schedule 4'!$I$89:$I$649,'Well Cal.'!T$3,'Schedule 4'!$J$89:$J$649,'Well Cal.'!$E413)</f>
        <v>0</v>
      </c>
      <c r="U413" s="727">
        <f>SUMIFS('Schedule 4'!$F$89:$F$649,'Schedule 4'!$I$89:$I$649,'Well Cal.'!U$3,'Schedule 4'!$J$89:$J$649,'Well Cal.'!$E413)</f>
        <v>0</v>
      </c>
      <c r="V413" s="727">
        <f>SUMIFS('Schedule 4'!$F$89:$F$649,'Schedule 4'!$I$89:$I$649,'Well Cal.'!V$3,'Schedule 4'!$J$89:$J$649,'Well Cal.'!$E413)</f>
        <v>0</v>
      </c>
      <c r="W413" s="727">
        <f>SUMIFS('Schedule 4'!$F$89:$F$649,'Schedule 4'!$I$89:$I$649,'Well Cal.'!W$3,'Schedule 4'!$J$89:$J$649,'Well Cal.'!$E413)</f>
        <v>0</v>
      </c>
      <c r="X413" s="727">
        <f>SUMIFS('Schedule 4'!$F$89:$F$649,'Schedule 4'!$I$89:$I$649,'Well Cal.'!X$3,'Schedule 4'!$J$89:$J$649,'Well Cal.'!$E413)</f>
        <v>0</v>
      </c>
      <c r="Y413" s="727">
        <f>SUMIFS('Schedule 4'!$F$89:$F$649,'Schedule 4'!$I$89:$I$649,'Well Cal.'!Y$3,'Schedule 4'!$J$89:$J$649,'Well Cal.'!$E413)</f>
        <v>0</v>
      </c>
      <c r="Z413" s="727">
        <f>SUMIFS('Schedule 4'!$F$89:$F$649,'Schedule 4'!$I$89:$I$649,'Well Cal.'!Z$3,'Schedule 4'!$J$89:$J$649,'Well Cal.'!$E413)</f>
        <v>0</v>
      </c>
      <c r="AA413" s="727"/>
      <c r="AB413" s="1730"/>
      <c r="AC413" s="1730"/>
    </row>
    <row r="414" spans="2:29" x14ac:dyDescent="0.3">
      <c r="B414" s="1724"/>
      <c r="C414" s="1727"/>
      <c r="D414" s="1721"/>
      <c r="E414" s="775" t="s">
        <v>3704</v>
      </c>
      <c r="F414" s="727">
        <f>SUMIFS('Schedule 4'!$F$89:$F$649,'Schedule 4'!$I$89:$I$649,'Well Cal.'!F$3,'Schedule 4'!$J$89:$J$649,'Well Cal.'!$E414)</f>
        <v>0</v>
      </c>
      <c r="G414" s="727">
        <f>SUMIFS('Schedule 4'!$F$89:$F$649,'Schedule 4'!$I$89:$I$649,'Well Cal.'!G$3,'Schedule 4'!$J$89:$J$649,'Well Cal.'!$E414)</f>
        <v>0</v>
      </c>
      <c r="H414" s="727">
        <f>SUMIFS('Schedule 4'!$F$89:$F$649,'Schedule 4'!$I$89:$I$649,'Well Cal.'!H$3,'Schedule 4'!$J$89:$J$649,'Well Cal.'!$E414)</f>
        <v>0</v>
      </c>
      <c r="I414" s="727">
        <f>SUMIFS('Schedule 4'!$F$89:$F$649,'Schedule 4'!$I$89:$I$649,'Well Cal.'!I$3,'Schedule 4'!$J$89:$J$649,'Well Cal.'!$E414)</f>
        <v>0</v>
      </c>
      <c r="J414" s="727">
        <f>SUMIFS('Schedule 4'!$F$89:$F$649,'Schedule 4'!$I$89:$I$649,'Well Cal.'!J$3,'Schedule 4'!$J$89:$J$649,'Well Cal.'!$E414)</f>
        <v>0</v>
      </c>
      <c r="K414" s="727">
        <f>SUMIFS('Schedule 4'!$F$89:$F$649,'Schedule 4'!$I$89:$I$649,'Well Cal.'!K$3,'Schedule 4'!$J$89:$J$649,'Well Cal.'!$E414)</f>
        <v>0</v>
      </c>
      <c r="L414" s="727">
        <f>SUMIFS('Schedule 4'!$F$89:$F$649,'Schedule 4'!$I$89:$I$649,'Well Cal.'!L$3,'Schedule 4'!$J$89:$J$649,'Well Cal.'!$E414)</f>
        <v>0</v>
      </c>
      <c r="M414" s="727">
        <f>SUMIFS('Schedule 4'!$F$89:$F$649,'Schedule 4'!$I$89:$I$649,'Well Cal.'!M$3,'Schedule 4'!$J$89:$J$649,'Well Cal.'!$E414)</f>
        <v>0</v>
      </c>
      <c r="N414" s="727">
        <f>SUMIFS('Schedule 4'!$F$89:$F$649,'Schedule 4'!$I$89:$I$649,'Well Cal.'!N$3,'Schedule 4'!$J$89:$J$649,'Well Cal.'!$E414)</f>
        <v>0</v>
      </c>
      <c r="O414" s="727">
        <f>SUMIFS('Schedule 4'!$F$89:$F$649,'Schedule 4'!$I$89:$I$649,'Well Cal.'!O$3,'Schedule 4'!$J$89:$J$649,'Well Cal.'!$E414)</f>
        <v>0</v>
      </c>
      <c r="P414" s="727">
        <f>SUMIFS('Schedule 4'!$F$89:$F$649,'Schedule 4'!$I$89:$I$649,'Well Cal.'!P$3,'Schedule 4'!$J$89:$J$649,'Well Cal.'!$E414)</f>
        <v>0</v>
      </c>
      <c r="Q414" s="727">
        <f>SUMIFS('Schedule 4'!$F$89:$F$649,'Schedule 4'!$I$89:$I$649,'Well Cal.'!Q$3,'Schedule 4'!$J$89:$J$649,'Well Cal.'!$E414)</f>
        <v>0</v>
      </c>
      <c r="R414" s="727">
        <f>SUMIFS('Schedule 4'!$F$89:$F$649,'Schedule 4'!$I$89:$I$649,'Well Cal.'!R$3,'Schedule 4'!$J$89:$J$649,'Well Cal.'!$E414)</f>
        <v>0</v>
      </c>
      <c r="S414" s="727">
        <f>SUMIFS('Schedule 4'!$F$89:$F$649,'Schedule 4'!$I$89:$I$649,'Well Cal.'!S$3,'Schedule 4'!$J$89:$J$649,'Well Cal.'!$E414)</f>
        <v>0</v>
      </c>
      <c r="T414" s="727">
        <f>SUMIFS('Schedule 4'!$F$89:$F$649,'Schedule 4'!$I$89:$I$649,'Well Cal.'!T$3,'Schedule 4'!$J$89:$J$649,'Well Cal.'!$E414)</f>
        <v>0</v>
      </c>
      <c r="U414" s="727">
        <f>SUMIFS('Schedule 4'!$F$89:$F$649,'Schedule 4'!$I$89:$I$649,'Well Cal.'!U$3,'Schedule 4'!$J$89:$J$649,'Well Cal.'!$E414)</f>
        <v>0</v>
      </c>
      <c r="V414" s="727">
        <f>SUMIFS('Schedule 4'!$F$89:$F$649,'Schedule 4'!$I$89:$I$649,'Well Cal.'!V$3,'Schedule 4'!$J$89:$J$649,'Well Cal.'!$E414)</f>
        <v>0</v>
      </c>
      <c r="W414" s="727">
        <f>SUMIFS('Schedule 4'!$F$89:$F$649,'Schedule 4'!$I$89:$I$649,'Well Cal.'!W$3,'Schedule 4'!$J$89:$J$649,'Well Cal.'!$E414)</f>
        <v>0</v>
      </c>
      <c r="X414" s="727">
        <f>SUMIFS('Schedule 4'!$F$89:$F$649,'Schedule 4'!$I$89:$I$649,'Well Cal.'!X$3,'Schedule 4'!$J$89:$J$649,'Well Cal.'!$E414)</f>
        <v>0</v>
      </c>
      <c r="Y414" s="727">
        <f>SUMIFS('Schedule 4'!$F$89:$F$649,'Schedule 4'!$I$89:$I$649,'Well Cal.'!Y$3,'Schedule 4'!$J$89:$J$649,'Well Cal.'!$E414)</f>
        <v>0</v>
      </c>
      <c r="Z414" s="727">
        <f>SUMIFS('Schedule 4'!$F$89:$F$649,'Schedule 4'!$I$89:$I$649,'Well Cal.'!Z$3,'Schedule 4'!$J$89:$J$649,'Well Cal.'!$E414)</f>
        <v>0</v>
      </c>
      <c r="AA414" s="727"/>
      <c r="AB414" s="1731"/>
      <c r="AC414" s="1731"/>
    </row>
    <row r="415" spans="2:29" x14ac:dyDescent="0.3">
      <c r="B415" s="1724"/>
      <c r="C415" s="1727"/>
      <c r="D415" s="1721"/>
      <c r="E415" s="775" t="s">
        <v>3753</v>
      </c>
      <c r="F415" s="727">
        <f>SUMIFS('Schedule 4'!$F$89:$F$649,'Schedule 4'!$I$89:$I$649,'Well Cal.'!F$3,'Schedule 4'!$J$89:$J$649,'Well Cal.'!$E415)</f>
        <v>0</v>
      </c>
      <c r="G415" s="727">
        <f>SUMIFS('Schedule 4'!$F$89:$F$649,'Schedule 4'!$I$89:$I$649,'Well Cal.'!G$3,'Schedule 4'!$J$89:$J$649,'Well Cal.'!$E415)</f>
        <v>0</v>
      </c>
      <c r="H415" s="727">
        <f>SUMIFS('Schedule 4'!$F$89:$F$649,'Schedule 4'!$I$89:$I$649,'Well Cal.'!H$3,'Schedule 4'!$J$89:$J$649,'Well Cal.'!$E415)</f>
        <v>0</v>
      </c>
      <c r="I415" s="727">
        <f>SUMIFS('Schedule 4'!$F$89:$F$649,'Schedule 4'!$I$89:$I$649,'Well Cal.'!I$3,'Schedule 4'!$J$89:$J$649,'Well Cal.'!$E415)</f>
        <v>0</v>
      </c>
      <c r="J415" s="727">
        <f>SUMIFS('Schedule 4'!$F$89:$F$649,'Schedule 4'!$I$89:$I$649,'Well Cal.'!J$3,'Schedule 4'!$J$89:$J$649,'Well Cal.'!$E415)</f>
        <v>0</v>
      </c>
      <c r="K415" s="727">
        <f>SUMIFS('Schedule 4'!$F$89:$F$649,'Schedule 4'!$I$89:$I$649,'Well Cal.'!K$3,'Schedule 4'!$J$89:$J$649,'Well Cal.'!$E415)</f>
        <v>0</v>
      </c>
      <c r="L415" s="727">
        <f>SUMIFS('Schedule 4'!$F$89:$F$649,'Schedule 4'!$I$89:$I$649,'Well Cal.'!L$3,'Schedule 4'!$J$89:$J$649,'Well Cal.'!$E415)</f>
        <v>0</v>
      </c>
      <c r="M415" s="727">
        <f>SUMIFS('Schedule 4'!$F$89:$F$649,'Schedule 4'!$I$89:$I$649,'Well Cal.'!M$3,'Schedule 4'!$J$89:$J$649,'Well Cal.'!$E415)</f>
        <v>0</v>
      </c>
      <c r="N415" s="727">
        <f>SUMIFS('Schedule 4'!$F$89:$F$649,'Schedule 4'!$I$89:$I$649,'Well Cal.'!N$3,'Schedule 4'!$J$89:$J$649,'Well Cal.'!$E415)</f>
        <v>0</v>
      </c>
      <c r="O415" s="727">
        <f>SUMIFS('Schedule 4'!$F$89:$F$649,'Schedule 4'!$I$89:$I$649,'Well Cal.'!O$3,'Schedule 4'!$J$89:$J$649,'Well Cal.'!$E415)</f>
        <v>0</v>
      </c>
      <c r="P415" s="727">
        <f>SUMIFS('Schedule 4'!$F$89:$F$649,'Schedule 4'!$I$89:$I$649,'Well Cal.'!P$3,'Schedule 4'!$J$89:$J$649,'Well Cal.'!$E415)</f>
        <v>0</v>
      </c>
      <c r="Q415" s="727">
        <f>SUMIFS('Schedule 4'!$F$89:$F$649,'Schedule 4'!$I$89:$I$649,'Well Cal.'!Q$3,'Schedule 4'!$J$89:$J$649,'Well Cal.'!$E415)</f>
        <v>0</v>
      </c>
      <c r="R415" s="727">
        <f>SUMIFS('Schedule 4'!$F$89:$F$649,'Schedule 4'!$I$89:$I$649,'Well Cal.'!R$3,'Schedule 4'!$J$89:$J$649,'Well Cal.'!$E415)</f>
        <v>0</v>
      </c>
      <c r="S415" s="727">
        <f>SUMIFS('Schedule 4'!$F$89:$F$649,'Schedule 4'!$I$89:$I$649,'Well Cal.'!S$3,'Schedule 4'!$J$89:$J$649,'Well Cal.'!$E415)</f>
        <v>0</v>
      </c>
      <c r="T415" s="727">
        <f>SUMIFS('Schedule 4'!$F$89:$F$649,'Schedule 4'!$I$89:$I$649,'Well Cal.'!T$3,'Schedule 4'!$J$89:$J$649,'Well Cal.'!$E415)</f>
        <v>0</v>
      </c>
      <c r="U415" s="727">
        <f>SUMIFS('Schedule 4'!$F$89:$F$649,'Schedule 4'!$I$89:$I$649,'Well Cal.'!U$3,'Schedule 4'!$J$89:$J$649,'Well Cal.'!$E415)</f>
        <v>0</v>
      </c>
      <c r="V415" s="727">
        <f>SUMIFS('Schedule 4'!$F$89:$F$649,'Schedule 4'!$I$89:$I$649,'Well Cal.'!V$3,'Schedule 4'!$J$89:$J$649,'Well Cal.'!$E415)</f>
        <v>0</v>
      </c>
      <c r="W415" s="727">
        <f>SUMIFS('Schedule 4'!$F$89:$F$649,'Schedule 4'!$I$89:$I$649,'Well Cal.'!W$3,'Schedule 4'!$J$89:$J$649,'Well Cal.'!$E415)</f>
        <v>0</v>
      </c>
      <c r="X415" s="727">
        <f>SUMIFS('Schedule 4'!$F$89:$F$649,'Schedule 4'!$I$89:$I$649,'Well Cal.'!X$3,'Schedule 4'!$J$89:$J$649,'Well Cal.'!$E415)</f>
        <v>0</v>
      </c>
      <c r="Y415" s="727">
        <f>SUMIFS('Schedule 4'!$F$89:$F$649,'Schedule 4'!$I$89:$I$649,'Well Cal.'!Y$3,'Schedule 4'!$J$89:$J$649,'Well Cal.'!$E415)</f>
        <v>0</v>
      </c>
      <c r="Z415" s="727">
        <f>SUMIFS('Schedule 4'!$F$89:$F$649,'Schedule 4'!$I$89:$I$649,'Well Cal.'!Z$3,'Schedule 4'!$J$89:$J$649,'Well Cal.'!$E415)</f>
        <v>0</v>
      </c>
      <c r="AA415" s="727"/>
      <c r="AB415" s="1731"/>
      <c r="AC415" s="1731"/>
    </row>
    <row r="416" spans="2:29" x14ac:dyDescent="0.3">
      <c r="B416" s="1724"/>
      <c r="C416" s="1727"/>
      <c r="D416" s="1721"/>
      <c r="E416" s="775" t="s">
        <v>3829</v>
      </c>
      <c r="F416" s="727">
        <f>SUMIFS('Schedule 4'!$F$89:$F$649,'Schedule 4'!$I$89:$I$649,'Well Cal.'!F$3,'Schedule 4'!$J$89:$J$649,'Well Cal.'!$E416)</f>
        <v>0</v>
      </c>
      <c r="G416" s="727">
        <f>SUMIFS('Schedule 4'!$F$89:$F$649,'Schedule 4'!$I$89:$I$649,'Well Cal.'!G$3,'Schedule 4'!$J$89:$J$649,'Well Cal.'!$E416)</f>
        <v>0</v>
      </c>
      <c r="H416" s="727">
        <f>SUMIFS('Schedule 4'!$F$89:$F$649,'Schedule 4'!$I$89:$I$649,'Well Cal.'!H$3,'Schedule 4'!$J$89:$J$649,'Well Cal.'!$E416)</f>
        <v>0</v>
      </c>
      <c r="I416" s="727">
        <f>SUMIFS('Schedule 4'!$F$89:$F$649,'Schedule 4'!$I$89:$I$649,'Well Cal.'!I$3,'Schedule 4'!$J$89:$J$649,'Well Cal.'!$E416)</f>
        <v>0</v>
      </c>
      <c r="J416" s="727">
        <f>SUMIFS('Schedule 4'!$F$89:$F$649,'Schedule 4'!$I$89:$I$649,'Well Cal.'!J$3,'Schedule 4'!$J$89:$J$649,'Well Cal.'!$E416)</f>
        <v>0</v>
      </c>
      <c r="K416" s="727">
        <f>SUMIFS('Schedule 4'!$F$89:$F$649,'Schedule 4'!$I$89:$I$649,'Well Cal.'!K$3,'Schedule 4'!$J$89:$J$649,'Well Cal.'!$E416)</f>
        <v>0</v>
      </c>
      <c r="L416" s="727">
        <f>SUMIFS('Schedule 4'!$F$89:$F$649,'Schedule 4'!$I$89:$I$649,'Well Cal.'!L$3,'Schedule 4'!$J$89:$J$649,'Well Cal.'!$E416)</f>
        <v>0</v>
      </c>
      <c r="M416" s="727">
        <f>SUMIFS('Schedule 4'!$F$89:$F$649,'Schedule 4'!$I$89:$I$649,'Well Cal.'!M$3,'Schedule 4'!$J$89:$J$649,'Well Cal.'!$E416)</f>
        <v>0</v>
      </c>
      <c r="N416" s="727">
        <f>SUMIFS('Schedule 4'!$F$89:$F$649,'Schedule 4'!$I$89:$I$649,'Well Cal.'!N$3,'Schedule 4'!$J$89:$J$649,'Well Cal.'!$E416)</f>
        <v>0</v>
      </c>
      <c r="O416" s="727">
        <f>SUMIFS('Schedule 4'!$F$89:$F$649,'Schedule 4'!$I$89:$I$649,'Well Cal.'!O$3,'Schedule 4'!$J$89:$J$649,'Well Cal.'!$E416)</f>
        <v>0</v>
      </c>
      <c r="P416" s="727">
        <f>SUMIFS('Schedule 4'!$F$89:$F$649,'Schedule 4'!$I$89:$I$649,'Well Cal.'!P$3,'Schedule 4'!$J$89:$J$649,'Well Cal.'!$E416)</f>
        <v>0</v>
      </c>
      <c r="Q416" s="727">
        <f>SUMIFS('Schedule 4'!$F$89:$F$649,'Schedule 4'!$I$89:$I$649,'Well Cal.'!Q$3,'Schedule 4'!$J$89:$J$649,'Well Cal.'!$E416)</f>
        <v>0</v>
      </c>
      <c r="R416" s="727">
        <f>SUMIFS('Schedule 4'!$F$89:$F$649,'Schedule 4'!$I$89:$I$649,'Well Cal.'!R$3,'Schedule 4'!$J$89:$J$649,'Well Cal.'!$E416)</f>
        <v>0</v>
      </c>
      <c r="S416" s="727">
        <f>SUMIFS('Schedule 4'!$F$89:$F$649,'Schedule 4'!$I$89:$I$649,'Well Cal.'!S$3,'Schedule 4'!$J$89:$J$649,'Well Cal.'!$E416)</f>
        <v>0</v>
      </c>
      <c r="T416" s="727">
        <f>SUMIFS('Schedule 4'!$F$89:$F$649,'Schedule 4'!$I$89:$I$649,'Well Cal.'!T$3,'Schedule 4'!$J$89:$J$649,'Well Cal.'!$E416)</f>
        <v>0</v>
      </c>
      <c r="U416" s="727">
        <f>SUMIFS('Schedule 4'!$F$89:$F$649,'Schedule 4'!$I$89:$I$649,'Well Cal.'!U$3,'Schedule 4'!$J$89:$J$649,'Well Cal.'!$E416)</f>
        <v>0</v>
      </c>
      <c r="V416" s="727">
        <f>SUMIFS('Schedule 4'!$F$89:$F$649,'Schedule 4'!$I$89:$I$649,'Well Cal.'!V$3,'Schedule 4'!$J$89:$J$649,'Well Cal.'!$E416)</f>
        <v>0</v>
      </c>
      <c r="W416" s="727">
        <f>SUMIFS('Schedule 4'!$F$89:$F$649,'Schedule 4'!$I$89:$I$649,'Well Cal.'!W$3,'Schedule 4'!$J$89:$J$649,'Well Cal.'!$E416)</f>
        <v>0</v>
      </c>
      <c r="X416" s="727">
        <f>SUMIFS('Schedule 4'!$F$89:$F$649,'Schedule 4'!$I$89:$I$649,'Well Cal.'!X$3,'Schedule 4'!$J$89:$J$649,'Well Cal.'!$E416)</f>
        <v>0</v>
      </c>
      <c r="Y416" s="727">
        <f>SUMIFS('Schedule 4'!$F$89:$F$649,'Schedule 4'!$I$89:$I$649,'Well Cal.'!Y$3,'Schedule 4'!$J$89:$J$649,'Well Cal.'!$E416)</f>
        <v>0</v>
      </c>
      <c r="Z416" s="727">
        <f>SUMIFS('Schedule 4'!$F$89:$F$649,'Schedule 4'!$I$89:$I$649,'Well Cal.'!Z$3,'Schedule 4'!$J$89:$J$649,'Well Cal.'!$E416)</f>
        <v>0</v>
      </c>
      <c r="AA416" s="727"/>
      <c r="AB416" s="1731"/>
      <c r="AC416" s="1731"/>
    </row>
    <row r="417" spans="2:29" x14ac:dyDescent="0.3">
      <c r="B417" s="1724"/>
      <c r="C417" s="1727"/>
      <c r="D417" s="1721"/>
      <c r="E417" s="775" t="s">
        <v>3887</v>
      </c>
      <c r="F417" s="727">
        <f>SUMIFS('Schedule 4'!$F$89:$F$649,'Schedule 4'!$I$89:$I$649,'Well Cal.'!F$3,'Schedule 4'!$J$89:$J$649,'Well Cal.'!$E417)</f>
        <v>0</v>
      </c>
      <c r="G417" s="727">
        <f>SUMIFS('Schedule 4'!$F$89:$F$649,'Schedule 4'!$I$89:$I$649,'Well Cal.'!G$3,'Schedule 4'!$J$89:$J$649,'Well Cal.'!$E417)</f>
        <v>0</v>
      </c>
      <c r="H417" s="727">
        <f>SUMIFS('Schedule 4'!$F$89:$F$649,'Schedule 4'!$I$89:$I$649,'Well Cal.'!H$3,'Schedule 4'!$J$89:$J$649,'Well Cal.'!$E417)</f>
        <v>0</v>
      </c>
      <c r="I417" s="727">
        <f>SUMIFS('Schedule 4'!$F$89:$F$649,'Schedule 4'!$I$89:$I$649,'Well Cal.'!I$3,'Schedule 4'!$J$89:$J$649,'Well Cal.'!$E417)</f>
        <v>0</v>
      </c>
      <c r="J417" s="727">
        <f>SUMIFS('Schedule 4'!$F$89:$F$649,'Schedule 4'!$I$89:$I$649,'Well Cal.'!J$3,'Schedule 4'!$J$89:$J$649,'Well Cal.'!$E417)</f>
        <v>0</v>
      </c>
      <c r="K417" s="727">
        <f>SUMIFS('Schedule 4'!$F$89:$F$649,'Schedule 4'!$I$89:$I$649,'Well Cal.'!K$3,'Schedule 4'!$J$89:$J$649,'Well Cal.'!$E417)</f>
        <v>0</v>
      </c>
      <c r="L417" s="727">
        <f>SUMIFS('Schedule 4'!$F$89:$F$649,'Schedule 4'!$I$89:$I$649,'Well Cal.'!L$3,'Schedule 4'!$J$89:$J$649,'Well Cal.'!$E417)</f>
        <v>0</v>
      </c>
      <c r="M417" s="727">
        <f>SUMIFS('Schedule 4'!$F$89:$F$649,'Schedule 4'!$I$89:$I$649,'Well Cal.'!M$3,'Schedule 4'!$J$89:$J$649,'Well Cal.'!$E417)</f>
        <v>0</v>
      </c>
      <c r="N417" s="727">
        <f>SUMIFS('Schedule 4'!$F$89:$F$649,'Schedule 4'!$I$89:$I$649,'Well Cal.'!N$3,'Schedule 4'!$J$89:$J$649,'Well Cal.'!$E417)</f>
        <v>0</v>
      </c>
      <c r="O417" s="727">
        <f>SUMIFS('Schedule 4'!$F$89:$F$649,'Schedule 4'!$I$89:$I$649,'Well Cal.'!O$3,'Schedule 4'!$J$89:$J$649,'Well Cal.'!$E417)</f>
        <v>0</v>
      </c>
      <c r="P417" s="727">
        <f>SUMIFS('Schedule 4'!$F$89:$F$649,'Schedule 4'!$I$89:$I$649,'Well Cal.'!P$3,'Schedule 4'!$J$89:$J$649,'Well Cal.'!$E417)</f>
        <v>0</v>
      </c>
      <c r="Q417" s="727">
        <f>SUMIFS('Schedule 4'!$F$89:$F$649,'Schedule 4'!$I$89:$I$649,'Well Cal.'!Q$3,'Schedule 4'!$J$89:$J$649,'Well Cal.'!$E417)</f>
        <v>0</v>
      </c>
      <c r="R417" s="727">
        <f>SUMIFS('Schedule 4'!$F$89:$F$649,'Schedule 4'!$I$89:$I$649,'Well Cal.'!R$3,'Schedule 4'!$J$89:$J$649,'Well Cal.'!$E417)</f>
        <v>0</v>
      </c>
      <c r="S417" s="727">
        <f>SUMIFS('Schedule 4'!$F$89:$F$649,'Schedule 4'!$I$89:$I$649,'Well Cal.'!S$3,'Schedule 4'!$J$89:$J$649,'Well Cal.'!$E417)</f>
        <v>0</v>
      </c>
      <c r="T417" s="727">
        <f>SUMIFS('Schedule 4'!$F$89:$F$649,'Schedule 4'!$I$89:$I$649,'Well Cal.'!T$3,'Schedule 4'!$J$89:$J$649,'Well Cal.'!$E417)</f>
        <v>0</v>
      </c>
      <c r="U417" s="727">
        <f>SUMIFS('Schedule 4'!$F$89:$F$649,'Schedule 4'!$I$89:$I$649,'Well Cal.'!U$3,'Schedule 4'!$J$89:$J$649,'Well Cal.'!$E417)</f>
        <v>0</v>
      </c>
      <c r="V417" s="727">
        <f>SUMIFS('Schedule 4'!$F$89:$F$649,'Schedule 4'!$I$89:$I$649,'Well Cal.'!V$3,'Schedule 4'!$J$89:$J$649,'Well Cal.'!$E417)</f>
        <v>0</v>
      </c>
      <c r="W417" s="727">
        <f>SUMIFS('Schedule 4'!$F$89:$F$649,'Schedule 4'!$I$89:$I$649,'Well Cal.'!W$3,'Schedule 4'!$J$89:$J$649,'Well Cal.'!$E417)</f>
        <v>0</v>
      </c>
      <c r="X417" s="727">
        <f>SUMIFS('Schedule 4'!$F$89:$F$649,'Schedule 4'!$I$89:$I$649,'Well Cal.'!X$3,'Schedule 4'!$J$89:$J$649,'Well Cal.'!$E417)</f>
        <v>0</v>
      </c>
      <c r="Y417" s="727">
        <f>SUMIFS('Schedule 4'!$F$89:$F$649,'Schedule 4'!$I$89:$I$649,'Well Cal.'!Y$3,'Schedule 4'!$J$89:$J$649,'Well Cal.'!$E417)</f>
        <v>0</v>
      </c>
      <c r="Z417" s="727">
        <f>SUMIFS('Schedule 4'!$F$89:$F$649,'Schedule 4'!$I$89:$I$649,'Well Cal.'!Z$3,'Schedule 4'!$J$89:$J$649,'Well Cal.'!$E417)</f>
        <v>0</v>
      </c>
      <c r="AA417" s="727"/>
      <c r="AB417" s="1731"/>
      <c r="AC417" s="1731"/>
    </row>
    <row r="418" spans="2:29" x14ac:dyDescent="0.3">
      <c r="B418" s="1724"/>
      <c r="C418" s="1727"/>
      <c r="D418" s="1721"/>
      <c r="E418" s="775" t="s">
        <v>3965</v>
      </c>
      <c r="F418" s="727">
        <f>SUMIFS('Schedule 4'!$F$89:$F$649,'Schedule 4'!$I$89:$I$649,'Well Cal.'!F$3,'Schedule 4'!$J$89:$J$649,'Well Cal.'!$E418)</f>
        <v>0</v>
      </c>
      <c r="G418" s="727">
        <f>SUMIFS('Schedule 4'!$F$89:$F$649,'Schedule 4'!$I$89:$I$649,'Well Cal.'!G$3,'Schedule 4'!$J$89:$J$649,'Well Cal.'!$E418)</f>
        <v>0</v>
      </c>
      <c r="H418" s="727">
        <f>SUMIFS('Schedule 4'!$F$89:$F$649,'Schedule 4'!$I$89:$I$649,'Well Cal.'!H$3,'Schedule 4'!$J$89:$J$649,'Well Cal.'!$E418)</f>
        <v>0</v>
      </c>
      <c r="I418" s="727">
        <f>SUMIFS('Schedule 4'!$F$89:$F$649,'Schedule 4'!$I$89:$I$649,'Well Cal.'!I$3,'Schedule 4'!$J$89:$J$649,'Well Cal.'!$E418)</f>
        <v>0</v>
      </c>
      <c r="J418" s="727">
        <f>SUMIFS('Schedule 4'!$F$89:$F$649,'Schedule 4'!$I$89:$I$649,'Well Cal.'!J$3,'Schedule 4'!$J$89:$J$649,'Well Cal.'!$E418)</f>
        <v>0</v>
      </c>
      <c r="K418" s="727">
        <f>SUMIFS('Schedule 4'!$F$89:$F$649,'Schedule 4'!$I$89:$I$649,'Well Cal.'!K$3,'Schedule 4'!$J$89:$J$649,'Well Cal.'!$E418)</f>
        <v>0</v>
      </c>
      <c r="L418" s="727">
        <f>SUMIFS('Schedule 4'!$F$89:$F$649,'Schedule 4'!$I$89:$I$649,'Well Cal.'!L$3,'Schedule 4'!$J$89:$J$649,'Well Cal.'!$E418)</f>
        <v>0</v>
      </c>
      <c r="M418" s="727">
        <f>SUMIFS('Schedule 4'!$F$89:$F$649,'Schedule 4'!$I$89:$I$649,'Well Cal.'!M$3,'Schedule 4'!$J$89:$J$649,'Well Cal.'!$E418)</f>
        <v>0</v>
      </c>
      <c r="N418" s="727">
        <f>SUMIFS('Schedule 4'!$F$89:$F$649,'Schedule 4'!$I$89:$I$649,'Well Cal.'!N$3,'Schedule 4'!$J$89:$J$649,'Well Cal.'!$E418)</f>
        <v>0</v>
      </c>
      <c r="O418" s="727">
        <f>SUMIFS('Schedule 4'!$F$89:$F$649,'Schedule 4'!$I$89:$I$649,'Well Cal.'!O$3,'Schedule 4'!$J$89:$J$649,'Well Cal.'!$E418)</f>
        <v>0</v>
      </c>
      <c r="P418" s="727">
        <f>SUMIFS('Schedule 4'!$F$89:$F$649,'Schedule 4'!$I$89:$I$649,'Well Cal.'!P$3,'Schedule 4'!$J$89:$J$649,'Well Cal.'!$E418)</f>
        <v>0</v>
      </c>
      <c r="Q418" s="727">
        <f>SUMIFS('Schedule 4'!$F$89:$F$649,'Schedule 4'!$I$89:$I$649,'Well Cal.'!Q$3,'Schedule 4'!$J$89:$J$649,'Well Cal.'!$E418)</f>
        <v>0</v>
      </c>
      <c r="R418" s="727">
        <f>SUMIFS('Schedule 4'!$F$89:$F$649,'Schedule 4'!$I$89:$I$649,'Well Cal.'!R$3,'Schedule 4'!$J$89:$J$649,'Well Cal.'!$E418)</f>
        <v>0</v>
      </c>
      <c r="S418" s="727">
        <f>SUMIFS('Schedule 4'!$F$89:$F$649,'Schedule 4'!$I$89:$I$649,'Well Cal.'!S$3,'Schedule 4'!$J$89:$J$649,'Well Cal.'!$E418)</f>
        <v>0</v>
      </c>
      <c r="T418" s="727">
        <f>SUMIFS('Schedule 4'!$F$89:$F$649,'Schedule 4'!$I$89:$I$649,'Well Cal.'!T$3,'Schedule 4'!$J$89:$J$649,'Well Cal.'!$E418)</f>
        <v>0</v>
      </c>
      <c r="U418" s="727">
        <f>SUMIFS('Schedule 4'!$F$89:$F$649,'Schedule 4'!$I$89:$I$649,'Well Cal.'!U$3,'Schedule 4'!$J$89:$J$649,'Well Cal.'!$E418)</f>
        <v>0</v>
      </c>
      <c r="V418" s="727">
        <f>SUMIFS('Schedule 4'!$F$89:$F$649,'Schedule 4'!$I$89:$I$649,'Well Cal.'!V$3,'Schedule 4'!$J$89:$J$649,'Well Cal.'!$E418)</f>
        <v>0</v>
      </c>
      <c r="W418" s="727">
        <f>SUMIFS('Schedule 4'!$F$89:$F$649,'Schedule 4'!$I$89:$I$649,'Well Cal.'!W$3,'Schedule 4'!$J$89:$J$649,'Well Cal.'!$E418)</f>
        <v>0</v>
      </c>
      <c r="X418" s="727">
        <f>SUMIFS('Schedule 4'!$F$89:$F$649,'Schedule 4'!$I$89:$I$649,'Well Cal.'!X$3,'Schedule 4'!$J$89:$J$649,'Well Cal.'!$E418)</f>
        <v>0</v>
      </c>
      <c r="Y418" s="727">
        <f>SUMIFS('Schedule 4'!$F$89:$F$649,'Schedule 4'!$I$89:$I$649,'Well Cal.'!Y$3,'Schedule 4'!$J$89:$J$649,'Well Cal.'!$E418)</f>
        <v>0</v>
      </c>
      <c r="Z418" s="727">
        <f>SUMIFS('Schedule 4'!$F$89:$F$649,'Schedule 4'!$I$89:$I$649,'Well Cal.'!Z$3,'Schedule 4'!$J$89:$J$649,'Well Cal.'!$E418)</f>
        <v>0</v>
      </c>
      <c r="AA418" s="727"/>
      <c r="AB418" s="1731"/>
      <c r="AC418" s="1731"/>
    </row>
    <row r="419" spans="2:29" x14ac:dyDescent="0.3">
      <c r="B419" s="1724"/>
      <c r="C419" s="1727"/>
      <c r="D419" s="1721"/>
      <c r="E419" s="775" t="s">
        <v>4025</v>
      </c>
      <c r="F419" s="727">
        <f>SUMIFS('Schedule 4'!$F$89:$F$649,'Schedule 4'!$I$89:$I$649,'Well Cal.'!F$3,'Schedule 4'!$J$89:$J$649,'Well Cal.'!$E419)</f>
        <v>0</v>
      </c>
      <c r="G419" s="727">
        <f>SUMIFS('Schedule 4'!$F$89:$F$649,'Schedule 4'!$I$89:$I$649,'Well Cal.'!G$3,'Schedule 4'!$J$89:$J$649,'Well Cal.'!$E419)</f>
        <v>0</v>
      </c>
      <c r="H419" s="727">
        <f>SUMIFS('Schedule 4'!$F$89:$F$649,'Schedule 4'!$I$89:$I$649,'Well Cal.'!H$3,'Schedule 4'!$J$89:$J$649,'Well Cal.'!$E419)</f>
        <v>0</v>
      </c>
      <c r="I419" s="727">
        <f>SUMIFS('Schedule 4'!$F$89:$F$649,'Schedule 4'!$I$89:$I$649,'Well Cal.'!I$3,'Schedule 4'!$J$89:$J$649,'Well Cal.'!$E419)</f>
        <v>0</v>
      </c>
      <c r="J419" s="727">
        <f>SUMIFS('Schedule 4'!$F$89:$F$649,'Schedule 4'!$I$89:$I$649,'Well Cal.'!J$3,'Schedule 4'!$J$89:$J$649,'Well Cal.'!$E419)</f>
        <v>0</v>
      </c>
      <c r="K419" s="727">
        <f>SUMIFS('Schedule 4'!$F$89:$F$649,'Schedule 4'!$I$89:$I$649,'Well Cal.'!K$3,'Schedule 4'!$J$89:$J$649,'Well Cal.'!$E419)</f>
        <v>0</v>
      </c>
      <c r="L419" s="727">
        <f>SUMIFS('Schedule 4'!$F$89:$F$649,'Schedule 4'!$I$89:$I$649,'Well Cal.'!L$3,'Schedule 4'!$J$89:$J$649,'Well Cal.'!$E419)</f>
        <v>0</v>
      </c>
      <c r="M419" s="727">
        <f>SUMIFS('Schedule 4'!$F$89:$F$649,'Schedule 4'!$I$89:$I$649,'Well Cal.'!M$3,'Schedule 4'!$J$89:$J$649,'Well Cal.'!$E419)</f>
        <v>0</v>
      </c>
      <c r="N419" s="727">
        <f>SUMIFS('Schedule 4'!$F$89:$F$649,'Schedule 4'!$I$89:$I$649,'Well Cal.'!N$3,'Schedule 4'!$J$89:$J$649,'Well Cal.'!$E419)</f>
        <v>0</v>
      </c>
      <c r="O419" s="727">
        <f>SUMIFS('Schedule 4'!$F$89:$F$649,'Schedule 4'!$I$89:$I$649,'Well Cal.'!O$3,'Schedule 4'!$J$89:$J$649,'Well Cal.'!$E419)</f>
        <v>0</v>
      </c>
      <c r="P419" s="727">
        <f>SUMIFS('Schedule 4'!$F$89:$F$649,'Schedule 4'!$I$89:$I$649,'Well Cal.'!P$3,'Schedule 4'!$J$89:$J$649,'Well Cal.'!$E419)</f>
        <v>0</v>
      </c>
      <c r="Q419" s="727">
        <f>SUMIFS('Schedule 4'!$F$89:$F$649,'Schedule 4'!$I$89:$I$649,'Well Cal.'!Q$3,'Schedule 4'!$J$89:$J$649,'Well Cal.'!$E419)</f>
        <v>0</v>
      </c>
      <c r="R419" s="727">
        <f>SUMIFS('Schedule 4'!$F$89:$F$649,'Schedule 4'!$I$89:$I$649,'Well Cal.'!R$3,'Schedule 4'!$J$89:$J$649,'Well Cal.'!$E419)</f>
        <v>0</v>
      </c>
      <c r="S419" s="727">
        <f>SUMIFS('Schedule 4'!$F$89:$F$649,'Schedule 4'!$I$89:$I$649,'Well Cal.'!S$3,'Schedule 4'!$J$89:$J$649,'Well Cal.'!$E419)</f>
        <v>0</v>
      </c>
      <c r="T419" s="727">
        <f>SUMIFS('Schedule 4'!$F$89:$F$649,'Schedule 4'!$I$89:$I$649,'Well Cal.'!T$3,'Schedule 4'!$J$89:$J$649,'Well Cal.'!$E419)</f>
        <v>0</v>
      </c>
      <c r="U419" s="727">
        <f>SUMIFS('Schedule 4'!$F$89:$F$649,'Schedule 4'!$I$89:$I$649,'Well Cal.'!U$3,'Schedule 4'!$J$89:$J$649,'Well Cal.'!$E419)</f>
        <v>0</v>
      </c>
      <c r="V419" s="727">
        <f>SUMIFS('Schedule 4'!$F$89:$F$649,'Schedule 4'!$I$89:$I$649,'Well Cal.'!V$3,'Schedule 4'!$J$89:$J$649,'Well Cal.'!$E419)</f>
        <v>0</v>
      </c>
      <c r="W419" s="727">
        <f>SUMIFS('Schedule 4'!$F$89:$F$649,'Schedule 4'!$I$89:$I$649,'Well Cal.'!W$3,'Schedule 4'!$J$89:$J$649,'Well Cal.'!$E419)</f>
        <v>0</v>
      </c>
      <c r="X419" s="727">
        <f>SUMIFS('Schedule 4'!$F$89:$F$649,'Schedule 4'!$I$89:$I$649,'Well Cal.'!X$3,'Schedule 4'!$J$89:$J$649,'Well Cal.'!$E419)</f>
        <v>0</v>
      </c>
      <c r="Y419" s="727">
        <f>SUMIFS('Schedule 4'!$F$89:$F$649,'Schedule 4'!$I$89:$I$649,'Well Cal.'!Y$3,'Schedule 4'!$J$89:$J$649,'Well Cal.'!$E419)</f>
        <v>0</v>
      </c>
      <c r="Z419" s="727">
        <f>SUMIFS('Schedule 4'!$F$89:$F$649,'Schedule 4'!$I$89:$I$649,'Well Cal.'!Z$3,'Schedule 4'!$J$89:$J$649,'Well Cal.'!$E419)</f>
        <v>0</v>
      </c>
      <c r="AA419" s="727"/>
      <c r="AB419" s="1731"/>
      <c r="AC419" s="1731"/>
    </row>
    <row r="420" spans="2:29" x14ac:dyDescent="0.3">
      <c r="B420" s="1724"/>
      <c r="C420" s="1727"/>
      <c r="D420" s="1721"/>
      <c r="E420" s="775" t="s">
        <v>4098</v>
      </c>
      <c r="F420" s="727">
        <f>SUMIFS('Schedule 4'!$F$89:$F$649,'Schedule 4'!$I$89:$I$649,'Well Cal.'!F$3,'Schedule 4'!$J$89:$J$649,'Well Cal.'!$E420)</f>
        <v>0</v>
      </c>
      <c r="G420" s="727">
        <f>SUMIFS('Schedule 4'!$F$89:$F$649,'Schedule 4'!$I$89:$I$649,'Well Cal.'!G$3,'Schedule 4'!$J$89:$J$649,'Well Cal.'!$E420)</f>
        <v>0</v>
      </c>
      <c r="H420" s="727">
        <f>SUMIFS('Schedule 4'!$F$89:$F$649,'Schedule 4'!$I$89:$I$649,'Well Cal.'!H$3,'Schedule 4'!$J$89:$J$649,'Well Cal.'!$E420)</f>
        <v>0</v>
      </c>
      <c r="I420" s="727">
        <f>SUMIFS('Schedule 4'!$F$89:$F$649,'Schedule 4'!$I$89:$I$649,'Well Cal.'!I$3,'Schedule 4'!$J$89:$J$649,'Well Cal.'!$E420)</f>
        <v>0</v>
      </c>
      <c r="J420" s="727">
        <f>SUMIFS('Schedule 4'!$F$89:$F$649,'Schedule 4'!$I$89:$I$649,'Well Cal.'!J$3,'Schedule 4'!$J$89:$J$649,'Well Cal.'!$E420)</f>
        <v>0</v>
      </c>
      <c r="K420" s="727">
        <f>SUMIFS('Schedule 4'!$F$89:$F$649,'Schedule 4'!$I$89:$I$649,'Well Cal.'!K$3,'Schedule 4'!$J$89:$J$649,'Well Cal.'!$E420)</f>
        <v>0</v>
      </c>
      <c r="L420" s="727">
        <f>SUMIFS('Schedule 4'!$F$89:$F$649,'Schedule 4'!$I$89:$I$649,'Well Cal.'!L$3,'Schedule 4'!$J$89:$J$649,'Well Cal.'!$E420)</f>
        <v>0</v>
      </c>
      <c r="M420" s="727">
        <f>SUMIFS('Schedule 4'!$F$89:$F$649,'Schedule 4'!$I$89:$I$649,'Well Cal.'!M$3,'Schedule 4'!$J$89:$J$649,'Well Cal.'!$E420)</f>
        <v>0</v>
      </c>
      <c r="N420" s="727">
        <f>SUMIFS('Schedule 4'!$F$89:$F$649,'Schedule 4'!$I$89:$I$649,'Well Cal.'!N$3,'Schedule 4'!$J$89:$J$649,'Well Cal.'!$E420)</f>
        <v>0</v>
      </c>
      <c r="O420" s="727">
        <f>SUMIFS('Schedule 4'!$F$89:$F$649,'Schedule 4'!$I$89:$I$649,'Well Cal.'!O$3,'Schedule 4'!$J$89:$J$649,'Well Cal.'!$E420)</f>
        <v>0</v>
      </c>
      <c r="P420" s="727">
        <f>SUMIFS('Schedule 4'!$F$89:$F$649,'Schedule 4'!$I$89:$I$649,'Well Cal.'!P$3,'Schedule 4'!$J$89:$J$649,'Well Cal.'!$E420)</f>
        <v>0</v>
      </c>
      <c r="Q420" s="727">
        <f>SUMIFS('Schedule 4'!$F$89:$F$649,'Schedule 4'!$I$89:$I$649,'Well Cal.'!Q$3,'Schedule 4'!$J$89:$J$649,'Well Cal.'!$E420)</f>
        <v>0</v>
      </c>
      <c r="R420" s="727">
        <f>SUMIFS('Schedule 4'!$F$89:$F$649,'Schedule 4'!$I$89:$I$649,'Well Cal.'!R$3,'Schedule 4'!$J$89:$J$649,'Well Cal.'!$E420)</f>
        <v>0</v>
      </c>
      <c r="S420" s="727">
        <f>SUMIFS('Schedule 4'!$F$89:$F$649,'Schedule 4'!$I$89:$I$649,'Well Cal.'!S$3,'Schedule 4'!$J$89:$J$649,'Well Cal.'!$E420)</f>
        <v>0</v>
      </c>
      <c r="T420" s="727">
        <f>SUMIFS('Schedule 4'!$F$89:$F$649,'Schedule 4'!$I$89:$I$649,'Well Cal.'!T$3,'Schedule 4'!$J$89:$J$649,'Well Cal.'!$E420)</f>
        <v>0</v>
      </c>
      <c r="U420" s="727">
        <f>SUMIFS('Schedule 4'!$F$89:$F$649,'Schedule 4'!$I$89:$I$649,'Well Cal.'!U$3,'Schedule 4'!$J$89:$J$649,'Well Cal.'!$E420)</f>
        <v>0</v>
      </c>
      <c r="V420" s="727">
        <f>SUMIFS('Schedule 4'!$F$89:$F$649,'Schedule 4'!$I$89:$I$649,'Well Cal.'!V$3,'Schedule 4'!$J$89:$J$649,'Well Cal.'!$E420)</f>
        <v>0</v>
      </c>
      <c r="W420" s="727">
        <f>SUMIFS('Schedule 4'!$F$89:$F$649,'Schedule 4'!$I$89:$I$649,'Well Cal.'!W$3,'Schedule 4'!$J$89:$J$649,'Well Cal.'!$E420)</f>
        <v>0</v>
      </c>
      <c r="X420" s="727">
        <f>SUMIFS('Schedule 4'!$F$89:$F$649,'Schedule 4'!$I$89:$I$649,'Well Cal.'!X$3,'Schedule 4'!$J$89:$J$649,'Well Cal.'!$E420)</f>
        <v>0</v>
      </c>
      <c r="Y420" s="727">
        <f>SUMIFS('Schedule 4'!$F$89:$F$649,'Schedule 4'!$I$89:$I$649,'Well Cal.'!Y$3,'Schedule 4'!$J$89:$J$649,'Well Cal.'!$E420)</f>
        <v>0</v>
      </c>
      <c r="Z420" s="727">
        <f>SUMIFS('Schedule 4'!$F$89:$F$649,'Schedule 4'!$I$89:$I$649,'Well Cal.'!Z$3,'Schedule 4'!$J$89:$J$649,'Well Cal.'!$E420)</f>
        <v>0</v>
      </c>
      <c r="AA420" s="727"/>
      <c r="AB420" s="1731"/>
      <c r="AC420" s="1731"/>
    </row>
    <row r="421" spans="2:29" x14ac:dyDescent="0.3">
      <c r="B421" s="1724"/>
      <c r="C421" s="1727"/>
      <c r="D421" s="1721"/>
      <c r="E421" s="775" t="s">
        <v>4175</v>
      </c>
      <c r="F421" s="727">
        <f>SUMIFS('Schedule 4'!$F$89:$F$649,'Schedule 4'!$I$89:$I$649,'Well Cal.'!F$3,'Schedule 4'!$J$89:$J$649,'Well Cal.'!$E421)</f>
        <v>0</v>
      </c>
      <c r="G421" s="727">
        <f>SUMIFS('Schedule 4'!$F$89:$F$649,'Schedule 4'!$I$89:$I$649,'Well Cal.'!G$3,'Schedule 4'!$J$89:$J$649,'Well Cal.'!$E421)</f>
        <v>0</v>
      </c>
      <c r="H421" s="727">
        <f>SUMIFS('Schedule 4'!$F$89:$F$649,'Schedule 4'!$I$89:$I$649,'Well Cal.'!H$3,'Schedule 4'!$J$89:$J$649,'Well Cal.'!$E421)</f>
        <v>0</v>
      </c>
      <c r="I421" s="727">
        <f>SUMIFS('Schedule 4'!$F$89:$F$649,'Schedule 4'!$I$89:$I$649,'Well Cal.'!I$3,'Schedule 4'!$J$89:$J$649,'Well Cal.'!$E421)</f>
        <v>0</v>
      </c>
      <c r="J421" s="727">
        <f>SUMIFS('Schedule 4'!$F$89:$F$649,'Schedule 4'!$I$89:$I$649,'Well Cal.'!J$3,'Schedule 4'!$J$89:$J$649,'Well Cal.'!$E421)</f>
        <v>0</v>
      </c>
      <c r="K421" s="727">
        <f>SUMIFS('Schedule 4'!$F$89:$F$649,'Schedule 4'!$I$89:$I$649,'Well Cal.'!K$3,'Schedule 4'!$J$89:$J$649,'Well Cal.'!$E421)</f>
        <v>0</v>
      </c>
      <c r="L421" s="727">
        <f>SUMIFS('Schedule 4'!$F$89:$F$649,'Schedule 4'!$I$89:$I$649,'Well Cal.'!L$3,'Schedule 4'!$J$89:$J$649,'Well Cal.'!$E421)</f>
        <v>0</v>
      </c>
      <c r="M421" s="727">
        <f>SUMIFS('Schedule 4'!$F$89:$F$649,'Schedule 4'!$I$89:$I$649,'Well Cal.'!M$3,'Schedule 4'!$J$89:$J$649,'Well Cal.'!$E421)</f>
        <v>0</v>
      </c>
      <c r="N421" s="727">
        <f>SUMIFS('Schedule 4'!$F$89:$F$649,'Schedule 4'!$I$89:$I$649,'Well Cal.'!N$3,'Schedule 4'!$J$89:$J$649,'Well Cal.'!$E421)</f>
        <v>0</v>
      </c>
      <c r="O421" s="727">
        <f>SUMIFS('Schedule 4'!$F$89:$F$649,'Schedule 4'!$I$89:$I$649,'Well Cal.'!O$3,'Schedule 4'!$J$89:$J$649,'Well Cal.'!$E421)</f>
        <v>0</v>
      </c>
      <c r="P421" s="727">
        <f>SUMIFS('Schedule 4'!$F$89:$F$649,'Schedule 4'!$I$89:$I$649,'Well Cal.'!P$3,'Schedule 4'!$J$89:$J$649,'Well Cal.'!$E421)</f>
        <v>0</v>
      </c>
      <c r="Q421" s="727">
        <f>SUMIFS('Schedule 4'!$F$89:$F$649,'Schedule 4'!$I$89:$I$649,'Well Cal.'!Q$3,'Schedule 4'!$J$89:$J$649,'Well Cal.'!$E421)</f>
        <v>0</v>
      </c>
      <c r="R421" s="727">
        <f>SUMIFS('Schedule 4'!$F$89:$F$649,'Schedule 4'!$I$89:$I$649,'Well Cal.'!R$3,'Schedule 4'!$J$89:$J$649,'Well Cal.'!$E421)</f>
        <v>0</v>
      </c>
      <c r="S421" s="727">
        <f>SUMIFS('Schedule 4'!$F$89:$F$649,'Schedule 4'!$I$89:$I$649,'Well Cal.'!S$3,'Schedule 4'!$J$89:$J$649,'Well Cal.'!$E421)</f>
        <v>0</v>
      </c>
      <c r="T421" s="727">
        <f>SUMIFS('Schedule 4'!$F$89:$F$649,'Schedule 4'!$I$89:$I$649,'Well Cal.'!T$3,'Schedule 4'!$J$89:$J$649,'Well Cal.'!$E421)</f>
        <v>0</v>
      </c>
      <c r="U421" s="727">
        <f>SUMIFS('Schedule 4'!$F$89:$F$649,'Schedule 4'!$I$89:$I$649,'Well Cal.'!U$3,'Schedule 4'!$J$89:$J$649,'Well Cal.'!$E421)</f>
        <v>0</v>
      </c>
      <c r="V421" s="727">
        <f>SUMIFS('Schedule 4'!$F$89:$F$649,'Schedule 4'!$I$89:$I$649,'Well Cal.'!V$3,'Schedule 4'!$J$89:$J$649,'Well Cal.'!$E421)</f>
        <v>0</v>
      </c>
      <c r="W421" s="727">
        <f>SUMIFS('Schedule 4'!$F$89:$F$649,'Schedule 4'!$I$89:$I$649,'Well Cal.'!W$3,'Schedule 4'!$J$89:$J$649,'Well Cal.'!$E421)</f>
        <v>0</v>
      </c>
      <c r="X421" s="727">
        <f>SUMIFS('Schedule 4'!$F$89:$F$649,'Schedule 4'!$I$89:$I$649,'Well Cal.'!X$3,'Schedule 4'!$J$89:$J$649,'Well Cal.'!$E421)</f>
        <v>0</v>
      </c>
      <c r="Y421" s="727">
        <f>SUMIFS('Schedule 4'!$F$89:$F$649,'Schedule 4'!$I$89:$I$649,'Well Cal.'!Y$3,'Schedule 4'!$J$89:$J$649,'Well Cal.'!$E421)</f>
        <v>0</v>
      </c>
      <c r="Z421" s="727">
        <f>SUMIFS('Schedule 4'!$F$89:$F$649,'Schedule 4'!$I$89:$I$649,'Well Cal.'!Z$3,'Schedule 4'!$J$89:$J$649,'Well Cal.'!$E421)</f>
        <v>0</v>
      </c>
      <c r="AA421" s="727"/>
      <c r="AB421" s="1731"/>
      <c r="AC421" s="1731"/>
    </row>
    <row r="422" spans="2:29" x14ac:dyDescent="0.3">
      <c r="B422" s="1724"/>
      <c r="C422" s="1727"/>
      <c r="D422" s="1721"/>
      <c r="E422" s="775" t="s">
        <v>4248</v>
      </c>
      <c r="F422" s="727">
        <f>SUMIFS('Schedule 4'!$F$89:$F$649,'Schedule 4'!$I$89:$I$649,'Well Cal.'!F$3,'Schedule 4'!$J$89:$J$649,'Well Cal.'!$E422)</f>
        <v>0</v>
      </c>
      <c r="G422" s="727">
        <f>SUMIFS('Schedule 4'!$F$89:$F$649,'Schedule 4'!$I$89:$I$649,'Well Cal.'!G$3,'Schedule 4'!$J$89:$J$649,'Well Cal.'!$E422)</f>
        <v>0</v>
      </c>
      <c r="H422" s="727">
        <f>SUMIFS('Schedule 4'!$F$89:$F$649,'Schedule 4'!$I$89:$I$649,'Well Cal.'!H$3,'Schedule 4'!$J$89:$J$649,'Well Cal.'!$E422)</f>
        <v>0</v>
      </c>
      <c r="I422" s="727">
        <f>SUMIFS('Schedule 4'!$F$89:$F$649,'Schedule 4'!$I$89:$I$649,'Well Cal.'!I$3,'Schedule 4'!$J$89:$J$649,'Well Cal.'!$E422)</f>
        <v>0</v>
      </c>
      <c r="J422" s="727">
        <f>SUMIFS('Schedule 4'!$F$89:$F$649,'Schedule 4'!$I$89:$I$649,'Well Cal.'!J$3,'Schedule 4'!$J$89:$J$649,'Well Cal.'!$E422)</f>
        <v>0</v>
      </c>
      <c r="K422" s="727">
        <f>SUMIFS('Schedule 4'!$F$89:$F$649,'Schedule 4'!$I$89:$I$649,'Well Cal.'!K$3,'Schedule 4'!$J$89:$J$649,'Well Cal.'!$E422)</f>
        <v>0</v>
      </c>
      <c r="L422" s="727">
        <f>SUMIFS('Schedule 4'!$F$89:$F$649,'Schedule 4'!$I$89:$I$649,'Well Cal.'!L$3,'Schedule 4'!$J$89:$J$649,'Well Cal.'!$E422)</f>
        <v>0</v>
      </c>
      <c r="M422" s="727">
        <f>SUMIFS('Schedule 4'!$F$89:$F$649,'Schedule 4'!$I$89:$I$649,'Well Cal.'!M$3,'Schedule 4'!$J$89:$J$649,'Well Cal.'!$E422)</f>
        <v>0</v>
      </c>
      <c r="N422" s="727">
        <f>SUMIFS('Schedule 4'!$F$89:$F$649,'Schedule 4'!$I$89:$I$649,'Well Cal.'!N$3,'Schedule 4'!$J$89:$J$649,'Well Cal.'!$E422)</f>
        <v>0</v>
      </c>
      <c r="O422" s="727">
        <f>SUMIFS('Schedule 4'!$F$89:$F$649,'Schedule 4'!$I$89:$I$649,'Well Cal.'!O$3,'Schedule 4'!$J$89:$J$649,'Well Cal.'!$E422)</f>
        <v>0</v>
      </c>
      <c r="P422" s="727">
        <f>SUMIFS('Schedule 4'!$F$89:$F$649,'Schedule 4'!$I$89:$I$649,'Well Cal.'!P$3,'Schedule 4'!$J$89:$J$649,'Well Cal.'!$E422)</f>
        <v>0</v>
      </c>
      <c r="Q422" s="727">
        <f>SUMIFS('Schedule 4'!$F$89:$F$649,'Schedule 4'!$I$89:$I$649,'Well Cal.'!Q$3,'Schedule 4'!$J$89:$J$649,'Well Cal.'!$E422)</f>
        <v>0</v>
      </c>
      <c r="R422" s="727">
        <f>SUMIFS('Schedule 4'!$F$89:$F$649,'Schedule 4'!$I$89:$I$649,'Well Cal.'!R$3,'Schedule 4'!$J$89:$J$649,'Well Cal.'!$E422)</f>
        <v>0</v>
      </c>
      <c r="S422" s="727">
        <f>SUMIFS('Schedule 4'!$F$89:$F$649,'Schedule 4'!$I$89:$I$649,'Well Cal.'!S$3,'Schedule 4'!$J$89:$J$649,'Well Cal.'!$E422)</f>
        <v>0</v>
      </c>
      <c r="T422" s="727">
        <f>SUMIFS('Schedule 4'!$F$89:$F$649,'Schedule 4'!$I$89:$I$649,'Well Cal.'!T$3,'Schedule 4'!$J$89:$J$649,'Well Cal.'!$E422)</f>
        <v>0</v>
      </c>
      <c r="U422" s="727">
        <f>SUMIFS('Schedule 4'!$F$89:$F$649,'Schedule 4'!$I$89:$I$649,'Well Cal.'!U$3,'Schedule 4'!$J$89:$J$649,'Well Cal.'!$E422)</f>
        <v>0</v>
      </c>
      <c r="V422" s="727">
        <f>SUMIFS('Schedule 4'!$F$89:$F$649,'Schedule 4'!$I$89:$I$649,'Well Cal.'!V$3,'Schedule 4'!$J$89:$J$649,'Well Cal.'!$E422)</f>
        <v>0</v>
      </c>
      <c r="W422" s="727">
        <f>SUMIFS('Schedule 4'!$F$89:$F$649,'Schedule 4'!$I$89:$I$649,'Well Cal.'!W$3,'Schedule 4'!$J$89:$J$649,'Well Cal.'!$E422)</f>
        <v>0</v>
      </c>
      <c r="X422" s="727">
        <f>SUMIFS('Schedule 4'!$F$89:$F$649,'Schedule 4'!$I$89:$I$649,'Well Cal.'!X$3,'Schedule 4'!$J$89:$J$649,'Well Cal.'!$E422)</f>
        <v>0</v>
      </c>
      <c r="Y422" s="727">
        <f>SUMIFS('Schedule 4'!$F$89:$F$649,'Schedule 4'!$I$89:$I$649,'Well Cal.'!Y$3,'Schedule 4'!$J$89:$J$649,'Well Cal.'!$E422)</f>
        <v>0</v>
      </c>
      <c r="Z422" s="727">
        <f>SUMIFS('Schedule 4'!$F$89:$F$649,'Schedule 4'!$I$89:$I$649,'Well Cal.'!Z$3,'Schedule 4'!$J$89:$J$649,'Well Cal.'!$E422)</f>
        <v>0</v>
      </c>
      <c r="AA422" s="727"/>
      <c r="AB422" s="1731"/>
      <c r="AC422" s="1731"/>
    </row>
    <row r="423" spans="2:29" x14ac:dyDescent="0.3">
      <c r="B423" s="1724"/>
      <c r="C423" s="1727"/>
      <c r="D423" s="1721"/>
      <c r="E423" s="775" t="s">
        <v>4315</v>
      </c>
      <c r="F423" s="727">
        <f>SUMIFS('Schedule 4'!$F$89:$F$649,'Schedule 4'!$I$89:$I$649,'Well Cal.'!F$3,'Schedule 4'!$J$89:$J$649,'Well Cal.'!$E423)</f>
        <v>0</v>
      </c>
      <c r="G423" s="727">
        <f>SUMIFS('Schedule 4'!$F$89:$F$649,'Schedule 4'!$I$89:$I$649,'Well Cal.'!G$3,'Schedule 4'!$J$89:$J$649,'Well Cal.'!$E423)</f>
        <v>0</v>
      </c>
      <c r="H423" s="727">
        <f>SUMIFS('Schedule 4'!$F$89:$F$649,'Schedule 4'!$I$89:$I$649,'Well Cal.'!H$3,'Schedule 4'!$J$89:$J$649,'Well Cal.'!$E423)</f>
        <v>0</v>
      </c>
      <c r="I423" s="727">
        <f>SUMIFS('Schedule 4'!$F$89:$F$649,'Schedule 4'!$I$89:$I$649,'Well Cal.'!I$3,'Schedule 4'!$J$89:$J$649,'Well Cal.'!$E423)</f>
        <v>0</v>
      </c>
      <c r="J423" s="727">
        <f>SUMIFS('Schedule 4'!$F$89:$F$649,'Schedule 4'!$I$89:$I$649,'Well Cal.'!J$3,'Schedule 4'!$J$89:$J$649,'Well Cal.'!$E423)</f>
        <v>0</v>
      </c>
      <c r="K423" s="727">
        <f>SUMIFS('Schedule 4'!$F$89:$F$649,'Schedule 4'!$I$89:$I$649,'Well Cal.'!K$3,'Schedule 4'!$J$89:$J$649,'Well Cal.'!$E423)</f>
        <v>0</v>
      </c>
      <c r="L423" s="727">
        <f>SUMIFS('Schedule 4'!$F$89:$F$649,'Schedule 4'!$I$89:$I$649,'Well Cal.'!L$3,'Schedule 4'!$J$89:$J$649,'Well Cal.'!$E423)</f>
        <v>0</v>
      </c>
      <c r="M423" s="727">
        <f>SUMIFS('Schedule 4'!$F$89:$F$649,'Schedule 4'!$I$89:$I$649,'Well Cal.'!M$3,'Schedule 4'!$J$89:$J$649,'Well Cal.'!$E423)</f>
        <v>0</v>
      </c>
      <c r="N423" s="727">
        <f>SUMIFS('Schedule 4'!$F$89:$F$649,'Schedule 4'!$I$89:$I$649,'Well Cal.'!N$3,'Schedule 4'!$J$89:$J$649,'Well Cal.'!$E423)</f>
        <v>0</v>
      </c>
      <c r="O423" s="727">
        <f>SUMIFS('Schedule 4'!$F$89:$F$649,'Schedule 4'!$I$89:$I$649,'Well Cal.'!O$3,'Schedule 4'!$J$89:$J$649,'Well Cal.'!$E423)</f>
        <v>0</v>
      </c>
      <c r="P423" s="727">
        <f>SUMIFS('Schedule 4'!$F$89:$F$649,'Schedule 4'!$I$89:$I$649,'Well Cal.'!P$3,'Schedule 4'!$J$89:$J$649,'Well Cal.'!$E423)</f>
        <v>0</v>
      </c>
      <c r="Q423" s="727">
        <f>SUMIFS('Schedule 4'!$F$89:$F$649,'Schedule 4'!$I$89:$I$649,'Well Cal.'!Q$3,'Schedule 4'!$J$89:$J$649,'Well Cal.'!$E423)</f>
        <v>0</v>
      </c>
      <c r="R423" s="727">
        <f>SUMIFS('Schedule 4'!$F$89:$F$649,'Schedule 4'!$I$89:$I$649,'Well Cal.'!R$3,'Schedule 4'!$J$89:$J$649,'Well Cal.'!$E423)</f>
        <v>0</v>
      </c>
      <c r="S423" s="727">
        <f>SUMIFS('Schedule 4'!$F$89:$F$649,'Schedule 4'!$I$89:$I$649,'Well Cal.'!S$3,'Schedule 4'!$J$89:$J$649,'Well Cal.'!$E423)</f>
        <v>0</v>
      </c>
      <c r="T423" s="727">
        <f>SUMIFS('Schedule 4'!$F$89:$F$649,'Schedule 4'!$I$89:$I$649,'Well Cal.'!T$3,'Schedule 4'!$J$89:$J$649,'Well Cal.'!$E423)</f>
        <v>0</v>
      </c>
      <c r="U423" s="727">
        <f>SUMIFS('Schedule 4'!$F$89:$F$649,'Schedule 4'!$I$89:$I$649,'Well Cal.'!U$3,'Schedule 4'!$J$89:$J$649,'Well Cal.'!$E423)</f>
        <v>0</v>
      </c>
      <c r="V423" s="727">
        <f>SUMIFS('Schedule 4'!$F$89:$F$649,'Schedule 4'!$I$89:$I$649,'Well Cal.'!V$3,'Schedule 4'!$J$89:$J$649,'Well Cal.'!$E423)</f>
        <v>0</v>
      </c>
      <c r="W423" s="727">
        <f>SUMIFS('Schedule 4'!$F$89:$F$649,'Schedule 4'!$I$89:$I$649,'Well Cal.'!W$3,'Schedule 4'!$J$89:$J$649,'Well Cal.'!$E423)</f>
        <v>0</v>
      </c>
      <c r="X423" s="727">
        <f>SUMIFS('Schedule 4'!$F$89:$F$649,'Schedule 4'!$I$89:$I$649,'Well Cal.'!X$3,'Schedule 4'!$J$89:$J$649,'Well Cal.'!$E423)</f>
        <v>0</v>
      </c>
      <c r="Y423" s="727">
        <f>SUMIFS('Schedule 4'!$F$89:$F$649,'Schedule 4'!$I$89:$I$649,'Well Cal.'!Y$3,'Schedule 4'!$J$89:$J$649,'Well Cal.'!$E423)</f>
        <v>0</v>
      </c>
      <c r="Z423" s="727">
        <f>SUMIFS('Schedule 4'!$F$89:$F$649,'Schedule 4'!$I$89:$I$649,'Well Cal.'!Z$3,'Schedule 4'!$J$89:$J$649,'Well Cal.'!$E423)</f>
        <v>0</v>
      </c>
      <c r="AA423" s="727"/>
      <c r="AB423" s="1731"/>
      <c r="AC423" s="1731"/>
    </row>
    <row r="424" spans="2:29" x14ac:dyDescent="0.3">
      <c r="B424" s="1724"/>
      <c r="C424" s="1727"/>
      <c r="D424" s="1721"/>
      <c r="E424" s="775" t="s">
        <v>4378</v>
      </c>
      <c r="F424" s="727">
        <f>SUMIFS('Schedule 4'!$F$89:$F$649,'Schedule 4'!$I$89:$I$649,'Well Cal.'!F$3,'Schedule 4'!$J$89:$J$649,'Well Cal.'!$E424)</f>
        <v>0</v>
      </c>
      <c r="G424" s="727">
        <f>SUMIFS('Schedule 4'!$F$89:$F$649,'Schedule 4'!$I$89:$I$649,'Well Cal.'!G$3,'Schedule 4'!$J$89:$J$649,'Well Cal.'!$E424)</f>
        <v>0</v>
      </c>
      <c r="H424" s="727">
        <f>SUMIFS('Schedule 4'!$F$89:$F$649,'Schedule 4'!$I$89:$I$649,'Well Cal.'!H$3,'Schedule 4'!$J$89:$J$649,'Well Cal.'!$E424)</f>
        <v>0</v>
      </c>
      <c r="I424" s="727">
        <f>SUMIFS('Schedule 4'!$F$89:$F$649,'Schedule 4'!$I$89:$I$649,'Well Cal.'!I$3,'Schedule 4'!$J$89:$J$649,'Well Cal.'!$E424)</f>
        <v>0</v>
      </c>
      <c r="J424" s="727">
        <f>SUMIFS('Schedule 4'!$F$89:$F$649,'Schedule 4'!$I$89:$I$649,'Well Cal.'!J$3,'Schedule 4'!$J$89:$J$649,'Well Cal.'!$E424)</f>
        <v>0</v>
      </c>
      <c r="K424" s="727">
        <f>SUMIFS('Schedule 4'!$F$89:$F$649,'Schedule 4'!$I$89:$I$649,'Well Cal.'!K$3,'Schedule 4'!$J$89:$J$649,'Well Cal.'!$E424)</f>
        <v>0</v>
      </c>
      <c r="L424" s="727">
        <f>SUMIFS('Schedule 4'!$F$89:$F$649,'Schedule 4'!$I$89:$I$649,'Well Cal.'!L$3,'Schedule 4'!$J$89:$J$649,'Well Cal.'!$E424)</f>
        <v>0</v>
      </c>
      <c r="M424" s="727">
        <f>SUMIFS('Schedule 4'!$F$89:$F$649,'Schedule 4'!$I$89:$I$649,'Well Cal.'!M$3,'Schedule 4'!$J$89:$J$649,'Well Cal.'!$E424)</f>
        <v>0</v>
      </c>
      <c r="N424" s="727">
        <f>SUMIFS('Schedule 4'!$F$89:$F$649,'Schedule 4'!$I$89:$I$649,'Well Cal.'!N$3,'Schedule 4'!$J$89:$J$649,'Well Cal.'!$E424)</f>
        <v>0</v>
      </c>
      <c r="O424" s="727">
        <f>SUMIFS('Schedule 4'!$F$89:$F$649,'Schedule 4'!$I$89:$I$649,'Well Cal.'!O$3,'Schedule 4'!$J$89:$J$649,'Well Cal.'!$E424)</f>
        <v>0</v>
      </c>
      <c r="P424" s="727">
        <f>SUMIFS('Schedule 4'!$F$89:$F$649,'Schedule 4'!$I$89:$I$649,'Well Cal.'!P$3,'Schedule 4'!$J$89:$J$649,'Well Cal.'!$E424)</f>
        <v>0</v>
      </c>
      <c r="Q424" s="727">
        <f>SUMIFS('Schedule 4'!$F$89:$F$649,'Schedule 4'!$I$89:$I$649,'Well Cal.'!Q$3,'Schedule 4'!$J$89:$J$649,'Well Cal.'!$E424)</f>
        <v>0</v>
      </c>
      <c r="R424" s="727">
        <f>SUMIFS('Schedule 4'!$F$89:$F$649,'Schedule 4'!$I$89:$I$649,'Well Cal.'!R$3,'Schedule 4'!$J$89:$J$649,'Well Cal.'!$E424)</f>
        <v>0</v>
      </c>
      <c r="S424" s="727">
        <f>SUMIFS('Schedule 4'!$F$89:$F$649,'Schedule 4'!$I$89:$I$649,'Well Cal.'!S$3,'Schedule 4'!$J$89:$J$649,'Well Cal.'!$E424)</f>
        <v>0</v>
      </c>
      <c r="T424" s="727">
        <f>SUMIFS('Schedule 4'!$F$89:$F$649,'Schedule 4'!$I$89:$I$649,'Well Cal.'!T$3,'Schedule 4'!$J$89:$J$649,'Well Cal.'!$E424)</f>
        <v>0</v>
      </c>
      <c r="U424" s="727">
        <f>SUMIFS('Schedule 4'!$F$89:$F$649,'Schedule 4'!$I$89:$I$649,'Well Cal.'!U$3,'Schedule 4'!$J$89:$J$649,'Well Cal.'!$E424)</f>
        <v>0</v>
      </c>
      <c r="V424" s="727">
        <f>SUMIFS('Schedule 4'!$F$89:$F$649,'Schedule 4'!$I$89:$I$649,'Well Cal.'!V$3,'Schedule 4'!$J$89:$J$649,'Well Cal.'!$E424)</f>
        <v>0</v>
      </c>
      <c r="W424" s="727">
        <f>SUMIFS('Schedule 4'!$F$89:$F$649,'Schedule 4'!$I$89:$I$649,'Well Cal.'!W$3,'Schedule 4'!$J$89:$J$649,'Well Cal.'!$E424)</f>
        <v>0</v>
      </c>
      <c r="X424" s="727">
        <f>SUMIFS('Schedule 4'!$F$89:$F$649,'Schedule 4'!$I$89:$I$649,'Well Cal.'!X$3,'Schedule 4'!$J$89:$J$649,'Well Cal.'!$E424)</f>
        <v>0</v>
      </c>
      <c r="Y424" s="727">
        <f>SUMIFS('Schedule 4'!$F$89:$F$649,'Schedule 4'!$I$89:$I$649,'Well Cal.'!Y$3,'Schedule 4'!$J$89:$J$649,'Well Cal.'!$E424)</f>
        <v>0</v>
      </c>
      <c r="Z424" s="727">
        <f>SUMIFS('Schedule 4'!$F$89:$F$649,'Schedule 4'!$I$89:$I$649,'Well Cal.'!Z$3,'Schedule 4'!$J$89:$J$649,'Well Cal.'!$E424)</f>
        <v>0</v>
      </c>
      <c r="AA424" s="727"/>
      <c r="AB424" s="1731"/>
      <c r="AC424" s="1731"/>
    </row>
    <row r="425" spans="2:29" x14ac:dyDescent="0.3">
      <c r="B425" s="1724"/>
      <c r="C425" s="1727"/>
      <c r="D425" s="1721"/>
      <c r="E425" s="775" t="s">
        <v>4434</v>
      </c>
      <c r="F425" s="727">
        <f>SUMIFS('Schedule 4'!$F$89:$F$649,'Schedule 4'!$I$89:$I$649,'Well Cal.'!F$3,'Schedule 4'!$J$89:$J$649,'Well Cal.'!$E425)</f>
        <v>0</v>
      </c>
      <c r="G425" s="727">
        <f>SUMIFS('Schedule 4'!$F$89:$F$649,'Schedule 4'!$I$89:$I$649,'Well Cal.'!G$3,'Schedule 4'!$J$89:$J$649,'Well Cal.'!$E425)</f>
        <v>0</v>
      </c>
      <c r="H425" s="727">
        <f>SUMIFS('Schedule 4'!$F$89:$F$649,'Schedule 4'!$I$89:$I$649,'Well Cal.'!H$3,'Schedule 4'!$J$89:$J$649,'Well Cal.'!$E425)</f>
        <v>0</v>
      </c>
      <c r="I425" s="727">
        <f>SUMIFS('Schedule 4'!$F$89:$F$649,'Schedule 4'!$I$89:$I$649,'Well Cal.'!I$3,'Schedule 4'!$J$89:$J$649,'Well Cal.'!$E425)</f>
        <v>0</v>
      </c>
      <c r="J425" s="727">
        <f>SUMIFS('Schedule 4'!$F$89:$F$649,'Schedule 4'!$I$89:$I$649,'Well Cal.'!J$3,'Schedule 4'!$J$89:$J$649,'Well Cal.'!$E425)</f>
        <v>0</v>
      </c>
      <c r="K425" s="727">
        <f>SUMIFS('Schedule 4'!$F$89:$F$649,'Schedule 4'!$I$89:$I$649,'Well Cal.'!K$3,'Schedule 4'!$J$89:$J$649,'Well Cal.'!$E425)</f>
        <v>0</v>
      </c>
      <c r="L425" s="727">
        <f>SUMIFS('Schedule 4'!$F$89:$F$649,'Schedule 4'!$I$89:$I$649,'Well Cal.'!L$3,'Schedule 4'!$J$89:$J$649,'Well Cal.'!$E425)</f>
        <v>0</v>
      </c>
      <c r="M425" s="727">
        <f>SUMIFS('Schedule 4'!$F$89:$F$649,'Schedule 4'!$I$89:$I$649,'Well Cal.'!M$3,'Schedule 4'!$J$89:$J$649,'Well Cal.'!$E425)</f>
        <v>0</v>
      </c>
      <c r="N425" s="727">
        <f>SUMIFS('Schedule 4'!$F$89:$F$649,'Schedule 4'!$I$89:$I$649,'Well Cal.'!N$3,'Schedule 4'!$J$89:$J$649,'Well Cal.'!$E425)</f>
        <v>0</v>
      </c>
      <c r="O425" s="727">
        <f>SUMIFS('Schedule 4'!$F$89:$F$649,'Schedule 4'!$I$89:$I$649,'Well Cal.'!O$3,'Schedule 4'!$J$89:$J$649,'Well Cal.'!$E425)</f>
        <v>0</v>
      </c>
      <c r="P425" s="727">
        <f>SUMIFS('Schedule 4'!$F$89:$F$649,'Schedule 4'!$I$89:$I$649,'Well Cal.'!P$3,'Schedule 4'!$J$89:$J$649,'Well Cal.'!$E425)</f>
        <v>0</v>
      </c>
      <c r="Q425" s="727">
        <f>SUMIFS('Schedule 4'!$F$89:$F$649,'Schedule 4'!$I$89:$I$649,'Well Cal.'!Q$3,'Schedule 4'!$J$89:$J$649,'Well Cal.'!$E425)</f>
        <v>0</v>
      </c>
      <c r="R425" s="727">
        <f>SUMIFS('Schedule 4'!$F$89:$F$649,'Schedule 4'!$I$89:$I$649,'Well Cal.'!R$3,'Schedule 4'!$J$89:$J$649,'Well Cal.'!$E425)</f>
        <v>0</v>
      </c>
      <c r="S425" s="727">
        <f>SUMIFS('Schedule 4'!$F$89:$F$649,'Schedule 4'!$I$89:$I$649,'Well Cal.'!S$3,'Schedule 4'!$J$89:$J$649,'Well Cal.'!$E425)</f>
        <v>0</v>
      </c>
      <c r="T425" s="727">
        <f>SUMIFS('Schedule 4'!$F$89:$F$649,'Schedule 4'!$I$89:$I$649,'Well Cal.'!T$3,'Schedule 4'!$J$89:$J$649,'Well Cal.'!$E425)</f>
        <v>0</v>
      </c>
      <c r="U425" s="727">
        <f>SUMIFS('Schedule 4'!$F$89:$F$649,'Schedule 4'!$I$89:$I$649,'Well Cal.'!U$3,'Schedule 4'!$J$89:$J$649,'Well Cal.'!$E425)</f>
        <v>0</v>
      </c>
      <c r="V425" s="727">
        <f>SUMIFS('Schedule 4'!$F$89:$F$649,'Schedule 4'!$I$89:$I$649,'Well Cal.'!V$3,'Schedule 4'!$J$89:$J$649,'Well Cal.'!$E425)</f>
        <v>0</v>
      </c>
      <c r="W425" s="727">
        <f>SUMIFS('Schedule 4'!$F$89:$F$649,'Schedule 4'!$I$89:$I$649,'Well Cal.'!W$3,'Schedule 4'!$J$89:$J$649,'Well Cal.'!$E425)</f>
        <v>0</v>
      </c>
      <c r="X425" s="727">
        <f>SUMIFS('Schedule 4'!$F$89:$F$649,'Schedule 4'!$I$89:$I$649,'Well Cal.'!X$3,'Schedule 4'!$J$89:$J$649,'Well Cal.'!$E425)</f>
        <v>0</v>
      </c>
      <c r="Y425" s="727">
        <f>SUMIFS('Schedule 4'!$F$89:$F$649,'Schedule 4'!$I$89:$I$649,'Well Cal.'!Y$3,'Schedule 4'!$J$89:$J$649,'Well Cal.'!$E425)</f>
        <v>0</v>
      </c>
      <c r="Z425" s="727">
        <f>SUMIFS('Schedule 4'!$F$89:$F$649,'Schedule 4'!$I$89:$I$649,'Well Cal.'!Z$3,'Schedule 4'!$J$89:$J$649,'Well Cal.'!$E425)</f>
        <v>0</v>
      </c>
      <c r="AA425" s="727"/>
      <c r="AB425" s="1731"/>
      <c r="AC425" s="1731"/>
    </row>
    <row r="426" spans="2:29" x14ac:dyDescent="0.3">
      <c r="B426" s="1724"/>
      <c r="C426" s="1727"/>
      <c r="D426" s="1721"/>
      <c r="E426" s="775" t="s">
        <v>4489</v>
      </c>
      <c r="F426" s="727">
        <f>SUMIFS('Schedule 4'!$F$89:$F$649,'Schedule 4'!$I$89:$I$649,'Well Cal.'!F$3,'Schedule 4'!$J$89:$J$649,'Well Cal.'!$E426)</f>
        <v>0</v>
      </c>
      <c r="G426" s="727">
        <f>SUMIFS('Schedule 4'!$F$89:$F$649,'Schedule 4'!$I$89:$I$649,'Well Cal.'!G$3,'Schedule 4'!$J$89:$J$649,'Well Cal.'!$E426)</f>
        <v>0</v>
      </c>
      <c r="H426" s="727">
        <f>SUMIFS('Schedule 4'!$F$89:$F$649,'Schedule 4'!$I$89:$I$649,'Well Cal.'!H$3,'Schedule 4'!$J$89:$J$649,'Well Cal.'!$E426)</f>
        <v>0</v>
      </c>
      <c r="I426" s="727">
        <f>SUMIFS('Schedule 4'!$F$89:$F$649,'Schedule 4'!$I$89:$I$649,'Well Cal.'!I$3,'Schedule 4'!$J$89:$J$649,'Well Cal.'!$E426)</f>
        <v>0</v>
      </c>
      <c r="J426" s="727">
        <f>SUMIFS('Schedule 4'!$F$89:$F$649,'Schedule 4'!$I$89:$I$649,'Well Cal.'!J$3,'Schedule 4'!$J$89:$J$649,'Well Cal.'!$E426)</f>
        <v>0</v>
      </c>
      <c r="K426" s="727">
        <f>SUMIFS('Schedule 4'!$F$89:$F$649,'Schedule 4'!$I$89:$I$649,'Well Cal.'!K$3,'Schedule 4'!$J$89:$J$649,'Well Cal.'!$E426)</f>
        <v>0</v>
      </c>
      <c r="L426" s="727">
        <f>SUMIFS('Schedule 4'!$F$89:$F$649,'Schedule 4'!$I$89:$I$649,'Well Cal.'!L$3,'Schedule 4'!$J$89:$J$649,'Well Cal.'!$E426)</f>
        <v>0</v>
      </c>
      <c r="M426" s="727">
        <f>SUMIFS('Schedule 4'!$F$89:$F$649,'Schedule 4'!$I$89:$I$649,'Well Cal.'!M$3,'Schedule 4'!$J$89:$J$649,'Well Cal.'!$E426)</f>
        <v>0</v>
      </c>
      <c r="N426" s="727">
        <f>SUMIFS('Schedule 4'!$F$89:$F$649,'Schedule 4'!$I$89:$I$649,'Well Cal.'!N$3,'Schedule 4'!$J$89:$J$649,'Well Cal.'!$E426)</f>
        <v>0</v>
      </c>
      <c r="O426" s="727">
        <f>SUMIFS('Schedule 4'!$F$89:$F$649,'Schedule 4'!$I$89:$I$649,'Well Cal.'!O$3,'Schedule 4'!$J$89:$J$649,'Well Cal.'!$E426)</f>
        <v>0</v>
      </c>
      <c r="P426" s="727">
        <f>SUMIFS('Schedule 4'!$F$89:$F$649,'Schedule 4'!$I$89:$I$649,'Well Cal.'!P$3,'Schedule 4'!$J$89:$J$649,'Well Cal.'!$E426)</f>
        <v>0</v>
      </c>
      <c r="Q426" s="727">
        <f>SUMIFS('Schedule 4'!$F$89:$F$649,'Schedule 4'!$I$89:$I$649,'Well Cal.'!Q$3,'Schedule 4'!$J$89:$J$649,'Well Cal.'!$E426)</f>
        <v>0</v>
      </c>
      <c r="R426" s="727">
        <f>SUMIFS('Schedule 4'!$F$89:$F$649,'Schedule 4'!$I$89:$I$649,'Well Cal.'!R$3,'Schedule 4'!$J$89:$J$649,'Well Cal.'!$E426)</f>
        <v>0</v>
      </c>
      <c r="S426" s="727">
        <f>SUMIFS('Schedule 4'!$F$89:$F$649,'Schedule 4'!$I$89:$I$649,'Well Cal.'!S$3,'Schedule 4'!$J$89:$J$649,'Well Cal.'!$E426)</f>
        <v>0</v>
      </c>
      <c r="T426" s="727">
        <f>SUMIFS('Schedule 4'!$F$89:$F$649,'Schedule 4'!$I$89:$I$649,'Well Cal.'!T$3,'Schedule 4'!$J$89:$J$649,'Well Cal.'!$E426)</f>
        <v>0</v>
      </c>
      <c r="U426" s="727">
        <f>SUMIFS('Schedule 4'!$F$89:$F$649,'Schedule 4'!$I$89:$I$649,'Well Cal.'!U$3,'Schedule 4'!$J$89:$J$649,'Well Cal.'!$E426)</f>
        <v>0</v>
      </c>
      <c r="V426" s="727">
        <f>SUMIFS('Schedule 4'!$F$89:$F$649,'Schedule 4'!$I$89:$I$649,'Well Cal.'!V$3,'Schedule 4'!$J$89:$J$649,'Well Cal.'!$E426)</f>
        <v>0</v>
      </c>
      <c r="W426" s="727">
        <f>SUMIFS('Schedule 4'!$F$89:$F$649,'Schedule 4'!$I$89:$I$649,'Well Cal.'!W$3,'Schedule 4'!$J$89:$J$649,'Well Cal.'!$E426)</f>
        <v>0</v>
      </c>
      <c r="X426" s="727">
        <f>SUMIFS('Schedule 4'!$F$89:$F$649,'Schedule 4'!$I$89:$I$649,'Well Cal.'!X$3,'Schedule 4'!$J$89:$J$649,'Well Cal.'!$E426)</f>
        <v>0</v>
      </c>
      <c r="Y426" s="727">
        <f>SUMIFS('Schedule 4'!$F$89:$F$649,'Schedule 4'!$I$89:$I$649,'Well Cal.'!Y$3,'Schedule 4'!$J$89:$J$649,'Well Cal.'!$E426)</f>
        <v>0</v>
      </c>
      <c r="Z426" s="727">
        <f>SUMIFS('Schedule 4'!$F$89:$F$649,'Schedule 4'!$I$89:$I$649,'Well Cal.'!Z$3,'Schedule 4'!$J$89:$J$649,'Well Cal.'!$E426)</f>
        <v>0</v>
      </c>
      <c r="AA426" s="727"/>
      <c r="AB426" s="1731"/>
      <c r="AC426" s="1731"/>
    </row>
    <row r="427" spans="2:29" x14ac:dyDescent="0.3">
      <c r="B427" s="1724"/>
      <c r="C427" s="1727"/>
      <c r="D427" s="1721"/>
      <c r="E427" s="775" t="s">
        <v>4534</v>
      </c>
      <c r="F427" s="727">
        <f>SUMIFS('Schedule 4'!$F$89:$F$649,'Schedule 4'!$I$89:$I$649,'Well Cal.'!F$3,'Schedule 4'!$J$89:$J$649,'Well Cal.'!$E427)</f>
        <v>0</v>
      </c>
      <c r="G427" s="727">
        <f>SUMIFS('Schedule 4'!$F$89:$F$649,'Schedule 4'!$I$89:$I$649,'Well Cal.'!G$3,'Schedule 4'!$J$89:$J$649,'Well Cal.'!$E427)</f>
        <v>0</v>
      </c>
      <c r="H427" s="727">
        <f>SUMIFS('Schedule 4'!$F$89:$F$649,'Schedule 4'!$I$89:$I$649,'Well Cal.'!H$3,'Schedule 4'!$J$89:$J$649,'Well Cal.'!$E427)</f>
        <v>0</v>
      </c>
      <c r="I427" s="727">
        <f>SUMIFS('Schedule 4'!$F$89:$F$649,'Schedule 4'!$I$89:$I$649,'Well Cal.'!I$3,'Schedule 4'!$J$89:$J$649,'Well Cal.'!$E427)</f>
        <v>0</v>
      </c>
      <c r="J427" s="727">
        <f>SUMIFS('Schedule 4'!$F$89:$F$649,'Schedule 4'!$I$89:$I$649,'Well Cal.'!J$3,'Schedule 4'!$J$89:$J$649,'Well Cal.'!$E427)</f>
        <v>0</v>
      </c>
      <c r="K427" s="727">
        <f>SUMIFS('Schedule 4'!$F$89:$F$649,'Schedule 4'!$I$89:$I$649,'Well Cal.'!K$3,'Schedule 4'!$J$89:$J$649,'Well Cal.'!$E427)</f>
        <v>0</v>
      </c>
      <c r="L427" s="727">
        <f>SUMIFS('Schedule 4'!$F$89:$F$649,'Schedule 4'!$I$89:$I$649,'Well Cal.'!L$3,'Schedule 4'!$J$89:$J$649,'Well Cal.'!$E427)</f>
        <v>0</v>
      </c>
      <c r="M427" s="727">
        <f>SUMIFS('Schedule 4'!$F$89:$F$649,'Schedule 4'!$I$89:$I$649,'Well Cal.'!M$3,'Schedule 4'!$J$89:$J$649,'Well Cal.'!$E427)</f>
        <v>0</v>
      </c>
      <c r="N427" s="727">
        <f>SUMIFS('Schedule 4'!$F$89:$F$649,'Schedule 4'!$I$89:$I$649,'Well Cal.'!N$3,'Schedule 4'!$J$89:$J$649,'Well Cal.'!$E427)</f>
        <v>0</v>
      </c>
      <c r="O427" s="727">
        <f>SUMIFS('Schedule 4'!$F$89:$F$649,'Schedule 4'!$I$89:$I$649,'Well Cal.'!O$3,'Schedule 4'!$J$89:$J$649,'Well Cal.'!$E427)</f>
        <v>0</v>
      </c>
      <c r="P427" s="727">
        <f>SUMIFS('Schedule 4'!$F$89:$F$649,'Schedule 4'!$I$89:$I$649,'Well Cal.'!P$3,'Schedule 4'!$J$89:$J$649,'Well Cal.'!$E427)</f>
        <v>0</v>
      </c>
      <c r="Q427" s="727">
        <f>SUMIFS('Schedule 4'!$F$89:$F$649,'Schedule 4'!$I$89:$I$649,'Well Cal.'!Q$3,'Schedule 4'!$J$89:$J$649,'Well Cal.'!$E427)</f>
        <v>0</v>
      </c>
      <c r="R427" s="727">
        <f>SUMIFS('Schedule 4'!$F$89:$F$649,'Schedule 4'!$I$89:$I$649,'Well Cal.'!R$3,'Schedule 4'!$J$89:$J$649,'Well Cal.'!$E427)</f>
        <v>0</v>
      </c>
      <c r="S427" s="727">
        <f>SUMIFS('Schedule 4'!$F$89:$F$649,'Schedule 4'!$I$89:$I$649,'Well Cal.'!S$3,'Schedule 4'!$J$89:$J$649,'Well Cal.'!$E427)</f>
        <v>0</v>
      </c>
      <c r="T427" s="727">
        <f>SUMIFS('Schedule 4'!$F$89:$F$649,'Schedule 4'!$I$89:$I$649,'Well Cal.'!T$3,'Schedule 4'!$J$89:$J$649,'Well Cal.'!$E427)</f>
        <v>0</v>
      </c>
      <c r="U427" s="727">
        <f>SUMIFS('Schedule 4'!$F$89:$F$649,'Schedule 4'!$I$89:$I$649,'Well Cal.'!U$3,'Schedule 4'!$J$89:$J$649,'Well Cal.'!$E427)</f>
        <v>0</v>
      </c>
      <c r="V427" s="727">
        <f>SUMIFS('Schedule 4'!$F$89:$F$649,'Schedule 4'!$I$89:$I$649,'Well Cal.'!V$3,'Schedule 4'!$J$89:$J$649,'Well Cal.'!$E427)</f>
        <v>0</v>
      </c>
      <c r="W427" s="727">
        <f>SUMIFS('Schedule 4'!$F$89:$F$649,'Schedule 4'!$I$89:$I$649,'Well Cal.'!W$3,'Schedule 4'!$J$89:$J$649,'Well Cal.'!$E427)</f>
        <v>0</v>
      </c>
      <c r="X427" s="727">
        <f>SUMIFS('Schedule 4'!$F$89:$F$649,'Schedule 4'!$I$89:$I$649,'Well Cal.'!X$3,'Schedule 4'!$J$89:$J$649,'Well Cal.'!$E427)</f>
        <v>0</v>
      </c>
      <c r="Y427" s="727">
        <f>SUMIFS('Schedule 4'!$F$89:$F$649,'Schedule 4'!$I$89:$I$649,'Well Cal.'!Y$3,'Schedule 4'!$J$89:$J$649,'Well Cal.'!$E427)</f>
        <v>0</v>
      </c>
      <c r="Z427" s="727">
        <f>SUMIFS('Schedule 4'!$F$89:$F$649,'Schedule 4'!$I$89:$I$649,'Well Cal.'!Z$3,'Schedule 4'!$J$89:$J$649,'Well Cal.'!$E427)</f>
        <v>0</v>
      </c>
      <c r="AA427" s="727"/>
      <c r="AB427" s="1731"/>
      <c r="AC427" s="1731"/>
    </row>
    <row r="428" spans="2:29" x14ac:dyDescent="0.3">
      <c r="B428" s="1724"/>
      <c r="C428" s="1727"/>
      <c r="D428" s="1721"/>
      <c r="E428" s="775" t="s">
        <v>4569</v>
      </c>
      <c r="F428" s="727">
        <f>SUMIFS('Schedule 4'!$F$89:$F$649,'Schedule 4'!$I$89:$I$649,'Well Cal.'!F$3,'Schedule 4'!$J$89:$J$649,'Well Cal.'!$E428)</f>
        <v>0</v>
      </c>
      <c r="G428" s="727">
        <f>SUMIFS('Schedule 4'!$F$89:$F$649,'Schedule 4'!$I$89:$I$649,'Well Cal.'!G$3,'Schedule 4'!$J$89:$J$649,'Well Cal.'!$E428)</f>
        <v>0</v>
      </c>
      <c r="H428" s="727">
        <f>SUMIFS('Schedule 4'!$F$89:$F$649,'Schedule 4'!$I$89:$I$649,'Well Cal.'!H$3,'Schedule 4'!$J$89:$J$649,'Well Cal.'!$E428)</f>
        <v>0</v>
      </c>
      <c r="I428" s="727">
        <f>SUMIFS('Schedule 4'!$F$89:$F$649,'Schedule 4'!$I$89:$I$649,'Well Cal.'!I$3,'Schedule 4'!$J$89:$J$649,'Well Cal.'!$E428)</f>
        <v>0</v>
      </c>
      <c r="J428" s="727">
        <f>SUMIFS('Schedule 4'!$F$89:$F$649,'Schedule 4'!$I$89:$I$649,'Well Cal.'!J$3,'Schedule 4'!$J$89:$J$649,'Well Cal.'!$E428)</f>
        <v>0</v>
      </c>
      <c r="K428" s="727">
        <f>SUMIFS('Schedule 4'!$F$89:$F$649,'Schedule 4'!$I$89:$I$649,'Well Cal.'!K$3,'Schedule 4'!$J$89:$J$649,'Well Cal.'!$E428)</f>
        <v>0</v>
      </c>
      <c r="L428" s="727">
        <f>SUMIFS('Schedule 4'!$F$89:$F$649,'Schedule 4'!$I$89:$I$649,'Well Cal.'!L$3,'Schedule 4'!$J$89:$J$649,'Well Cal.'!$E428)</f>
        <v>0</v>
      </c>
      <c r="M428" s="727">
        <f>SUMIFS('Schedule 4'!$F$89:$F$649,'Schedule 4'!$I$89:$I$649,'Well Cal.'!M$3,'Schedule 4'!$J$89:$J$649,'Well Cal.'!$E428)</f>
        <v>0</v>
      </c>
      <c r="N428" s="727">
        <f>SUMIFS('Schedule 4'!$F$89:$F$649,'Schedule 4'!$I$89:$I$649,'Well Cal.'!N$3,'Schedule 4'!$J$89:$J$649,'Well Cal.'!$E428)</f>
        <v>0</v>
      </c>
      <c r="O428" s="727">
        <f>SUMIFS('Schedule 4'!$F$89:$F$649,'Schedule 4'!$I$89:$I$649,'Well Cal.'!O$3,'Schedule 4'!$J$89:$J$649,'Well Cal.'!$E428)</f>
        <v>0</v>
      </c>
      <c r="P428" s="727">
        <f>SUMIFS('Schedule 4'!$F$89:$F$649,'Schedule 4'!$I$89:$I$649,'Well Cal.'!P$3,'Schedule 4'!$J$89:$J$649,'Well Cal.'!$E428)</f>
        <v>0</v>
      </c>
      <c r="Q428" s="727">
        <f>SUMIFS('Schedule 4'!$F$89:$F$649,'Schedule 4'!$I$89:$I$649,'Well Cal.'!Q$3,'Schedule 4'!$J$89:$J$649,'Well Cal.'!$E428)</f>
        <v>0</v>
      </c>
      <c r="R428" s="727">
        <f>SUMIFS('Schedule 4'!$F$89:$F$649,'Schedule 4'!$I$89:$I$649,'Well Cal.'!R$3,'Schedule 4'!$J$89:$J$649,'Well Cal.'!$E428)</f>
        <v>0</v>
      </c>
      <c r="S428" s="727">
        <f>SUMIFS('Schedule 4'!$F$89:$F$649,'Schedule 4'!$I$89:$I$649,'Well Cal.'!S$3,'Schedule 4'!$J$89:$J$649,'Well Cal.'!$E428)</f>
        <v>0</v>
      </c>
      <c r="T428" s="727">
        <f>SUMIFS('Schedule 4'!$F$89:$F$649,'Schedule 4'!$I$89:$I$649,'Well Cal.'!T$3,'Schedule 4'!$J$89:$J$649,'Well Cal.'!$E428)</f>
        <v>0</v>
      </c>
      <c r="U428" s="727">
        <f>SUMIFS('Schedule 4'!$F$89:$F$649,'Schedule 4'!$I$89:$I$649,'Well Cal.'!U$3,'Schedule 4'!$J$89:$J$649,'Well Cal.'!$E428)</f>
        <v>0</v>
      </c>
      <c r="V428" s="727">
        <f>SUMIFS('Schedule 4'!$F$89:$F$649,'Schedule 4'!$I$89:$I$649,'Well Cal.'!V$3,'Schedule 4'!$J$89:$J$649,'Well Cal.'!$E428)</f>
        <v>0</v>
      </c>
      <c r="W428" s="727">
        <f>SUMIFS('Schedule 4'!$F$89:$F$649,'Schedule 4'!$I$89:$I$649,'Well Cal.'!W$3,'Schedule 4'!$J$89:$J$649,'Well Cal.'!$E428)</f>
        <v>0</v>
      </c>
      <c r="X428" s="727">
        <f>SUMIFS('Schedule 4'!$F$89:$F$649,'Schedule 4'!$I$89:$I$649,'Well Cal.'!X$3,'Schedule 4'!$J$89:$J$649,'Well Cal.'!$E428)</f>
        <v>0</v>
      </c>
      <c r="Y428" s="727">
        <f>SUMIFS('Schedule 4'!$F$89:$F$649,'Schedule 4'!$I$89:$I$649,'Well Cal.'!Y$3,'Schedule 4'!$J$89:$J$649,'Well Cal.'!$E428)</f>
        <v>0</v>
      </c>
      <c r="Z428" s="727">
        <f>SUMIFS('Schedule 4'!$F$89:$F$649,'Schedule 4'!$I$89:$I$649,'Well Cal.'!Z$3,'Schedule 4'!$J$89:$J$649,'Well Cal.'!$E428)</f>
        <v>0</v>
      </c>
      <c r="AA428" s="727"/>
      <c r="AB428" s="1731"/>
      <c r="AC428" s="1731"/>
    </row>
    <row r="429" spans="2:29" x14ac:dyDescent="0.3">
      <c r="B429" s="1725"/>
      <c r="C429" s="1728"/>
      <c r="D429" s="1722"/>
      <c r="E429" s="776"/>
      <c r="F429" s="777"/>
      <c r="G429" s="777"/>
      <c r="H429" s="777"/>
      <c r="I429" s="777"/>
      <c r="J429" s="777"/>
      <c r="K429" s="777"/>
      <c r="L429" s="777"/>
      <c r="M429" s="777"/>
      <c r="N429" s="777"/>
      <c r="O429" s="777"/>
      <c r="P429" s="777"/>
      <c r="Q429" s="777"/>
      <c r="R429" s="777"/>
      <c r="S429" s="777"/>
      <c r="T429" s="777"/>
      <c r="U429" s="777"/>
      <c r="V429" s="777"/>
      <c r="W429" s="777"/>
      <c r="X429" s="777"/>
      <c r="Y429" s="777"/>
      <c r="Z429" s="777"/>
      <c r="AA429" s="777"/>
      <c r="AB429" s="1732"/>
      <c r="AC429" s="1732"/>
    </row>
    <row r="430" spans="2:29" x14ac:dyDescent="0.3">
      <c r="B430" s="1723" t="s">
        <v>2515</v>
      </c>
      <c r="C430" s="1726">
        <v>54.05</v>
      </c>
      <c r="D430" s="1720">
        <f>SUMIFS('Schedule 4'!$F$89:$F$649,'Schedule 4'!$K$89:$K$649,'Well Cal.'!$B430)</f>
        <v>0</v>
      </c>
      <c r="E430" s="754" t="s">
        <v>3177</v>
      </c>
      <c r="F430" s="728">
        <f>SUMIFS('Schedule 4'!$F$89:$F$649,'Schedule 4'!$I$89:$I$649,'Well Cal.'!F$3,'Schedule 4'!$J$89:$J$649,'Well Cal.'!$E430)</f>
        <v>0</v>
      </c>
      <c r="G430" s="728">
        <f>SUMIFS('Schedule 4'!$F$89:$F$649,'Schedule 4'!$I$89:$I$649,'Well Cal.'!G$3,'Schedule 4'!$J$89:$J$649,'Well Cal.'!$E430)</f>
        <v>0</v>
      </c>
      <c r="H430" s="728">
        <f>SUMIFS('Schedule 4'!$F$89:$F$649,'Schedule 4'!$I$89:$I$649,'Well Cal.'!H$3,'Schedule 4'!$J$89:$J$649,'Well Cal.'!$E430)</f>
        <v>0</v>
      </c>
      <c r="I430" s="728">
        <f>SUMIFS('Schedule 4'!$F$89:$F$649,'Schedule 4'!$I$89:$I$649,'Well Cal.'!I$3,'Schedule 4'!$J$89:$J$649,'Well Cal.'!$E430)</f>
        <v>0</v>
      </c>
      <c r="J430" s="728">
        <f>SUMIFS('Schedule 4'!$F$89:$F$649,'Schedule 4'!$I$89:$I$649,'Well Cal.'!J$3,'Schedule 4'!$J$89:$J$649,'Well Cal.'!$E430)</f>
        <v>0</v>
      </c>
      <c r="K430" s="728">
        <f>SUMIFS('Schedule 4'!$F$89:$F$649,'Schedule 4'!$I$89:$I$649,'Well Cal.'!K$3,'Schedule 4'!$J$89:$J$649,'Well Cal.'!$E430)</f>
        <v>0</v>
      </c>
      <c r="L430" s="728">
        <f>SUMIFS('Schedule 4'!$F$89:$F$649,'Schedule 4'!$I$89:$I$649,'Well Cal.'!L$3,'Schedule 4'!$J$89:$J$649,'Well Cal.'!$E430)</f>
        <v>0</v>
      </c>
      <c r="M430" s="728">
        <f>SUMIFS('Schedule 4'!$F$89:$F$649,'Schedule 4'!$I$89:$I$649,'Well Cal.'!M$3,'Schedule 4'!$J$89:$J$649,'Well Cal.'!$E430)</f>
        <v>0</v>
      </c>
      <c r="N430" s="728">
        <f>SUMIFS('Schedule 4'!$F$89:$F$649,'Schedule 4'!$I$89:$I$649,'Well Cal.'!N$3,'Schedule 4'!$J$89:$J$649,'Well Cal.'!$E430)</f>
        <v>0</v>
      </c>
      <c r="O430" s="728">
        <f>SUMIFS('Schedule 4'!$F$89:$F$649,'Schedule 4'!$I$89:$I$649,'Well Cal.'!O$3,'Schedule 4'!$J$89:$J$649,'Well Cal.'!$E430)</f>
        <v>0</v>
      </c>
      <c r="P430" s="728">
        <f>SUMIFS('Schedule 4'!$F$89:$F$649,'Schedule 4'!$I$89:$I$649,'Well Cal.'!P$3,'Schedule 4'!$J$89:$J$649,'Well Cal.'!$E430)</f>
        <v>0</v>
      </c>
      <c r="Q430" s="728">
        <f>SUMIFS('Schedule 4'!$F$89:$F$649,'Schedule 4'!$I$89:$I$649,'Well Cal.'!Q$3,'Schedule 4'!$J$89:$J$649,'Well Cal.'!$E430)</f>
        <v>0</v>
      </c>
      <c r="R430" s="728">
        <f>SUMIFS('Schedule 4'!$F$89:$F$649,'Schedule 4'!$I$89:$I$649,'Well Cal.'!R$3,'Schedule 4'!$J$89:$J$649,'Well Cal.'!$E430)</f>
        <v>0</v>
      </c>
      <c r="S430" s="728">
        <f>SUMIFS('Schedule 4'!$F$89:$F$649,'Schedule 4'!$I$89:$I$649,'Well Cal.'!S$3,'Schedule 4'!$J$89:$J$649,'Well Cal.'!$E430)</f>
        <v>0</v>
      </c>
      <c r="T430" s="728">
        <f>SUMIFS('Schedule 4'!$F$89:$F$649,'Schedule 4'!$I$89:$I$649,'Well Cal.'!T$3,'Schedule 4'!$J$89:$J$649,'Well Cal.'!$E430)</f>
        <v>0</v>
      </c>
      <c r="U430" s="728">
        <f>SUMIFS('Schedule 4'!$F$89:$F$649,'Schedule 4'!$I$89:$I$649,'Well Cal.'!U$3,'Schedule 4'!$J$89:$J$649,'Well Cal.'!$E430)</f>
        <v>0</v>
      </c>
      <c r="V430" s="728">
        <f>SUMIFS('Schedule 4'!$F$89:$F$649,'Schedule 4'!$I$89:$I$649,'Well Cal.'!V$3,'Schedule 4'!$J$89:$J$649,'Well Cal.'!$E430)</f>
        <v>0</v>
      </c>
      <c r="W430" s="728">
        <f>SUMIFS('Schedule 4'!$F$89:$F$649,'Schedule 4'!$I$89:$I$649,'Well Cal.'!W$3,'Schedule 4'!$J$89:$J$649,'Well Cal.'!$E430)</f>
        <v>0</v>
      </c>
      <c r="X430" s="728">
        <f>SUMIFS('Schedule 4'!$F$89:$F$649,'Schedule 4'!$I$89:$I$649,'Well Cal.'!X$3,'Schedule 4'!$J$89:$J$649,'Well Cal.'!$E430)</f>
        <v>0</v>
      </c>
      <c r="Y430" s="728">
        <f>SUMIFS('Schedule 4'!$F$89:$F$649,'Schedule 4'!$I$89:$I$649,'Well Cal.'!Y$3,'Schedule 4'!$J$89:$J$649,'Well Cal.'!$E430)</f>
        <v>0</v>
      </c>
      <c r="Z430" s="728">
        <f>SUMIFS('Schedule 4'!$F$89:$F$649,'Schedule 4'!$I$89:$I$649,'Well Cal.'!Z$3,'Schedule 4'!$J$89:$J$649,'Well Cal.'!$E430)</f>
        <v>0</v>
      </c>
      <c r="AA430" s="728"/>
      <c r="AB430" s="1729">
        <f>SUM(F430:AA453)</f>
        <v>0</v>
      </c>
      <c r="AC430" s="1729">
        <f>D430-AB430</f>
        <v>0</v>
      </c>
    </row>
    <row r="431" spans="2:29" x14ac:dyDescent="0.3">
      <c r="B431" s="1724"/>
      <c r="C431" s="1727"/>
      <c r="D431" s="1721"/>
      <c r="E431" s="761" t="s">
        <v>3261</v>
      </c>
      <c r="F431" s="726">
        <f>SUMIFS('Schedule 4'!$F$89:$F$649,'Schedule 4'!$I$89:$I$649,'Well Cal.'!F$3,'Schedule 4'!$J$89:$J$649,'Well Cal.'!$E431)</f>
        <v>0</v>
      </c>
      <c r="G431" s="726">
        <f>SUMIFS('Schedule 4'!$F$89:$F$649,'Schedule 4'!$I$89:$I$649,'Well Cal.'!G$3,'Schedule 4'!$J$89:$J$649,'Well Cal.'!$E431)</f>
        <v>0</v>
      </c>
      <c r="H431" s="726">
        <f>SUMIFS('Schedule 4'!$F$89:$F$649,'Schedule 4'!$I$89:$I$649,'Well Cal.'!H$3,'Schedule 4'!$J$89:$J$649,'Well Cal.'!$E431)</f>
        <v>0</v>
      </c>
      <c r="I431" s="726">
        <f>SUMIFS('Schedule 4'!$F$89:$F$649,'Schedule 4'!$I$89:$I$649,'Well Cal.'!I$3,'Schedule 4'!$J$89:$J$649,'Well Cal.'!$E431)</f>
        <v>0</v>
      </c>
      <c r="J431" s="726">
        <f>SUMIFS('Schedule 4'!$F$89:$F$649,'Schedule 4'!$I$89:$I$649,'Well Cal.'!J$3,'Schedule 4'!$J$89:$J$649,'Well Cal.'!$E431)</f>
        <v>0</v>
      </c>
      <c r="K431" s="726">
        <f>SUMIFS('Schedule 4'!$F$89:$F$649,'Schedule 4'!$I$89:$I$649,'Well Cal.'!K$3,'Schedule 4'!$J$89:$J$649,'Well Cal.'!$E431)</f>
        <v>0</v>
      </c>
      <c r="L431" s="726">
        <f>SUMIFS('Schedule 4'!$F$89:$F$649,'Schedule 4'!$I$89:$I$649,'Well Cal.'!L$3,'Schedule 4'!$J$89:$J$649,'Well Cal.'!$E431)</f>
        <v>0</v>
      </c>
      <c r="M431" s="726">
        <f>SUMIFS('Schedule 4'!$F$89:$F$649,'Schedule 4'!$I$89:$I$649,'Well Cal.'!M$3,'Schedule 4'!$J$89:$J$649,'Well Cal.'!$E431)</f>
        <v>0</v>
      </c>
      <c r="N431" s="726">
        <f>SUMIFS('Schedule 4'!$F$89:$F$649,'Schedule 4'!$I$89:$I$649,'Well Cal.'!N$3,'Schedule 4'!$J$89:$J$649,'Well Cal.'!$E431)</f>
        <v>0</v>
      </c>
      <c r="O431" s="726">
        <f>SUMIFS('Schedule 4'!$F$89:$F$649,'Schedule 4'!$I$89:$I$649,'Well Cal.'!O$3,'Schedule 4'!$J$89:$J$649,'Well Cal.'!$E431)</f>
        <v>0</v>
      </c>
      <c r="P431" s="726">
        <f>SUMIFS('Schedule 4'!$F$89:$F$649,'Schedule 4'!$I$89:$I$649,'Well Cal.'!P$3,'Schedule 4'!$J$89:$J$649,'Well Cal.'!$E431)</f>
        <v>0</v>
      </c>
      <c r="Q431" s="726">
        <f>SUMIFS('Schedule 4'!$F$89:$F$649,'Schedule 4'!$I$89:$I$649,'Well Cal.'!Q$3,'Schedule 4'!$J$89:$J$649,'Well Cal.'!$E431)</f>
        <v>0</v>
      </c>
      <c r="R431" s="726">
        <f>SUMIFS('Schedule 4'!$F$89:$F$649,'Schedule 4'!$I$89:$I$649,'Well Cal.'!R$3,'Schedule 4'!$J$89:$J$649,'Well Cal.'!$E431)</f>
        <v>0</v>
      </c>
      <c r="S431" s="726">
        <f>SUMIFS('Schedule 4'!$F$89:$F$649,'Schedule 4'!$I$89:$I$649,'Well Cal.'!S$3,'Schedule 4'!$J$89:$J$649,'Well Cal.'!$E431)</f>
        <v>0</v>
      </c>
      <c r="T431" s="726">
        <f>SUMIFS('Schedule 4'!$F$89:$F$649,'Schedule 4'!$I$89:$I$649,'Well Cal.'!T$3,'Schedule 4'!$J$89:$J$649,'Well Cal.'!$E431)</f>
        <v>0</v>
      </c>
      <c r="U431" s="726">
        <f>SUMIFS('Schedule 4'!$F$89:$F$649,'Schedule 4'!$I$89:$I$649,'Well Cal.'!U$3,'Schedule 4'!$J$89:$J$649,'Well Cal.'!$E431)</f>
        <v>0</v>
      </c>
      <c r="V431" s="726">
        <f>SUMIFS('Schedule 4'!$F$89:$F$649,'Schedule 4'!$I$89:$I$649,'Well Cal.'!V$3,'Schedule 4'!$J$89:$J$649,'Well Cal.'!$E431)</f>
        <v>0</v>
      </c>
      <c r="W431" s="726">
        <f>SUMIFS('Schedule 4'!$F$89:$F$649,'Schedule 4'!$I$89:$I$649,'Well Cal.'!W$3,'Schedule 4'!$J$89:$J$649,'Well Cal.'!$E431)</f>
        <v>0</v>
      </c>
      <c r="X431" s="726">
        <f>SUMIFS('Schedule 4'!$F$89:$F$649,'Schedule 4'!$I$89:$I$649,'Well Cal.'!X$3,'Schedule 4'!$J$89:$J$649,'Well Cal.'!$E431)</f>
        <v>0</v>
      </c>
      <c r="Y431" s="726">
        <f>SUMIFS('Schedule 4'!$F$89:$F$649,'Schedule 4'!$I$89:$I$649,'Well Cal.'!Y$3,'Schedule 4'!$J$89:$J$649,'Well Cal.'!$E431)</f>
        <v>0</v>
      </c>
      <c r="Z431" s="726">
        <f>SUMIFS('Schedule 4'!$F$89:$F$649,'Schedule 4'!$I$89:$I$649,'Well Cal.'!Z$3,'Schedule 4'!$J$89:$J$649,'Well Cal.'!$E431)</f>
        <v>0</v>
      </c>
      <c r="AA431" s="726"/>
      <c r="AB431" s="1730"/>
      <c r="AC431" s="1730"/>
    </row>
    <row r="432" spans="2:29" x14ac:dyDescent="0.3">
      <c r="B432" s="1724"/>
      <c r="C432" s="1727"/>
      <c r="D432" s="1721"/>
      <c r="E432" s="761" t="s">
        <v>3337</v>
      </c>
      <c r="F432" s="726">
        <f>SUMIFS('Schedule 4'!$F$89:$F$649,'Schedule 4'!$I$89:$I$649,'Well Cal.'!F$3,'Schedule 4'!$J$89:$J$649,'Well Cal.'!$E432)</f>
        <v>0</v>
      </c>
      <c r="G432" s="726">
        <f>SUMIFS('Schedule 4'!$F$89:$F$649,'Schedule 4'!$I$89:$I$649,'Well Cal.'!G$3,'Schedule 4'!$J$89:$J$649,'Well Cal.'!$E432)</f>
        <v>0</v>
      </c>
      <c r="H432" s="726">
        <f>SUMIFS('Schedule 4'!$F$89:$F$649,'Schedule 4'!$I$89:$I$649,'Well Cal.'!H$3,'Schedule 4'!$J$89:$J$649,'Well Cal.'!$E432)</f>
        <v>0</v>
      </c>
      <c r="I432" s="726">
        <f>SUMIFS('Schedule 4'!$F$89:$F$649,'Schedule 4'!$I$89:$I$649,'Well Cal.'!I$3,'Schedule 4'!$J$89:$J$649,'Well Cal.'!$E432)</f>
        <v>0</v>
      </c>
      <c r="J432" s="726">
        <f>SUMIFS('Schedule 4'!$F$89:$F$649,'Schedule 4'!$I$89:$I$649,'Well Cal.'!J$3,'Schedule 4'!$J$89:$J$649,'Well Cal.'!$E432)</f>
        <v>0</v>
      </c>
      <c r="K432" s="726">
        <f>SUMIFS('Schedule 4'!$F$89:$F$649,'Schedule 4'!$I$89:$I$649,'Well Cal.'!K$3,'Schedule 4'!$J$89:$J$649,'Well Cal.'!$E432)</f>
        <v>0</v>
      </c>
      <c r="L432" s="726">
        <f>SUMIFS('Schedule 4'!$F$89:$F$649,'Schedule 4'!$I$89:$I$649,'Well Cal.'!L$3,'Schedule 4'!$J$89:$J$649,'Well Cal.'!$E432)</f>
        <v>0</v>
      </c>
      <c r="M432" s="726">
        <f>SUMIFS('Schedule 4'!$F$89:$F$649,'Schedule 4'!$I$89:$I$649,'Well Cal.'!M$3,'Schedule 4'!$J$89:$J$649,'Well Cal.'!$E432)</f>
        <v>0</v>
      </c>
      <c r="N432" s="726">
        <f>SUMIFS('Schedule 4'!$F$89:$F$649,'Schedule 4'!$I$89:$I$649,'Well Cal.'!N$3,'Schedule 4'!$J$89:$J$649,'Well Cal.'!$E432)</f>
        <v>0</v>
      </c>
      <c r="O432" s="726">
        <f>SUMIFS('Schedule 4'!$F$89:$F$649,'Schedule 4'!$I$89:$I$649,'Well Cal.'!O$3,'Schedule 4'!$J$89:$J$649,'Well Cal.'!$E432)</f>
        <v>0</v>
      </c>
      <c r="P432" s="726">
        <f>SUMIFS('Schedule 4'!$F$89:$F$649,'Schedule 4'!$I$89:$I$649,'Well Cal.'!P$3,'Schedule 4'!$J$89:$J$649,'Well Cal.'!$E432)</f>
        <v>0</v>
      </c>
      <c r="Q432" s="726">
        <f>SUMIFS('Schedule 4'!$F$89:$F$649,'Schedule 4'!$I$89:$I$649,'Well Cal.'!Q$3,'Schedule 4'!$J$89:$J$649,'Well Cal.'!$E432)</f>
        <v>0</v>
      </c>
      <c r="R432" s="726">
        <f>SUMIFS('Schedule 4'!$F$89:$F$649,'Schedule 4'!$I$89:$I$649,'Well Cal.'!R$3,'Schedule 4'!$J$89:$J$649,'Well Cal.'!$E432)</f>
        <v>0</v>
      </c>
      <c r="S432" s="726">
        <f>SUMIFS('Schedule 4'!$F$89:$F$649,'Schedule 4'!$I$89:$I$649,'Well Cal.'!S$3,'Schedule 4'!$J$89:$J$649,'Well Cal.'!$E432)</f>
        <v>0</v>
      </c>
      <c r="T432" s="726">
        <f>SUMIFS('Schedule 4'!$F$89:$F$649,'Schedule 4'!$I$89:$I$649,'Well Cal.'!T$3,'Schedule 4'!$J$89:$J$649,'Well Cal.'!$E432)</f>
        <v>0</v>
      </c>
      <c r="U432" s="726">
        <f>SUMIFS('Schedule 4'!$F$89:$F$649,'Schedule 4'!$I$89:$I$649,'Well Cal.'!U$3,'Schedule 4'!$J$89:$J$649,'Well Cal.'!$E432)</f>
        <v>0</v>
      </c>
      <c r="V432" s="726">
        <f>SUMIFS('Schedule 4'!$F$89:$F$649,'Schedule 4'!$I$89:$I$649,'Well Cal.'!V$3,'Schedule 4'!$J$89:$J$649,'Well Cal.'!$E432)</f>
        <v>0</v>
      </c>
      <c r="W432" s="726">
        <f>SUMIFS('Schedule 4'!$F$89:$F$649,'Schedule 4'!$I$89:$I$649,'Well Cal.'!W$3,'Schedule 4'!$J$89:$J$649,'Well Cal.'!$E432)</f>
        <v>0</v>
      </c>
      <c r="X432" s="726">
        <f>SUMIFS('Schedule 4'!$F$89:$F$649,'Schedule 4'!$I$89:$I$649,'Well Cal.'!X$3,'Schedule 4'!$J$89:$J$649,'Well Cal.'!$E432)</f>
        <v>0</v>
      </c>
      <c r="Y432" s="726">
        <f>SUMIFS('Schedule 4'!$F$89:$F$649,'Schedule 4'!$I$89:$I$649,'Well Cal.'!Y$3,'Schedule 4'!$J$89:$J$649,'Well Cal.'!$E432)</f>
        <v>0</v>
      </c>
      <c r="Z432" s="726">
        <f>SUMIFS('Schedule 4'!$F$89:$F$649,'Schedule 4'!$I$89:$I$649,'Well Cal.'!Z$3,'Schedule 4'!$J$89:$J$649,'Well Cal.'!$E432)</f>
        <v>0</v>
      </c>
      <c r="AA432" s="726"/>
      <c r="AB432" s="1730"/>
      <c r="AC432" s="1730"/>
    </row>
    <row r="433" spans="2:29" x14ac:dyDescent="0.3">
      <c r="B433" s="1724"/>
      <c r="C433" s="1727"/>
      <c r="D433" s="1721"/>
      <c r="E433" s="775" t="s">
        <v>3415</v>
      </c>
      <c r="F433" s="727">
        <f>SUMIFS('Schedule 4'!$F$89:$F$649,'Schedule 4'!$I$89:$I$649,'Well Cal.'!F$3,'Schedule 4'!$J$89:$J$649,'Well Cal.'!$E433)</f>
        <v>0</v>
      </c>
      <c r="G433" s="727">
        <f>SUMIFS('Schedule 4'!$F$89:$F$649,'Schedule 4'!$I$89:$I$649,'Well Cal.'!G$3,'Schedule 4'!$J$89:$J$649,'Well Cal.'!$E433)</f>
        <v>0</v>
      </c>
      <c r="H433" s="727">
        <f>SUMIFS('Schedule 4'!$F$89:$F$649,'Schedule 4'!$I$89:$I$649,'Well Cal.'!H$3,'Schedule 4'!$J$89:$J$649,'Well Cal.'!$E433)</f>
        <v>0</v>
      </c>
      <c r="I433" s="727">
        <f>SUMIFS('Schedule 4'!$F$89:$F$649,'Schedule 4'!$I$89:$I$649,'Well Cal.'!I$3,'Schedule 4'!$J$89:$J$649,'Well Cal.'!$E433)</f>
        <v>0</v>
      </c>
      <c r="J433" s="727">
        <f>SUMIFS('Schedule 4'!$F$89:$F$649,'Schedule 4'!$I$89:$I$649,'Well Cal.'!J$3,'Schedule 4'!$J$89:$J$649,'Well Cal.'!$E433)</f>
        <v>0</v>
      </c>
      <c r="K433" s="727">
        <f>SUMIFS('Schedule 4'!$F$89:$F$649,'Schedule 4'!$I$89:$I$649,'Well Cal.'!K$3,'Schedule 4'!$J$89:$J$649,'Well Cal.'!$E433)</f>
        <v>0</v>
      </c>
      <c r="L433" s="727">
        <f>SUMIFS('Schedule 4'!$F$89:$F$649,'Schedule 4'!$I$89:$I$649,'Well Cal.'!L$3,'Schedule 4'!$J$89:$J$649,'Well Cal.'!$E433)</f>
        <v>0</v>
      </c>
      <c r="M433" s="727">
        <f>SUMIFS('Schedule 4'!$F$89:$F$649,'Schedule 4'!$I$89:$I$649,'Well Cal.'!M$3,'Schedule 4'!$J$89:$J$649,'Well Cal.'!$E433)</f>
        <v>0</v>
      </c>
      <c r="N433" s="727">
        <f>SUMIFS('Schedule 4'!$F$89:$F$649,'Schedule 4'!$I$89:$I$649,'Well Cal.'!N$3,'Schedule 4'!$J$89:$J$649,'Well Cal.'!$E433)</f>
        <v>0</v>
      </c>
      <c r="O433" s="727">
        <f>SUMIFS('Schedule 4'!$F$89:$F$649,'Schedule 4'!$I$89:$I$649,'Well Cal.'!O$3,'Schedule 4'!$J$89:$J$649,'Well Cal.'!$E433)</f>
        <v>0</v>
      </c>
      <c r="P433" s="727">
        <f>SUMIFS('Schedule 4'!$F$89:$F$649,'Schedule 4'!$I$89:$I$649,'Well Cal.'!P$3,'Schedule 4'!$J$89:$J$649,'Well Cal.'!$E433)</f>
        <v>0</v>
      </c>
      <c r="Q433" s="727">
        <f>SUMIFS('Schedule 4'!$F$89:$F$649,'Schedule 4'!$I$89:$I$649,'Well Cal.'!Q$3,'Schedule 4'!$J$89:$J$649,'Well Cal.'!$E433)</f>
        <v>0</v>
      </c>
      <c r="R433" s="727">
        <f>SUMIFS('Schedule 4'!$F$89:$F$649,'Schedule 4'!$I$89:$I$649,'Well Cal.'!R$3,'Schedule 4'!$J$89:$J$649,'Well Cal.'!$E433)</f>
        <v>0</v>
      </c>
      <c r="S433" s="727">
        <f>SUMIFS('Schedule 4'!$F$89:$F$649,'Schedule 4'!$I$89:$I$649,'Well Cal.'!S$3,'Schedule 4'!$J$89:$J$649,'Well Cal.'!$E433)</f>
        <v>0</v>
      </c>
      <c r="T433" s="727">
        <f>SUMIFS('Schedule 4'!$F$89:$F$649,'Schedule 4'!$I$89:$I$649,'Well Cal.'!T$3,'Schedule 4'!$J$89:$J$649,'Well Cal.'!$E433)</f>
        <v>0</v>
      </c>
      <c r="U433" s="727">
        <f>SUMIFS('Schedule 4'!$F$89:$F$649,'Schedule 4'!$I$89:$I$649,'Well Cal.'!U$3,'Schedule 4'!$J$89:$J$649,'Well Cal.'!$E433)</f>
        <v>0</v>
      </c>
      <c r="V433" s="727">
        <f>SUMIFS('Schedule 4'!$F$89:$F$649,'Schedule 4'!$I$89:$I$649,'Well Cal.'!V$3,'Schedule 4'!$J$89:$J$649,'Well Cal.'!$E433)</f>
        <v>0</v>
      </c>
      <c r="W433" s="727">
        <f>SUMIFS('Schedule 4'!$F$89:$F$649,'Schedule 4'!$I$89:$I$649,'Well Cal.'!W$3,'Schedule 4'!$J$89:$J$649,'Well Cal.'!$E433)</f>
        <v>0</v>
      </c>
      <c r="X433" s="727">
        <f>SUMIFS('Schedule 4'!$F$89:$F$649,'Schedule 4'!$I$89:$I$649,'Well Cal.'!X$3,'Schedule 4'!$J$89:$J$649,'Well Cal.'!$E433)</f>
        <v>0</v>
      </c>
      <c r="Y433" s="727">
        <f>SUMIFS('Schedule 4'!$F$89:$F$649,'Schedule 4'!$I$89:$I$649,'Well Cal.'!Y$3,'Schedule 4'!$J$89:$J$649,'Well Cal.'!$E433)</f>
        <v>0</v>
      </c>
      <c r="Z433" s="727">
        <f>SUMIFS('Schedule 4'!$F$89:$F$649,'Schedule 4'!$I$89:$I$649,'Well Cal.'!Z$3,'Schedule 4'!$J$89:$J$649,'Well Cal.'!$E433)</f>
        <v>0</v>
      </c>
      <c r="AA433" s="727"/>
      <c r="AB433" s="1730"/>
      <c r="AC433" s="1730"/>
    </row>
    <row r="434" spans="2:29" x14ac:dyDescent="0.3">
      <c r="B434" s="1724"/>
      <c r="C434" s="1727"/>
      <c r="D434" s="1721"/>
      <c r="E434" s="775" t="s">
        <v>3493</v>
      </c>
      <c r="F434" s="727">
        <f>SUMIFS('Schedule 4'!$F$89:$F$649,'Schedule 4'!$I$89:$I$649,'Well Cal.'!F$3,'Schedule 4'!$J$89:$J$649,'Well Cal.'!$E434)</f>
        <v>0</v>
      </c>
      <c r="G434" s="727">
        <f>SUMIFS('Schedule 4'!$F$89:$F$649,'Schedule 4'!$I$89:$I$649,'Well Cal.'!G$3,'Schedule 4'!$J$89:$J$649,'Well Cal.'!$E434)</f>
        <v>0</v>
      </c>
      <c r="H434" s="727">
        <f>SUMIFS('Schedule 4'!$F$89:$F$649,'Schedule 4'!$I$89:$I$649,'Well Cal.'!H$3,'Schedule 4'!$J$89:$J$649,'Well Cal.'!$E434)</f>
        <v>0</v>
      </c>
      <c r="I434" s="727">
        <f>SUMIFS('Schedule 4'!$F$89:$F$649,'Schedule 4'!$I$89:$I$649,'Well Cal.'!I$3,'Schedule 4'!$J$89:$J$649,'Well Cal.'!$E434)</f>
        <v>0</v>
      </c>
      <c r="J434" s="727">
        <f>SUMIFS('Schedule 4'!$F$89:$F$649,'Schedule 4'!$I$89:$I$649,'Well Cal.'!J$3,'Schedule 4'!$J$89:$J$649,'Well Cal.'!$E434)</f>
        <v>0</v>
      </c>
      <c r="K434" s="727">
        <f>SUMIFS('Schedule 4'!$F$89:$F$649,'Schedule 4'!$I$89:$I$649,'Well Cal.'!K$3,'Schedule 4'!$J$89:$J$649,'Well Cal.'!$E434)</f>
        <v>0</v>
      </c>
      <c r="L434" s="727">
        <f>SUMIFS('Schedule 4'!$F$89:$F$649,'Schedule 4'!$I$89:$I$649,'Well Cal.'!L$3,'Schedule 4'!$J$89:$J$649,'Well Cal.'!$E434)</f>
        <v>0</v>
      </c>
      <c r="M434" s="727">
        <f>SUMIFS('Schedule 4'!$F$89:$F$649,'Schedule 4'!$I$89:$I$649,'Well Cal.'!M$3,'Schedule 4'!$J$89:$J$649,'Well Cal.'!$E434)</f>
        <v>0</v>
      </c>
      <c r="N434" s="727">
        <f>SUMIFS('Schedule 4'!$F$89:$F$649,'Schedule 4'!$I$89:$I$649,'Well Cal.'!N$3,'Schedule 4'!$J$89:$J$649,'Well Cal.'!$E434)</f>
        <v>0</v>
      </c>
      <c r="O434" s="727">
        <f>SUMIFS('Schedule 4'!$F$89:$F$649,'Schedule 4'!$I$89:$I$649,'Well Cal.'!O$3,'Schedule 4'!$J$89:$J$649,'Well Cal.'!$E434)</f>
        <v>0</v>
      </c>
      <c r="P434" s="727">
        <f>SUMIFS('Schedule 4'!$F$89:$F$649,'Schedule 4'!$I$89:$I$649,'Well Cal.'!P$3,'Schedule 4'!$J$89:$J$649,'Well Cal.'!$E434)</f>
        <v>0</v>
      </c>
      <c r="Q434" s="727">
        <f>SUMIFS('Schedule 4'!$F$89:$F$649,'Schedule 4'!$I$89:$I$649,'Well Cal.'!Q$3,'Schedule 4'!$J$89:$J$649,'Well Cal.'!$E434)</f>
        <v>0</v>
      </c>
      <c r="R434" s="727">
        <f>SUMIFS('Schedule 4'!$F$89:$F$649,'Schedule 4'!$I$89:$I$649,'Well Cal.'!R$3,'Schedule 4'!$J$89:$J$649,'Well Cal.'!$E434)</f>
        <v>0</v>
      </c>
      <c r="S434" s="727">
        <f>SUMIFS('Schedule 4'!$F$89:$F$649,'Schedule 4'!$I$89:$I$649,'Well Cal.'!S$3,'Schedule 4'!$J$89:$J$649,'Well Cal.'!$E434)</f>
        <v>0</v>
      </c>
      <c r="T434" s="727">
        <f>SUMIFS('Schedule 4'!$F$89:$F$649,'Schedule 4'!$I$89:$I$649,'Well Cal.'!T$3,'Schedule 4'!$J$89:$J$649,'Well Cal.'!$E434)</f>
        <v>0</v>
      </c>
      <c r="U434" s="727">
        <f>SUMIFS('Schedule 4'!$F$89:$F$649,'Schedule 4'!$I$89:$I$649,'Well Cal.'!U$3,'Schedule 4'!$J$89:$J$649,'Well Cal.'!$E434)</f>
        <v>0</v>
      </c>
      <c r="V434" s="727">
        <f>SUMIFS('Schedule 4'!$F$89:$F$649,'Schedule 4'!$I$89:$I$649,'Well Cal.'!V$3,'Schedule 4'!$J$89:$J$649,'Well Cal.'!$E434)</f>
        <v>0</v>
      </c>
      <c r="W434" s="727">
        <f>SUMIFS('Schedule 4'!$F$89:$F$649,'Schedule 4'!$I$89:$I$649,'Well Cal.'!W$3,'Schedule 4'!$J$89:$J$649,'Well Cal.'!$E434)</f>
        <v>0</v>
      </c>
      <c r="X434" s="727">
        <f>SUMIFS('Schedule 4'!$F$89:$F$649,'Schedule 4'!$I$89:$I$649,'Well Cal.'!X$3,'Schedule 4'!$J$89:$J$649,'Well Cal.'!$E434)</f>
        <v>0</v>
      </c>
      <c r="Y434" s="727">
        <f>SUMIFS('Schedule 4'!$F$89:$F$649,'Schedule 4'!$I$89:$I$649,'Well Cal.'!Y$3,'Schedule 4'!$J$89:$J$649,'Well Cal.'!$E434)</f>
        <v>0</v>
      </c>
      <c r="Z434" s="727">
        <f>SUMIFS('Schedule 4'!$F$89:$F$649,'Schedule 4'!$I$89:$I$649,'Well Cal.'!Z$3,'Schedule 4'!$J$89:$J$649,'Well Cal.'!$E434)</f>
        <v>0</v>
      </c>
      <c r="AA434" s="727"/>
      <c r="AB434" s="1730"/>
      <c r="AC434" s="1730"/>
    </row>
    <row r="435" spans="2:29" x14ac:dyDescent="0.3">
      <c r="B435" s="1724"/>
      <c r="C435" s="1727"/>
      <c r="D435" s="1721"/>
      <c r="E435" s="775" t="s">
        <v>3568</v>
      </c>
      <c r="F435" s="727">
        <f>SUMIFS('Schedule 4'!$F$89:$F$649,'Schedule 4'!$I$89:$I$649,'Well Cal.'!F$3,'Schedule 4'!$J$89:$J$649,'Well Cal.'!$E435)</f>
        <v>0</v>
      </c>
      <c r="G435" s="727">
        <f>SUMIFS('Schedule 4'!$F$89:$F$649,'Schedule 4'!$I$89:$I$649,'Well Cal.'!G$3,'Schedule 4'!$J$89:$J$649,'Well Cal.'!$E435)</f>
        <v>0</v>
      </c>
      <c r="H435" s="727">
        <f>SUMIFS('Schedule 4'!$F$89:$F$649,'Schedule 4'!$I$89:$I$649,'Well Cal.'!H$3,'Schedule 4'!$J$89:$J$649,'Well Cal.'!$E435)</f>
        <v>0</v>
      </c>
      <c r="I435" s="727">
        <f>SUMIFS('Schedule 4'!$F$89:$F$649,'Schedule 4'!$I$89:$I$649,'Well Cal.'!I$3,'Schedule 4'!$J$89:$J$649,'Well Cal.'!$E435)</f>
        <v>0</v>
      </c>
      <c r="J435" s="727">
        <f>SUMIFS('Schedule 4'!$F$89:$F$649,'Schedule 4'!$I$89:$I$649,'Well Cal.'!J$3,'Schedule 4'!$J$89:$J$649,'Well Cal.'!$E435)</f>
        <v>0</v>
      </c>
      <c r="K435" s="727">
        <f>SUMIFS('Schedule 4'!$F$89:$F$649,'Schedule 4'!$I$89:$I$649,'Well Cal.'!K$3,'Schedule 4'!$J$89:$J$649,'Well Cal.'!$E435)</f>
        <v>0</v>
      </c>
      <c r="L435" s="727">
        <f>SUMIFS('Schedule 4'!$F$89:$F$649,'Schedule 4'!$I$89:$I$649,'Well Cal.'!L$3,'Schedule 4'!$J$89:$J$649,'Well Cal.'!$E435)</f>
        <v>0</v>
      </c>
      <c r="M435" s="727">
        <f>SUMIFS('Schedule 4'!$F$89:$F$649,'Schedule 4'!$I$89:$I$649,'Well Cal.'!M$3,'Schedule 4'!$J$89:$J$649,'Well Cal.'!$E435)</f>
        <v>0</v>
      </c>
      <c r="N435" s="727">
        <f>SUMIFS('Schedule 4'!$F$89:$F$649,'Schedule 4'!$I$89:$I$649,'Well Cal.'!N$3,'Schedule 4'!$J$89:$J$649,'Well Cal.'!$E435)</f>
        <v>0</v>
      </c>
      <c r="O435" s="727">
        <f>SUMIFS('Schedule 4'!$F$89:$F$649,'Schedule 4'!$I$89:$I$649,'Well Cal.'!O$3,'Schedule 4'!$J$89:$J$649,'Well Cal.'!$E435)</f>
        <v>0</v>
      </c>
      <c r="P435" s="727">
        <f>SUMIFS('Schedule 4'!$F$89:$F$649,'Schedule 4'!$I$89:$I$649,'Well Cal.'!P$3,'Schedule 4'!$J$89:$J$649,'Well Cal.'!$E435)</f>
        <v>0</v>
      </c>
      <c r="Q435" s="727">
        <f>SUMIFS('Schedule 4'!$F$89:$F$649,'Schedule 4'!$I$89:$I$649,'Well Cal.'!Q$3,'Schedule 4'!$J$89:$J$649,'Well Cal.'!$E435)</f>
        <v>0</v>
      </c>
      <c r="R435" s="727">
        <f>SUMIFS('Schedule 4'!$F$89:$F$649,'Schedule 4'!$I$89:$I$649,'Well Cal.'!R$3,'Schedule 4'!$J$89:$J$649,'Well Cal.'!$E435)</f>
        <v>0</v>
      </c>
      <c r="S435" s="727">
        <f>SUMIFS('Schedule 4'!$F$89:$F$649,'Schedule 4'!$I$89:$I$649,'Well Cal.'!S$3,'Schedule 4'!$J$89:$J$649,'Well Cal.'!$E435)</f>
        <v>0</v>
      </c>
      <c r="T435" s="727">
        <f>SUMIFS('Schedule 4'!$F$89:$F$649,'Schedule 4'!$I$89:$I$649,'Well Cal.'!T$3,'Schedule 4'!$J$89:$J$649,'Well Cal.'!$E435)</f>
        <v>0</v>
      </c>
      <c r="U435" s="727">
        <f>SUMIFS('Schedule 4'!$F$89:$F$649,'Schedule 4'!$I$89:$I$649,'Well Cal.'!U$3,'Schedule 4'!$J$89:$J$649,'Well Cal.'!$E435)</f>
        <v>0</v>
      </c>
      <c r="V435" s="727">
        <f>SUMIFS('Schedule 4'!$F$89:$F$649,'Schedule 4'!$I$89:$I$649,'Well Cal.'!V$3,'Schedule 4'!$J$89:$J$649,'Well Cal.'!$E435)</f>
        <v>0</v>
      </c>
      <c r="W435" s="727">
        <f>SUMIFS('Schedule 4'!$F$89:$F$649,'Schedule 4'!$I$89:$I$649,'Well Cal.'!W$3,'Schedule 4'!$J$89:$J$649,'Well Cal.'!$E435)</f>
        <v>0</v>
      </c>
      <c r="X435" s="727">
        <f>SUMIFS('Schedule 4'!$F$89:$F$649,'Schedule 4'!$I$89:$I$649,'Well Cal.'!X$3,'Schedule 4'!$J$89:$J$649,'Well Cal.'!$E435)</f>
        <v>0</v>
      </c>
      <c r="Y435" s="727">
        <f>SUMIFS('Schedule 4'!$F$89:$F$649,'Schedule 4'!$I$89:$I$649,'Well Cal.'!Y$3,'Schedule 4'!$J$89:$J$649,'Well Cal.'!$E435)</f>
        <v>0</v>
      </c>
      <c r="Z435" s="727">
        <f>SUMIFS('Schedule 4'!$F$89:$F$649,'Schedule 4'!$I$89:$I$649,'Well Cal.'!Z$3,'Schedule 4'!$J$89:$J$649,'Well Cal.'!$E435)</f>
        <v>0</v>
      </c>
      <c r="AA435" s="727"/>
      <c r="AB435" s="1730"/>
      <c r="AC435" s="1730"/>
    </row>
    <row r="436" spans="2:29" x14ac:dyDescent="0.3">
      <c r="B436" s="1724"/>
      <c r="C436" s="1727"/>
      <c r="D436" s="1721"/>
      <c r="E436" s="775" t="s">
        <v>3643</v>
      </c>
      <c r="F436" s="727">
        <f>SUMIFS('Schedule 4'!$F$89:$F$649,'Schedule 4'!$I$89:$I$649,'Well Cal.'!F$3,'Schedule 4'!$J$89:$J$649,'Well Cal.'!$E436)</f>
        <v>0</v>
      </c>
      <c r="G436" s="727">
        <f>SUMIFS('Schedule 4'!$F$89:$F$649,'Schedule 4'!$I$89:$I$649,'Well Cal.'!G$3,'Schedule 4'!$J$89:$J$649,'Well Cal.'!$E436)</f>
        <v>0</v>
      </c>
      <c r="H436" s="727">
        <f>SUMIFS('Schedule 4'!$F$89:$F$649,'Schedule 4'!$I$89:$I$649,'Well Cal.'!H$3,'Schedule 4'!$J$89:$J$649,'Well Cal.'!$E436)</f>
        <v>0</v>
      </c>
      <c r="I436" s="727">
        <f>SUMIFS('Schedule 4'!$F$89:$F$649,'Schedule 4'!$I$89:$I$649,'Well Cal.'!I$3,'Schedule 4'!$J$89:$J$649,'Well Cal.'!$E436)</f>
        <v>0</v>
      </c>
      <c r="J436" s="727">
        <f>SUMIFS('Schedule 4'!$F$89:$F$649,'Schedule 4'!$I$89:$I$649,'Well Cal.'!J$3,'Schedule 4'!$J$89:$J$649,'Well Cal.'!$E436)</f>
        <v>0</v>
      </c>
      <c r="K436" s="727">
        <f>SUMIFS('Schedule 4'!$F$89:$F$649,'Schedule 4'!$I$89:$I$649,'Well Cal.'!K$3,'Schedule 4'!$J$89:$J$649,'Well Cal.'!$E436)</f>
        <v>0</v>
      </c>
      <c r="L436" s="727">
        <f>SUMIFS('Schedule 4'!$F$89:$F$649,'Schedule 4'!$I$89:$I$649,'Well Cal.'!L$3,'Schedule 4'!$J$89:$J$649,'Well Cal.'!$E436)</f>
        <v>0</v>
      </c>
      <c r="M436" s="727">
        <f>SUMIFS('Schedule 4'!$F$89:$F$649,'Schedule 4'!$I$89:$I$649,'Well Cal.'!M$3,'Schedule 4'!$J$89:$J$649,'Well Cal.'!$E436)</f>
        <v>0</v>
      </c>
      <c r="N436" s="727">
        <f>SUMIFS('Schedule 4'!$F$89:$F$649,'Schedule 4'!$I$89:$I$649,'Well Cal.'!N$3,'Schedule 4'!$J$89:$J$649,'Well Cal.'!$E436)</f>
        <v>0</v>
      </c>
      <c r="O436" s="727">
        <f>SUMIFS('Schedule 4'!$F$89:$F$649,'Schedule 4'!$I$89:$I$649,'Well Cal.'!O$3,'Schedule 4'!$J$89:$J$649,'Well Cal.'!$E436)</f>
        <v>0</v>
      </c>
      <c r="P436" s="727">
        <f>SUMIFS('Schedule 4'!$F$89:$F$649,'Schedule 4'!$I$89:$I$649,'Well Cal.'!P$3,'Schedule 4'!$J$89:$J$649,'Well Cal.'!$E436)</f>
        <v>0</v>
      </c>
      <c r="Q436" s="727">
        <f>SUMIFS('Schedule 4'!$F$89:$F$649,'Schedule 4'!$I$89:$I$649,'Well Cal.'!Q$3,'Schedule 4'!$J$89:$J$649,'Well Cal.'!$E436)</f>
        <v>0</v>
      </c>
      <c r="R436" s="727">
        <f>SUMIFS('Schedule 4'!$F$89:$F$649,'Schedule 4'!$I$89:$I$649,'Well Cal.'!R$3,'Schedule 4'!$J$89:$J$649,'Well Cal.'!$E436)</f>
        <v>0</v>
      </c>
      <c r="S436" s="727">
        <f>SUMIFS('Schedule 4'!$F$89:$F$649,'Schedule 4'!$I$89:$I$649,'Well Cal.'!S$3,'Schedule 4'!$J$89:$J$649,'Well Cal.'!$E436)</f>
        <v>0</v>
      </c>
      <c r="T436" s="727">
        <f>SUMIFS('Schedule 4'!$F$89:$F$649,'Schedule 4'!$I$89:$I$649,'Well Cal.'!T$3,'Schedule 4'!$J$89:$J$649,'Well Cal.'!$E436)</f>
        <v>0</v>
      </c>
      <c r="U436" s="727">
        <f>SUMIFS('Schedule 4'!$F$89:$F$649,'Schedule 4'!$I$89:$I$649,'Well Cal.'!U$3,'Schedule 4'!$J$89:$J$649,'Well Cal.'!$E436)</f>
        <v>0</v>
      </c>
      <c r="V436" s="727">
        <f>SUMIFS('Schedule 4'!$F$89:$F$649,'Schedule 4'!$I$89:$I$649,'Well Cal.'!V$3,'Schedule 4'!$J$89:$J$649,'Well Cal.'!$E436)</f>
        <v>0</v>
      </c>
      <c r="W436" s="727">
        <f>SUMIFS('Schedule 4'!$F$89:$F$649,'Schedule 4'!$I$89:$I$649,'Well Cal.'!W$3,'Schedule 4'!$J$89:$J$649,'Well Cal.'!$E436)</f>
        <v>0</v>
      </c>
      <c r="X436" s="727">
        <f>SUMIFS('Schedule 4'!$F$89:$F$649,'Schedule 4'!$I$89:$I$649,'Well Cal.'!X$3,'Schedule 4'!$J$89:$J$649,'Well Cal.'!$E436)</f>
        <v>0</v>
      </c>
      <c r="Y436" s="727">
        <f>SUMIFS('Schedule 4'!$F$89:$F$649,'Schedule 4'!$I$89:$I$649,'Well Cal.'!Y$3,'Schedule 4'!$J$89:$J$649,'Well Cal.'!$E436)</f>
        <v>0</v>
      </c>
      <c r="Z436" s="727">
        <f>SUMIFS('Schedule 4'!$F$89:$F$649,'Schedule 4'!$I$89:$I$649,'Well Cal.'!Z$3,'Schedule 4'!$J$89:$J$649,'Well Cal.'!$E436)</f>
        <v>0</v>
      </c>
      <c r="AA436" s="727"/>
      <c r="AB436" s="1730"/>
      <c r="AC436" s="1730"/>
    </row>
    <row r="437" spans="2:29" x14ac:dyDescent="0.3">
      <c r="B437" s="1724"/>
      <c r="C437" s="1727"/>
      <c r="D437" s="1721"/>
      <c r="E437" s="775" t="s">
        <v>3707</v>
      </c>
      <c r="F437" s="727">
        <f>SUMIFS('Schedule 4'!$F$89:$F$649,'Schedule 4'!$I$89:$I$649,'Well Cal.'!F$3,'Schedule 4'!$J$89:$J$649,'Well Cal.'!$E437)</f>
        <v>0</v>
      </c>
      <c r="G437" s="727">
        <f>SUMIFS('Schedule 4'!$F$89:$F$649,'Schedule 4'!$I$89:$I$649,'Well Cal.'!G$3,'Schedule 4'!$J$89:$J$649,'Well Cal.'!$E437)</f>
        <v>0</v>
      </c>
      <c r="H437" s="727">
        <f>SUMIFS('Schedule 4'!$F$89:$F$649,'Schedule 4'!$I$89:$I$649,'Well Cal.'!H$3,'Schedule 4'!$J$89:$J$649,'Well Cal.'!$E437)</f>
        <v>0</v>
      </c>
      <c r="I437" s="727">
        <f>SUMIFS('Schedule 4'!$F$89:$F$649,'Schedule 4'!$I$89:$I$649,'Well Cal.'!I$3,'Schedule 4'!$J$89:$J$649,'Well Cal.'!$E437)</f>
        <v>0</v>
      </c>
      <c r="J437" s="727">
        <f>SUMIFS('Schedule 4'!$F$89:$F$649,'Schedule 4'!$I$89:$I$649,'Well Cal.'!J$3,'Schedule 4'!$J$89:$J$649,'Well Cal.'!$E437)</f>
        <v>0</v>
      </c>
      <c r="K437" s="727">
        <f>SUMIFS('Schedule 4'!$F$89:$F$649,'Schedule 4'!$I$89:$I$649,'Well Cal.'!K$3,'Schedule 4'!$J$89:$J$649,'Well Cal.'!$E437)</f>
        <v>0</v>
      </c>
      <c r="L437" s="727">
        <f>SUMIFS('Schedule 4'!$F$89:$F$649,'Schedule 4'!$I$89:$I$649,'Well Cal.'!L$3,'Schedule 4'!$J$89:$J$649,'Well Cal.'!$E437)</f>
        <v>0</v>
      </c>
      <c r="M437" s="727">
        <f>SUMIFS('Schedule 4'!$F$89:$F$649,'Schedule 4'!$I$89:$I$649,'Well Cal.'!M$3,'Schedule 4'!$J$89:$J$649,'Well Cal.'!$E437)</f>
        <v>0</v>
      </c>
      <c r="N437" s="727">
        <f>SUMIFS('Schedule 4'!$F$89:$F$649,'Schedule 4'!$I$89:$I$649,'Well Cal.'!N$3,'Schedule 4'!$J$89:$J$649,'Well Cal.'!$E437)</f>
        <v>0</v>
      </c>
      <c r="O437" s="727">
        <f>SUMIFS('Schedule 4'!$F$89:$F$649,'Schedule 4'!$I$89:$I$649,'Well Cal.'!O$3,'Schedule 4'!$J$89:$J$649,'Well Cal.'!$E437)</f>
        <v>0</v>
      </c>
      <c r="P437" s="727">
        <f>SUMIFS('Schedule 4'!$F$89:$F$649,'Schedule 4'!$I$89:$I$649,'Well Cal.'!P$3,'Schedule 4'!$J$89:$J$649,'Well Cal.'!$E437)</f>
        <v>0</v>
      </c>
      <c r="Q437" s="727">
        <f>SUMIFS('Schedule 4'!$F$89:$F$649,'Schedule 4'!$I$89:$I$649,'Well Cal.'!Q$3,'Schedule 4'!$J$89:$J$649,'Well Cal.'!$E437)</f>
        <v>0</v>
      </c>
      <c r="R437" s="727">
        <f>SUMIFS('Schedule 4'!$F$89:$F$649,'Schedule 4'!$I$89:$I$649,'Well Cal.'!R$3,'Schedule 4'!$J$89:$J$649,'Well Cal.'!$E437)</f>
        <v>0</v>
      </c>
      <c r="S437" s="727">
        <f>SUMIFS('Schedule 4'!$F$89:$F$649,'Schedule 4'!$I$89:$I$649,'Well Cal.'!S$3,'Schedule 4'!$J$89:$J$649,'Well Cal.'!$E437)</f>
        <v>0</v>
      </c>
      <c r="T437" s="727">
        <f>SUMIFS('Schedule 4'!$F$89:$F$649,'Schedule 4'!$I$89:$I$649,'Well Cal.'!T$3,'Schedule 4'!$J$89:$J$649,'Well Cal.'!$E437)</f>
        <v>0</v>
      </c>
      <c r="U437" s="727">
        <f>SUMIFS('Schedule 4'!$F$89:$F$649,'Schedule 4'!$I$89:$I$649,'Well Cal.'!U$3,'Schedule 4'!$J$89:$J$649,'Well Cal.'!$E437)</f>
        <v>0</v>
      </c>
      <c r="V437" s="727">
        <f>SUMIFS('Schedule 4'!$F$89:$F$649,'Schedule 4'!$I$89:$I$649,'Well Cal.'!V$3,'Schedule 4'!$J$89:$J$649,'Well Cal.'!$E437)</f>
        <v>0</v>
      </c>
      <c r="W437" s="727">
        <f>SUMIFS('Schedule 4'!$F$89:$F$649,'Schedule 4'!$I$89:$I$649,'Well Cal.'!W$3,'Schedule 4'!$J$89:$J$649,'Well Cal.'!$E437)</f>
        <v>0</v>
      </c>
      <c r="X437" s="727">
        <f>SUMIFS('Schedule 4'!$F$89:$F$649,'Schedule 4'!$I$89:$I$649,'Well Cal.'!X$3,'Schedule 4'!$J$89:$J$649,'Well Cal.'!$E437)</f>
        <v>0</v>
      </c>
      <c r="Y437" s="727">
        <f>SUMIFS('Schedule 4'!$F$89:$F$649,'Schedule 4'!$I$89:$I$649,'Well Cal.'!Y$3,'Schedule 4'!$J$89:$J$649,'Well Cal.'!$E437)</f>
        <v>0</v>
      </c>
      <c r="Z437" s="727">
        <f>SUMIFS('Schedule 4'!$F$89:$F$649,'Schedule 4'!$I$89:$I$649,'Well Cal.'!Z$3,'Schedule 4'!$J$89:$J$649,'Well Cal.'!$E437)</f>
        <v>0</v>
      </c>
      <c r="AA437" s="727"/>
      <c r="AB437" s="1731"/>
      <c r="AC437" s="1731"/>
    </row>
    <row r="438" spans="2:29" x14ac:dyDescent="0.3">
      <c r="B438" s="1724"/>
      <c r="C438" s="1727"/>
      <c r="D438" s="1721"/>
      <c r="E438" s="775" t="s">
        <v>3789</v>
      </c>
      <c r="F438" s="727">
        <f>SUMIFS('Schedule 4'!$F$89:$F$649,'Schedule 4'!$I$89:$I$649,'Well Cal.'!F$3,'Schedule 4'!$J$89:$J$649,'Well Cal.'!$E438)</f>
        <v>0</v>
      </c>
      <c r="G438" s="727">
        <f>SUMIFS('Schedule 4'!$F$89:$F$649,'Schedule 4'!$I$89:$I$649,'Well Cal.'!G$3,'Schedule 4'!$J$89:$J$649,'Well Cal.'!$E438)</f>
        <v>0</v>
      </c>
      <c r="H438" s="727">
        <f>SUMIFS('Schedule 4'!$F$89:$F$649,'Schedule 4'!$I$89:$I$649,'Well Cal.'!H$3,'Schedule 4'!$J$89:$J$649,'Well Cal.'!$E438)</f>
        <v>0</v>
      </c>
      <c r="I438" s="727">
        <f>SUMIFS('Schedule 4'!$F$89:$F$649,'Schedule 4'!$I$89:$I$649,'Well Cal.'!I$3,'Schedule 4'!$J$89:$J$649,'Well Cal.'!$E438)</f>
        <v>0</v>
      </c>
      <c r="J438" s="727">
        <f>SUMIFS('Schedule 4'!$F$89:$F$649,'Schedule 4'!$I$89:$I$649,'Well Cal.'!J$3,'Schedule 4'!$J$89:$J$649,'Well Cal.'!$E438)</f>
        <v>0</v>
      </c>
      <c r="K438" s="727">
        <f>SUMIFS('Schedule 4'!$F$89:$F$649,'Schedule 4'!$I$89:$I$649,'Well Cal.'!K$3,'Schedule 4'!$J$89:$J$649,'Well Cal.'!$E438)</f>
        <v>0</v>
      </c>
      <c r="L438" s="727">
        <f>SUMIFS('Schedule 4'!$F$89:$F$649,'Schedule 4'!$I$89:$I$649,'Well Cal.'!L$3,'Schedule 4'!$J$89:$J$649,'Well Cal.'!$E438)</f>
        <v>0</v>
      </c>
      <c r="M438" s="727">
        <f>SUMIFS('Schedule 4'!$F$89:$F$649,'Schedule 4'!$I$89:$I$649,'Well Cal.'!M$3,'Schedule 4'!$J$89:$J$649,'Well Cal.'!$E438)</f>
        <v>0</v>
      </c>
      <c r="N438" s="727">
        <f>SUMIFS('Schedule 4'!$F$89:$F$649,'Schedule 4'!$I$89:$I$649,'Well Cal.'!N$3,'Schedule 4'!$J$89:$J$649,'Well Cal.'!$E438)</f>
        <v>0</v>
      </c>
      <c r="O438" s="727">
        <f>SUMIFS('Schedule 4'!$F$89:$F$649,'Schedule 4'!$I$89:$I$649,'Well Cal.'!O$3,'Schedule 4'!$J$89:$J$649,'Well Cal.'!$E438)</f>
        <v>0</v>
      </c>
      <c r="P438" s="727">
        <f>SUMIFS('Schedule 4'!$F$89:$F$649,'Schedule 4'!$I$89:$I$649,'Well Cal.'!P$3,'Schedule 4'!$J$89:$J$649,'Well Cal.'!$E438)</f>
        <v>0</v>
      </c>
      <c r="Q438" s="727">
        <f>SUMIFS('Schedule 4'!$F$89:$F$649,'Schedule 4'!$I$89:$I$649,'Well Cal.'!Q$3,'Schedule 4'!$J$89:$J$649,'Well Cal.'!$E438)</f>
        <v>0</v>
      </c>
      <c r="R438" s="727">
        <f>SUMIFS('Schedule 4'!$F$89:$F$649,'Schedule 4'!$I$89:$I$649,'Well Cal.'!R$3,'Schedule 4'!$J$89:$J$649,'Well Cal.'!$E438)</f>
        <v>0</v>
      </c>
      <c r="S438" s="727">
        <f>SUMIFS('Schedule 4'!$F$89:$F$649,'Schedule 4'!$I$89:$I$649,'Well Cal.'!S$3,'Schedule 4'!$J$89:$J$649,'Well Cal.'!$E438)</f>
        <v>0</v>
      </c>
      <c r="T438" s="727">
        <f>SUMIFS('Schedule 4'!$F$89:$F$649,'Schedule 4'!$I$89:$I$649,'Well Cal.'!T$3,'Schedule 4'!$J$89:$J$649,'Well Cal.'!$E438)</f>
        <v>0</v>
      </c>
      <c r="U438" s="727">
        <f>SUMIFS('Schedule 4'!$F$89:$F$649,'Schedule 4'!$I$89:$I$649,'Well Cal.'!U$3,'Schedule 4'!$J$89:$J$649,'Well Cal.'!$E438)</f>
        <v>0</v>
      </c>
      <c r="V438" s="727">
        <f>SUMIFS('Schedule 4'!$F$89:$F$649,'Schedule 4'!$I$89:$I$649,'Well Cal.'!V$3,'Schedule 4'!$J$89:$J$649,'Well Cal.'!$E438)</f>
        <v>0</v>
      </c>
      <c r="W438" s="727">
        <f>SUMIFS('Schedule 4'!$F$89:$F$649,'Schedule 4'!$I$89:$I$649,'Well Cal.'!W$3,'Schedule 4'!$J$89:$J$649,'Well Cal.'!$E438)</f>
        <v>0</v>
      </c>
      <c r="X438" s="727">
        <f>SUMIFS('Schedule 4'!$F$89:$F$649,'Schedule 4'!$I$89:$I$649,'Well Cal.'!X$3,'Schedule 4'!$J$89:$J$649,'Well Cal.'!$E438)</f>
        <v>0</v>
      </c>
      <c r="Y438" s="727">
        <f>SUMIFS('Schedule 4'!$F$89:$F$649,'Schedule 4'!$I$89:$I$649,'Well Cal.'!Y$3,'Schedule 4'!$J$89:$J$649,'Well Cal.'!$E438)</f>
        <v>0</v>
      </c>
      <c r="Z438" s="727">
        <f>SUMIFS('Schedule 4'!$F$89:$F$649,'Schedule 4'!$I$89:$I$649,'Well Cal.'!Z$3,'Schedule 4'!$J$89:$J$649,'Well Cal.'!$E438)</f>
        <v>0</v>
      </c>
      <c r="AA438" s="727"/>
      <c r="AB438" s="1731"/>
      <c r="AC438" s="1731"/>
    </row>
    <row r="439" spans="2:29" x14ac:dyDescent="0.3">
      <c r="B439" s="1724"/>
      <c r="C439" s="1727"/>
      <c r="D439" s="1721"/>
      <c r="E439" s="775" t="s">
        <v>3858</v>
      </c>
      <c r="F439" s="727">
        <f>SUMIFS('Schedule 4'!$F$89:$F$649,'Schedule 4'!$I$89:$I$649,'Well Cal.'!F$3,'Schedule 4'!$J$89:$J$649,'Well Cal.'!$E439)</f>
        <v>0</v>
      </c>
      <c r="G439" s="727">
        <f>SUMIFS('Schedule 4'!$F$89:$F$649,'Schedule 4'!$I$89:$I$649,'Well Cal.'!G$3,'Schedule 4'!$J$89:$J$649,'Well Cal.'!$E439)</f>
        <v>0</v>
      </c>
      <c r="H439" s="727">
        <f>SUMIFS('Schedule 4'!$F$89:$F$649,'Schedule 4'!$I$89:$I$649,'Well Cal.'!H$3,'Schedule 4'!$J$89:$J$649,'Well Cal.'!$E439)</f>
        <v>0</v>
      </c>
      <c r="I439" s="727">
        <f>SUMIFS('Schedule 4'!$F$89:$F$649,'Schedule 4'!$I$89:$I$649,'Well Cal.'!I$3,'Schedule 4'!$J$89:$J$649,'Well Cal.'!$E439)</f>
        <v>0</v>
      </c>
      <c r="J439" s="727">
        <f>SUMIFS('Schedule 4'!$F$89:$F$649,'Schedule 4'!$I$89:$I$649,'Well Cal.'!J$3,'Schedule 4'!$J$89:$J$649,'Well Cal.'!$E439)</f>
        <v>0</v>
      </c>
      <c r="K439" s="727">
        <f>SUMIFS('Schedule 4'!$F$89:$F$649,'Schedule 4'!$I$89:$I$649,'Well Cal.'!K$3,'Schedule 4'!$J$89:$J$649,'Well Cal.'!$E439)</f>
        <v>0</v>
      </c>
      <c r="L439" s="727">
        <f>SUMIFS('Schedule 4'!$F$89:$F$649,'Schedule 4'!$I$89:$I$649,'Well Cal.'!L$3,'Schedule 4'!$J$89:$J$649,'Well Cal.'!$E439)</f>
        <v>0</v>
      </c>
      <c r="M439" s="727">
        <f>SUMIFS('Schedule 4'!$F$89:$F$649,'Schedule 4'!$I$89:$I$649,'Well Cal.'!M$3,'Schedule 4'!$J$89:$J$649,'Well Cal.'!$E439)</f>
        <v>0</v>
      </c>
      <c r="N439" s="727">
        <f>SUMIFS('Schedule 4'!$F$89:$F$649,'Schedule 4'!$I$89:$I$649,'Well Cal.'!N$3,'Schedule 4'!$J$89:$J$649,'Well Cal.'!$E439)</f>
        <v>0</v>
      </c>
      <c r="O439" s="727">
        <f>SUMIFS('Schedule 4'!$F$89:$F$649,'Schedule 4'!$I$89:$I$649,'Well Cal.'!O$3,'Schedule 4'!$J$89:$J$649,'Well Cal.'!$E439)</f>
        <v>0</v>
      </c>
      <c r="P439" s="727">
        <f>SUMIFS('Schedule 4'!$F$89:$F$649,'Schedule 4'!$I$89:$I$649,'Well Cal.'!P$3,'Schedule 4'!$J$89:$J$649,'Well Cal.'!$E439)</f>
        <v>0</v>
      </c>
      <c r="Q439" s="727">
        <f>SUMIFS('Schedule 4'!$F$89:$F$649,'Schedule 4'!$I$89:$I$649,'Well Cal.'!Q$3,'Schedule 4'!$J$89:$J$649,'Well Cal.'!$E439)</f>
        <v>0</v>
      </c>
      <c r="R439" s="727">
        <f>SUMIFS('Schedule 4'!$F$89:$F$649,'Schedule 4'!$I$89:$I$649,'Well Cal.'!R$3,'Schedule 4'!$J$89:$J$649,'Well Cal.'!$E439)</f>
        <v>0</v>
      </c>
      <c r="S439" s="727">
        <f>SUMIFS('Schedule 4'!$F$89:$F$649,'Schedule 4'!$I$89:$I$649,'Well Cal.'!S$3,'Schedule 4'!$J$89:$J$649,'Well Cal.'!$E439)</f>
        <v>0</v>
      </c>
      <c r="T439" s="727">
        <f>SUMIFS('Schedule 4'!$F$89:$F$649,'Schedule 4'!$I$89:$I$649,'Well Cal.'!T$3,'Schedule 4'!$J$89:$J$649,'Well Cal.'!$E439)</f>
        <v>0</v>
      </c>
      <c r="U439" s="727">
        <f>SUMIFS('Schedule 4'!$F$89:$F$649,'Schedule 4'!$I$89:$I$649,'Well Cal.'!U$3,'Schedule 4'!$J$89:$J$649,'Well Cal.'!$E439)</f>
        <v>0</v>
      </c>
      <c r="V439" s="727">
        <f>SUMIFS('Schedule 4'!$F$89:$F$649,'Schedule 4'!$I$89:$I$649,'Well Cal.'!V$3,'Schedule 4'!$J$89:$J$649,'Well Cal.'!$E439)</f>
        <v>0</v>
      </c>
      <c r="W439" s="727">
        <f>SUMIFS('Schedule 4'!$F$89:$F$649,'Schedule 4'!$I$89:$I$649,'Well Cal.'!W$3,'Schedule 4'!$J$89:$J$649,'Well Cal.'!$E439)</f>
        <v>0</v>
      </c>
      <c r="X439" s="727">
        <f>SUMIFS('Schedule 4'!$F$89:$F$649,'Schedule 4'!$I$89:$I$649,'Well Cal.'!X$3,'Schedule 4'!$J$89:$J$649,'Well Cal.'!$E439)</f>
        <v>0</v>
      </c>
      <c r="Y439" s="727">
        <f>SUMIFS('Schedule 4'!$F$89:$F$649,'Schedule 4'!$I$89:$I$649,'Well Cal.'!Y$3,'Schedule 4'!$J$89:$J$649,'Well Cal.'!$E439)</f>
        <v>0</v>
      </c>
      <c r="Z439" s="727">
        <f>SUMIFS('Schedule 4'!$F$89:$F$649,'Schedule 4'!$I$89:$I$649,'Well Cal.'!Z$3,'Schedule 4'!$J$89:$J$649,'Well Cal.'!$E439)</f>
        <v>0</v>
      </c>
      <c r="AA439" s="727"/>
      <c r="AB439" s="1731"/>
      <c r="AC439" s="1731"/>
    </row>
    <row r="440" spans="2:29" x14ac:dyDescent="0.3">
      <c r="B440" s="1724"/>
      <c r="C440" s="1727"/>
      <c r="D440" s="1721"/>
      <c r="E440" s="775" t="s">
        <v>3923</v>
      </c>
      <c r="F440" s="727">
        <f>SUMIFS('Schedule 4'!$F$89:$F$649,'Schedule 4'!$I$89:$I$649,'Well Cal.'!F$3,'Schedule 4'!$J$89:$J$649,'Well Cal.'!$E440)</f>
        <v>0</v>
      </c>
      <c r="G440" s="727">
        <f>SUMIFS('Schedule 4'!$F$89:$F$649,'Schedule 4'!$I$89:$I$649,'Well Cal.'!G$3,'Schedule 4'!$J$89:$J$649,'Well Cal.'!$E440)</f>
        <v>0</v>
      </c>
      <c r="H440" s="727">
        <f>SUMIFS('Schedule 4'!$F$89:$F$649,'Schedule 4'!$I$89:$I$649,'Well Cal.'!H$3,'Schedule 4'!$J$89:$J$649,'Well Cal.'!$E440)</f>
        <v>0</v>
      </c>
      <c r="I440" s="727">
        <f>SUMIFS('Schedule 4'!$F$89:$F$649,'Schedule 4'!$I$89:$I$649,'Well Cal.'!I$3,'Schedule 4'!$J$89:$J$649,'Well Cal.'!$E440)</f>
        <v>0</v>
      </c>
      <c r="J440" s="727">
        <f>SUMIFS('Schedule 4'!$F$89:$F$649,'Schedule 4'!$I$89:$I$649,'Well Cal.'!J$3,'Schedule 4'!$J$89:$J$649,'Well Cal.'!$E440)</f>
        <v>0</v>
      </c>
      <c r="K440" s="727">
        <f>SUMIFS('Schedule 4'!$F$89:$F$649,'Schedule 4'!$I$89:$I$649,'Well Cal.'!K$3,'Schedule 4'!$J$89:$J$649,'Well Cal.'!$E440)</f>
        <v>0</v>
      </c>
      <c r="L440" s="727">
        <f>SUMIFS('Schedule 4'!$F$89:$F$649,'Schedule 4'!$I$89:$I$649,'Well Cal.'!L$3,'Schedule 4'!$J$89:$J$649,'Well Cal.'!$E440)</f>
        <v>0</v>
      </c>
      <c r="M440" s="727">
        <f>SUMIFS('Schedule 4'!$F$89:$F$649,'Schedule 4'!$I$89:$I$649,'Well Cal.'!M$3,'Schedule 4'!$J$89:$J$649,'Well Cal.'!$E440)</f>
        <v>0</v>
      </c>
      <c r="N440" s="727">
        <f>SUMIFS('Schedule 4'!$F$89:$F$649,'Schedule 4'!$I$89:$I$649,'Well Cal.'!N$3,'Schedule 4'!$J$89:$J$649,'Well Cal.'!$E440)</f>
        <v>0</v>
      </c>
      <c r="O440" s="727">
        <f>SUMIFS('Schedule 4'!$F$89:$F$649,'Schedule 4'!$I$89:$I$649,'Well Cal.'!O$3,'Schedule 4'!$J$89:$J$649,'Well Cal.'!$E440)</f>
        <v>0</v>
      </c>
      <c r="P440" s="727">
        <f>SUMIFS('Schedule 4'!$F$89:$F$649,'Schedule 4'!$I$89:$I$649,'Well Cal.'!P$3,'Schedule 4'!$J$89:$J$649,'Well Cal.'!$E440)</f>
        <v>0</v>
      </c>
      <c r="Q440" s="727">
        <f>SUMIFS('Schedule 4'!$F$89:$F$649,'Schedule 4'!$I$89:$I$649,'Well Cal.'!Q$3,'Schedule 4'!$J$89:$J$649,'Well Cal.'!$E440)</f>
        <v>0</v>
      </c>
      <c r="R440" s="727">
        <f>SUMIFS('Schedule 4'!$F$89:$F$649,'Schedule 4'!$I$89:$I$649,'Well Cal.'!R$3,'Schedule 4'!$J$89:$J$649,'Well Cal.'!$E440)</f>
        <v>0</v>
      </c>
      <c r="S440" s="727">
        <f>SUMIFS('Schedule 4'!$F$89:$F$649,'Schedule 4'!$I$89:$I$649,'Well Cal.'!S$3,'Schedule 4'!$J$89:$J$649,'Well Cal.'!$E440)</f>
        <v>0</v>
      </c>
      <c r="T440" s="727">
        <f>SUMIFS('Schedule 4'!$F$89:$F$649,'Schedule 4'!$I$89:$I$649,'Well Cal.'!T$3,'Schedule 4'!$J$89:$J$649,'Well Cal.'!$E440)</f>
        <v>0</v>
      </c>
      <c r="U440" s="727">
        <f>SUMIFS('Schedule 4'!$F$89:$F$649,'Schedule 4'!$I$89:$I$649,'Well Cal.'!U$3,'Schedule 4'!$J$89:$J$649,'Well Cal.'!$E440)</f>
        <v>0</v>
      </c>
      <c r="V440" s="727">
        <f>SUMIFS('Schedule 4'!$F$89:$F$649,'Schedule 4'!$I$89:$I$649,'Well Cal.'!V$3,'Schedule 4'!$J$89:$J$649,'Well Cal.'!$E440)</f>
        <v>0</v>
      </c>
      <c r="W440" s="727">
        <f>SUMIFS('Schedule 4'!$F$89:$F$649,'Schedule 4'!$I$89:$I$649,'Well Cal.'!W$3,'Schedule 4'!$J$89:$J$649,'Well Cal.'!$E440)</f>
        <v>0</v>
      </c>
      <c r="X440" s="727">
        <f>SUMIFS('Schedule 4'!$F$89:$F$649,'Schedule 4'!$I$89:$I$649,'Well Cal.'!X$3,'Schedule 4'!$J$89:$J$649,'Well Cal.'!$E440)</f>
        <v>0</v>
      </c>
      <c r="Y440" s="727">
        <f>SUMIFS('Schedule 4'!$F$89:$F$649,'Schedule 4'!$I$89:$I$649,'Well Cal.'!Y$3,'Schedule 4'!$J$89:$J$649,'Well Cal.'!$E440)</f>
        <v>0</v>
      </c>
      <c r="Z440" s="727">
        <f>SUMIFS('Schedule 4'!$F$89:$F$649,'Schedule 4'!$I$89:$I$649,'Well Cal.'!Z$3,'Schedule 4'!$J$89:$J$649,'Well Cal.'!$E440)</f>
        <v>0</v>
      </c>
      <c r="AA440" s="727"/>
      <c r="AB440" s="1731"/>
      <c r="AC440" s="1731"/>
    </row>
    <row r="441" spans="2:29" x14ac:dyDescent="0.3">
      <c r="B441" s="1724"/>
      <c r="C441" s="1727"/>
      <c r="D441" s="1721"/>
      <c r="E441" s="775" t="s">
        <v>3991</v>
      </c>
      <c r="F441" s="727">
        <f>SUMIFS('Schedule 4'!$F$89:$F$649,'Schedule 4'!$I$89:$I$649,'Well Cal.'!F$3,'Schedule 4'!$J$89:$J$649,'Well Cal.'!$E441)</f>
        <v>0</v>
      </c>
      <c r="G441" s="727">
        <f>SUMIFS('Schedule 4'!$F$89:$F$649,'Schedule 4'!$I$89:$I$649,'Well Cal.'!G$3,'Schedule 4'!$J$89:$J$649,'Well Cal.'!$E441)</f>
        <v>0</v>
      </c>
      <c r="H441" s="727">
        <f>SUMIFS('Schedule 4'!$F$89:$F$649,'Schedule 4'!$I$89:$I$649,'Well Cal.'!H$3,'Schedule 4'!$J$89:$J$649,'Well Cal.'!$E441)</f>
        <v>0</v>
      </c>
      <c r="I441" s="727">
        <f>SUMIFS('Schedule 4'!$F$89:$F$649,'Schedule 4'!$I$89:$I$649,'Well Cal.'!I$3,'Schedule 4'!$J$89:$J$649,'Well Cal.'!$E441)</f>
        <v>0</v>
      </c>
      <c r="J441" s="727">
        <f>SUMIFS('Schedule 4'!$F$89:$F$649,'Schedule 4'!$I$89:$I$649,'Well Cal.'!J$3,'Schedule 4'!$J$89:$J$649,'Well Cal.'!$E441)</f>
        <v>0</v>
      </c>
      <c r="K441" s="727">
        <f>SUMIFS('Schedule 4'!$F$89:$F$649,'Schedule 4'!$I$89:$I$649,'Well Cal.'!K$3,'Schedule 4'!$J$89:$J$649,'Well Cal.'!$E441)</f>
        <v>0</v>
      </c>
      <c r="L441" s="727">
        <f>SUMIFS('Schedule 4'!$F$89:$F$649,'Schedule 4'!$I$89:$I$649,'Well Cal.'!L$3,'Schedule 4'!$J$89:$J$649,'Well Cal.'!$E441)</f>
        <v>0</v>
      </c>
      <c r="M441" s="727">
        <f>SUMIFS('Schedule 4'!$F$89:$F$649,'Schedule 4'!$I$89:$I$649,'Well Cal.'!M$3,'Schedule 4'!$J$89:$J$649,'Well Cal.'!$E441)</f>
        <v>0</v>
      </c>
      <c r="N441" s="727">
        <f>SUMIFS('Schedule 4'!$F$89:$F$649,'Schedule 4'!$I$89:$I$649,'Well Cal.'!N$3,'Schedule 4'!$J$89:$J$649,'Well Cal.'!$E441)</f>
        <v>0</v>
      </c>
      <c r="O441" s="727">
        <f>SUMIFS('Schedule 4'!$F$89:$F$649,'Schedule 4'!$I$89:$I$649,'Well Cal.'!O$3,'Schedule 4'!$J$89:$J$649,'Well Cal.'!$E441)</f>
        <v>0</v>
      </c>
      <c r="P441" s="727">
        <f>SUMIFS('Schedule 4'!$F$89:$F$649,'Schedule 4'!$I$89:$I$649,'Well Cal.'!P$3,'Schedule 4'!$J$89:$J$649,'Well Cal.'!$E441)</f>
        <v>0</v>
      </c>
      <c r="Q441" s="727">
        <f>SUMIFS('Schedule 4'!$F$89:$F$649,'Schedule 4'!$I$89:$I$649,'Well Cal.'!Q$3,'Schedule 4'!$J$89:$J$649,'Well Cal.'!$E441)</f>
        <v>0</v>
      </c>
      <c r="R441" s="727">
        <f>SUMIFS('Schedule 4'!$F$89:$F$649,'Schedule 4'!$I$89:$I$649,'Well Cal.'!R$3,'Schedule 4'!$J$89:$J$649,'Well Cal.'!$E441)</f>
        <v>0</v>
      </c>
      <c r="S441" s="727">
        <f>SUMIFS('Schedule 4'!$F$89:$F$649,'Schedule 4'!$I$89:$I$649,'Well Cal.'!S$3,'Schedule 4'!$J$89:$J$649,'Well Cal.'!$E441)</f>
        <v>0</v>
      </c>
      <c r="T441" s="727">
        <f>SUMIFS('Schedule 4'!$F$89:$F$649,'Schedule 4'!$I$89:$I$649,'Well Cal.'!T$3,'Schedule 4'!$J$89:$J$649,'Well Cal.'!$E441)</f>
        <v>0</v>
      </c>
      <c r="U441" s="727">
        <f>SUMIFS('Schedule 4'!$F$89:$F$649,'Schedule 4'!$I$89:$I$649,'Well Cal.'!U$3,'Schedule 4'!$J$89:$J$649,'Well Cal.'!$E441)</f>
        <v>0</v>
      </c>
      <c r="V441" s="727">
        <f>SUMIFS('Schedule 4'!$F$89:$F$649,'Schedule 4'!$I$89:$I$649,'Well Cal.'!V$3,'Schedule 4'!$J$89:$J$649,'Well Cal.'!$E441)</f>
        <v>0</v>
      </c>
      <c r="W441" s="727">
        <f>SUMIFS('Schedule 4'!$F$89:$F$649,'Schedule 4'!$I$89:$I$649,'Well Cal.'!W$3,'Schedule 4'!$J$89:$J$649,'Well Cal.'!$E441)</f>
        <v>0</v>
      </c>
      <c r="X441" s="727">
        <f>SUMIFS('Schedule 4'!$F$89:$F$649,'Schedule 4'!$I$89:$I$649,'Well Cal.'!X$3,'Schedule 4'!$J$89:$J$649,'Well Cal.'!$E441)</f>
        <v>0</v>
      </c>
      <c r="Y441" s="727">
        <f>SUMIFS('Schedule 4'!$F$89:$F$649,'Schedule 4'!$I$89:$I$649,'Well Cal.'!Y$3,'Schedule 4'!$J$89:$J$649,'Well Cal.'!$E441)</f>
        <v>0</v>
      </c>
      <c r="Z441" s="727">
        <f>SUMIFS('Schedule 4'!$F$89:$F$649,'Schedule 4'!$I$89:$I$649,'Well Cal.'!Z$3,'Schedule 4'!$J$89:$J$649,'Well Cal.'!$E441)</f>
        <v>0</v>
      </c>
      <c r="AA441" s="727"/>
      <c r="AB441" s="1731"/>
      <c r="AC441" s="1731"/>
    </row>
    <row r="442" spans="2:29" x14ac:dyDescent="0.3">
      <c r="B442" s="1724"/>
      <c r="C442" s="1727"/>
      <c r="D442" s="1721"/>
      <c r="E442" s="775" t="s">
        <v>4066</v>
      </c>
      <c r="F442" s="727">
        <f>SUMIFS('Schedule 4'!$F$89:$F$649,'Schedule 4'!$I$89:$I$649,'Well Cal.'!F$3,'Schedule 4'!$J$89:$J$649,'Well Cal.'!$E442)</f>
        <v>0</v>
      </c>
      <c r="G442" s="727">
        <f>SUMIFS('Schedule 4'!$F$89:$F$649,'Schedule 4'!$I$89:$I$649,'Well Cal.'!G$3,'Schedule 4'!$J$89:$J$649,'Well Cal.'!$E442)</f>
        <v>0</v>
      </c>
      <c r="H442" s="727">
        <f>SUMIFS('Schedule 4'!$F$89:$F$649,'Schedule 4'!$I$89:$I$649,'Well Cal.'!H$3,'Schedule 4'!$J$89:$J$649,'Well Cal.'!$E442)</f>
        <v>0</v>
      </c>
      <c r="I442" s="727">
        <f>SUMIFS('Schedule 4'!$F$89:$F$649,'Schedule 4'!$I$89:$I$649,'Well Cal.'!I$3,'Schedule 4'!$J$89:$J$649,'Well Cal.'!$E442)</f>
        <v>0</v>
      </c>
      <c r="J442" s="727">
        <f>SUMIFS('Schedule 4'!$F$89:$F$649,'Schedule 4'!$I$89:$I$649,'Well Cal.'!J$3,'Schedule 4'!$J$89:$J$649,'Well Cal.'!$E442)</f>
        <v>0</v>
      </c>
      <c r="K442" s="727">
        <f>SUMIFS('Schedule 4'!$F$89:$F$649,'Schedule 4'!$I$89:$I$649,'Well Cal.'!K$3,'Schedule 4'!$J$89:$J$649,'Well Cal.'!$E442)</f>
        <v>0</v>
      </c>
      <c r="L442" s="727">
        <f>SUMIFS('Schedule 4'!$F$89:$F$649,'Schedule 4'!$I$89:$I$649,'Well Cal.'!L$3,'Schedule 4'!$J$89:$J$649,'Well Cal.'!$E442)</f>
        <v>0</v>
      </c>
      <c r="M442" s="727">
        <f>SUMIFS('Schedule 4'!$F$89:$F$649,'Schedule 4'!$I$89:$I$649,'Well Cal.'!M$3,'Schedule 4'!$J$89:$J$649,'Well Cal.'!$E442)</f>
        <v>0</v>
      </c>
      <c r="N442" s="727">
        <f>SUMIFS('Schedule 4'!$F$89:$F$649,'Schedule 4'!$I$89:$I$649,'Well Cal.'!N$3,'Schedule 4'!$J$89:$J$649,'Well Cal.'!$E442)</f>
        <v>0</v>
      </c>
      <c r="O442" s="727">
        <f>SUMIFS('Schedule 4'!$F$89:$F$649,'Schedule 4'!$I$89:$I$649,'Well Cal.'!O$3,'Schedule 4'!$J$89:$J$649,'Well Cal.'!$E442)</f>
        <v>0</v>
      </c>
      <c r="P442" s="727">
        <f>SUMIFS('Schedule 4'!$F$89:$F$649,'Schedule 4'!$I$89:$I$649,'Well Cal.'!P$3,'Schedule 4'!$J$89:$J$649,'Well Cal.'!$E442)</f>
        <v>0</v>
      </c>
      <c r="Q442" s="727">
        <f>SUMIFS('Schedule 4'!$F$89:$F$649,'Schedule 4'!$I$89:$I$649,'Well Cal.'!Q$3,'Schedule 4'!$J$89:$J$649,'Well Cal.'!$E442)</f>
        <v>0</v>
      </c>
      <c r="R442" s="727">
        <f>SUMIFS('Schedule 4'!$F$89:$F$649,'Schedule 4'!$I$89:$I$649,'Well Cal.'!R$3,'Schedule 4'!$J$89:$J$649,'Well Cal.'!$E442)</f>
        <v>0</v>
      </c>
      <c r="S442" s="727">
        <f>SUMIFS('Schedule 4'!$F$89:$F$649,'Schedule 4'!$I$89:$I$649,'Well Cal.'!S$3,'Schedule 4'!$J$89:$J$649,'Well Cal.'!$E442)</f>
        <v>0</v>
      </c>
      <c r="T442" s="727">
        <f>SUMIFS('Schedule 4'!$F$89:$F$649,'Schedule 4'!$I$89:$I$649,'Well Cal.'!T$3,'Schedule 4'!$J$89:$J$649,'Well Cal.'!$E442)</f>
        <v>0</v>
      </c>
      <c r="U442" s="727">
        <f>SUMIFS('Schedule 4'!$F$89:$F$649,'Schedule 4'!$I$89:$I$649,'Well Cal.'!U$3,'Schedule 4'!$J$89:$J$649,'Well Cal.'!$E442)</f>
        <v>0</v>
      </c>
      <c r="V442" s="727">
        <f>SUMIFS('Schedule 4'!$F$89:$F$649,'Schedule 4'!$I$89:$I$649,'Well Cal.'!V$3,'Schedule 4'!$J$89:$J$649,'Well Cal.'!$E442)</f>
        <v>0</v>
      </c>
      <c r="W442" s="727">
        <f>SUMIFS('Schedule 4'!$F$89:$F$649,'Schedule 4'!$I$89:$I$649,'Well Cal.'!W$3,'Schedule 4'!$J$89:$J$649,'Well Cal.'!$E442)</f>
        <v>0</v>
      </c>
      <c r="X442" s="727">
        <f>SUMIFS('Schedule 4'!$F$89:$F$649,'Schedule 4'!$I$89:$I$649,'Well Cal.'!X$3,'Schedule 4'!$J$89:$J$649,'Well Cal.'!$E442)</f>
        <v>0</v>
      </c>
      <c r="Y442" s="727">
        <f>SUMIFS('Schedule 4'!$F$89:$F$649,'Schedule 4'!$I$89:$I$649,'Well Cal.'!Y$3,'Schedule 4'!$J$89:$J$649,'Well Cal.'!$E442)</f>
        <v>0</v>
      </c>
      <c r="Z442" s="727">
        <f>SUMIFS('Schedule 4'!$F$89:$F$649,'Schedule 4'!$I$89:$I$649,'Well Cal.'!Z$3,'Schedule 4'!$J$89:$J$649,'Well Cal.'!$E442)</f>
        <v>0</v>
      </c>
      <c r="AA442" s="727"/>
      <c r="AB442" s="1731"/>
      <c r="AC442" s="1731"/>
    </row>
    <row r="443" spans="2:29" x14ac:dyDescent="0.3">
      <c r="B443" s="1724"/>
      <c r="C443" s="1727"/>
      <c r="D443" s="1721"/>
      <c r="E443" s="775" t="s">
        <v>4134</v>
      </c>
      <c r="F443" s="727">
        <f>SUMIFS('Schedule 4'!$F$89:$F$649,'Schedule 4'!$I$89:$I$649,'Well Cal.'!F$3,'Schedule 4'!$J$89:$J$649,'Well Cal.'!$E443)</f>
        <v>0</v>
      </c>
      <c r="G443" s="727">
        <f>SUMIFS('Schedule 4'!$F$89:$F$649,'Schedule 4'!$I$89:$I$649,'Well Cal.'!G$3,'Schedule 4'!$J$89:$J$649,'Well Cal.'!$E443)</f>
        <v>0</v>
      </c>
      <c r="H443" s="727">
        <f>SUMIFS('Schedule 4'!$F$89:$F$649,'Schedule 4'!$I$89:$I$649,'Well Cal.'!H$3,'Schedule 4'!$J$89:$J$649,'Well Cal.'!$E443)</f>
        <v>0</v>
      </c>
      <c r="I443" s="727">
        <f>SUMIFS('Schedule 4'!$F$89:$F$649,'Schedule 4'!$I$89:$I$649,'Well Cal.'!I$3,'Schedule 4'!$J$89:$J$649,'Well Cal.'!$E443)</f>
        <v>0</v>
      </c>
      <c r="J443" s="727">
        <f>SUMIFS('Schedule 4'!$F$89:$F$649,'Schedule 4'!$I$89:$I$649,'Well Cal.'!J$3,'Schedule 4'!$J$89:$J$649,'Well Cal.'!$E443)</f>
        <v>0</v>
      </c>
      <c r="K443" s="727">
        <f>SUMIFS('Schedule 4'!$F$89:$F$649,'Schedule 4'!$I$89:$I$649,'Well Cal.'!K$3,'Schedule 4'!$J$89:$J$649,'Well Cal.'!$E443)</f>
        <v>0</v>
      </c>
      <c r="L443" s="727">
        <f>SUMIFS('Schedule 4'!$F$89:$F$649,'Schedule 4'!$I$89:$I$649,'Well Cal.'!L$3,'Schedule 4'!$J$89:$J$649,'Well Cal.'!$E443)</f>
        <v>0</v>
      </c>
      <c r="M443" s="727">
        <f>SUMIFS('Schedule 4'!$F$89:$F$649,'Schedule 4'!$I$89:$I$649,'Well Cal.'!M$3,'Schedule 4'!$J$89:$J$649,'Well Cal.'!$E443)</f>
        <v>0</v>
      </c>
      <c r="N443" s="727">
        <f>SUMIFS('Schedule 4'!$F$89:$F$649,'Schedule 4'!$I$89:$I$649,'Well Cal.'!N$3,'Schedule 4'!$J$89:$J$649,'Well Cal.'!$E443)</f>
        <v>0</v>
      </c>
      <c r="O443" s="727">
        <f>SUMIFS('Schedule 4'!$F$89:$F$649,'Schedule 4'!$I$89:$I$649,'Well Cal.'!O$3,'Schedule 4'!$J$89:$J$649,'Well Cal.'!$E443)</f>
        <v>0</v>
      </c>
      <c r="P443" s="727">
        <f>SUMIFS('Schedule 4'!$F$89:$F$649,'Schedule 4'!$I$89:$I$649,'Well Cal.'!P$3,'Schedule 4'!$J$89:$J$649,'Well Cal.'!$E443)</f>
        <v>0</v>
      </c>
      <c r="Q443" s="727">
        <f>SUMIFS('Schedule 4'!$F$89:$F$649,'Schedule 4'!$I$89:$I$649,'Well Cal.'!Q$3,'Schedule 4'!$J$89:$J$649,'Well Cal.'!$E443)</f>
        <v>0</v>
      </c>
      <c r="R443" s="727">
        <f>SUMIFS('Schedule 4'!$F$89:$F$649,'Schedule 4'!$I$89:$I$649,'Well Cal.'!R$3,'Schedule 4'!$J$89:$J$649,'Well Cal.'!$E443)</f>
        <v>0</v>
      </c>
      <c r="S443" s="727">
        <f>SUMIFS('Schedule 4'!$F$89:$F$649,'Schedule 4'!$I$89:$I$649,'Well Cal.'!S$3,'Schedule 4'!$J$89:$J$649,'Well Cal.'!$E443)</f>
        <v>0</v>
      </c>
      <c r="T443" s="727">
        <f>SUMIFS('Schedule 4'!$F$89:$F$649,'Schedule 4'!$I$89:$I$649,'Well Cal.'!T$3,'Schedule 4'!$J$89:$J$649,'Well Cal.'!$E443)</f>
        <v>0</v>
      </c>
      <c r="U443" s="727">
        <f>SUMIFS('Schedule 4'!$F$89:$F$649,'Schedule 4'!$I$89:$I$649,'Well Cal.'!U$3,'Schedule 4'!$J$89:$J$649,'Well Cal.'!$E443)</f>
        <v>0</v>
      </c>
      <c r="V443" s="727">
        <f>SUMIFS('Schedule 4'!$F$89:$F$649,'Schedule 4'!$I$89:$I$649,'Well Cal.'!V$3,'Schedule 4'!$J$89:$J$649,'Well Cal.'!$E443)</f>
        <v>0</v>
      </c>
      <c r="W443" s="727">
        <f>SUMIFS('Schedule 4'!$F$89:$F$649,'Schedule 4'!$I$89:$I$649,'Well Cal.'!W$3,'Schedule 4'!$J$89:$J$649,'Well Cal.'!$E443)</f>
        <v>0</v>
      </c>
      <c r="X443" s="727">
        <f>SUMIFS('Schedule 4'!$F$89:$F$649,'Schedule 4'!$I$89:$I$649,'Well Cal.'!X$3,'Schedule 4'!$J$89:$J$649,'Well Cal.'!$E443)</f>
        <v>0</v>
      </c>
      <c r="Y443" s="727">
        <f>SUMIFS('Schedule 4'!$F$89:$F$649,'Schedule 4'!$I$89:$I$649,'Well Cal.'!Y$3,'Schedule 4'!$J$89:$J$649,'Well Cal.'!$E443)</f>
        <v>0</v>
      </c>
      <c r="Z443" s="727">
        <f>SUMIFS('Schedule 4'!$F$89:$F$649,'Schedule 4'!$I$89:$I$649,'Well Cal.'!Z$3,'Schedule 4'!$J$89:$J$649,'Well Cal.'!$E443)</f>
        <v>0</v>
      </c>
      <c r="AA443" s="727"/>
      <c r="AB443" s="1731"/>
      <c r="AC443" s="1731"/>
    </row>
    <row r="444" spans="2:29" x14ac:dyDescent="0.3">
      <c r="B444" s="1724"/>
      <c r="C444" s="1727"/>
      <c r="D444" s="1721"/>
      <c r="E444" s="775" t="s">
        <v>4212</v>
      </c>
      <c r="F444" s="727">
        <f>SUMIFS('Schedule 4'!$F$89:$F$649,'Schedule 4'!$I$89:$I$649,'Well Cal.'!F$3,'Schedule 4'!$J$89:$J$649,'Well Cal.'!$E444)</f>
        <v>0</v>
      </c>
      <c r="G444" s="727">
        <f>SUMIFS('Schedule 4'!$F$89:$F$649,'Schedule 4'!$I$89:$I$649,'Well Cal.'!G$3,'Schedule 4'!$J$89:$J$649,'Well Cal.'!$E444)</f>
        <v>0</v>
      </c>
      <c r="H444" s="727">
        <f>SUMIFS('Schedule 4'!$F$89:$F$649,'Schedule 4'!$I$89:$I$649,'Well Cal.'!H$3,'Schedule 4'!$J$89:$J$649,'Well Cal.'!$E444)</f>
        <v>0</v>
      </c>
      <c r="I444" s="727">
        <f>SUMIFS('Schedule 4'!$F$89:$F$649,'Schedule 4'!$I$89:$I$649,'Well Cal.'!I$3,'Schedule 4'!$J$89:$J$649,'Well Cal.'!$E444)</f>
        <v>0</v>
      </c>
      <c r="J444" s="727">
        <f>SUMIFS('Schedule 4'!$F$89:$F$649,'Schedule 4'!$I$89:$I$649,'Well Cal.'!J$3,'Schedule 4'!$J$89:$J$649,'Well Cal.'!$E444)</f>
        <v>0</v>
      </c>
      <c r="K444" s="727">
        <f>SUMIFS('Schedule 4'!$F$89:$F$649,'Schedule 4'!$I$89:$I$649,'Well Cal.'!K$3,'Schedule 4'!$J$89:$J$649,'Well Cal.'!$E444)</f>
        <v>0</v>
      </c>
      <c r="L444" s="727">
        <f>SUMIFS('Schedule 4'!$F$89:$F$649,'Schedule 4'!$I$89:$I$649,'Well Cal.'!L$3,'Schedule 4'!$J$89:$J$649,'Well Cal.'!$E444)</f>
        <v>0</v>
      </c>
      <c r="M444" s="727">
        <f>SUMIFS('Schedule 4'!$F$89:$F$649,'Schedule 4'!$I$89:$I$649,'Well Cal.'!M$3,'Schedule 4'!$J$89:$J$649,'Well Cal.'!$E444)</f>
        <v>0</v>
      </c>
      <c r="N444" s="727">
        <f>SUMIFS('Schedule 4'!$F$89:$F$649,'Schedule 4'!$I$89:$I$649,'Well Cal.'!N$3,'Schedule 4'!$J$89:$J$649,'Well Cal.'!$E444)</f>
        <v>0</v>
      </c>
      <c r="O444" s="727">
        <f>SUMIFS('Schedule 4'!$F$89:$F$649,'Schedule 4'!$I$89:$I$649,'Well Cal.'!O$3,'Schedule 4'!$J$89:$J$649,'Well Cal.'!$E444)</f>
        <v>0</v>
      </c>
      <c r="P444" s="727">
        <f>SUMIFS('Schedule 4'!$F$89:$F$649,'Schedule 4'!$I$89:$I$649,'Well Cal.'!P$3,'Schedule 4'!$J$89:$J$649,'Well Cal.'!$E444)</f>
        <v>0</v>
      </c>
      <c r="Q444" s="727">
        <f>SUMIFS('Schedule 4'!$F$89:$F$649,'Schedule 4'!$I$89:$I$649,'Well Cal.'!Q$3,'Schedule 4'!$J$89:$J$649,'Well Cal.'!$E444)</f>
        <v>0</v>
      </c>
      <c r="R444" s="727">
        <f>SUMIFS('Schedule 4'!$F$89:$F$649,'Schedule 4'!$I$89:$I$649,'Well Cal.'!R$3,'Schedule 4'!$J$89:$J$649,'Well Cal.'!$E444)</f>
        <v>0</v>
      </c>
      <c r="S444" s="727">
        <f>SUMIFS('Schedule 4'!$F$89:$F$649,'Schedule 4'!$I$89:$I$649,'Well Cal.'!S$3,'Schedule 4'!$J$89:$J$649,'Well Cal.'!$E444)</f>
        <v>0</v>
      </c>
      <c r="T444" s="727">
        <f>SUMIFS('Schedule 4'!$F$89:$F$649,'Schedule 4'!$I$89:$I$649,'Well Cal.'!T$3,'Schedule 4'!$J$89:$J$649,'Well Cal.'!$E444)</f>
        <v>0</v>
      </c>
      <c r="U444" s="727">
        <f>SUMIFS('Schedule 4'!$F$89:$F$649,'Schedule 4'!$I$89:$I$649,'Well Cal.'!U$3,'Schedule 4'!$J$89:$J$649,'Well Cal.'!$E444)</f>
        <v>0</v>
      </c>
      <c r="V444" s="727">
        <f>SUMIFS('Schedule 4'!$F$89:$F$649,'Schedule 4'!$I$89:$I$649,'Well Cal.'!V$3,'Schedule 4'!$J$89:$J$649,'Well Cal.'!$E444)</f>
        <v>0</v>
      </c>
      <c r="W444" s="727">
        <f>SUMIFS('Schedule 4'!$F$89:$F$649,'Schedule 4'!$I$89:$I$649,'Well Cal.'!W$3,'Schedule 4'!$J$89:$J$649,'Well Cal.'!$E444)</f>
        <v>0</v>
      </c>
      <c r="X444" s="727">
        <f>SUMIFS('Schedule 4'!$F$89:$F$649,'Schedule 4'!$I$89:$I$649,'Well Cal.'!X$3,'Schedule 4'!$J$89:$J$649,'Well Cal.'!$E444)</f>
        <v>0</v>
      </c>
      <c r="Y444" s="727">
        <f>SUMIFS('Schedule 4'!$F$89:$F$649,'Schedule 4'!$I$89:$I$649,'Well Cal.'!Y$3,'Schedule 4'!$J$89:$J$649,'Well Cal.'!$E444)</f>
        <v>0</v>
      </c>
      <c r="Z444" s="727">
        <f>SUMIFS('Schedule 4'!$F$89:$F$649,'Schedule 4'!$I$89:$I$649,'Well Cal.'!Z$3,'Schedule 4'!$J$89:$J$649,'Well Cal.'!$E444)</f>
        <v>0</v>
      </c>
      <c r="AA444" s="727"/>
      <c r="AB444" s="1731"/>
      <c r="AC444" s="1731"/>
    </row>
    <row r="445" spans="2:29" x14ac:dyDescent="0.3">
      <c r="B445" s="1724"/>
      <c r="C445" s="1727"/>
      <c r="D445" s="1721"/>
      <c r="E445" s="775" t="s">
        <v>4281</v>
      </c>
      <c r="F445" s="727">
        <f>SUMIFS('Schedule 4'!$F$89:$F$649,'Schedule 4'!$I$89:$I$649,'Well Cal.'!F$3,'Schedule 4'!$J$89:$J$649,'Well Cal.'!$E445)</f>
        <v>0</v>
      </c>
      <c r="G445" s="727">
        <f>SUMIFS('Schedule 4'!$F$89:$F$649,'Schedule 4'!$I$89:$I$649,'Well Cal.'!G$3,'Schedule 4'!$J$89:$J$649,'Well Cal.'!$E445)</f>
        <v>0</v>
      </c>
      <c r="H445" s="727">
        <f>SUMIFS('Schedule 4'!$F$89:$F$649,'Schedule 4'!$I$89:$I$649,'Well Cal.'!H$3,'Schedule 4'!$J$89:$J$649,'Well Cal.'!$E445)</f>
        <v>0</v>
      </c>
      <c r="I445" s="727">
        <f>SUMIFS('Schedule 4'!$F$89:$F$649,'Schedule 4'!$I$89:$I$649,'Well Cal.'!I$3,'Schedule 4'!$J$89:$J$649,'Well Cal.'!$E445)</f>
        <v>0</v>
      </c>
      <c r="J445" s="727">
        <f>SUMIFS('Schedule 4'!$F$89:$F$649,'Schedule 4'!$I$89:$I$649,'Well Cal.'!J$3,'Schedule 4'!$J$89:$J$649,'Well Cal.'!$E445)</f>
        <v>0</v>
      </c>
      <c r="K445" s="727">
        <f>SUMIFS('Schedule 4'!$F$89:$F$649,'Schedule 4'!$I$89:$I$649,'Well Cal.'!K$3,'Schedule 4'!$J$89:$J$649,'Well Cal.'!$E445)</f>
        <v>0</v>
      </c>
      <c r="L445" s="727">
        <f>SUMIFS('Schedule 4'!$F$89:$F$649,'Schedule 4'!$I$89:$I$649,'Well Cal.'!L$3,'Schedule 4'!$J$89:$J$649,'Well Cal.'!$E445)</f>
        <v>0</v>
      </c>
      <c r="M445" s="727">
        <f>SUMIFS('Schedule 4'!$F$89:$F$649,'Schedule 4'!$I$89:$I$649,'Well Cal.'!M$3,'Schedule 4'!$J$89:$J$649,'Well Cal.'!$E445)</f>
        <v>0</v>
      </c>
      <c r="N445" s="727">
        <f>SUMIFS('Schedule 4'!$F$89:$F$649,'Schedule 4'!$I$89:$I$649,'Well Cal.'!N$3,'Schedule 4'!$J$89:$J$649,'Well Cal.'!$E445)</f>
        <v>0</v>
      </c>
      <c r="O445" s="727">
        <f>SUMIFS('Schedule 4'!$F$89:$F$649,'Schedule 4'!$I$89:$I$649,'Well Cal.'!O$3,'Schedule 4'!$J$89:$J$649,'Well Cal.'!$E445)</f>
        <v>0</v>
      </c>
      <c r="P445" s="727">
        <f>SUMIFS('Schedule 4'!$F$89:$F$649,'Schedule 4'!$I$89:$I$649,'Well Cal.'!P$3,'Schedule 4'!$J$89:$J$649,'Well Cal.'!$E445)</f>
        <v>0</v>
      </c>
      <c r="Q445" s="727">
        <f>SUMIFS('Schedule 4'!$F$89:$F$649,'Schedule 4'!$I$89:$I$649,'Well Cal.'!Q$3,'Schedule 4'!$J$89:$J$649,'Well Cal.'!$E445)</f>
        <v>0</v>
      </c>
      <c r="R445" s="727">
        <f>SUMIFS('Schedule 4'!$F$89:$F$649,'Schedule 4'!$I$89:$I$649,'Well Cal.'!R$3,'Schedule 4'!$J$89:$J$649,'Well Cal.'!$E445)</f>
        <v>0</v>
      </c>
      <c r="S445" s="727">
        <f>SUMIFS('Schedule 4'!$F$89:$F$649,'Schedule 4'!$I$89:$I$649,'Well Cal.'!S$3,'Schedule 4'!$J$89:$J$649,'Well Cal.'!$E445)</f>
        <v>0</v>
      </c>
      <c r="T445" s="727">
        <f>SUMIFS('Schedule 4'!$F$89:$F$649,'Schedule 4'!$I$89:$I$649,'Well Cal.'!T$3,'Schedule 4'!$J$89:$J$649,'Well Cal.'!$E445)</f>
        <v>0</v>
      </c>
      <c r="U445" s="727">
        <f>SUMIFS('Schedule 4'!$F$89:$F$649,'Schedule 4'!$I$89:$I$649,'Well Cal.'!U$3,'Schedule 4'!$J$89:$J$649,'Well Cal.'!$E445)</f>
        <v>0</v>
      </c>
      <c r="V445" s="727">
        <f>SUMIFS('Schedule 4'!$F$89:$F$649,'Schedule 4'!$I$89:$I$649,'Well Cal.'!V$3,'Schedule 4'!$J$89:$J$649,'Well Cal.'!$E445)</f>
        <v>0</v>
      </c>
      <c r="W445" s="727">
        <f>SUMIFS('Schedule 4'!$F$89:$F$649,'Schedule 4'!$I$89:$I$649,'Well Cal.'!W$3,'Schedule 4'!$J$89:$J$649,'Well Cal.'!$E445)</f>
        <v>0</v>
      </c>
      <c r="X445" s="727">
        <f>SUMIFS('Schedule 4'!$F$89:$F$649,'Schedule 4'!$I$89:$I$649,'Well Cal.'!X$3,'Schedule 4'!$J$89:$J$649,'Well Cal.'!$E445)</f>
        <v>0</v>
      </c>
      <c r="Y445" s="727">
        <f>SUMIFS('Schedule 4'!$F$89:$F$649,'Schedule 4'!$I$89:$I$649,'Well Cal.'!Y$3,'Schedule 4'!$J$89:$J$649,'Well Cal.'!$E445)</f>
        <v>0</v>
      </c>
      <c r="Z445" s="727">
        <f>SUMIFS('Schedule 4'!$F$89:$F$649,'Schedule 4'!$I$89:$I$649,'Well Cal.'!Z$3,'Schedule 4'!$J$89:$J$649,'Well Cal.'!$E445)</f>
        <v>0</v>
      </c>
      <c r="AA445" s="727"/>
      <c r="AB445" s="1731"/>
      <c r="AC445" s="1731"/>
    </row>
    <row r="446" spans="2:29" x14ac:dyDescent="0.3">
      <c r="B446" s="1724"/>
      <c r="C446" s="1727"/>
      <c r="D446" s="1721"/>
      <c r="E446" s="775" t="s">
        <v>4343</v>
      </c>
      <c r="F446" s="727">
        <f>SUMIFS('Schedule 4'!$F$89:$F$649,'Schedule 4'!$I$89:$I$649,'Well Cal.'!F$3,'Schedule 4'!$J$89:$J$649,'Well Cal.'!$E446)</f>
        <v>0</v>
      </c>
      <c r="G446" s="727">
        <f>SUMIFS('Schedule 4'!$F$89:$F$649,'Schedule 4'!$I$89:$I$649,'Well Cal.'!G$3,'Schedule 4'!$J$89:$J$649,'Well Cal.'!$E446)</f>
        <v>0</v>
      </c>
      <c r="H446" s="727">
        <f>SUMIFS('Schedule 4'!$F$89:$F$649,'Schedule 4'!$I$89:$I$649,'Well Cal.'!H$3,'Schedule 4'!$J$89:$J$649,'Well Cal.'!$E446)</f>
        <v>0</v>
      </c>
      <c r="I446" s="727">
        <f>SUMIFS('Schedule 4'!$F$89:$F$649,'Schedule 4'!$I$89:$I$649,'Well Cal.'!I$3,'Schedule 4'!$J$89:$J$649,'Well Cal.'!$E446)</f>
        <v>0</v>
      </c>
      <c r="J446" s="727">
        <f>SUMIFS('Schedule 4'!$F$89:$F$649,'Schedule 4'!$I$89:$I$649,'Well Cal.'!J$3,'Schedule 4'!$J$89:$J$649,'Well Cal.'!$E446)</f>
        <v>0</v>
      </c>
      <c r="K446" s="727">
        <f>SUMIFS('Schedule 4'!$F$89:$F$649,'Schedule 4'!$I$89:$I$649,'Well Cal.'!K$3,'Schedule 4'!$J$89:$J$649,'Well Cal.'!$E446)</f>
        <v>0</v>
      </c>
      <c r="L446" s="727">
        <f>SUMIFS('Schedule 4'!$F$89:$F$649,'Schedule 4'!$I$89:$I$649,'Well Cal.'!L$3,'Schedule 4'!$J$89:$J$649,'Well Cal.'!$E446)</f>
        <v>0</v>
      </c>
      <c r="M446" s="727">
        <f>SUMIFS('Schedule 4'!$F$89:$F$649,'Schedule 4'!$I$89:$I$649,'Well Cal.'!M$3,'Schedule 4'!$J$89:$J$649,'Well Cal.'!$E446)</f>
        <v>0</v>
      </c>
      <c r="N446" s="727">
        <f>SUMIFS('Schedule 4'!$F$89:$F$649,'Schedule 4'!$I$89:$I$649,'Well Cal.'!N$3,'Schedule 4'!$J$89:$J$649,'Well Cal.'!$E446)</f>
        <v>0</v>
      </c>
      <c r="O446" s="727">
        <f>SUMIFS('Schedule 4'!$F$89:$F$649,'Schedule 4'!$I$89:$I$649,'Well Cal.'!O$3,'Schedule 4'!$J$89:$J$649,'Well Cal.'!$E446)</f>
        <v>0</v>
      </c>
      <c r="P446" s="727">
        <f>SUMIFS('Schedule 4'!$F$89:$F$649,'Schedule 4'!$I$89:$I$649,'Well Cal.'!P$3,'Schedule 4'!$J$89:$J$649,'Well Cal.'!$E446)</f>
        <v>0</v>
      </c>
      <c r="Q446" s="727">
        <f>SUMIFS('Schedule 4'!$F$89:$F$649,'Schedule 4'!$I$89:$I$649,'Well Cal.'!Q$3,'Schedule 4'!$J$89:$J$649,'Well Cal.'!$E446)</f>
        <v>0</v>
      </c>
      <c r="R446" s="727">
        <f>SUMIFS('Schedule 4'!$F$89:$F$649,'Schedule 4'!$I$89:$I$649,'Well Cal.'!R$3,'Schedule 4'!$J$89:$J$649,'Well Cal.'!$E446)</f>
        <v>0</v>
      </c>
      <c r="S446" s="727">
        <f>SUMIFS('Schedule 4'!$F$89:$F$649,'Schedule 4'!$I$89:$I$649,'Well Cal.'!S$3,'Schedule 4'!$J$89:$J$649,'Well Cal.'!$E446)</f>
        <v>0</v>
      </c>
      <c r="T446" s="727">
        <f>SUMIFS('Schedule 4'!$F$89:$F$649,'Schedule 4'!$I$89:$I$649,'Well Cal.'!T$3,'Schedule 4'!$J$89:$J$649,'Well Cal.'!$E446)</f>
        <v>0</v>
      </c>
      <c r="U446" s="727">
        <f>SUMIFS('Schedule 4'!$F$89:$F$649,'Schedule 4'!$I$89:$I$649,'Well Cal.'!U$3,'Schedule 4'!$J$89:$J$649,'Well Cal.'!$E446)</f>
        <v>0</v>
      </c>
      <c r="V446" s="727">
        <f>SUMIFS('Schedule 4'!$F$89:$F$649,'Schedule 4'!$I$89:$I$649,'Well Cal.'!V$3,'Schedule 4'!$J$89:$J$649,'Well Cal.'!$E446)</f>
        <v>0</v>
      </c>
      <c r="W446" s="727">
        <f>SUMIFS('Schedule 4'!$F$89:$F$649,'Schedule 4'!$I$89:$I$649,'Well Cal.'!W$3,'Schedule 4'!$J$89:$J$649,'Well Cal.'!$E446)</f>
        <v>0</v>
      </c>
      <c r="X446" s="727">
        <f>SUMIFS('Schedule 4'!$F$89:$F$649,'Schedule 4'!$I$89:$I$649,'Well Cal.'!X$3,'Schedule 4'!$J$89:$J$649,'Well Cal.'!$E446)</f>
        <v>0</v>
      </c>
      <c r="Y446" s="727">
        <f>SUMIFS('Schedule 4'!$F$89:$F$649,'Schedule 4'!$I$89:$I$649,'Well Cal.'!Y$3,'Schedule 4'!$J$89:$J$649,'Well Cal.'!$E446)</f>
        <v>0</v>
      </c>
      <c r="Z446" s="727">
        <f>SUMIFS('Schedule 4'!$F$89:$F$649,'Schedule 4'!$I$89:$I$649,'Well Cal.'!Z$3,'Schedule 4'!$J$89:$J$649,'Well Cal.'!$E446)</f>
        <v>0</v>
      </c>
      <c r="AA446" s="727"/>
      <c r="AB446" s="1731"/>
      <c r="AC446" s="1731"/>
    </row>
    <row r="447" spans="2:29" x14ac:dyDescent="0.3">
      <c r="B447" s="1724"/>
      <c r="C447" s="1727"/>
      <c r="D447" s="1721"/>
      <c r="E447" s="775" t="s">
        <v>4397</v>
      </c>
      <c r="F447" s="727">
        <f>SUMIFS('Schedule 4'!$F$89:$F$649,'Schedule 4'!$I$89:$I$649,'Well Cal.'!F$3,'Schedule 4'!$J$89:$J$649,'Well Cal.'!$E447)</f>
        <v>0</v>
      </c>
      <c r="G447" s="727">
        <f>SUMIFS('Schedule 4'!$F$89:$F$649,'Schedule 4'!$I$89:$I$649,'Well Cal.'!G$3,'Schedule 4'!$J$89:$J$649,'Well Cal.'!$E447)</f>
        <v>0</v>
      </c>
      <c r="H447" s="727">
        <f>SUMIFS('Schedule 4'!$F$89:$F$649,'Schedule 4'!$I$89:$I$649,'Well Cal.'!H$3,'Schedule 4'!$J$89:$J$649,'Well Cal.'!$E447)</f>
        <v>0</v>
      </c>
      <c r="I447" s="727">
        <f>SUMIFS('Schedule 4'!$F$89:$F$649,'Schedule 4'!$I$89:$I$649,'Well Cal.'!I$3,'Schedule 4'!$J$89:$J$649,'Well Cal.'!$E447)</f>
        <v>0</v>
      </c>
      <c r="J447" s="727">
        <f>SUMIFS('Schedule 4'!$F$89:$F$649,'Schedule 4'!$I$89:$I$649,'Well Cal.'!J$3,'Schedule 4'!$J$89:$J$649,'Well Cal.'!$E447)</f>
        <v>0</v>
      </c>
      <c r="K447" s="727">
        <f>SUMIFS('Schedule 4'!$F$89:$F$649,'Schedule 4'!$I$89:$I$649,'Well Cal.'!K$3,'Schedule 4'!$J$89:$J$649,'Well Cal.'!$E447)</f>
        <v>0</v>
      </c>
      <c r="L447" s="727">
        <f>SUMIFS('Schedule 4'!$F$89:$F$649,'Schedule 4'!$I$89:$I$649,'Well Cal.'!L$3,'Schedule 4'!$J$89:$J$649,'Well Cal.'!$E447)</f>
        <v>0</v>
      </c>
      <c r="M447" s="727">
        <f>SUMIFS('Schedule 4'!$F$89:$F$649,'Schedule 4'!$I$89:$I$649,'Well Cal.'!M$3,'Schedule 4'!$J$89:$J$649,'Well Cal.'!$E447)</f>
        <v>0</v>
      </c>
      <c r="N447" s="727">
        <f>SUMIFS('Schedule 4'!$F$89:$F$649,'Schedule 4'!$I$89:$I$649,'Well Cal.'!N$3,'Schedule 4'!$J$89:$J$649,'Well Cal.'!$E447)</f>
        <v>0</v>
      </c>
      <c r="O447" s="727">
        <f>SUMIFS('Schedule 4'!$F$89:$F$649,'Schedule 4'!$I$89:$I$649,'Well Cal.'!O$3,'Schedule 4'!$J$89:$J$649,'Well Cal.'!$E447)</f>
        <v>0</v>
      </c>
      <c r="P447" s="727">
        <f>SUMIFS('Schedule 4'!$F$89:$F$649,'Schedule 4'!$I$89:$I$649,'Well Cal.'!P$3,'Schedule 4'!$J$89:$J$649,'Well Cal.'!$E447)</f>
        <v>0</v>
      </c>
      <c r="Q447" s="727">
        <f>SUMIFS('Schedule 4'!$F$89:$F$649,'Schedule 4'!$I$89:$I$649,'Well Cal.'!Q$3,'Schedule 4'!$J$89:$J$649,'Well Cal.'!$E447)</f>
        <v>0</v>
      </c>
      <c r="R447" s="727">
        <f>SUMIFS('Schedule 4'!$F$89:$F$649,'Schedule 4'!$I$89:$I$649,'Well Cal.'!R$3,'Schedule 4'!$J$89:$J$649,'Well Cal.'!$E447)</f>
        <v>0</v>
      </c>
      <c r="S447" s="727">
        <f>SUMIFS('Schedule 4'!$F$89:$F$649,'Schedule 4'!$I$89:$I$649,'Well Cal.'!S$3,'Schedule 4'!$J$89:$J$649,'Well Cal.'!$E447)</f>
        <v>0</v>
      </c>
      <c r="T447" s="727">
        <f>SUMIFS('Schedule 4'!$F$89:$F$649,'Schedule 4'!$I$89:$I$649,'Well Cal.'!T$3,'Schedule 4'!$J$89:$J$649,'Well Cal.'!$E447)</f>
        <v>0</v>
      </c>
      <c r="U447" s="727">
        <f>SUMIFS('Schedule 4'!$F$89:$F$649,'Schedule 4'!$I$89:$I$649,'Well Cal.'!U$3,'Schedule 4'!$J$89:$J$649,'Well Cal.'!$E447)</f>
        <v>0</v>
      </c>
      <c r="V447" s="727">
        <f>SUMIFS('Schedule 4'!$F$89:$F$649,'Schedule 4'!$I$89:$I$649,'Well Cal.'!V$3,'Schedule 4'!$J$89:$J$649,'Well Cal.'!$E447)</f>
        <v>0</v>
      </c>
      <c r="W447" s="727">
        <f>SUMIFS('Schedule 4'!$F$89:$F$649,'Schedule 4'!$I$89:$I$649,'Well Cal.'!W$3,'Schedule 4'!$J$89:$J$649,'Well Cal.'!$E447)</f>
        <v>0</v>
      </c>
      <c r="X447" s="727">
        <f>SUMIFS('Schedule 4'!$F$89:$F$649,'Schedule 4'!$I$89:$I$649,'Well Cal.'!X$3,'Schedule 4'!$J$89:$J$649,'Well Cal.'!$E447)</f>
        <v>0</v>
      </c>
      <c r="Y447" s="727">
        <f>SUMIFS('Schedule 4'!$F$89:$F$649,'Schedule 4'!$I$89:$I$649,'Well Cal.'!Y$3,'Schedule 4'!$J$89:$J$649,'Well Cal.'!$E447)</f>
        <v>0</v>
      </c>
      <c r="Z447" s="727">
        <f>SUMIFS('Schedule 4'!$F$89:$F$649,'Schedule 4'!$I$89:$I$649,'Well Cal.'!Z$3,'Schedule 4'!$J$89:$J$649,'Well Cal.'!$E447)</f>
        <v>0</v>
      </c>
      <c r="AA447" s="727"/>
      <c r="AB447" s="1731"/>
      <c r="AC447" s="1731"/>
    </row>
    <row r="448" spans="2:29" x14ac:dyDescent="0.3">
      <c r="B448" s="1724"/>
      <c r="C448" s="1727"/>
      <c r="D448" s="1721"/>
      <c r="E448" s="775" t="s">
        <v>4461</v>
      </c>
      <c r="F448" s="727">
        <f>SUMIFS('Schedule 4'!$F$89:$F$649,'Schedule 4'!$I$89:$I$649,'Well Cal.'!F$3,'Schedule 4'!$J$89:$J$649,'Well Cal.'!$E448)</f>
        <v>0</v>
      </c>
      <c r="G448" s="727">
        <f>SUMIFS('Schedule 4'!$F$89:$F$649,'Schedule 4'!$I$89:$I$649,'Well Cal.'!G$3,'Schedule 4'!$J$89:$J$649,'Well Cal.'!$E448)</f>
        <v>0</v>
      </c>
      <c r="H448" s="727">
        <f>SUMIFS('Schedule 4'!$F$89:$F$649,'Schedule 4'!$I$89:$I$649,'Well Cal.'!H$3,'Schedule 4'!$J$89:$J$649,'Well Cal.'!$E448)</f>
        <v>0</v>
      </c>
      <c r="I448" s="727">
        <f>SUMIFS('Schedule 4'!$F$89:$F$649,'Schedule 4'!$I$89:$I$649,'Well Cal.'!I$3,'Schedule 4'!$J$89:$J$649,'Well Cal.'!$E448)</f>
        <v>0</v>
      </c>
      <c r="J448" s="727">
        <f>SUMIFS('Schedule 4'!$F$89:$F$649,'Schedule 4'!$I$89:$I$649,'Well Cal.'!J$3,'Schedule 4'!$J$89:$J$649,'Well Cal.'!$E448)</f>
        <v>0</v>
      </c>
      <c r="K448" s="727">
        <f>SUMIFS('Schedule 4'!$F$89:$F$649,'Schedule 4'!$I$89:$I$649,'Well Cal.'!K$3,'Schedule 4'!$J$89:$J$649,'Well Cal.'!$E448)</f>
        <v>0</v>
      </c>
      <c r="L448" s="727">
        <f>SUMIFS('Schedule 4'!$F$89:$F$649,'Schedule 4'!$I$89:$I$649,'Well Cal.'!L$3,'Schedule 4'!$J$89:$J$649,'Well Cal.'!$E448)</f>
        <v>0</v>
      </c>
      <c r="M448" s="727">
        <f>SUMIFS('Schedule 4'!$F$89:$F$649,'Schedule 4'!$I$89:$I$649,'Well Cal.'!M$3,'Schedule 4'!$J$89:$J$649,'Well Cal.'!$E448)</f>
        <v>0</v>
      </c>
      <c r="N448" s="727">
        <f>SUMIFS('Schedule 4'!$F$89:$F$649,'Schedule 4'!$I$89:$I$649,'Well Cal.'!N$3,'Schedule 4'!$J$89:$J$649,'Well Cal.'!$E448)</f>
        <v>0</v>
      </c>
      <c r="O448" s="727">
        <f>SUMIFS('Schedule 4'!$F$89:$F$649,'Schedule 4'!$I$89:$I$649,'Well Cal.'!O$3,'Schedule 4'!$J$89:$J$649,'Well Cal.'!$E448)</f>
        <v>0</v>
      </c>
      <c r="P448" s="727">
        <f>SUMIFS('Schedule 4'!$F$89:$F$649,'Schedule 4'!$I$89:$I$649,'Well Cal.'!P$3,'Schedule 4'!$J$89:$J$649,'Well Cal.'!$E448)</f>
        <v>0</v>
      </c>
      <c r="Q448" s="727">
        <f>SUMIFS('Schedule 4'!$F$89:$F$649,'Schedule 4'!$I$89:$I$649,'Well Cal.'!Q$3,'Schedule 4'!$J$89:$J$649,'Well Cal.'!$E448)</f>
        <v>0</v>
      </c>
      <c r="R448" s="727">
        <f>SUMIFS('Schedule 4'!$F$89:$F$649,'Schedule 4'!$I$89:$I$649,'Well Cal.'!R$3,'Schedule 4'!$J$89:$J$649,'Well Cal.'!$E448)</f>
        <v>0</v>
      </c>
      <c r="S448" s="727">
        <f>SUMIFS('Schedule 4'!$F$89:$F$649,'Schedule 4'!$I$89:$I$649,'Well Cal.'!S$3,'Schedule 4'!$J$89:$J$649,'Well Cal.'!$E448)</f>
        <v>0</v>
      </c>
      <c r="T448" s="727">
        <f>SUMIFS('Schedule 4'!$F$89:$F$649,'Schedule 4'!$I$89:$I$649,'Well Cal.'!T$3,'Schedule 4'!$J$89:$J$649,'Well Cal.'!$E448)</f>
        <v>0</v>
      </c>
      <c r="U448" s="727">
        <f>SUMIFS('Schedule 4'!$F$89:$F$649,'Schedule 4'!$I$89:$I$649,'Well Cal.'!U$3,'Schedule 4'!$J$89:$J$649,'Well Cal.'!$E448)</f>
        <v>0</v>
      </c>
      <c r="V448" s="727">
        <f>SUMIFS('Schedule 4'!$F$89:$F$649,'Schedule 4'!$I$89:$I$649,'Well Cal.'!V$3,'Schedule 4'!$J$89:$J$649,'Well Cal.'!$E448)</f>
        <v>0</v>
      </c>
      <c r="W448" s="727">
        <f>SUMIFS('Schedule 4'!$F$89:$F$649,'Schedule 4'!$I$89:$I$649,'Well Cal.'!W$3,'Schedule 4'!$J$89:$J$649,'Well Cal.'!$E448)</f>
        <v>0</v>
      </c>
      <c r="X448" s="727">
        <f>SUMIFS('Schedule 4'!$F$89:$F$649,'Schedule 4'!$I$89:$I$649,'Well Cal.'!X$3,'Schedule 4'!$J$89:$J$649,'Well Cal.'!$E448)</f>
        <v>0</v>
      </c>
      <c r="Y448" s="727">
        <f>SUMIFS('Schedule 4'!$F$89:$F$649,'Schedule 4'!$I$89:$I$649,'Well Cal.'!Y$3,'Schedule 4'!$J$89:$J$649,'Well Cal.'!$E448)</f>
        <v>0</v>
      </c>
      <c r="Z448" s="727">
        <f>SUMIFS('Schedule 4'!$F$89:$F$649,'Schedule 4'!$I$89:$I$649,'Well Cal.'!Z$3,'Schedule 4'!$J$89:$J$649,'Well Cal.'!$E448)</f>
        <v>0</v>
      </c>
      <c r="AA448" s="727"/>
      <c r="AB448" s="1731"/>
      <c r="AC448" s="1731"/>
    </row>
    <row r="449" spans="2:29" x14ac:dyDescent="0.3">
      <c r="B449" s="1724"/>
      <c r="C449" s="1727"/>
      <c r="D449" s="1721"/>
      <c r="E449" s="775" t="s">
        <v>4504</v>
      </c>
      <c r="F449" s="727">
        <f>SUMIFS('Schedule 4'!$F$89:$F$649,'Schedule 4'!$I$89:$I$649,'Well Cal.'!F$3,'Schedule 4'!$J$89:$J$649,'Well Cal.'!$E449)</f>
        <v>0</v>
      </c>
      <c r="G449" s="727">
        <f>SUMIFS('Schedule 4'!$F$89:$F$649,'Schedule 4'!$I$89:$I$649,'Well Cal.'!G$3,'Schedule 4'!$J$89:$J$649,'Well Cal.'!$E449)</f>
        <v>0</v>
      </c>
      <c r="H449" s="727">
        <f>SUMIFS('Schedule 4'!$F$89:$F$649,'Schedule 4'!$I$89:$I$649,'Well Cal.'!H$3,'Schedule 4'!$J$89:$J$649,'Well Cal.'!$E449)</f>
        <v>0</v>
      </c>
      <c r="I449" s="727">
        <f>SUMIFS('Schedule 4'!$F$89:$F$649,'Schedule 4'!$I$89:$I$649,'Well Cal.'!I$3,'Schedule 4'!$J$89:$J$649,'Well Cal.'!$E449)</f>
        <v>0</v>
      </c>
      <c r="J449" s="727">
        <f>SUMIFS('Schedule 4'!$F$89:$F$649,'Schedule 4'!$I$89:$I$649,'Well Cal.'!J$3,'Schedule 4'!$J$89:$J$649,'Well Cal.'!$E449)</f>
        <v>0</v>
      </c>
      <c r="K449" s="727">
        <f>SUMIFS('Schedule 4'!$F$89:$F$649,'Schedule 4'!$I$89:$I$649,'Well Cal.'!K$3,'Schedule 4'!$J$89:$J$649,'Well Cal.'!$E449)</f>
        <v>0</v>
      </c>
      <c r="L449" s="727">
        <f>SUMIFS('Schedule 4'!$F$89:$F$649,'Schedule 4'!$I$89:$I$649,'Well Cal.'!L$3,'Schedule 4'!$J$89:$J$649,'Well Cal.'!$E449)</f>
        <v>0</v>
      </c>
      <c r="M449" s="727">
        <f>SUMIFS('Schedule 4'!$F$89:$F$649,'Schedule 4'!$I$89:$I$649,'Well Cal.'!M$3,'Schedule 4'!$J$89:$J$649,'Well Cal.'!$E449)</f>
        <v>0</v>
      </c>
      <c r="N449" s="727">
        <f>SUMIFS('Schedule 4'!$F$89:$F$649,'Schedule 4'!$I$89:$I$649,'Well Cal.'!N$3,'Schedule 4'!$J$89:$J$649,'Well Cal.'!$E449)</f>
        <v>0</v>
      </c>
      <c r="O449" s="727">
        <f>SUMIFS('Schedule 4'!$F$89:$F$649,'Schedule 4'!$I$89:$I$649,'Well Cal.'!O$3,'Schedule 4'!$J$89:$J$649,'Well Cal.'!$E449)</f>
        <v>0</v>
      </c>
      <c r="P449" s="727">
        <f>SUMIFS('Schedule 4'!$F$89:$F$649,'Schedule 4'!$I$89:$I$649,'Well Cal.'!P$3,'Schedule 4'!$J$89:$J$649,'Well Cal.'!$E449)</f>
        <v>0</v>
      </c>
      <c r="Q449" s="727">
        <f>SUMIFS('Schedule 4'!$F$89:$F$649,'Schedule 4'!$I$89:$I$649,'Well Cal.'!Q$3,'Schedule 4'!$J$89:$J$649,'Well Cal.'!$E449)</f>
        <v>0</v>
      </c>
      <c r="R449" s="727">
        <f>SUMIFS('Schedule 4'!$F$89:$F$649,'Schedule 4'!$I$89:$I$649,'Well Cal.'!R$3,'Schedule 4'!$J$89:$J$649,'Well Cal.'!$E449)</f>
        <v>0</v>
      </c>
      <c r="S449" s="727">
        <f>SUMIFS('Schedule 4'!$F$89:$F$649,'Schedule 4'!$I$89:$I$649,'Well Cal.'!S$3,'Schedule 4'!$J$89:$J$649,'Well Cal.'!$E449)</f>
        <v>0</v>
      </c>
      <c r="T449" s="727">
        <f>SUMIFS('Schedule 4'!$F$89:$F$649,'Schedule 4'!$I$89:$I$649,'Well Cal.'!T$3,'Schedule 4'!$J$89:$J$649,'Well Cal.'!$E449)</f>
        <v>0</v>
      </c>
      <c r="U449" s="727">
        <f>SUMIFS('Schedule 4'!$F$89:$F$649,'Schedule 4'!$I$89:$I$649,'Well Cal.'!U$3,'Schedule 4'!$J$89:$J$649,'Well Cal.'!$E449)</f>
        <v>0</v>
      </c>
      <c r="V449" s="727">
        <f>SUMIFS('Schedule 4'!$F$89:$F$649,'Schedule 4'!$I$89:$I$649,'Well Cal.'!V$3,'Schedule 4'!$J$89:$J$649,'Well Cal.'!$E449)</f>
        <v>0</v>
      </c>
      <c r="W449" s="727">
        <f>SUMIFS('Schedule 4'!$F$89:$F$649,'Schedule 4'!$I$89:$I$649,'Well Cal.'!W$3,'Schedule 4'!$J$89:$J$649,'Well Cal.'!$E449)</f>
        <v>0</v>
      </c>
      <c r="X449" s="727">
        <f>SUMIFS('Schedule 4'!$F$89:$F$649,'Schedule 4'!$I$89:$I$649,'Well Cal.'!X$3,'Schedule 4'!$J$89:$J$649,'Well Cal.'!$E449)</f>
        <v>0</v>
      </c>
      <c r="Y449" s="727">
        <f>SUMIFS('Schedule 4'!$F$89:$F$649,'Schedule 4'!$I$89:$I$649,'Well Cal.'!Y$3,'Schedule 4'!$J$89:$J$649,'Well Cal.'!$E449)</f>
        <v>0</v>
      </c>
      <c r="Z449" s="727">
        <f>SUMIFS('Schedule 4'!$F$89:$F$649,'Schedule 4'!$I$89:$I$649,'Well Cal.'!Z$3,'Schedule 4'!$J$89:$J$649,'Well Cal.'!$E449)</f>
        <v>0</v>
      </c>
      <c r="AA449" s="727"/>
      <c r="AB449" s="1731"/>
      <c r="AC449" s="1731"/>
    </row>
    <row r="450" spans="2:29" x14ac:dyDescent="0.3">
      <c r="B450" s="1724"/>
      <c r="C450" s="1727"/>
      <c r="D450" s="1721"/>
      <c r="E450" s="775" t="s">
        <v>4548</v>
      </c>
      <c r="F450" s="727">
        <f>SUMIFS('Schedule 4'!$F$89:$F$649,'Schedule 4'!$I$89:$I$649,'Well Cal.'!F$3,'Schedule 4'!$J$89:$J$649,'Well Cal.'!$E450)</f>
        <v>0</v>
      </c>
      <c r="G450" s="727">
        <f>SUMIFS('Schedule 4'!$F$89:$F$649,'Schedule 4'!$I$89:$I$649,'Well Cal.'!G$3,'Schedule 4'!$J$89:$J$649,'Well Cal.'!$E450)</f>
        <v>0</v>
      </c>
      <c r="H450" s="727">
        <f>SUMIFS('Schedule 4'!$F$89:$F$649,'Schedule 4'!$I$89:$I$649,'Well Cal.'!H$3,'Schedule 4'!$J$89:$J$649,'Well Cal.'!$E450)</f>
        <v>0</v>
      </c>
      <c r="I450" s="727">
        <f>SUMIFS('Schedule 4'!$F$89:$F$649,'Schedule 4'!$I$89:$I$649,'Well Cal.'!I$3,'Schedule 4'!$J$89:$J$649,'Well Cal.'!$E450)</f>
        <v>0</v>
      </c>
      <c r="J450" s="727">
        <f>SUMIFS('Schedule 4'!$F$89:$F$649,'Schedule 4'!$I$89:$I$649,'Well Cal.'!J$3,'Schedule 4'!$J$89:$J$649,'Well Cal.'!$E450)</f>
        <v>0</v>
      </c>
      <c r="K450" s="727">
        <f>SUMIFS('Schedule 4'!$F$89:$F$649,'Schedule 4'!$I$89:$I$649,'Well Cal.'!K$3,'Schedule 4'!$J$89:$J$649,'Well Cal.'!$E450)</f>
        <v>0</v>
      </c>
      <c r="L450" s="727">
        <f>SUMIFS('Schedule 4'!$F$89:$F$649,'Schedule 4'!$I$89:$I$649,'Well Cal.'!L$3,'Schedule 4'!$J$89:$J$649,'Well Cal.'!$E450)</f>
        <v>0</v>
      </c>
      <c r="M450" s="727">
        <f>SUMIFS('Schedule 4'!$F$89:$F$649,'Schedule 4'!$I$89:$I$649,'Well Cal.'!M$3,'Schedule 4'!$J$89:$J$649,'Well Cal.'!$E450)</f>
        <v>0</v>
      </c>
      <c r="N450" s="727">
        <f>SUMIFS('Schedule 4'!$F$89:$F$649,'Schedule 4'!$I$89:$I$649,'Well Cal.'!N$3,'Schedule 4'!$J$89:$J$649,'Well Cal.'!$E450)</f>
        <v>0</v>
      </c>
      <c r="O450" s="727">
        <f>SUMIFS('Schedule 4'!$F$89:$F$649,'Schedule 4'!$I$89:$I$649,'Well Cal.'!O$3,'Schedule 4'!$J$89:$J$649,'Well Cal.'!$E450)</f>
        <v>0</v>
      </c>
      <c r="P450" s="727">
        <f>SUMIFS('Schedule 4'!$F$89:$F$649,'Schedule 4'!$I$89:$I$649,'Well Cal.'!P$3,'Schedule 4'!$J$89:$J$649,'Well Cal.'!$E450)</f>
        <v>0</v>
      </c>
      <c r="Q450" s="727">
        <f>SUMIFS('Schedule 4'!$F$89:$F$649,'Schedule 4'!$I$89:$I$649,'Well Cal.'!Q$3,'Schedule 4'!$J$89:$J$649,'Well Cal.'!$E450)</f>
        <v>0</v>
      </c>
      <c r="R450" s="727">
        <f>SUMIFS('Schedule 4'!$F$89:$F$649,'Schedule 4'!$I$89:$I$649,'Well Cal.'!R$3,'Schedule 4'!$J$89:$J$649,'Well Cal.'!$E450)</f>
        <v>0</v>
      </c>
      <c r="S450" s="727">
        <f>SUMIFS('Schedule 4'!$F$89:$F$649,'Schedule 4'!$I$89:$I$649,'Well Cal.'!S$3,'Schedule 4'!$J$89:$J$649,'Well Cal.'!$E450)</f>
        <v>0</v>
      </c>
      <c r="T450" s="727">
        <f>SUMIFS('Schedule 4'!$F$89:$F$649,'Schedule 4'!$I$89:$I$649,'Well Cal.'!T$3,'Schedule 4'!$J$89:$J$649,'Well Cal.'!$E450)</f>
        <v>0</v>
      </c>
      <c r="U450" s="727">
        <f>SUMIFS('Schedule 4'!$F$89:$F$649,'Schedule 4'!$I$89:$I$649,'Well Cal.'!U$3,'Schedule 4'!$J$89:$J$649,'Well Cal.'!$E450)</f>
        <v>0</v>
      </c>
      <c r="V450" s="727">
        <f>SUMIFS('Schedule 4'!$F$89:$F$649,'Schedule 4'!$I$89:$I$649,'Well Cal.'!V$3,'Schedule 4'!$J$89:$J$649,'Well Cal.'!$E450)</f>
        <v>0</v>
      </c>
      <c r="W450" s="727">
        <f>SUMIFS('Schedule 4'!$F$89:$F$649,'Schedule 4'!$I$89:$I$649,'Well Cal.'!W$3,'Schedule 4'!$J$89:$J$649,'Well Cal.'!$E450)</f>
        <v>0</v>
      </c>
      <c r="X450" s="727">
        <f>SUMIFS('Schedule 4'!$F$89:$F$649,'Schedule 4'!$I$89:$I$649,'Well Cal.'!X$3,'Schedule 4'!$J$89:$J$649,'Well Cal.'!$E450)</f>
        <v>0</v>
      </c>
      <c r="Y450" s="727">
        <f>SUMIFS('Schedule 4'!$F$89:$F$649,'Schedule 4'!$I$89:$I$649,'Well Cal.'!Y$3,'Schedule 4'!$J$89:$J$649,'Well Cal.'!$E450)</f>
        <v>0</v>
      </c>
      <c r="Z450" s="727">
        <f>SUMIFS('Schedule 4'!$F$89:$F$649,'Schedule 4'!$I$89:$I$649,'Well Cal.'!Z$3,'Schedule 4'!$J$89:$J$649,'Well Cal.'!$E450)</f>
        <v>0</v>
      </c>
      <c r="AA450" s="727"/>
      <c r="AB450" s="1731"/>
      <c r="AC450" s="1731"/>
    </row>
    <row r="451" spans="2:29" x14ac:dyDescent="0.3">
      <c r="B451" s="1724"/>
      <c r="C451" s="1727"/>
      <c r="D451" s="1721"/>
      <c r="E451" s="775" t="s">
        <v>4577</v>
      </c>
      <c r="F451" s="727">
        <f>SUMIFS('Schedule 4'!$F$89:$F$649,'Schedule 4'!$I$89:$I$649,'Well Cal.'!F$3,'Schedule 4'!$J$89:$J$649,'Well Cal.'!$E451)</f>
        <v>0</v>
      </c>
      <c r="G451" s="727">
        <f>SUMIFS('Schedule 4'!$F$89:$F$649,'Schedule 4'!$I$89:$I$649,'Well Cal.'!G$3,'Schedule 4'!$J$89:$J$649,'Well Cal.'!$E451)</f>
        <v>0</v>
      </c>
      <c r="H451" s="727">
        <f>SUMIFS('Schedule 4'!$F$89:$F$649,'Schedule 4'!$I$89:$I$649,'Well Cal.'!H$3,'Schedule 4'!$J$89:$J$649,'Well Cal.'!$E451)</f>
        <v>0</v>
      </c>
      <c r="I451" s="727">
        <f>SUMIFS('Schedule 4'!$F$89:$F$649,'Schedule 4'!$I$89:$I$649,'Well Cal.'!I$3,'Schedule 4'!$J$89:$J$649,'Well Cal.'!$E451)</f>
        <v>0</v>
      </c>
      <c r="J451" s="727">
        <f>SUMIFS('Schedule 4'!$F$89:$F$649,'Schedule 4'!$I$89:$I$649,'Well Cal.'!J$3,'Schedule 4'!$J$89:$J$649,'Well Cal.'!$E451)</f>
        <v>0</v>
      </c>
      <c r="K451" s="727">
        <f>SUMIFS('Schedule 4'!$F$89:$F$649,'Schedule 4'!$I$89:$I$649,'Well Cal.'!K$3,'Schedule 4'!$J$89:$J$649,'Well Cal.'!$E451)</f>
        <v>0</v>
      </c>
      <c r="L451" s="727">
        <f>SUMIFS('Schedule 4'!$F$89:$F$649,'Schedule 4'!$I$89:$I$649,'Well Cal.'!L$3,'Schedule 4'!$J$89:$J$649,'Well Cal.'!$E451)</f>
        <v>0</v>
      </c>
      <c r="M451" s="727">
        <f>SUMIFS('Schedule 4'!$F$89:$F$649,'Schedule 4'!$I$89:$I$649,'Well Cal.'!M$3,'Schedule 4'!$J$89:$J$649,'Well Cal.'!$E451)</f>
        <v>0</v>
      </c>
      <c r="N451" s="727">
        <f>SUMIFS('Schedule 4'!$F$89:$F$649,'Schedule 4'!$I$89:$I$649,'Well Cal.'!N$3,'Schedule 4'!$J$89:$J$649,'Well Cal.'!$E451)</f>
        <v>0</v>
      </c>
      <c r="O451" s="727">
        <f>SUMIFS('Schedule 4'!$F$89:$F$649,'Schedule 4'!$I$89:$I$649,'Well Cal.'!O$3,'Schedule 4'!$J$89:$J$649,'Well Cal.'!$E451)</f>
        <v>0</v>
      </c>
      <c r="P451" s="727">
        <f>SUMIFS('Schedule 4'!$F$89:$F$649,'Schedule 4'!$I$89:$I$649,'Well Cal.'!P$3,'Schedule 4'!$J$89:$J$649,'Well Cal.'!$E451)</f>
        <v>0</v>
      </c>
      <c r="Q451" s="727">
        <f>SUMIFS('Schedule 4'!$F$89:$F$649,'Schedule 4'!$I$89:$I$649,'Well Cal.'!Q$3,'Schedule 4'!$J$89:$J$649,'Well Cal.'!$E451)</f>
        <v>0</v>
      </c>
      <c r="R451" s="727">
        <f>SUMIFS('Schedule 4'!$F$89:$F$649,'Schedule 4'!$I$89:$I$649,'Well Cal.'!R$3,'Schedule 4'!$J$89:$J$649,'Well Cal.'!$E451)</f>
        <v>0</v>
      </c>
      <c r="S451" s="727">
        <f>SUMIFS('Schedule 4'!$F$89:$F$649,'Schedule 4'!$I$89:$I$649,'Well Cal.'!S$3,'Schedule 4'!$J$89:$J$649,'Well Cal.'!$E451)</f>
        <v>0</v>
      </c>
      <c r="T451" s="727">
        <f>SUMIFS('Schedule 4'!$F$89:$F$649,'Schedule 4'!$I$89:$I$649,'Well Cal.'!T$3,'Schedule 4'!$J$89:$J$649,'Well Cal.'!$E451)</f>
        <v>0</v>
      </c>
      <c r="U451" s="727">
        <f>SUMIFS('Schedule 4'!$F$89:$F$649,'Schedule 4'!$I$89:$I$649,'Well Cal.'!U$3,'Schedule 4'!$J$89:$J$649,'Well Cal.'!$E451)</f>
        <v>0</v>
      </c>
      <c r="V451" s="727">
        <f>SUMIFS('Schedule 4'!$F$89:$F$649,'Schedule 4'!$I$89:$I$649,'Well Cal.'!V$3,'Schedule 4'!$J$89:$J$649,'Well Cal.'!$E451)</f>
        <v>0</v>
      </c>
      <c r="W451" s="727">
        <f>SUMIFS('Schedule 4'!$F$89:$F$649,'Schedule 4'!$I$89:$I$649,'Well Cal.'!W$3,'Schedule 4'!$J$89:$J$649,'Well Cal.'!$E451)</f>
        <v>0</v>
      </c>
      <c r="X451" s="727">
        <f>SUMIFS('Schedule 4'!$F$89:$F$649,'Schedule 4'!$I$89:$I$649,'Well Cal.'!X$3,'Schedule 4'!$J$89:$J$649,'Well Cal.'!$E451)</f>
        <v>0</v>
      </c>
      <c r="Y451" s="727">
        <f>SUMIFS('Schedule 4'!$F$89:$F$649,'Schedule 4'!$I$89:$I$649,'Well Cal.'!Y$3,'Schedule 4'!$J$89:$J$649,'Well Cal.'!$E451)</f>
        <v>0</v>
      </c>
      <c r="Z451" s="727">
        <f>SUMIFS('Schedule 4'!$F$89:$F$649,'Schedule 4'!$I$89:$I$649,'Well Cal.'!Z$3,'Schedule 4'!$J$89:$J$649,'Well Cal.'!$E451)</f>
        <v>0</v>
      </c>
      <c r="AA451" s="727"/>
      <c r="AB451" s="1731"/>
      <c r="AC451" s="1731"/>
    </row>
    <row r="452" spans="2:29" x14ac:dyDescent="0.3">
      <c r="B452" s="1724"/>
      <c r="C452" s="1727"/>
      <c r="D452" s="1721"/>
      <c r="E452" s="775" t="s">
        <v>4583</v>
      </c>
      <c r="F452" s="727">
        <f>SUMIFS('Schedule 4'!$F$89:$F$649,'Schedule 4'!$I$89:$I$649,'Well Cal.'!F$3,'Schedule 4'!$J$89:$J$649,'Well Cal.'!$E452)</f>
        <v>0</v>
      </c>
      <c r="G452" s="727">
        <f>SUMIFS('Schedule 4'!$F$89:$F$649,'Schedule 4'!$I$89:$I$649,'Well Cal.'!G$3,'Schedule 4'!$J$89:$J$649,'Well Cal.'!$E452)</f>
        <v>0</v>
      </c>
      <c r="H452" s="727">
        <f>SUMIFS('Schedule 4'!$F$89:$F$649,'Schedule 4'!$I$89:$I$649,'Well Cal.'!H$3,'Schedule 4'!$J$89:$J$649,'Well Cal.'!$E452)</f>
        <v>0</v>
      </c>
      <c r="I452" s="727">
        <f>SUMIFS('Schedule 4'!$F$89:$F$649,'Schedule 4'!$I$89:$I$649,'Well Cal.'!I$3,'Schedule 4'!$J$89:$J$649,'Well Cal.'!$E452)</f>
        <v>0</v>
      </c>
      <c r="J452" s="727">
        <f>SUMIFS('Schedule 4'!$F$89:$F$649,'Schedule 4'!$I$89:$I$649,'Well Cal.'!J$3,'Schedule 4'!$J$89:$J$649,'Well Cal.'!$E452)</f>
        <v>0</v>
      </c>
      <c r="K452" s="727">
        <f>SUMIFS('Schedule 4'!$F$89:$F$649,'Schedule 4'!$I$89:$I$649,'Well Cal.'!K$3,'Schedule 4'!$J$89:$J$649,'Well Cal.'!$E452)</f>
        <v>0</v>
      </c>
      <c r="L452" s="727">
        <f>SUMIFS('Schedule 4'!$F$89:$F$649,'Schedule 4'!$I$89:$I$649,'Well Cal.'!L$3,'Schedule 4'!$J$89:$J$649,'Well Cal.'!$E452)</f>
        <v>0</v>
      </c>
      <c r="M452" s="727">
        <f>SUMIFS('Schedule 4'!$F$89:$F$649,'Schedule 4'!$I$89:$I$649,'Well Cal.'!M$3,'Schedule 4'!$J$89:$J$649,'Well Cal.'!$E452)</f>
        <v>0</v>
      </c>
      <c r="N452" s="727">
        <f>SUMIFS('Schedule 4'!$F$89:$F$649,'Schedule 4'!$I$89:$I$649,'Well Cal.'!N$3,'Schedule 4'!$J$89:$J$649,'Well Cal.'!$E452)</f>
        <v>0</v>
      </c>
      <c r="O452" s="727">
        <f>SUMIFS('Schedule 4'!$F$89:$F$649,'Schedule 4'!$I$89:$I$649,'Well Cal.'!O$3,'Schedule 4'!$J$89:$J$649,'Well Cal.'!$E452)</f>
        <v>0</v>
      </c>
      <c r="P452" s="727">
        <f>SUMIFS('Schedule 4'!$F$89:$F$649,'Schedule 4'!$I$89:$I$649,'Well Cal.'!P$3,'Schedule 4'!$J$89:$J$649,'Well Cal.'!$E452)</f>
        <v>0</v>
      </c>
      <c r="Q452" s="727">
        <f>SUMIFS('Schedule 4'!$F$89:$F$649,'Schedule 4'!$I$89:$I$649,'Well Cal.'!Q$3,'Schedule 4'!$J$89:$J$649,'Well Cal.'!$E452)</f>
        <v>0</v>
      </c>
      <c r="R452" s="727">
        <f>SUMIFS('Schedule 4'!$F$89:$F$649,'Schedule 4'!$I$89:$I$649,'Well Cal.'!R$3,'Schedule 4'!$J$89:$J$649,'Well Cal.'!$E452)</f>
        <v>0</v>
      </c>
      <c r="S452" s="727">
        <f>SUMIFS('Schedule 4'!$F$89:$F$649,'Schedule 4'!$I$89:$I$649,'Well Cal.'!S$3,'Schedule 4'!$J$89:$J$649,'Well Cal.'!$E452)</f>
        <v>0</v>
      </c>
      <c r="T452" s="727">
        <f>SUMIFS('Schedule 4'!$F$89:$F$649,'Schedule 4'!$I$89:$I$649,'Well Cal.'!T$3,'Schedule 4'!$J$89:$J$649,'Well Cal.'!$E452)</f>
        <v>0</v>
      </c>
      <c r="U452" s="727">
        <f>SUMIFS('Schedule 4'!$F$89:$F$649,'Schedule 4'!$I$89:$I$649,'Well Cal.'!U$3,'Schedule 4'!$J$89:$J$649,'Well Cal.'!$E452)</f>
        <v>0</v>
      </c>
      <c r="V452" s="727">
        <f>SUMIFS('Schedule 4'!$F$89:$F$649,'Schedule 4'!$I$89:$I$649,'Well Cal.'!V$3,'Schedule 4'!$J$89:$J$649,'Well Cal.'!$E452)</f>
        <v>0</v>
      </c>
      <c r="W452" s="727">
        <f>SUMIFS('Schedule 4'!$F$89:$F$649,'Schedule 4'!$I$89:$I$649,'Well Cal.'!W$3,'Schedule 4'!$J$89:$J$649,'Well Cal.'!$E452)</f>
        <v>0</v>
      </c>
      <c r="X452" s="727">
        <f>SUMIFS('Schedule 4'!$F$89:$F$649,'Schedule 4'!$I$89:$I$649,'Well Cal.'!X$3,'Schedule 4'!$J$89:$J$649,'Well Cal.'!$E452)</f>
        <v>0</v>
      </c>
      <c r="Y452" s="727">
        <f>SUMIFS('Schedule 4'!$F$89:$F$649,'Schedule 4'!$I$89:$I$649,'Well Cal.'!Y$3,'Schedule 4'!$J$89:$J$649,'Well Cal.'!$E452)</f>
        <v>0</v>
      </c>
      <c r="Z452" s="727">
        <f>SUMIFS('Schedule 4'!$F$89:$F$649,'Schedule 4'!$I$89:$I$649,'Well Cal.'!Z$3,'Schedule 4'!$J$89:$J$649,'Well Cal.'!$E452)</f>
        <v>0</v>
      </c>
      <c r="AA452" s="727"/>
      <c r="AB452" s="1731"/>
      <c r="AC452" s="1731"/>
    </row>
    <row r="453" spans="2:29" x14ac:dyDescent="0.3">
      <c r="B453" s="1725"/>
      <c r="C453" s="1728"/>
      <c r="D453" s="1722"/>
      <c r="E453" s="776"/>
      <c r="F453" s="777"/>
      <c r="G453" s="777"/>
      <c r="H453" s="777"/>
      <c r="I453" s="777"/>
      <c r="J453" s="777"/>
      <c r="K453" s="777"/>
      <c r="L453" s="777"/>
      <c r="M453" s="777"/>
      <c r="N453" s="777"/>
      <c r="O453" s="777"/>
      <c r="P453" s="777"/>
      <c r="Q453" s="777"/>
      <c r="R453" s="777"/>
      <c r="S453" s="777"/>
      <c r="T453" s="777"/>
      <c r="U453" s="777"/>
      <c r="V453" s="777"/>
      <c r="W453" s="777"/>
      <c r="X453" s="777"/>
      <c r="Y453" s="777"/>
      <c r="Z453" s="777"/>
      <c r="AA453" s="777"/>
      <c r="AB453" s="1732"/>
      <c r="AC453" s="1732"/>
    </row>
    <row r="454" spans="2:29" x14ac:dyDescent="0.3">
      <c r="B454" s="1723" t="s">
        <v>2516</v>
      </c>
      <c r="C454" s="1726">
        <v>54.05</v>
      </c>
      <c r="D454" s="1720">
        <f>SUMIFS('Schedule 4'!$F$89:$F$649,'Schedule 4'!$K$89:$K$649,'Well Cal.'!$B454)</f>
        <v>0</v>
      </c>
      <c r="E454" s="754" t="s">
        <v>3132</v>
      </c>
      <c r="F454" s="728">
        <f>SUMIFS('Schedule 4'!$F$89:$F$649,'Schedule 4'!$I$89:$I$649,'Well Cal.'!F$3,'Schedule 4'!$J$89:$J$649,'Well Cal.'!$E454)</f>
        <v>0</v>
      </c>
      <c r="G454" s="728">
        <f>SUMIFS('Schedule 4'!$F$89:$F$649,'Schedule 4'!$I$89:$I$649,'Well Cal.'!G$3,'Schedule 4'!$J$89:$J$649,'Well Cal.'!$E454)</f>
        <v>0</v>
      </c>
      <c r="H454" s="728">
        <f>SUMIFS('Schedule 4'!$F$89:$F$649,'Schedule 4'!$I$89:$I$649,'Well Cal.'!H$3,'Schedule 4'!$J$89:$J$649,'Well Cal.'!$E454)</f>
        <v>0</v>
      </c>
      <c r="I454" s="728">
        <f>SUMIFS('Schedule 4'!$F$89:$F$649,'Schedule 4'!$I$89:$I$649,'Well Cal.'!I$3,'Schedule 4'!$J$89:$J$649,'Well Cal.'!$E454)</f>
        <v>0</v>
      </c>
      <c r="J454" s="728">
        <f>SUMIFS('Schedule 4'!$F$89:$F$649,'Schedule 4'!$I$89:$I$649,'Well Cal.'!J$3,'Schedule 4'!$J$89:$J$649,'Well Cal.'!$E454)</f>
        <v>0</v>
      </c>
      <c r="K454" s="728">
        <f>SUMIFS('Schedule 4'!$F$89:$F$649,'Schedule 4'!$I$89:$I$649,'Well Cal.'!K$3,'Schedule 4'!$J$89:$J$649,'Well Cal.'!$E454)</f>
        <v>0</v>
      </c>
      <c r="L454" s="728">
        <f>SUMIFS('Schedule 4'!$F$89:$F$649,'Schedule 4'!$I$89:$I$649,'Well Cal.'!L$3,'Schedule 4'!$J$89:$J$649,'Well Cal.'!$E454)</f>
        <v>0</v>
      </c>
      <c r="M454" s="728">
        <f>SUMIFS('Schedule 4'!$F$89:$F$649,'Schedule 4'!$I$89:$I$649,'Well Cal.'!M$3,'Schedule 4'!$J$89:$J$649,'Well Cal.'!$E454)</f>
        <v>0</v>
      </c>
      <c r="N454" s="728">
        <f>SUMIFS('Schedule 4'!$F$89:$F$649,'Schedule 4'!$I$89:$I$649,'Well Cal.'!N$3,'Schedule 4'!$J$89:$J$649,'Well Cal.'!$E454)</f>
        <v>0</v>
      </c>
      <c r="O454" s="728">
        <f>SUMIFS('Schedule 4'!$F$89:$F$649,'Schedule 4'!$I$89:$I$649,'Well Cal.'!O$3,'Schedule 4'!$J$89:$J$649,'Well Cal.'!$E454)</f>
        <v>0</v>
      </c>
      <c r="P454" s="728">
        <f>SUMIFS('Schedule 4'!$F$89:$F$649,'Schedule 4'!$I$89:$I$649,'Well Cal.'!P$3,'Schedule 4'!$J$89:$J$649,'Well Cal.'!$E454)</f>
        <v>0</v>
      </c>
      <c r="Q454" s="728">
        <f>SUMIFS('Schedule 4'!$F$89:$F$649,'Schedule 4'!$I$89:$I$649,'Well Cal.'!Q$3,'Schedule 4'!$J$89:$J$649,'Well Cal.'!$E454)</f>
        <v>0</v>
      </c>
      <c r="R454" s="728">
        <f>SUMIFS('Schedule 4'!$F$89:$F$649,'Schedule 4'!$I$89:$I$649,'Well Cal.'!R$3,'Schedule 4'!$J$89:$J$649,'Well Cal.'!$E454)</f>
        <v>0</v>
      </c>
      <c r="S454" s="728">
        <f>SUMIFS('Schedule 4'!$F$89:$F$649,'Schedule 4'!$I$89:$I$649,'Well Cal.'!S$3,'Schedule 4'!$J$89:$J$649,'Well Cal.'!$E454)</f>
        <v>0</v>
      </c>
      <c r="T454" s="728">
        <f>SUMIFS('Schedule 4'!$F$89:$F$649,'Schedule 4'!$I$89:$I$649,'Well Cal.'!T$3,'Schedule 4'!$J$89:$J$649,'Well Cal.'!$E454)</f>
        <v>0</v>
      </c>
      <c r="U454" s="728">
        <f>SUMIFS('Schedule 4'!$F$89:$F$649,'Schedule 4'!$I$89:$I$649,'Well Cal.'!U$3,'Schedule 4'!$J$89:$J$649,'Well Cal.'!$E454)</f>
        <v>0</v>
      </c>
      <c r="V454" s="728">
        <f>SUMIFS('Schedule 4'!$F$89:$F$649,'Schedule 4'!$I$89:$I$649,'Well Cal.'!V$3,'Schedule 4'!$J$89:$J$649,'Well Cal.'!$E454)</f>
        <v>0</v>
      </c>
      <c r="W454" s="728">
        <f>SUMIFS('Schedule 4'!$F$89:$F$649,'Schedule 4'!$I$89:$I$649,'Well Cal.'!W$3,'Schedule 4'!$J$89:$J$649,'Well Cal.'!$E454)</f>
        <v>0</v>
      </c>
      <c r="X454" s="728">
        <f>SUMIFS('Schedule 4'!$F$89:$F$649,'Schedule 4'!$I$89:$I$649,'Well Cal.'!X$3,'Schedule 4'!$J$89:$J$649,'Well Cal.'!$E454)</f>
        <v>0</v>
      </c>
      <c r="Y454" s="728">
        <f>SUMIFS('Schedule 4'!$F$89:$F$649,'Schedule 4'!$I$89:$I$649,'Well Cal.'!Y$3,'Schedule 4'!$J$89:$J$649,'Well Cal.'!$E454)</f>
        <v>0</v>
      </c>
      <c r="Z454" s="728">
        <f>SUMIFS('Schedule 4'!$F$89:$F$649,'Schedule 4'!$I$89:$I$649,'Well Cal.'!Z$3,'Schedule 4'!$J$89:$J$649,'Well Cal.'!$E454)</f>
        <v>0</v>
      </c>
      <c r="AA454" s="728"/>
      <c r="AB454" s="1729">
        <f>SUM(F454:AA476)</f>
        <v>0</v>
      </c>
      <c r="AC454" s="1729">
        <f>D454-AB454</f>
        <v>0</v>
      </c>
    </row>
    <row r="455" spans="2:29" x14ac:dyDescent="0.3">
      <c r="B455" s="1724"/>
      <c r="C455" s="1727"/>
      <c r="D455" s="1721"/>
      <c r="E455" s="761" t="s">
        <v>3214</v>
      </c>
      <c r="F455" s="726">
        <f>SUMIFS('Schedule 4'!$F$89:$F$649,'Schedule 4'!$I$89:$I$649,'Well Cal.'!F$3,'Schedule 4'!$J$89:$J$649,'Well Cal.'!$E455)</f>
        <v>0</v>
      </c>
      <c r="G455" s="726">
        <f>SUMIFS('Schedule 4'!$F$89:$F$649,'Schedule 4'!$I$89:$I$649,'Well Cal.'!G$3,'Schedule 4'!$J$89:$J$649,'Well Cal.'!$E455)</f>
        <v>0</v>
      </c>
      <c r="H455" s="726">
        <f>SUMIFS('Schedule 4'!$F$89:$F$649,'Schedule 4'!$I$89:$I$649,'Well Cal.'!H$3,'Schedule 4'!$J$89:$J$649,'Well Cal.'!$E455)</f>
        <v>0</v>
      </c>
      <c r="I455" s="726">
        <f>SUMIFS('Schedule 4'!$F$89:$F$649,'Schedule 4'!$I$89:$I$649,'Well Cal.'!I$3,'Schedule 4'!$J$89:$J$649,'Well Cal.'!$E455)</f>
        <v>0</v>
      </c>
      <c r="J455" s="726">
        <f>SUMIFS('Schedule 4'!$F$89:$F$649,'Schedule 4'!$I$89:$I$649,'Well Cal.'!J$3,'Schedule 4'!$J$89:$J$649,'Well Cal.'!$E455)</f>
        <v>0</v>
      </c>
      <c r="K455" s="726">
        <f>SUMIFS('Schedule 4'!$F$89:$F$649,'Schedule 4'!$I$89:$I$649,'Well Cal.'!K$3,'Schedule 4'!$J$89:$J$649,'Well Cal.'!$E455)</f>
        <v>0</v>
      </c>
      <c r="L455" s="726">
        <f>SUMIFS('Schedule 4'!$F$89:$F$649,'Schedule 4'!$I$89:$I$649,'Well Cal.'!L$3,'Schedule 4'!$J$89:$J$649,'Well Cal.'!$E455)</f>
        <v>0</v>
      </c>
      <c r="M455" s="726">
        <f>SUMIFS('Schedule 4'!$F$89:$F$649,'Schedule 4'!$I$89:$I$649,'Well Cal.'!M$3,'Schedule 4'!$J$89:$J$649,'Well Cal.'!$E455)</f>
        <v>0</v>
      </c>
      <c r="N455" s="726">
        <f>SUMIFS('Schedule 4'!$F$89:$F$649,'Schedule 4'!$I$89:$I$649,'Well Cal.'!N$3,'Schedule 4'!$J$89:$J$649,'Well Cal.'!$E455)</f>
        <v>0</v>
      </c>
      <c r="O455" s="726">
        <f>SUMIFS('Schedule 4'!$F$89:$F$649,'Schedule 4'!$I$89:$I$649,'Well Cal.'!O$3,'Schedule 4'!$J$89:$J$649,'Well Cal.'!$E455)</f>
        <v>0</v>
      </c>
      <c r="P455" s="726">
        <f>SUMIFS('Schedule 4'!$F$89:$F$649,'Schedule 4'!$I$89:$I$649,'Well Cal.'!P$3,'Schedule 4'!$J$89:$J$649,'Well Cal.'!$E455)</f>
        <v>0</v>
      </c>
      <c r="Q455" s="726">
        <f>SUMIFS('Schedule 4'!$F$89:$F$649,'Schedule 4'!$I$89:$I$649,'Well Cal.'!Q$3,'Schedule 4'!$J$89:$J$649,'Well Cal.'!$E455)</f>
        <v>0</v>
      </c>
      <c r="R455" s="726">
        <f>SUMIFS('Schedule 4'!$F$89:$F$649,'Schedule 4'!$I$89:$I$649,'Well Cal.'!R$3,'Schedule 4'!$J$89:$J$649,'Well Cal.'!$E455)</f>
        <v>0</v>
      </c>
      <c r="S455" s="726">
        <f>SUMIFS('Schedule 4'!$F$89:$F$649,'Schedule 4'!$I$89:$I$649,'Well Cal.'!S$3,'Schedule 4'!$J$89:$J$649,'Well Cal.'!$E455)</f>
        <v>0</v>
      </c>
      <c r="T455" s="726">
        <f>SUMIFS('Schedule 4'!$F$89:$F$649,'Schedule 4'!$I$89:$I$649,'Well Cal.'!T$3,'Schedule 4'!$J$89:$J$649,'Well Cal.'!$E455)</f>
        <v>0</v>
      </c>
      <c r="U455" s="726">
        <f>SUMIFS('Schedule 4'!$F$89:$F$649,'Schedule 4'!$I$89:$I$649,'Well Cal.'!U$3,'Schedule 4'!$J$89:$J$649,'Well Cal.'!$E455)</f>
        <v>0</v>
      </c>
      <c r="V455" s="726">
        <f>SUMIFS('Schedule 4'!$F$89:$F$649,'Schedule 4'!$I$89:$I$649,'Well Cal.'!V$3,'Schedule 4'!$J$89:$J$649,'Well Cal.'!$E455)</f>
        <v>0</v>
      </c>
      <c r="W455" s="726">
        <f>SUMIFS('Schedule 4'!$F$89:$F$649,'Schedule 4'!$I$89:$I$649,'Well Cal.'!W$3,'Schedule 4'!$J$89:$J$649,'Well Cal.'!$E455)</f>
        <v>0</v>
      </c>
      <c r="X455" s="726">
        <f>SUMIFS('Schedule 4'!$F$89:$F$649,'Schedule 4'!$I$89:$I$649,'Well Cal.'!X$3,'Schedule 4'!$J$89:$J$649,'Well Cal.'!$E455)</f>
        <v>0</v>
      </c>
      <c r="Y455" s="726">
        <f>SUMIFS('Schedule 4'!$F$89:$F$649,'Schedule 4'!$I$89:$I$649,'Well Cal.'!Y$3,'Schedule 4'!$J$89:$J$649,'Well Cal.'!$E455)</f>
        <v>0</v>
      </c>
      <c r="Z455" s="726">
        <f>SUMIFS('Schedule 4'!$F$89:$F$649,'Schedule 4'!$I$89:$I$649,'Well Cal.'!Z$3,'Schedule 4'!$J$89:$J$649,'Well Cal.'!$E455)</f>
        <v>0</v>
      </c>
      <c r="AA455" s="726"/>
      <c r="AB455" s="1730"/>
      <c r="AC455" s="1730"/>
    </row>
    <row r="456" spans="2:29" x14ac:dyDescent="0.3">
      <c r="B456" s="1724"/>
      <c r="C456" s="1727"/>
      <c r="D456" s="1721"/>
      <c r="E456" s="761" t="s">
        <v>3299</v>
      </c>
      <c r="F456" s="726">
        <f>SUMIFS('Schedule 4'!$F$89:$F$649,'Schedule 4'!$I$89:$I$649,'Well Cal.'!F$3,'Schedule 4'!$J$89:$J$649,'Well Cal.'!$E456)</f>
        <v>0</v>
      </c>
      <c r="G456" s="726">
        <f>SUMIFS('Schedule 4'!$F$89:$F$649,'Schedule 4'!$I$89:$I$649,'Well Cal.'!G$3,'Schedule 4'!$J$89:$J$649,'Well Cal.'!$E456)</f>
        <v>0</v>
      </c>
      <c r="H456" s="726">
        <f>SUMIFS('Schedule 4'!$F$89:$F$649,'Schedule 4'!$I$89:$I$649,'Well Cal.'!H$3,'Schedule 4'!$J$89:$J$649,'Well Cal.'!$E456)</f>
        <v>0</v>
      </c>
      <c r="I456" s="726">
        <f>SUMIFS('Schedule 4'!$F$89:$F$649,'Schedule 4'!$I$89:$I$649,'Well Cal.'!I$3,'Schedule 4'!$J$89:$J$649,'Well Cal.'!$E456)</f>
        <v>0</v>
      </c>
      <c r="J456" s="726">
        <f>SUMIFS('Schedule 4'!$F$89:$F$649,'Schedule 4'!$I$89:$I$649,'Well Cal.'!J$3,'Schedule 4'!$J$89:$J$649,'Well Cal.'!$E456)</f>
        <v>0</v>
      </c>
      <c r="K456" s="726">
        <f>SUMIFS('Schedule 4'!$F$89:$F$649,'Schedule 4'!$I$89:$I$649,'Well Cal.'!K$3,'Schedule 4'!$J$89:$J$649,'Well Cal.'!$E456)</f>
        <v>0</v>
      </c>
      <c r="L456" s="726">
        <f>SUMIFS('Schedule 4'!$F$89:$F$649,'Schedule 4'!$I$89:$I$649,'Well Cal.'!L$3,'Schedule 4'!$J$89:$J$649,'Well Cal.'!$E456)</f>
        <v>0</v>
      </c>
      <c r="M456" s="726">
        <f>SUMIFS('Schedule 4'!$F$89:$F$649,'Schedule 4'!$I$89:$I$649,'Well Cal.'!M$3,'Schedule 4'!$J$89:$J$649,'Well Cal.'!$E456)</f>
        <v>0</v>
      </c>
      <c r="N456" s="726">
        <f>SUMIFS('Schedule 4'!$F$89:$F$649,'Schedule 4'!$I$89:$I$649,'Well Cal.'!N$3,'Schedule 4'!$J$89:$J$649,'Well Cal.'!$E456)</f>
        <v>0</v>
      </c>
      <c r="O456" s="726">
        <f>SUMIFS('Schedule 4'!$F$89:$F$649,'Schedule 4'!$I$89:$I$649,'Well Cal.'!O$3,'Schedule 4'!$J$89:$J$649,'Well Cal.'!$E456)</f>
        <v>0</v>
      </c>
      <c r="P456" s="726">
        <f>SUMIFS('Schedule 4'!$F$89:$F$649,'Schedule 4'!$I$89:$I$649,'Well Cal.'!P$3,'Schedule 4'!$J$89:$J$649,'Well Cal.'!$E456)</f>
        <v>0</v>
      </c>
      <c r="Q456" s="726">
        <f>SUMIFS('Schedule 4'!$F$89:$F$649,'Schedule 4'!$I$89:$I$649,'Well Cal.'!Q$3,'Schedule 4'!$J$89:$J$649,'Well Cal.'!$E456)</f>
        <v>0</v>
      </c>
      <c r="R456" s="726">
        <f>SUMIFS('Schedule 4'!$F$89:$F$649,'Schedule 4'!$I$89:$I$649,'Well Cal.'!R$3,'Schedule 4'!$J$89:$J$649,'Well Cal.'!$E456)</f>
        <v>0</v>
      </c>
      <c r="S456" s="726">
        <f>SUMIFS('Schedule 4'!$F$89:$F$649,'Schedule 4'!$I$89:$I$649,'Well Cal.'!S$3,'Schedule 4'!$J$89:$J$649,'Well Cal.'!$E456)</f>
        <v>0</v>
      </c>
      <c r="T456" s="726">
        <f>SUMIFS('Schedule 4'!$F$89:$F$649,'Schedule 4'!$I$89:$I$649,'Well Cal.'!T$3,'Schedule 4'!$J$89:$J$649,'Well Cal.'!$E456)</f>
        <v>0</v>
      </c>
      <c r="U456" s="726">
        <f>SUMIFS('Schedule 4'!$F$89:$F$649,'Schedule 4'!$I$89:$I$649,'Well Cal.'!U$3,'Schedule 4'!$J$89:$J$649,'Well Cal.'!$E456)</f>
        <v>0</v>
      </c>
      <c r="V456" s="726">
        <f>SUMIFS('Schedule 4'!$F$89:$F$649,'Schedule 4'!$I$89:$I$649,'Well Cal.'!V$3,'Schedule 4'!$J$89:$J$649,'Well Cal.'!$E456)</f>
        <v>0</v>
      </c>
      <c r="W456" s="726">
        <f>SUMIFS('Schedule 4'!$F$89:$F$649,'Schedule 4'!$I$89:$I$649,'Well Cal.'!W$3,'Schedule 4'!$J$89:$J$649,'Well Cal.'!$E456)</f>
        <v>0</v>
      </c>
      <c r="X456" s="726">
        <f>SUMIFS('Schedule 4'!$F$89:$F$649,'Schedule 4'!$I$89:$I$649,'Well Cal.'!X$3,'Schedule 4'!$J$89:$J$649,'Well Cal.'!$E456)</f>
        <v>0</v>
      </c>
      <c r="Y456" s="726">
        <f>SUMIFS('Schedule 4'!$F$89:$F$649,'Schedule 4'!$I$89:$I$649,'Well Cal.'!Y$3,'Schedule 4'!$J$89:$J$649,'Well Cal.'!$E456)</f>
        <v>0</v>
      </c>
      <c r="Z456" s="726">
        <f>SUMIFS('Schedule 4'!$F$89:$F$649,'Schedule 4'!$I$89:$I$649,'Well Cal.'!Z$3,'Schedule 4'!$J$89:$J$649,'Well Cal.'!$E456)</f>
        <v>0</v>
      </c>
      <c r="AA456" s="726"/>
      <c r="AB456" s="1730"/>
      <c r="AC456" s="1730"/>
    </row>
    <row r="457" spans="2:29" x14ac:dyDescent="0.3">
      <c r="B457" s="1724"/>
      <c r="C457" s="1727"/>
      <c r="D457" s="1721"/>
      <c r="E457" s="775" t="s">
        <v>3367</v>
      </c>
      <c r="F457" s="727">
        <f>SUMIFS('Schedule 4'!$F$89:$F$649,'Schedule 4'!$I$89:$I$649,'Well Cal.'!F$3,'Schedule 4'!$J$89:$J$649,'Well Cal.'!$E457)</f>
        <v>0</v>
      </c>
      <c r="G457" s="727">
        <f>SUMIFS('Schedule 4'!$F$89:$F$649,'Schedule 4'!$I$89:$I$649,'Well Cal.'!G$3,'Schedule 4'!$J$89:$J$649,'Well Cal.'!$E457)</f>
        <v>0</v>
      </c>
      <c r="H457" s="727">
        <f>SUMIFS('Schedule 4'!$F$89:$F$649,'Schedule 4'!$I$89:$I$649,'Well Cal.'!H$3,'Schedule 4'!$J$89:$J$649,'Well Cal.'!$E457)</f>
        <v>0</v>
      </c>
      <c r="I457" s="727">
        <f>SUMIFS('Schedule 4'!$F$89:$F$649,'Schedule 4'!$I$89:$I$649,'Well Cal.'!I$3,'Schedule 4'!$J$89:$J$649,'Well Cal.'!$E457)</f>
        <v>0</v>
      </c>
      <c r="J457" s="727">
        <f>SUMIFS('Schedule 4'!$F$89:$F$649,'Schedule 4'!$I$89:$I$649,'Well Cal.'!J$3,'Schedule 4'!$J$89:$J$649,'Well Cal.'!$E457)</f>
        <v>0</v>
      </c>
      <c r="K457" s="727">
        <f>SUMIFS('Schedule 4'!$F$89:$F$649,'Schedule 4'!$I$89:$I$649,'Well Cal.'!K$3,'Schedule 4'!$J$89:$J$649,'Well Cal.'!$E457)</f>
        <v>0</v>
      </c>
      <c r="L457" s="727">
        <f>SUMIFS('Schedule 4'!$F$89:$F$649,'Schedule 4'!$I$89:$I$649,'Well Cal.'!L$3,'Schedule 4'!$J$89:$J$649,'Well Cal.'!$E457)</f>
        <v>0</v>
      </c>
      <c r="M457" s="727">
        <f>SUMIFS('Schedule 4'!$F$89:$F$649,'Schedule 4'!$I$89:$I$649,'Well Cal.'!M$3,'Schedule 4'!$J$89:$J$649,'Well Cal.'!$E457)</f>
        <v>0</v>
      </c>
      <c r="N457" s="727">
        <f>SUMIFS('Schedule 4'!$F$89:$F$649,'Schedule 4'!$I$89:$I$649,'Well Cal.'!N$3,'Schedule 4'!$J$89:$J$649,'Well Cal.'!$E457)</f>
        <v>0</v>
      </c>
      <c r="O457" s="727">
        <f>SUMIFS('Schedule 4'!$F$89:$F$649,'Schedule 4'!$I$89:$I$649,'Well Cal.'!O$3,'Schedule 4'!$J$89:$J$649,'Well Cal.'!$E457)</f>
        <v>0</v>
      </c>
      <c r="P457" s="727">
        <f>SUMIFS('Schedule 4'!$F$89:$F$649,'Schedule 4'!$I$89:$I$649,'Well Cal.'!P$3,'Schedule 4'!$J$89:$J$649,'Well Cal.'!$E457)</f>
        <v>0</v>
      </c>
      <c r="Q457" s="727">
        <f>SUMIFS('Schedule 4'!$F$89:$F$649,'Schedule 4'!$I$89:$I$649,'Well Cal.'!Q$3,'Schedule 4'!$J$89:$J$649,'Well Cal.'!$E457)</f>
        <v>0</v>
      </c>
      <c r="R457" s="727">
        <f>SUMIFS('Schedule 4'!$F$89:$F$649,'Schedule 4'!$I$89:$I$649,'Well Cal.'!R$3,'Schedule 4'!$J$89:$J$649,'Well Cal.'!$E457)</f>
        <v>0</v>
      </c>
      <c r="S457" s="727">
        <f>SUMIFS('Schedule 4'!$F$89:$F$649,'Schedule 4'!$I$89:$I$649,'Well Cal.'!S$3,'Schedule 4'!$J$89:$J$649,'Well Cal.'!$E457)</f>
        <v>0</v>
      </c>
      <c r="T457" s="727">
        <f>SUMIFS('Schedule 4'!$F$89:$F$649,'Schedule 4'!$I$89:$I$649,'Well Cal.'!T$3,'Schedule 4'!$J$89:$J$649,'Well Cal.'!$E457)</f>
        <v>0</v>
      </c>
      <c r="U457" s="727">
        <f>SUMIFS('Schedule 4'!$F$89:$F$649,'Schedule 4'!$I$89:$I$649,'Well Cal.'!U$3,'Schedule 4'!$J$89:$J$649,'Well Cal.'!$E457)</f>
        <v>0</v>
      </c>
      <c r="V457" s="727">
        <f>SUMIFS('Schedule 4'!$F$89:$F$649,'Schedule 4'!$I$89:$I$649,'Well Cal.'!V$3,'Schedule 4'!$J$89:$J$649,'Well Cal.'!$E457)</f>
        <v>0</v>
      </c>
      <c r="W457" s="727">
        <f>SUMIFS('Schedule 4'!$F$89:$F$649,'Schedule 4'!$I$89:$I$649,'Well Cal.'!W$3,'Schedule 4'!$J$89:$J$649,'Well Cal.'!$E457)</f>
        <v>0</v>
      </c>
      <c r="X457" s="727">
        <f>SUMIFS('Schedule 4'!$F$89:$F$649,'Schedule 4'!$I$89:$I$649,'Well Cal.'!X$3,'Schedule 4'!$J$89:$J$649,'Well Cal.'!$E457)</f>
        <v>0</v>
      </c>
      <c r="Y457" s="727">
        <f>SUMIFS('Schedule 4'!$F$89:$F$649,'Schedule 4'!$I$89:$I$649,'Well Cal.'!Y$3,'Schedule 4'!$J$89:$J$649,'Well Cal.'!$E457)</f>
        <v>0</v>
      </c>
      <c r="Z457" s="727">
        <f>SUMIFS('Schedule 4'!$F$89:$F$649,'Schedule 4'!$I$89:$I$649,'Well Cal.'!Z$3,'Schedule 4'!$J$89:$J$649,'Well Cal.'!$E457)</f>
        <v>0</v>
      </c>
      <c r="AA457" s="727"/>
      <c r="AB457" s="1730"/>
      <c r="AC457" s="1730"/>
    </row>
    <row r="458" spans="2:29" x14ac:dyDescent="0.3">
      <c r="B458" s="1724"/>
      <c r="C458" s="1727"/>
      <c r="D458" s="1721"/>
      <c r="E458" s="775" t="s">
        <v>3451</v>
      </c>
      <c r="F458" s="727">
        <f>SUMIFS('Schedule 4'!$F$89:$F$649,'Schedule 4'!$I$89:$I$649,'Well Cal.'!F$3,'Schedule 4'!$J$89:$J$649,'Well Cal.'!$E458)</f>
        <v>0</v>
      </c>
      <c r="G458" s="727">
        <f>SUMIFS('Schedule 4'!$F$89:$F$649,'Schedule 4'!$I$89:$I$649,'Well Cal.'!G$3,'Schedule 4'!$J$89:$J$649,'Well Cal.'!$E458)</f>
        <v>0</v>
      </c>
      <c r="H458" s="727">
        <f>SUMIFS('Schedule 4'!$F$89:$F$649,'Schedule 4'!$I$89:$I$649,'Well Cal.'!H$3,'Schedule 4'!$J$89:$J$649,'Well Cal.'!$E458)</f>
        <v>0</v>
      </c>
      <c r="I458" s="727">
        <f>SUMIFS('Schedule 4'!$F$89:$F$649,'Schedule 4'!$I$89:$I$649,'Well Cal.'!I$3,'Schedule 4'!$J$89:$J$649,'Well Cal.'!$E458)</f>
        <v>0</v>
      </c>
      <c r="J458" s="727">
        <f>SUMIFS('Schedule 4'!$F$89:$F$649,'Schedule 4'!$I$89:$I$649,'Well Cal.'!J$3,'Schedule 4'!$J$89:$J$649,'Well Cal.'!$E458)</f>
        <v>0</v>
      </c>
      <c r="K458" s="727">
        <f>SUMIFS('Schedule 4'!$F$89:$F$649,'Schedule 4'!$I$89:$I$649,'Well Cal.'!K$3,'Schedule 4'!$J$89:$J$649,'Well Cal.'!$E458)</f>
        <v>0</v>
      </c>
      <c r="L458" s="727">
        <f>SUMIFS('Schedule 4'!$F$89:$F$649,'Schedule 4'!$I$89:$I$649,'Well Cal.'!L$3,'Schedule 4'!$J$89:$J$649,'Well Cal.'!$E458)</f>
        <v>0</v>
      </c>
      <c r="M458" s="727">
        <f>SUMIFS('Schedule 4'!$F$89:$F$649,'Schedule 4'!$I$89:$I$649,'Well Cal.'!M$3,'Schedule 4'!$J$89:$J$649,'Well Cal.'!$E458)</f>
        <v>0</v>
      </c>
      <c r="N458" s="727">
        <f>SUMIFS('Schedule 4'!$F$89:$F$649,'Schedule 4'!$I$89:$I$649,'Well Cal.'!N$3,'Schedule 4'!$J$89:$J$649,'Well Cal.'!$E458)</f>
        <v>0</v>
      </c>
      <c r="O458" s="727">
        <f>SUMIFS('Schedule 4'!$F$89:$F$649,'Schedule 4'!$I$89:$I$649,'Well Cal.'!O$3,'Schedule 4'!$J$89:$J$649,'Well Cal.'!$E458)</f>
        <v>0</v>
      </c>
      <c r="P458" s="727">
        <f>SUMIFS('Schedule 4'!$F$89:$F$649,'Schedule 4'!$I$89:$I$649,'Well Cal.'!P$3,'Schedule 4'!$J$89:$J$649,'Well Cal.'!$E458)</f>
        <v>0</v>
      </c>
      <c r="Q458" s="727">
        <f>SUMIFS('Schedule 4'!$F$89:$F$649,'Schedule 4'!$I$89:$I$649,'Well Cal.'!Q$3,'Schedule 4'!$J$89:$J$649,'Well Cal.'!$E458)</f>
        <v>0</v>
      </c>
      <c r="R458" s="727">
        <f>SUMIFS('Schedule 4'!$F$89:$F$649,'Schedule 4'!$I$89:$I$649,'Well Cal.'!R$3,'Schedule 4'!$J$89:$J$649,'Well Cal.'!$E458)</f>
        <v>0</v>
      </c>
      <c r="S458" s="727">
        <f>SUMIFS('Schedule 4'!$F$89:$F$649,'Schedule 4'!$I$89:$I$649,'Well Cal.'!S$3,'Schedule 4'!$J$89:$J$649,'Well Cal.'!$E458)</f>
        <v>0</v>
      </c>
      <c r="T458" s="727">
        <f>SUMIFS('Schedule 4'!$F$89:$F$649,'Schedule 4'!$I$89:$I$649,'Well Cal.'!T$3,'Schedule 4'!$J$89:$J$649,'Well Cal.'!$E458)</f>
        <v>0</v>
      </c>
      <c r="U458" s="727">
        <f>SUMIFS('Schedule 4'!$F$89:$F$649,'Schedule 4'!$I$89:$I$649,'Well Cal.'!U$3,'Schedule 4'!$J$89:$J$649,'Well Cal.'!$E458)</f>
        <v>0</v>
      </c>
      <c r="V458" s="727">
        <f>SUMIFS('Schedule 4'!$F$89:$F$649,'Schedule 4'!$I$89:$I$649,'Well Cal.'!V$3,'Schedule 4'!$J$89:$J$649,'Well Cal.'!$E458)</f>
        <v>0</v>
      </c>
      <c r="W458" s="727">
        <f>SUMIFS('Schedule 4'!$F$89:$F$649,'Schedule 4'!$I$89:$I$649,'Well Cal.'!W$3,'Schedule 4'!$J$89:$J$649,'Well Cal.'!$E458)</f>
        <v>0</v>
      </c>
      <c r="X458" s="727">
        <f>SUMIFS('Schedule 4'!$F$89:$F$649,'Schedule 4'!$I$89:$I$649,'Well Cal.'!X$3,'Schedule 4'!$J$89:$J$649,'Well Cal.'!$E458)</f>
        <v>0</v>
      </c>
      <c r="Y458" s="727">
        <f>SUMIFS('Schedule 4'!$F$89:$F$649,'Schedule 4'!$I$89:$I$649,'Well Cal.'!Y$3,'Schedule 4'!$J$89:$J$649,'Well Cal.'!$E458)</f>
        <v>0</v>
      </c>
      <c r="Z458" s="727">
        <f>SUMIFS('Schedule 4'!$F$89:$F$649,'Schedule 4'!$I$89:$I$649,'Well Cal.'!Z$3,'Schedule 4'!$J$89:$J$649,'Well Cal.'!$E458)</f>
        <v>0</v>
      </c>
      <c r="AA458" s="727"/>
      <c r="AB458" s="1730"/>
      <c r="AC458" s="1730"/>
    </row>
    <row r="459" spans="2:29" x14ac:dyDescent="0.3">
      <c r="B459" s="1724"/>
      <c r="C459" s="1727"/>
      <c r="D459" s="1721"/>
      <c r="E459" s="775" t="s">
        <v>3524</v>
      </c>
      <c r="F459" s="727">
        <f>SUMIFS('Schedule 4'!$F$89:$F$649,'Schedule 4'!$I$89:$I$649,'Well Cal.'!F$3,'Schedule 4'!$J$89:$J$649,'Well Cal.'!$E459)</f>
        <v>0</v>
      </c>
      <c r="G459" s="727">
        <f>SUMIFS('Schedule 4'!$F$89:$F$649,'Schedule 4'!$I$89:$I$649,'Well Cal.'!G$3,'Schedule 4'!$J$89:$J$649,'Well Cal.'!$E459)</f>
        <v>0</v>
      </c>
      <c r="H459" s="727">
        <f>SUMIFS('Schedule 4'!$F$89:$F$649,'Schedule 4'!$I$89:$I$649,'Well Cal.'!H$3,'Schedule 4'!$J$89:$J$649,'Well Cal.'!$E459)</f>
        <v>0</v>
      </c>
      <c r="I459" s="727">
        <f>SUMIFS('Schedule 4'!$F$89:$F$649,'Schedule 4'!$I$89:$I$649,'Well Cal.'!I$3,'Schedule 4'!$J$89:$J$649,'Well Cal.'!$E459)</f>
        <v>0</v>
      </c>
      <c r="J459" s="727">
        <f>SUMIFS('Schedule 4'!$F$89:$F$649,'Schedule 4'!$I$89:$I$649,'Well Cal.'!J$3,'Schedule 4'!$J$89:$J$649,'Well Cal.'!$E459)</f>
        <v>0</v>
      </c>
      <c r="K459" s="727">
        <f>SUMIFS('Schedule 4'!$F$89:$F$649,'Schedule 4'!$I$89:$I$649,'Well Cal.'!K$3,'Schedule 4'!$J$89:$J$649,'Well Cal.'!$E459)</f>
        <v>0</v>
      </c>
      <c r="L459" s="727">
        <f>SUMIFS('Schedule 4'!$F$89:$F$649,'Schedule 4'!$I$89:$I$649,'Well Cal.'!L$3,'Schedule 4'!$J$89:$J$649,'Well Cal.'!$E459)</f>
        <v>0</v>
      </c>
      <c r="M459" s="727">
        <f>SUMIFS('Schedule 4'!$F$89:$F$649,'Schedule 4'!$I$89:$I$649,'Well Cal.'!M$3,'Schedule 4'!$J$89:$J$649,'Well Cal.'!$E459)</f>
        <v>0</v>
      </c>
      <c r="N459" s="727">
        <f>SUMIFS('Schedule 4'!$F$89:$F$649,'Schedule 4'!$I$89:$I$649,'Well Cal.'!N$3,'Schedule 4'!$J$89:$J$649,'Well Cal.'!$E459)</f>
        <v>0</v>
      </c>
      <c r="O459" s="727">
        <f>SUMIFS('Schedule 4'!$F$89:$F$649,'Schedule 4'!$I$89:$I$649,'Well Cal.'!O$3,'Schedule 4'!$J$89:$J$649,'Well Cal.'!$E459)</f>
        <v>0</v>
      </c>
      <c r="P459" s="727">
        <f>SUMIFS('Schedule 4'!$F$89:$F$649,'Schedule 4'!$I$89:$I$649,'Well Cal.'!P$3,'Schedule 4'!$J$89:$J$649,'Well Cal.'!$E459)</f>
        <v>0</v>
      </c>
      <c r="Q459" s="727">
        <f>SUMIFS('Schedule 4'!$F$89:$F$649,'Schedule 4'!$I$89:$I$649,'Well Cal.'!Q$3,'Schedule 4'!$J$89:$J$649,'Well Cal.'!$E459)</f>
        <v>0</v>
      </c>
      <c r="R459" s="727">
        <f>SUMIFS('Schedule 4'!$F$89:$F$649,'Schedule 4'!$I$89:$I$649,'Well Cal.'!R$3,'Schedule 4'!$J$89:$J$649,'Well Cal.'!$E459)</f>
        <v>0</v>
      </c>
      <c r="S459" s="727">
        <f>SUMIFS('Schedule 4'!$F$89:$F$649,'Schedule 4'!$I$89:$I$649,'Well Cal.'!S$3,'Schedule 4'!$J$89:$J$649,'Well Cal.'!$E459)</f>
        <v>0</v>
      </c>
      <c r="T459" s="727">
        <f>SUMIFS('Schedule 4'!$F$89:$F$649,'Schedule 4'!$I$89:$I$649,'Well Cal.'!T$3,'Schedule 4'!$J$89:$J$649,'Well Cal.'!$E459)</f>
        <v>0</v>
      </c>
      <c r="U459" s="727">
        <f>SUMIFS('Schedule 4'!$F$89:$F$649,'Schedule 4'!$I$89:$I$649,'Well Cal.'!U$3,'Schedule 4'!$J$89:$J$649,'Well Cal.'!$E459)</f>
        <v>0</v>
      </c>
      <c r="V459" s="727">
        <f>SUMIFS('Schedule 4'!$F$89:$F$649,'Schedule 4'!$I$89:$I$649,'Well Cal.'!V$3,'Schedule 4'!$J$89:$J$649,'Well Cal.'!$E459)</f>
        <v>0</v>
      </c>
      <c r="W459" s="727">
        <f>SUMIFS('Schedule 4'!$F$89:$F$649,'Schedule 4'!$I$89:$I$649,'Well Cal.'!W$3,'Schedule 4'!$J$89:$J$649,'Well Cal.'!$E459)</f>
        <v>0</v>
      </c>
      <c r="X459" s="727">
        <f>SUMIFS('Schedule 4'!$F$89:$F$649,'Schedule 4'!$I$89:$I$649,'Well Cal.'!X$3,'Schedule 4'!$J$89:$J$649,'Well Cal.'!$E459)</f>
        <v>0</v>
      </c>
      <c r="Y459" s="727">
        <f>SUMIFS('Schedule 4'!$F$89:$F$649,'Schedule 4'!$I$89:$I$649,'Well Cal.'!Y$3,'Schedule 4'!$J$89:$J$649,'Well Cal.'!$E459)</f>
        <v>0</v>
      </c>
      <c r="Z459" s="727">
        <f>SUMIFS('Schedule 4'!$F$89:$F$649,'Schedule 4'!$I$89:$I$649,'Well Cal.'!Z$3,'Schedule 4'!$J$89:$J$649,'Well Cal.'!$E459)</f>
        <v>0</v>
      </c>
      <c r="AA459" s="727"/>
      <c r="AB459" s="1730"/>
      <c r="AC459" s="1730"/>
    </row>
    <row r="460" spans="2:29" x14ac:dyDescent="0.3">
      <c r="B460" s="1724"/>
      <c r="C460" s="1727"/>
      <c r="D460" s="1721"/>
      <c r="E460" s="775" t="s">
        <v>3607</v>
      </c>
      <c r="F460" s="727">
        <f>SUMIFS('Schedule 4'!$F$89:$F$649,'Schedule 4'!$I$89:$I$649,'Well Cal.'!F$3,'Schedule 4'!$J$89:$J$649,'Well Cal.'!$E460)</f>
        <v>0</v>
      </c>
      <c r="G460" s="727">
        <f>SUMIFS('Schedule 4'!$F$89:$F$649,'Schedule 4'!$I$89:$I$649,'Well Cal.'!G$3,'Schedule 4'!$J$89:$J$649,'Well Cal.'!$E460)</f>
        <v>0</v>
      </c>
      <c r="H460" s="727">
        <f>SUMIFS('Schedule 4'!$F$89:$F$649,'Schedule 4'!$I$89:$I$649,'Well Cal.'!H$3,'Schedule 4'!$J$89:$J$649,'Well Cal.'!$E460)</f>
        <v>0</v>
      </c>
      <c r="I460" s="727">
        <f>SUMIFS('Schedule 4'!$F$89:$F$649,'Schedule 4'!$I$89:$I$649,'Well Cal.'!I$3,'Schedule 4'!$J$89:$J$649,'Well Cal.'!$E460)</f>
        <v>0</v>
      </c>
      <c r="J460" s="727">
        <f>SUMIFS('Schedule 4'!$F$89:$F$649,'Schedule 4'!$I$89:$I$649,'Well Cal.'!J$3,'Schedule 4'!$J$89:$J$649,'Well Cal.'!$E460)</f>
        <v>0</v>
      </c>
      <c r="K460" s="727">
        <f>SUMIFS('Schedule 4'!$F$89:$F$649,'Schedule 4'!$I$89:$I$649,'Well Cal.'!K$3,'Schedule 4'!$J$89:$J$649,'Well Cal.'!$E460)</f>
        <v>0</v>
      </c>
      <c r="L460" s="727">
        <f>SUMIFS('Schedule 4'!$F$89:$F$649,'Schedule 4'!$I$89:$I$649,'Well Cal.'!L$3,'Schedule 4'!$J$89:$J$649,'Well Cal.'!$E460)</f>
        <v>0</v>
      </c>
      <c r="M460" s="727">
        <f>SUMIFS('Schedule 4'!$F$89:$F$649,'Schedule 4'!$I$89:$I$649,'Well Cal.'!M$3,'Schedule 4'!$J$89:$J$649,'Well Cal.'!$E460)</f>
        <v>0</v>
      </c>
      <c r="N460" s="727">
        <f>SUMIFS('Schedule 4'!$F$89:$F$649,'Schedule 4'!$I$89:$I$649,'Well Cal.'!N$3,'Schedule 4'!$J$89:$J$649,'Well Cal.'!$E460)</f>
        <v>0</v>
      </c>
      <c r="O460" s="727">
        <f>SUMIFS('Schedule 4'!$F$89:$F$649,'Schedule 4'!$I$89:$I$649,'Well Cal.'!O$3,'Schedule 4'!$J$89:$J$649,'Well Cal.'!$E460)</f>
        <v>0</v>
      </c>
      <c r="P460" s="727">
        <f>SUMIFS('Schedule 4'!$F$89:$F$649,'Schedule 4'!$I$89:$I$649,'Well Cal.'!P$3,'Schedule 4'!$J$89:$J$649,'Well Cal.'!$E460)</f>
        <v>0</v>
      </c>
      <c r="Q460" s="727">
        <f>SUMIFS('Schedule 4'!$F$89:$F$649,'Schedule 4'!$I$89:$I$649,'Well Cal.'!Q$3,'Schedule 4'!$J$89:$J$649,'Well Cal.'!$E460)</f>
        <v>0</v>
      </c>
      <c r="R460" s="727">
        <f>SUMIFS('Schedule 4'!$F$89:$F$649,'Schedule 4'!$I$89:$I$649,'Well Cal.'!R$3,'Schedule 4'!$J$89:$J$649,'Well Cal.'!$E460)</f>
        <v>0</v>
      </c>
      <c r="S460" s="727">
        <f>SUMIFS('Schedule 4'!$F$89:$F$649,'Schedule 4'!$I$89:$I$649,'Well Cal.'!S$3,'Schedule 4'!$J$89:$J$649,'Well Cal.'!$E460)</f>
        <v>0</v>
      </c>
      <c r="T460" s="727">
        <f>SUMIFS('Schedule 4'!$F$89:$F$649,'Schedule 4'!$I$89:$I$649,'Well Cal.'!T$3,'Schedule 4'!$J$89:$J$649,'Well Cal.'!$E460)</f>
        <v>0</v>
      </c>
      <c r="U460" s="727">
        <f>SUMIFS('Schedule 4'!$F$89:$F$649,'Schedule 4'!$I$89:$I$649,'Well Cal.'!U$3,'Schedule 4'!$J$89:$J$649,'Well Cal.'!$E460)</f>
        <v>0</v>
      </c>
      <c r="V460" s="727">
        <f>SUMIFS('Schedule 4'!$F$89:$F$649,'Schedule 4'!$I$89:$I$649,'Well Cal.'!V$3,'Schedule 4'!$J$89:$J$649,'Well Cal.'!$E460)</f>
        <v>0</v>
      </c>
      <c r="W460" s="727">
        <f>SUMIFS('Schedule 4'!$F$89:$F$649,'Schedule 4'!$I$89:$I$649,'Well Cal.'!W$3,'Schedule 4'!$J$89:$J$649,'Well Cal.'!$E460)</f>
        <v>0</v>
      </c>
      <c r="X460" s="727">
        <f>SUMIFS('Schedule 4'!$F$89:$F$649,'Schedule 4'!$I$89:$I$649,'Well Cal.'!X$3,'Schedule 4'!$J$89:$J$649,'Well Cal.'!$E460)</f>
        <v>0</v>
      </c>
      <c r="Y460" s="727">
        <f>SUMIFS('Schedule 4'!$F$89:$F$649,'Schedule 4'!$I$89:$I$649,'Well Cal.'!Y$3,'Schedule 4'!$J$89:$J$649,'Well Cal.'!$E460)</f>
        <v>0</v>
      </c>
      <c r="Z460" s="727">
        <f>SUMIFS('Schedule 4'!$F$89:$F$649,'Schedule 4'!$I$89:$I$649,'Well Cal.'!Z$3,'Schedule 4'!$J$89:$J$649,'Well Cal.'!$E460)</f>
        <v>0</v>
      </c>
      <c r="AA460" s="727"/>
      <c r="AB460" s="1730"/>
      <c r="AC460" s="1730"/>
    </row>
    <row r="461" spans="2:29" x14ac:dyDescent="0.3">
      <c r="B461" s="1724"/>
      <c r="C461" s="1727"/>
      <c r="D461" s="1721"/>
      <c r="E461" s="775" t="s">
        <v>3709</v>
      </c>
      <c r="F461" s="727">
        <f>SUMIFS('Schedule 4'!$F$89:$F$649,'Schedule 4'!$I$89:$I$649,'Well Cal.'!F$3,'Schedule 4'!$J$89:$J$649,'Well Cal.'!$E461)</f>
        <v>0</v>
      </c>
      <c r="G461" s="727">
        <f>SUMIFS('Schedule 4'!$F$89:$F$649,'Schedule 4'!$I$89:$I$649,'Well Cal.'!G$3,'Schedule 4'!$J$89:$J$649,'Well Cal.'!$E461)</f>
        <v>0</v>
      </c>
      <c r="H461" s="727">
        <f>SUMIFS('Schedule 4'!$F$89:$F$649,'Schedule 4'!$I$89:$I$649,'Well Cal.'!H$3,'Schedule 4'!$J$89:$J$649,'Well Cal.'!$E461)</f>
        <v>0</v>
      </c>
      <c r="I461" s="727">
        <f>SUMIFS('Schedule 4'!$F$89:$F$649,'Schedule 4'!$I$89:$I$649,'Well Cal.'!I$3,'Schedule 4'!$J$89:$J$649,'Well Cal.'!$E461)</f>
        <v>0</v>
      </c>
      <c r="J461" s="727">
        <f>SUMIFS('Schedule 4'!$F$89:$F$649,'Schedule 4'!$I$89:$I$649,'Well Cal.'!J$3,'Schedule 4'!$J$89:$J$649,'Well Cal.'!$E461)</f>
        <v>0</v>
      </c>
      <c r="K461" s="727">
        <f>SUMIFS('Schedule 4'!$F$89:$F$649,'Schedule 4'!$I$89:$I$649,'Well Cal.'!K$3,'Schedule 4'!$J$89:$J$649,'Well Cal.'!$E461)</f>
        <v>0</v>
      </c>
      <c r="L461" s="727">
        <f>SUMIFS('Schedule 4'!$F$89:$F$649,'Schedule 4'!$I$89:$I$649,'Well Cal.'!L$3,'Schedule 4'!$J$89:$J$649,'Well Cal.'!$E461)</f>
        <v>0</v>
      </c>
      <c r="M461" s="727">
        <f>SUMIFS('Schedule 4'!$F$89:$F$649,'Schedule 4'!$I$89:$I$649,'Well Cal.'!M$3,'Schedule 4'!$J$89:$J$649,'Well Cal.'!$E461)</f>
        <v>0</v>
      </c>
      <c r="N461" s="727">
        <f>SUMIFS('Schedule 4'!$F$89:$F$649,'Schedule 4'!$I$89:$I$649,'Well Cal.'!N$3,'Schedule 4'!$J$89:$J$649,'Well Cal.'!$E461)</f>
        <v>0</v>
      </c>
      <c r="O461" s="727">
        <f>SUMIFS('Schedule 4'!$F$89:$F$649,'Schedule 4'!$I$89:$I$649,'Well Cal.'!O$3,'Schedule 4'!$J$89:$J$649,'Well Cal.'!$E461)</f>
        <v>0</v>
      </c>
      <c r="P461" s="727">
        <f>SUMIFS('Schedule 4'!$F$89:$F$649,'Schedule 4'!$I$89:$I$649,'Well Cal.'!P$3,'Schedule 4'!$J$89:$J$649,'Well Cal.'!$E461)</f>
        <v>0</v>
      </c>
      <c r="Q461" s="727">
        <f>SUMIFS('Schedule 4'!$F$89:$F$649,'Schedule 4'!$I$89:$I$649,'Well Cal.'!Q$3,'Schedule 4'!$J$89:$J$649,'Well Cal.'!$E461)</f>
        <v>0</v>
      </c>
      <c r="R461" s="727">
        <f>SUMIFS('Schedule 4'!$F$89:$F$649,'Schedule 4'!$I$89:$I$649,'Well Cal.'!R$3,'Schedule 4'!$J$89:$J$649,'Well Cal.'!$E461)</f>
        <v>0</v>
      </c>
      <c r="S461" s="727">
        <f>SUMIFS('Schedule 4'!$F$89:$F$649,'Schedule 4'!$I$89:$I$649,'Well Cal.'!S$3,'Schedule 4'!$J$89:$J$649,'Well Cal.'!$E461)</f>
        <v>0</v>
      </c>
      <c r="T461" s="727">
        <f>SUMIFS('Schedule 4'!$F$89:$F$649,'Schedule 4'!$I$89:$I$649,'Well Cal.'!T$3,'Schedule 4'!$J$89:$J$649,'Well Cal.'!$E461)</f>
        <v>0</v>
      </c>
      <c r="U461" s="727">
        <f>SUMIFS('Schedule 4'!$F$89:$F$649,'Schedule 4'!$I$89:$I$649,'Well Cal.'!U$3,'Schedule 4'!$J$89:$J$649,'Well Cal.'!$E461)</f>
        <v>0</v>
      </c>
      <c r="V461" s="727">
        <f>SUMIFS('Schedule 4'!$F$89:$F$649,'Schedule 4'!$I$89:$I$649,'Well Cal.'!V$3,'Schedule 4'!$J$89:$J$649,'Well Cal.'!$E461)</f>
        <v>0</v>
      </c>
      <c r="W461" s="727">
        <f>SUMIFS('Schedule 4'!$F$89:$F$649,'Schedule 4'!$I$89:$I$649,'Well Cal.'!W$3,'Schedule 4'!$J$89:$J$649,'Well Cal.'!$E461)</f>
        <v>0</v>
      </c>
      <c r="X461" s="727">
        <f>SUMIFS('Schedule 4'!$F$89:$F$649,'Schedule 4'!$I$89:$I$649,'Well Cal.'!X$3,'Schedule 4'!$J$89:$J$649,'Well Cal.'!$E461)</f>
        <v>0</v>
      </c>
      <c r="Y461" s="727">
        <f>SUMIFS('Schedule 4'!$F$89:$F$649,'Schedule 4'!$I$89:$I$649,'Well Cal.'!Y$3,'Schedule 4'!$J$89:$J$649,'Well Cal.'!$E461)</f>
        <v>0</v>
      </c>
      <c r="Z461" s="727">
        <f>SUMIFS('Schedule 4'!$F$89:$F$649,'Schedule 4'!$I$89:$I$649,'Well Cal.'!Z$3,'Schedule 4'!$J$89:$J$649,'Well Cal.'!$E461)</f>
        <v>0</v>
      </c>
      <c r="AA461" s="727"/>
      <c r="AB461" s="1731"/>
      <c r="AC461" s="1731"/>
    </row>
    <row r="462" spans="2:29" x14ac:dyDescent="0.3">
      <c r="B462" s="1724"/>
      <c r="C462" s="1727"/>
      <c r="D462" s="1721"/>
      <c r="E462" s="775" t="s">
        <v>3744</v>
      </c>
      <c r="F462" s="727">
        <f>SUMIFS('Schedule 4'!$F$89:$F$649,'Schedule 4'!$I$89:$I$649,'Well Cal.'!F$3,'Schedule 4'!$J$89:$J$649,'Well Cal.'!$E462)</f>
        <v>0</v>
      </c>
      <c r="G462" s="727">
        <f>SUMIFS('Schedule 4'!$F$89:$F$649,'Schedule 4'!$I$89:$I$649,'Well Cal.'!G$3,'Schedule 4'!$J$89:$J$649,'Well Cal.'!$E462)</f>
        <v>0</v>
      </c>
      <c r="H462" s="727">
        <f>SUMIFS('Schedule 4'!$F$89:$F$649,'Schedule 4'!$I$89:$I$649,'Well Cal.'!H$3,'Schedule 4'!$J$89:$J$649,'Well Cal.'!$E462)</f>
        <v>0</v>
      </c>
      <c r="I462" s="727">
        <f>SUMIFS('Schedule 4'!$F$89:$F$649,'Schedule 4'!$I$89:$I$649,'Well Cal.'!I$3,'Schedule 4'!$J$89:$J$649,'Well Cal.'!$E462)</f>
        <v>0</v>
      </c>
      <c r="J462" s="727">
        <f>SUMIFS('Schedule 4'!$F$89:$F$649,'Schedule 4'!$I$89:$I$649,'Well Cal.'!J$3,'Schedule 4'!$J$89:$J$649,'Well Cal.'!$E462)</f>
        <v>0</v>
      </c>
      <c r="K462" s="727">
        <f>SUMIFS('Schedule 4'!$F$89:$F$649,'Schedule 4'!$I$89:$I$649,'Well Cal.'!K$3,'Schedule 4'!$J$89:$J$649,'Well Cal.'!$E462)</f>
        <v>0</v>
      </c>
      <c r="L462" s="727">
        <f>SUMIFS('Schedule 4'!$F$89:$F$649,'Schedule 4'!$I$89:$I$649,'Well Cal.'!L$3,'Schedule 4'!$J$89:$J$649,'Well Cal.'!$E462)</f>
        <v>0</v>
      </c>
      <c r="M462" s="727">
        <f>SUMIFS('Schedule 4'!$F$89:$F$649,'Schedule 4'!$I$89:$I$649,'Well Cal.'!M$3,'Schedule 4'!$J$89:$J$649,'Well Cal.'!$E462)</f>
        <v>0</v>
      </c>
      <c r="N462" s="727">
        <f>SUMIFS('Schedule 4'!$F$89:$F$649,'Schedule 4'!$I$89:$I$649,'Well Cal.'!N$3,'Schedule 4'!$J$89:$J$649,'Well Cal.'!$E462)</f>
        <v>0</v>
      </c>
      <c r="O462" s="727">
        <f>SUMIFS('Schedule 4'!$F$89:$F$649,'Schedule 4'!$I$89:$I$649,'Well Cal.'!O$3,'Schedule 4'!$J$89:$J$649,'Well Cal.'!$E462)</f>
        <v>0</v>
      </c>
      <c r="P462" s="727">
        <f>SUMIFS('Schedule 4'!$F$89:$F$649,'Schedule 4'!$I$89:$I$649,'Well Cal.'!P$3,'Schedule 4'!$J$89:$J$649,'Well Cal.'!$E462)</f>
        <v>0</v>
      </c>
      <c r="Q462" s="727">
        <f>SUMIFS('Schedule 4'!$F$89:$F$649,'Schedule 4'!$I$89:$I$649,'Well Cal.'!Q$3,'Schedule 4'!$J$89:$J$649,'Well Cal.'!$E462)</f>
        <v>0</v>
      </c>
      <c r="R462" s="727">
        <f>SUMIFS('Schedule 4'!$F$89:$F$649,'Schedule 4'!$I$89:$I$649,'Well Cal.'!R$3,'Schedule 4'!$J$89:$J$649,'Well Cal.'!$E462)</f>
        <v>0</v>
      </c>
      <c r="S462" s="727">
        <f>SUMIFS('Schedule 4'!$F$89:$F$649,'Schedule 4'!$I$89:$I$649,'Well Cal.'!S$3,'Schedule 4'!$J$89:$J$649,'Well Cal.'!$E462)</f>
        <v>0</v>
      </c>
      <c r="T462" s="727">
        <f>SUMIFS('Schedule 4'!$F$89:$F$649,'Schedule 4'!$I$89:$I$649,'Well Cal.'!T$3,'Schedule 4'!$J$89:$J$649,'Well Cal.'!$E462)</f>
        <v>0</v>
      </c>
      <c r="U462" s="727">
        <f>SUMIFS('Schedule 4'!$F$89:$F$649,'Schedule 4'!$I$89:$I$649,'Well Cal.'!U$3,'Schedule 4'!$J$89:$J$649,'Well Cal.'!$E462)</f>
        <v>0</v>
      </c>
      <c r="V462" s="727">
        <f>SUMIFS('Schedule 4'!$F$89:$F$649,'Schedule 4'!$I$89:$I$649,'Well Cal.'!V$3,'Schedule 4'!$J$89:$J$649,'Well Cal.'!$E462)</f>
        <v>0</v>
      </c>
      <c r="W462" s="727">
        <f>SUMIFS('Schedule 4'!$F$89:$F$649,'Schedule 4'!$I$89:$I$649,'Well Cal.'!W$3,'Schedule 4'!$J$89:$J$649,'Well Cal.'!$E462)</f>
        <v>0</v>
      </c>
      <c r="X462" s="727">
        <f>SUMIFS('Schedule 4'!$F$89:$F$649,'Schedule 4'!$I$89:$I$649,'Well Cal.'!X$3,'Schedule 4'!$J$89:$J$649,'Well Cal.'!$E462)</f>
        <v>0</v>
      </c>
      <c r="Y462" s="727">
        <f>SUMIFS('Schedule 4'!$F$89:$F$649,'Schedule 4'!$I$89:$I$649,'Well Cal.'!Y$3,'Schedule 4'!$J$89:$J$649,'Well Cal.'!$E462)</f>
        <v>0</v>
      </c>
      <c r="Z462" s="727">
        <f>SUMIFS('Schedule 4'!$F$89:$F$649,'Schedule 4'!$I$89:$I$649,'Well Cal.'!Z$3,'Schedule 4'!$J$89:$J$649,'Well Cal.'!$E462)</f>
        <v>0</v>
      </c>
      <c r="AA462" s="727"/>
      <c r="AB462" s="1731"/>
      <c r="AC462" s="1731"/>
    </row>
    <row r="463" spans="2:29" x14ac:dyDescent="0.3">
      <c r="B463" s="1724"/>
      <c r="C463" s="1727"/>
      <c r="D463" s="1721"/>
      <c r="E463" s="775" t="s">
        <v>3816</v>
      </c>
      <c r="F463" s="727">
        <f>SUMIFS('Schedule 4'!$F$89:$F$649,'Schedule 4'!$I$89:$I$649,'Well Cal.'!F$3,'Schedule 4'!$J$89:$J$649,'Well Cal.'!$E463)</f>
        <v>0</v>
      </c>
      <c r="G463" s="727">
        <f>SUMIFS('Schedule 4'!$F$89:$F$649,'Schedule 4'!$I$89:$I$649,'Well Cal.'!G$3,'Schedule 4'!$J$89:$J$649,'Well Cal.'!$E463)</f>
        <v>0</v>
      </c>
      <c r="H463" s="727">
        <f>SUMIFS('Schedule 4'!$F$89:$F$649,'Schedule 4'!$I$89:$I$649,'Well Cal.'!H$3,'Schedule 4'!$J$89:$J$649,'Well Cal.'!$E463)</f>
        <v>0</v>
      </c>
      <c r="I463" s="727">
        <f>SUMIFS('Schedule 4'!$F$89:$F$649,'Schedule 4'!$I$89:$I$649,'Well Cal.'!I$3,'Schedule 4'!$J$89:$J$649,'Well Cal.'!$E463)</f>
        <v>0</v>
      </c>
      <c r="J463" s="727">
        <f>SUMIFS('Schedule 4'!$F$89:$F$649,'Schedule 4'!$I$89:$I$649,'Well Cal.'!J$3,'Schedule 4'!$J$89:$J$649,'Well Cal.'!$E463)</f>
        <v>0</v>
      </c>
      <c r="K463" s="727">
        <f>SUMIFS('Schedule 4'!$F$89:$F$649,'Schedule 4'!$I$89:$I$649,'Well Cal.'!K$3,'Schedule 4'!$J$89:$J$649,'Well Cal.'!$E463)</f>
        <v>0</v>
      </c>
      <c r="L463" s="727">
        <f>SUMIFS('Schedule 4'!$F$89:$F$649,'Schedule 4'!$I$89:$I$649,'Well Cal.'!L$3,'Schedule 4'!$J$89:$J$649,'Well Cal.'!$E463)</f>
        <v>0</v>
      </c>
      <c r="M463" s="727">
        <f>SUMIFS('Schedule 4'!$F$89:$F$649,'Schedule 4'!$I$89:$I$649,'Well Cal.'!M$3,'Schedule 4'!$J$89:$J$649,'Well Cal.'!$E463)</f>
        <v>0</v>
      </c>
      <c r="N463" s="727">
        <f>SUMIFS('Schedule 4'!$F$89:$F$649,'Schedule 4'!$I$89:$I$649,'Well Cal.'!N$3,'Schedule 4'!$J$89:$J$649,'Well Cal.'!$E463)</f>
        <v>0</v>
      </c>
      <c r="O463" s="727">
        <f>SUMIFS('Schedule 4'!$F$89:$F$649,'Schedule 4'!$I$89:$I$649,'Well Cal.'!O$3,'Schedule 4'!$J$89:$J$649,'Well Cal.'!$E463)</f>
        <v>0</v>
      </c>
      <c r="P463" s="727">
        <f>SUMIFS('Schedule 4'!$F$89:$F$649,'Schedule 4'!$I$89:$I$649,'Well Cal.'!P$3,'Schedule 4'!$J$89:$J$649,'Well Cal.'!$E463)</f>
        <v>0</v>
      </c>
      <c r="Q463" s="727">
        <f>SUMIFS('Schedule 4'!$F$89:$F$649,'Schedule 4'!$I$89:$I$649,'Well Cal.'!Q$3,'Schedule 4'!$J$89:$J$649,'Well Cal.'!$E463)</f>
        <v>0</v>
      </c>
      <c r="R463" s="727">
        <f>SUMIFS('Schedule 4'!$F$89:$F$649,'Schedule 4'!$I$89:$I$649,'Well Cal.'!R$3,'Schedule 4'!$J$89:$J$649,'Well Cal.'!$E463)</f>
        <v>0</v>
      </c>
      <c r="S463" s="727">
        <f>SUMIFS('Schedule 4'!$F$89:$F$649,'Schedule 4'!$I$89:$I$649,'Well Cal.'!S$3,'Schedule 4'!$J$89:$J$649,'Well Cal.'!$E463)</f>
        <v>0</v>
      </c>
      <c r="T463" s="727">
        <f>SUMIFS('Schedule 4'!$F$89:$F$649,'Schedule 4'!$I$89:$I$649,'Well Cal.'!T$3,'Schedule 4'!$J$89:$J$649,'Well Cal.'!$E463)</f>
        <v>0</v>
      </c>
      <c r="U463" s="727">
        <f>SUMIFS('Schedule 4'!$F$89:$F$649,'Schedule 4'!$I$89:$I$649,'Well Cal.'!U$3,'Schedule 4'!$J$89:$J$649,'Well Cal.'!$E463)</f>
        <v>0</v>
      </c>
      <c r="V463" s="727">
        <f>SUMIFS('Schedule 4'!$F$89:$F$649,'Schedule 4'!$I$89:$I$649,'Well Cal.'!V$3,'Schedule 4'!$J$89:$J$649,'Well Cal.'!$E463)</f>
        <v>0</v>
      </c>
      <c r="W463" s="727">
        <f>SUMIFS('Schedule 4'!$F$89:$F$649,'Schedule 4'!$I$89:$I$649,'Well Cal.'!W$3,'Schedule 4'!$J$89:$J$649,'Well Cal.'!$E463)</f>
        <v>0</v>
      </c>
      <c r="X463" s="727">
        <f>SUMIFS('Schedule 4'!$F$89:$F$649,'Schedule 4'!$I$89:$I$649,'Well Cal.'!X$3,'Schedule 4'!$J$89:$J$649,'Well Cal.'!$E463)</f>
        <v>0</v>
      </c>
      <c r="Y463" s="727">
        <f>SUMIFS('Schedule 4'!$F$89:$F$649,'Schedule 4'!$I$89:$I$649,'Well Cal.'!Y$3,'Schedule 4'!$J$89:$J$649,'Well Cal.'!$E463)</f>
        <v>0</v>
      </c>
      <c r="Z463" s="727">
        <f>SUMIFS('Schedule 4'!$F$89:$F$649,'Schedule 4'!$I$89:$I$649,'Well Cal.'!Z$3,'Schedule 4'!$J$89:$J$649,'Well Cal.'!$E463)</f>
        <v>0</v>
      </c>
      <c r="AA463" s="727"/>
      <c r="AB463" s="1731"/>
      <c r="AC463" s="1731"/>
    </row>
    <row r="464" spans="2:29" x14ac:dyDescent="0.3">
      <c r="B464" s="1724"/>
      <c r="C464" s="1727"/>
      <c r="D464" s="1721"/>
      <c r="E464" s="775" t="s">
        <v>3880</v>
      </c>
      <c r="F464" s="727">
        <f>SUMIFS('Schedule 4'!$F$89:$F$649,'Schedule 4'!$I$89:$I$649,'Well Cal.'!F$3,'Schedule 4'!$J$89:$J$649,'Well Cal.'!$E464)</f>
        <v>0</v>
      </c>
      <c r="G464" s="727">
        <f>SUMIFS('Schedule 4'!$F$89:$F$649,'Schedule 4'!$I$89:$I$649,'Well Cal.'!G$3,'Schedule 4'!$J$89:$J$649,'Well Cal.'!$E464)</f>
        <v>0</v>
      </c>
      <c r="H464" s="727">
        <f>SUMIFS('Schedule 4'!$F$89:$F$649,'Schedule 4'!$I$89:$I$649,'Well Cal.'!H$3,'Schedule 4'!$J$89:$J$649,'Well Cal.'!$E464)</f>
        <v>0</v>
      </c>
      <c r="I464" s="727">
        <f>SUMIFS('Schedule 4'!$F$89:$F$649,'Schedule 4'!$I$89:$I$649,'Well Cal.'!I$3,'Schedule 4'!$J$89:$J$649,'Well Cal.'!$E464)</f>
        <v>0</v>
      </c>
      <c r="J464" s="727">
        <f>SUMIFS('Schedule 4'!$F$89:$F$649,'Schedule 4'!$I$89:$I$649,'Well Cal.'!J$3,'Schedule 4'!$J$89:$J$649,'Well Cal.'!$E464)</f>
        <v>0</v>
      </c>
      <c r="K464" s="727">
        <f>SUMIFS('Schedule 4'!$F$89:$F$649,'Schedule 4'!$I$89:$I$649,'Well Cal.'!K$3,'Schedule 4'!$J$89:$J$649,'Well Cal.'!$E464)</f>
        <v>0</v>
      </c>
      <c r="L464" s="727">
        <f>SUMIFS('Schedule 4'!$F$89:$F$649,'Schedule 4'!$I$89:$I$649,'Well Cal.'!L$3,'Schedule 4'!$J$89:$J$649,'Well Cal.'!$E464)</f>
        <v>0</v>
      </c>
      <c r="M464" s="727">
        <f>SUMIFS('Schedule 4'!$F$89:$F$649,'Schedule 4'!$I$89:$I$649,'Well Cal.'!M$3,'Schedule 4'!$J$89:$J$649,'Well Cal.'!$E464)</f>
        <v>0</v>
      </c>
      <c r="N464" s="727">
        <f>SUMIFS('Schedule 4'!$F$89:$F$649,'Schedule 4'!$I$89:$I$649,'Well Cal.'!N$3,'Schedule 4'!$J$89:$J$649,'Well Cal.'!$E464)</f>
        <v>0</v>
      </c>
      <c r="O464" s="727">
        <f>SUMIFS('Schedule 4'!$F$89:$F$649,'Schedule 4'!$I$89:$I$649,'Well Cal.'!O$3,'Schedule 4'!$J$89:$J$649,'Well Cal.'!$E464)</f>
        <v>0</v>
      </c>
      <c r="P464" s="727">
        <f>SUMIFS('Schedule 4'!$F$89:$F$649,'Schedule 4'!$I$89:$I$649,'Well Cal.'!P$3,'Schedule 4'!$J$89:$J$649,'Well Cal.'!$E464)</f>
        <v>0</v>
      </c>
      <c r="Q464" s="727">
        <f>SUMIFS('Schedule 4'!$F$89:$F$649,'Schedule 4'!$I$89:$I$649,'Well Cal.'!Q$3,'Schedule 4'!$J$89:$J$649,'Well Cal.'!$E464)</f>
        <v>0</v>
      </c>
      <c r="R464" s="727">
        <f>SUMIFS('Schedule 4'!$F$89:$F$649,'Schedule 4'!$I$89:$I$649,'Well Cal.'!R$3,'Schedule 4'!$J$89:$J$649,'Well Cal.'!$E464)</f>
        <v>0</v>
      </c>
      <c r="S464" s="727">
        <f>SUMIFS('Schedule 4'!$F$89:$F$649,'Schedule 4'!$I$89:$I$649,'Well Cal.'!S$3,'Schedule 4'!$J$89:$J$649,'Well Cal.'!$E464)</f>
        <v>0</v>
      </c>
      <c r="T464" s="727">
        <f>SUMIFS('Schedule 4'!$F$89:$F$649,'Schedule 4'!$I$89:$I$649,'Well Cal.'!T$3,'Schedule 4'!$J$89:$J$649,'Well Cal.'!$E464)</f>
        <v>0</v>
      </c>
      <c r="U464" s="727">
        <f>SUMIFS('Schedule 4'!$F$89:$F$649,'Schedule 4'!$I$89:$I$649,'Well Cal.'!U$3,'Schedule 4'!$J$89:$J$649,'Well Cal.'!$E464)</f>
        <v>0</v>
      </c>
      <c r="V464" s="727">
        <f>SUMIFS('Schedule 4'!$F$89:$F$649,'Schedule 4'!$I$89:$I$649,'Well Cal.'!V$3,'Schedule 4'!$J$89:$J$649,'Well Cal.'!$E464)</f>
        <v>0</v>
      </c>
      <c r="W464" s="727">
        <f>SUMIFS('Schedule 4'!$F$89:$F$649,'Schedule 4'!$I$89:$I$649,'Well Cal.'!W$3,'Schedule 4'!$J$89:$J$649,'Well Cal.'!$E464)</f>
        <v>0</v>
      </c>
      <c r="X464" s="727">
        <f>SUMIFS('Schedule 4'!$F$89:$F$649,'Schedule 4'!$I$89:$I$649,'Well Cal.'!X$3,'Schedule 4'!$J$89:$J$649,'Well Cal.'!$E464)</f>
        <v>0</v>
      </c>
      <c r="Y464" s="727">
        <f>SUMIFS('Schedule 4'!$F$89:$F$649,'Schedule 4'!$I$89:$I$649,'Well Cal.'!Y$3,'Schedule 4'!$J$89:$J$649,'Well Cal.'!$E464)</f>
        <v>0</v>
      </c>
      <c r="Z464" s="727">
        <f>SUMIFS('Schedule 4'!$F$89:$F$649,'Schedule 4'!$I$89:$I$649,'Well Cal.'!Z$3,'Schedule 4'!$J$89:$J$649,'Well Cal.'!$E464)</f>
        <v>0</v>
      </c>
      <c r="AA464" s="727"/>
      <c r="AB464" s="1731"/>
      <c r="AC464" s="1731"/>
    </row>
    <row r="465" spans="2:31" x14ac:dyDescent="0.3">
      <c r="B465" s="1724"/>
      <c r="C465" s="1727"/>
      <c r="D465" s="1721"/>
      <c r="E465" s="775" t="s">
        <v>3968</v>
      </c>
      <c r="F465" s="727">
        <f>SUMIFS('Schedule 4'!$F$89:$F$649,'Schedule 4'!$I$89:$I$649,'Well Cal.'!F$3,'Schedule 4'!$J$89:$J$649,'Well Cal.'!$E465)</f>
        <v>0</v>
      </c>
      <c r="G465" s="727">
        <f>SUMIFS('Schedule 4'!$F$89:$F$649,'Schedule 4'!$I$89:$I$649,'Well Cal.'!G$3,'Schedule 4'!$J$89:$J$649,'Well Cal.'!$E465)</f>
        <v>0</v>
      </c>
      <c r="H465" s="727">
        <f>SUMIFS('Schedule 4'!$F$89:$F$649,'Schedule 4'!$I$89:$I$649,'Well Cal.'!H$3,'Schedule 4'!$J$89:$J$649,'Well Cal.'!$E465)</f>
        <v>0</v>
      </c>
      <c r="I465" s="727">
        <f>SUMIFS('Schedule 4'!$F$89:$F$649,'Schedule 4'!$I$89:$I$649,'Well Cal.'!I$3,'Schedule 4'!$J$89:$J$649,'Well Cal.'!$E465)</f>
        <v>0</v>
      </c>
      <c r="J465" s="727">
        <f>SUMIFS('Schedule 4'!$F$89:$F$649,'Schedule 4'!$I$89:$I$649,'Well Cal.'!J$3,'Schedule 4'!$J$89:$J$649,'Well Cal.'!$E465)</f>
        <v>0</v>
      </c>
      <c r="K465" s="727">
        <f>SUMIFS('Schedule 4'!$F$89:$F$649,'Schedule 4'!$I$89:$I$649,'Well Cal.'!K$3,'Schedule 4'!$J$89:$J$649,'Well Cal.'!$E465)</f>
        <v>0</v>
      </c>
      <c r="L465" s="727">
        <f>SUMIFS('Schedule 4'!$F$89:$F$649,'Schedule 4'!$I$89:$I$649,'Well Cal.'!L$3,'Schedule 4'!$J$89:$J$649,'Well Cal.'!$E465)</f>
        <v>0</v>
      </c>
      <c r="M465" s="727">
        <f>SUMIFS('Schedule 4'!$F$89:$F$649,'Schedule 4'!$I$89:$I$649,'Well Cal.'!M$3,'Schedule 4'!$J$89:$J$649,'Well Cal.'!$E465)</f>
        <v>0</v>
      </c>
      <c r="N465" s="727">
        <f>SUMIFS('Schedule 4'!$F$89:$F$649,'Schedule 4'!$I$89:$I$649,'Well Cal.'!N$3,'Schedule 4'!$J$89:$J$649,'Well Cal.'!$E465)</f>
        <v>0</v>
      </c>
      <c r="O465" s="727">
        <f>SUMIFS('Schedule 4'!$F$89:$F$649,'Schedule 4'!$I$89:$I$649,'Well Cal.'!O$3,'Schedule 4'!$J$89:$J$649,'Well Cal.'!$E465)</f>
        <v>0</v>
      </c>
      <c r="P465" s="727">
        <f>SUMIFS('Schedule 4'!$F$89:$F$649,'Schedule 4'!$I$89:$I$649,'Well Cal.'!P$3,'Schedule 4'!$J$89:$J$649,'Well Cal.'!$E465)</f>
        <v>0</v>
      </c>
      <c r="Q465" s="727">
        <f>SUMIFS('Schedule 4'!$F$89:$F$649,'Schedule 4'!$I$89:$I$649,'Well Cal.'!Q$3,'Schedule 4'!$J$89:$J$649,'Well Cal.'!$E465)</f>
        <v>0</v>
      </c>
      <c r="R465" s="727">
        <f>SUMIFS('Schedule 4'!$F$89:$F$649,'Schedule 4'!$I$89:$I$649,'Well Cal.'!R$3,'Schedule 4'!$J$89:$J$649,'Well Cal.'!$E465)</f>
        <v>0</v>
      </c>
      <c r="S465" s="727">
        <f>SUMIFS('Schedule 4'!$F$89:$F$649,'Schedule 4'!$I$89:$I$649,'Well Cal.'!S$3,'Schedule 4'!$J$89:$J$649,'Well Cal.'!$E465)</f>
        <v>0</v>
      </c>
      <c r="T465" s="727">
        <f>SUMIFS('Schedule 4'!$F$89:$F$649,'Schedule 4'!$I$89:$I$649,'Well Cal.'!T$3,'Schedule 4'!$J$89:$J$649,'Well Cal.'!$E465)</f>
        <v>0</v>
      </c>
      <c r="U465" s="727">
        <f>SUMIFS('Schedule 4'!$F$89:$F$649,'Schedule 4'!$I$89:$I$649,'Well Cal.'!U$3,'Schedule 4'!$J$89:$J$649,'Well Cal.'!$E465)</f>
        <v>0</v>
      </c>
      <c r="V465" s="727">
        <f>SUMIFS('Schedule 4'!$F$89:$F$649,'Schedule 4'!$I$89:$I$649,'Well Cal.'!V$3,'Schedule 4'!$J$89:$J$649,'Well Cal.'!$E465)</f>
        <v>0</v>
      </c>
      <c r="W465" s="727">
        <f>SUMIFS('Schedule 4'!$F$89:$F$649,'Schedule 4'!$I$89:$I$649,'Well Cal.'!W$3,'Schedule 4'!$J$89:$J$649,'Well Cal.'!$E465)</f>
        <v>0</v>
      </c>
      <c r="X465" s="727">
        <f>SUMIFS('Schedule 4'!$F$89:$F$649,'Schedule 4'!$I$89:$I$649,'Well Cal.'!X$3,'Schedule 4'!$J$89:$J$649,'Well Cal.'!$E465)</f>
        <v>0</v>
      </c>
      <c r="Y465" s="727">
        <f>SUMIFS('Schedule 4'!$F$89:$F$649,'Schedule 4'!$I$89:$I$649,'Well Cal.'!Y$3,'Schedule 4'!$J$89:$J$649,'Well Cal.'!$E465)</f>
        <v>0</v>
      </c>
      <c r="Z465" s="727">
        <f>SUMIFS('Schedule 4'!$F$89:$F$649,'Schedule 4'!$I$89:$I$649,'Well Cal.'!Z$3,'Schedule 4'!$J$89:$J$649,'Well Cal.'!$E465)</f>
        <v>0</v>
      </c>
      <c r="AA465" s="727"/>
      <c r="AB465" s="1731"/>
      <c r="AC465" s="1731"/>
    </row>
    <row r="466" spans="2:31" x14ac:dyDescent="0.3">
      <c r="B466" s="1724"/>
      <c r="C466" s="1727"/>
      <c r="D466" s="1721"/>
      <c r="E466" s="775" t="s">
        <v>4048</v>
      </c>
      <c r="F466" s="727">
        <f>SUMIFS('Schedule 4'!$F$89:$F$649,'Schedule 4'!$I$89:$I$649,'Well Cal.'!F$3,'Schedule 4'!$J$89:$J$649,'Well Cal.'!$E466)</f>
        <v>0</v>
      </c>
      <c r="G466" s="727">
        <f>SUMIFS('Schedule 4'!$F$89:$F$649,'Schedule 4'!$I$89:$I$649,'Well Cal.'!G$3,'Schedule 4'!$J$89:$J$649,'Well Cal.'!$E466)</f>
        <v>0</v>
      </c>
      <c r="H466" s="727">
        <f>SUMIFS('Schedule 4'!$F$89:$F$649,'Schedule 4'!$I$89:$I$649,'Well Cal.'!H$3,'Schedule 4'!$J$89:$J$649,'Well Cal.'!$E466)</f>
        <v>0</v>
      </c>
      <c r="I466" s="727">
        <f>SUMIFS('Schedule 4'!$F$89:$F$649,'Schedule 4'!$I$89:$I$649,'Well Cal.'!I$3,'Schedule 4'!$J$89:$J$649,'Well Cal.'!$E466)</f>
        <v>0</v>
      </c>
      <c r="J466" s="727">
        <f>SUMIFS('Schedule 4'!$F$89:$F$649,'Schedule 4'!$I$89:$I$649,'Well Cal.'!J$3,'Schedule 4'!$J$89:$J$649,'Well Cal.'!$E466)</f>
        <v>0</v>
      </c>
      <c r="K466" s="727">
        <f>SUMIFS('Schedule 4'!$F$89:$F$649,'Schedule 4'!$I$89:$I$649,'Well Cal.'!K$3,'Schedule 4'!$J$89:$J$649,'Well Cal.'!$E466)</f>
        <v>0</v>
      </c>
      <c r="L466" s="727">
        <f>SUMIFS('Schedule 4'!$F$89:$F$649,'Schedule 4'!$I$89:$I$649,'Well Cal.'!L$3,'Schedule 4'!$J$89:$J$649,'Well Cal.'!$E466)</f>
        <v>0</v>
      </c>
      <c r="M466" s="727">
        <f>SUMIFS('Schedule 4'!$F$89:$F$649,'Schedule 4'!$I$89:$I$649,'Well Cal.'!M$3,'Schedule 4'!$J$89:$J$649,'Well Cal.'!$E466)</f>
        <v>0</v>
      </c>
      <c r="N466" s="727">
        <f>SUMIFS('Schedule 4'!$F$89:$F$649,'Schedule 4'!$I$89:$I$649,'Well Cal.'!N$3,'Schedule 4'!$J$89:$J$649,'Well Cal.'!$E466)</f>
        <v>0</v>
      </c>
      <c r="O466" s="727">
        <f>SUMIFS('Schedule 4'!$F$89:$F$649,'Schedule 4'!$I$89:$I$649,'Well Cal.'!O$3,'Schedule 4'!$J$89:$J$649,'Well Cal.'!$E466)</f>
        <v>0</v>
      </c>
      <c r="P466" s="727">
        <f>SUMIFS('Schedule 4'!$F$89:$F$649,'Schedule 4'!$I$89:$I$649,'Well Cal.'!P$3,'Schedule 4'!$J$89:$J$649,'Well Cal.'!$E466)</f>
        <v>0</v>
      </c>
      <c r="Q466" s="727">
        <f>SUMIFS('Schedule 4'!$F$89:$F$649,'Schedule 4'!$I$89:$I$649,'Well Cal.'!Q$3,'Schedule 4'!$J$89:$J$649,'Well Cal.'!$E466)</f>
        <v>0</v>
      </c>
      <c r="R466" s="727">
        <f>SUMIFS('Schedule 4'!$F$89:$F$649,'Schedule 4'!$I$89:$I$649,'Well Cal.'!R$3,'Schedule 4'!$J$89:$J$649,'Well Cal.'!$E466)</f>
        <v>0</v>
      </c>
      <c r="S466" s="727">
        <f>SUMIFS('Schedule 4'!$F$89:$F$649,'Schedule 4'!$I$89:$I$649,'Well Cal.'!S$3,'Schedule 4'!$J$89:$J$649,'Well Cal.'!$E466)</f>
        <v>0</v>
      </c>
      <c r="T466" s="727">
        <f>SUMIFS('Schedule 4'!$F$89:$F$649,'Schedule 4'!$I$89:$I$649,'Well Cal.'!T$3,'Schedule 4'!$J$89:$J$649,'Well Cal.'!$E466)</f>
        <v>0</v>
      </c>
      <c r="U466" s="727">
        <f>SUMIFS('Schedule 4'!$F$89:$F$649,'Schedule 4'!$I$89:$I$649,'Well Cal.'!U$3,'Schedule 4'!$J$89:$J$649,'Well Cal.'!$E466)</f>
        <v>0</v>
      </c>
      <c r="V466" s="727">
        <f>SUMIFS('Schedule 4'!$F$89:$F$649,'Schedule 4'!$I$89:$I$649,'Well Cal.'!V$3,'Schedule 4'!$J$89:$J$649,'Well Cal.'!$E466)</f>
        <v>0</v>
      </c>
      <c r="W466" s="727">
        <f>SUMIFS('Schedule 4'!$F$89:$F$649,'Schedule 4'!$I$89:$I$649,'Well Cal.'!W$3,'Schedule 4'!$J$89:$J$649,'Well Cal.'!$E466)</f>
        <v>0</v>
      </c>
      <c r="X466" s="727">
        <f>SUMIFS('Schedule 4'!$F$89:$F$649,'Schedule 4'!$I$89:$I$649,'Well Cal.'!X$3,'Schedule 4'!$J$89:$J$649,'Well Cal.'!$E466)</f>
        <v>0</v>
      </c>
      <c r="Y466" s="727">
        <f>SUMIFS('Schedule 4'!$F$89:$F$649,'Schedule 4'!$I$89:$I$649,'Well Cal.'!Y$3,'Schedule 4'!$J$89:$J$649,'Well Cal.'!$E466)</f>
        <v>0</v>
      </c>
      <c r="Z466" s="727">
        <f>SUMIFS('Schedule 4'!$F$89:$F$649,'Schedule 4'!$I$89:$I$649,'Well Cal.'!Z$3,'Schedule 4'!$J$89:$J$649,'Well Cal.'!$E466)</f>
        <v>0</v>
      </c>
      <c r="AA466" s="727"/>
      <c r="AB466" s="1731"/>
      <c r="AC466" s="1731"/>
    </row>
    <row r="467" spans="2:31" x14ac:dyDescent="0.3">
      <c r="B467" s="1724"/>
      <c r="C467" s="1727"/>
      <c r="D467" s="1721"/>
      <c r="E467" s="775" t="s">
        <v>4128</v>
      </c>
      <c r="F467" s="727">
        <f>SUMIFS('Schedule 4'!$F$89:$F$649,'Schedule 4'!$I$89:$I$649,'Well Cal.'!F$3,'Schedule 4'!$J$89:$J$649,'Well Cal.'!$E467)</f>
        <v>0</v>
      </c>
      <c r="G467" s="727">
        <f>SUMIFS('Schedule 4'!$F$89:$F$649,'Schedule 4'!$I$89:$I$649,'Well Cal.'!G$3,'Schedule 4'!$J$89:$J$649,'Well Cal.'!$E467)</f>
        <v>0</v>
      </c>
      <c r="H467" s="727">
        <f>SUMIFS('Schedule 4'!$F$89:$F$649,'Schedule 4'!$I$89:$I$649,'Well Cal.'!H$3,'Schedule 4'!$J$89:$J$649,'Well Cal.'!$E467)</f>
        <v>0</v>
      </c>
      <c r="I467" s="727">
        <f>SUMIFS('Schedule 4'!$F$89:$F$649,'Schedule 4'!$I$89:$I$649,'Well Cal.'!I$3,'Schedule 4'!$J$89:$J$649,'Well Cal.'!$E467)</f>
        <v>0</v>
      </c>
      <c r="J467" s="727">
        <f>SUMIFS('Schedule 4'!$F$89:$F$649,'Schedule 4'!$I$89:$I$649,'Well Cal.'!J$3,'Schedule 4'!$J$89:$J$649,'Well Cal.'!$E467)</f>
        <v>0</v>
      </c>
      <c r="K467" s="727">
        <f>SUMIFS('Schedule 4'!$F$89:$F$649,'Schedule 4'!$I$89:$I$649,'Well Cal.'!K$3,'Schedule 4'!$J$89:$J$649,'Well Cal.'!$E467)</f>
        <v>0</v>
      </c>
      <c r="L467" s="727">
        <f>SUMIFS('Schedule 4'!$F$89:$F$649,'Schedule 4'!$I$89:$I$649,'Well Cal.'!L$3,'Schedule 4'!$J$89:$J$649,'Well Cal.'!$E467)</f>
        <v>0</v>
      </c>
      <c r="M467" s="727">
        <f>SUMIFS('Schedule 4'!$F$89:$F$649,'Schedule 4'!$I$89:$I$649,'Well Cal.'!M$3,'Schedule 4'!$J$89:$J$649,'Well Cal.'!$E467)</f>
        <v>0</v>
      </c>
      <c r="N467" s="727">
        <f>SUMIFS('Schedule 4'!$F$89:$F$649,'Schedule 4'!$I$89:$I$649,'Well Cal.'!N$3,'Schedule 4'!$J$89:$J$649,'Well Cal.'!$E467)</f>
        <v>0</v>
      </c>
      <c r="O467" s="727">
        <f>SUMIFS('Schedule 4'!$F$89:$F$649,'Schedule 4'!$I$89:$I$649,'Well Cal.'!O$3,'Schedule 4'!$J$89:$J$649,'Well Cal.'!$E467)</f>
        <v>0</v>
      </c>
      <c r="P467" s="727">
        <f>SUMIFS('Schedule 4'!$F$89:$F$649,'Schedule 4'!$I$89:$I$649,'Well Cal.'!P$3,'Schedule 4'!$J$89:$J$649,'Well Cal.'!$E467)</f>
        <v>0</v>
      </c>
      <c r="Q467" s="727">
        <f>SUMIFS('Schedule 4'!$F$89:$F$649,'Schedule 4'!$I$89:$I$649,'Well Cal.'!Q$3,'Schedule 4'!$J$89:$J$649,'Well Cal.'!$E467)</f>
        <v>0</v>
      </c>
      <c r="R467" s="727">
        <f>SUMIFS('Schedule 4'!$F$89:$F$649,'Schedule 4'!$I$89:$I$649,'Well Cal.'!R$3,'Schedule 4'!$J$89:$J$649,'Well Cal.'!$E467)</f>
        <v>0</v>
      </c>
      <c r="S467" s="727">
        <f>SUMIFS('Schedule 4'!$F$89:$F$649,'Schedule 4'!$I$89:$I$649,'Well Cal.'!S$3,'Schedule 4'!$J$89:$J$649,'Well Cal.'!$E467)</f>
        <v>0</v>
      </c>
      <c r="T467" s="727">
        <f>SUMIFS('Schedule 4'!$F$89:$F$649,'Schedule 4'!$I$89:$I$649,'Well Cal.'!T$3,'Schedule 4'!$J$89:$J$649,'Well Cal.'!$E467)</f>
        <v>0</v>
      </c>
      <c r="U467" s="727">
        <f>SUMIFS('Schedule 4'!$F$89:$F$649,'Schedule 4'!$I$89:$I$649,'Well Cal.'!U$3,'Schedule 4'!$J$89:$J$649,'Well Cal.'!$E467)</f>
        <v>0</v>
      </c>
      <c r="V467" s="727">
        <f>SUMIFS('Schedule 4'!$F$89:$F$649,'Schedule 4'!$I$89:$I$649,'Well Cal.'!V$3,'Schedule 4'!$J$89:$J$649,'Well Cal.'!$E467)</f>
        <v>0</v>
      </c>
      <c r="W467" s="727">
        <f>SUMIFS('Schedule 4'!$F$89:$F$649,'Schedule 4'!$I$89:$I$649,'Well Cal.'!W$3,'Schedule 4'!$J$89:$J$649,'Well Cal.'!$E467)</f>
        <v>0</v>
      </c>
      <c r="X467" s="727">
        <f>SUMIFS('Schedule 4'!$F$89:$F$649,'Schedule 4'!$I$89:$I$649,'Well Cal.'!X$3,'Schedule 4'!$J$89:$J$649,'Well Cal.'!$E467)</f>
        <v>0</v>
      </c>
      <c r="Y467" s="727">
        <f>SUMIFS('Schedule 4'!$F$89:$F$649,'Schedule 4'!$I$89:$I$649,'Well Cal.'!Y$3,'Schedule 4'!$J$89:$J$649,'Well Cal.'!$E467)</f>
        <v>0</v>
      </c>
      <c r="Z467" s="727">
        <f>SUMIFS('Schedule 4'!$F$89:$F$649,'Schedule 4'!$I$89:$I$649,'Well Cal.'!Z$3,'Schedule 4'!$J$89:$J$649,'Well Cal.'!$E467)</f>
        <v>0</v>
      </c>
      <c r="AA467" s="727"/>
      <c r="AB467" s="1731"/>
      <c r="AC467" s="1731"/>
    </row>
    <row r="468" spans="2:31" x14ac:dyDescent="0.3">
      <c r="B468" s="1724"/>
      <c r="C468" s="1727"/>
      <c r="D468" s="1721"/>
      <c r="E468" s="775" t="s">
        <v>4200</v>
      </c>
      <c r="F468" s="727">
        <f>SUMIFS('Schedule 4'!$F$89:$F$649,'Schedule 4'!$I$89:$I$649,'Well Cal.'!F$3,'Schedule 4'!$J$89:$J$649,'Well Cal.'!$E468)</f>
        <v>0</v>
      </c>
      <c r="G468" s="727">
        <f>SUMIFS('Schedule 4'!$F$89:$F$649,'Schedule 4'!$I$89:$I$649,'Well Cal.'!G$3,'Schedule 4'!$J$89:$J$649,'Well Cal.'!$E468)</f>
        <v>0</v>
      </c>
      <c r="H468" s="727">
        <f>SUMIFS('Schedule 4'!$F$89:$F$649,'Schedule 4'!$I$89:$I$649,'Well Cal.'!H$3,'Schedule 4'!$J$89:$J$649,'Well Cal.'!$E468)</f>
        <v>0</v>
      </c>
      <c r="I468" s="727">
        <f>SUMIFS('Schedule 4'!$F$89:$F$649,'Schedule 4'!$I$89:$I$649,'Well Cal.'!I$3,'Schedule 4'!$J$89:$J$649,'Well Cal.'!$E468)</f>
        <v>0</v>
      </c>
      <c r="J468" s="727">
        <f>SUMIFS('Schedule 4'!$F$89:$F$649,'Schedule 4'!$I$89:$I$649,'Well Cal.'!J$3,'Schedule 4'!$J$89:$J$649,'Well Cal.'!$E468)</f>
        <v>0</v>
      </c>
      <c r="K468" s="727">
        <f>SUMIFS('Schedule 4'!$F$89:$F$649,'Schedule 4'!$I$89:$I$649,'Well Cal.'!K$3,'Schedule 4'!$J$89:$J$649,'Well Cal.'!$E468)</f>
        <v>0</v>
      </c>
      <c r="L468" s="727">
        <f>SUMIFS('Schedule 4'!$F$89:$F$649,'Schedule 4'!$I$89:$I$649,'Well Cal.'!L$3,'Schedule 4'!$J$89:$J$649,'Well Cal.'!$E468)</f>
        <v>0</v>
      </c>
      <c r="M468" s="727">
        <f>SUMIFS('Schedule 4'!$F$89:$F$649,'Schedule 4'!$I$89:$I$649,'Well Cal.'!M$3,'Schedule 4'!$J$89:$J$649,'Well Cal.'!$E468)</f>
        <v>0</v>
      </c>
      <c r="N468" s="727">
        <f>SUMIFS('Schedule 4'!$F$89:$F$649,'Schedule 4'!$I$89:$I$649,'Well Cal.'!N$3,'Schedule 4'!$J$89:$J$649,'Well Cal.'!$E468)</f>
        <v>0</v>
      </c>
      <c r="O468" s="727">
        <f>SUMIFS('Schedule 4'!$F$89:$F$649,'Schedule 4'!$I$89:$I$649,'Well Cal.'!O$3,'Schedule 4'!$J$89:$J$649,'Well Cal.'!$E468)</f>
        <v>0</v>
      </c>
      <c r="P468" s="727">
        <f>SUMIFS('Schedule 4'!$F$89:$F$649,'Schedule 4'!$I$89:$I$649,'Well Cal.'!P$3,'Schedule 4'!$J$89:$J$649,'Well Cal.'!$E468)</f>
        <v>0</v>
      </c>
      <c r="Q468" s="727">
        <f>SUMIFS('Schedule 4'!$F$89:$F$649,'Schedule 4'!$I$89:$I$649,'Well Cal.'!Q$3,'Schedule 4'!$J$89:$J$649,'Well Cal.'!$E468)</f>
        <v>0</v>
      </c>
      <c r="R468" s="727">
        <f>SUMIFS('Schedule 4'!$F$89:$F$649,'Schedule 4'!$I$89:$I$649,'Well Cal.'!R$3,'Schedule 4'!$J$89:$J$649,'Well Cal.'!$E468)</f>
        <v>0</v>
      </c>
      <c r="S468" s="727">
        <f>SUMIFS('Schedule 4'!$F$89:$F$649,'Schedule 4'!$I$89:$I$649,'Well Cal.'!S$3,'Schedule 4'!$J$89:$J$649,'Well Cal.'!$E468)</f>
        <v>0</v>
      </c>
      <c r="T468" s="727">
        <f>SUMIFS('Schedule 4'!$F$89:$F$649,'Schedule 4'!$I$89:$I$649,'Well Cal.'!T$3,'Schedule 4'!$J$89:$J$649,'Well Cal.'!$E468)</f>
        <v>0</v>
      </c>
      <c r="U468" s="727">
        <f>SUMIFS('Schedule 4'!$F$89:$F$649,'Schedule 4'!$I$89:$I$649,'Well Cal.'!U$3,'Schedule 4'!$J$89:$J$649,'Well Cal.'!$E468)</f>
        <v>0</v>
      </c>
      <c r="V468" s="727">
        <f>SUMIFS('Schedule 4'!$F$89:$F$649,'Schedule 4'!$I$89:$I$649,'Well Cal.'!V$3,'Schedule 4'!$J$89:$J$649,'Well Cal.'!$E468)</f>
        <v>0</v>
      </c>
      <c r="W468" s="727">
        <f>SUMIFS('Schedule 4'!$F$89:$F$649,'Schedule 4'!$I$89:$I$649,'Well Cal.'!W$3,'Schedule 4'!$J$89:$J$649,'Well Cal.'!$E468)</f>
        <v>0</v>
      </c>
      <c r="X468" s="727">
        <f>SUMIFS('Schedule 4'!$F$89:$F$649,'Schedule 4'!$I$89:$I$649,'Well Cal.'!X$3,'Schedule 4'!$J$89:$J$649,'Well Cal.'!$E468)</f>
        <v>0</v>
      </c>
      <c r="Y468" s="727">
        <f>SUMIFS('Schedule 4'!$F$89:$F$649,'Schedule 4'!$I$89:$I$649,'Well Cal.'!Y$3,'Schedule 4'!$J$89:$J$649,'Well Cal.'!$E468)</f>
        <v>0</v>
      </c>
      <c r="Z468" s="727">
        <f>SUMIFS('Schedule 4'!$F$89:$F$649,'Schedule 4'!$I$89:$I$649,'Well Cal.'!Z$3,'Schedule 4'!$J$89:$J$649,'Well Cal.'!$E468)</f>
        <v>0</v>
      </c>
      <c r="AA468" s="727"/>
      <c r="AB468" s="1731"/>
      <c r="AC468" s="1731"/>
    </row>
    <row r="469" spans="2:31" x14ac:dyDescent="0.3">
      <c r="B469" s="1724"/>
      <c r="C469" s="1727"/>
      <c r="D469" s="1721"/>
      <c r="E469" s="775" t="s">
        <v>4271</v>
      </c>
      <c r="F469" s="727">
        <f>SUMIFS('Schedule 4'!$F$89:$F$649,'Schedule 4'!$I$89:$I$649,'Well Cal.'!F$3,'Schedule 4'!$J$89:$J$649,'Well Cal.'!$E469)</f>
        <v>0</v>
      </c>
      <c r="G469" s="727">
        <f>SUMIFS('Schedule 4'!$F$89:$F$649,'Schedule 4'!$I$89:$I$649,'Well Cal.'!G$3,'Schedule 4'!$J$89:$J$649,'Well Cal.'!$E469)</f>
        <v>0</v>
      </c>
      <c r="H469" s="727">
        <f>SUMIFS('Schedule 4'!$F$89:$F$649,'Schedule 4'!$I$89:$I$649,'Well Cal.'!H$3,'Schedule 4'!$J$89:$J$649,'Well Cal.'!$E469)</f>
        <v>0</v>
      </c>
      <c r="I469" s="727">
        <f>SUMIFS('Schedule 4'!$F$89:$F$649,'Schedule 4'!$I$89:$I$649,'Well Cal.'!I$3,'Schedule 4'!$J$89:$J$649,'Well Cal.'!$E469)</f>
        <v>0</v>
      </c>
      <c r="J469" s="727">
        <f>SUMIFS('Schedule 4'!$F$89:$F$649,'Schedule 4'!$I$89:$I$649,'Well Cal.'!J$3,'Schedule 4'!$J$89:$J$649,'Well Cal.'!$E469)</f>
        <v>0</v>
      </c>
      <c r="K469" s="727">
        <f>SUMIFS('Schedule 4'!$F$89:$F$649,'Schedule 4'!$I$89:$I$649,'Well Cal.'!K$3,'Schedule 4'!$J$89:$J$649,'Well Cal.'!$E469)</f>
        <v>0</v>
      </c>
      <c r="L469" s="727">
        <f>SUMIFS('Schedule 4'!$F$89:$F$649,'Schedule 4'!$I$89:$I$649,'Well Cal.'!L$3,'Schedule 4'!$J$89:$J$649,'Well Cal.'!$E469)</f>
        <v>0</v>
      </c>
      <c r="M469" s="727">
        <f>SUMIFS('Schedule 4'!$F$89:$F$649,'Schedule 4'!$I$89:$I$649,'Well Cal.'!M$3,'Schedule 4'!$J$89:$J$649,'Well Cal.'!$E469)</f>
        <v>0</v>
      </c>
      <c r="N469" s="727">
        <f>SUMIFS('Schedule 4'!$F$89:$F$649,'Schedule 4'!$I$89:$I$649,'Well Cal.'!N$3,'Schedule 4'!$J$89:$J$649,'Well Cal.'!$E469)</f>
        <v>0</v>
      </c>
      <c r="O469" s="727">
        <f>SUMIFS('Schedule 4'!$F$89:$F$649,'Schedule 4'!$I$89:$I$649,'Well Cal.'!O$3,'Schedule 4'!$J$89:$J$649,'Well Cal.'!$E469)</f>
        <v>0</v>
      </c>
      <c r="P469" s="727">
        <f>SUMIFS('Schedule 4'!$F$89:$F$649,'Schedule 4'!$I$89:$I$649,'Well Cal.'!P$3,'Schedule 4'!$J$89:$J$649,'Well Cal.'!$E469)</f>
        <v>0</v>
      </c>
      <c r="Q469" s="727">
        <f>SUMIFS('Schedule 4'!$F$89:$F$649,'Schedule 4'!$I$89:$I$649,'Well Cal.'!Q$3,'Schedule 4'!$J$89:$J$649,'Well Cal.'!$E469)</f>
        <v>0</v>
      </c>
      <c r="R469" s="727">
        <f>SUMIFS('Schedule 4'!$F$89:$F$649,'Schedule 4'!$I$89:$I$649,'Well Cal.'!R$3,'Schedule 4'!$J$89:$J$649,'Well Cal.'!$E469)</f>
        <v>0</v>
      </c>
      <c r="S469" s="727">
        <f>SUMIFS('Schedule 4'!$F$89:$F$649,'Schedule 4'!$I$89:$I$649,'Well Cal.'!S$3,'Schedule 4'!$J$89:$J$649,'Well Cal.'!$E469)</f>
        <v>0</v>
      </c>
      <c r="T469" s="727">
        <f>SUMIFS('Schedule 4'!$F$89:$F$649,'Schedule 4'!$I$89:$I$649,'Well Cal.'!T$3,'Schedule 4'!$J$89:$J$649,'Well Cal.'!$E469)</f>
        <v>0</v>
      </c>
      <c r="U469" s="727">
        <f>SUMIFS('Schedule 4'!$F$89:$F$649,'Schedule 4'!$I$89:$I$649,'Well Cal.'!U$3,'Schedule 4'!$J$89:$J$649,'Well Cal.'!$E469)</f>
        <v>0</v>
      </c>
      <c r="V469" s="727">
        <f>SUMIFS('Schedule 4'!$F$89:$F$649,'Schedule 4'!$I$89:$I$649,'Well Cal.'!V$3,'Schedule 4'!$J$89:$J$649,'Well Cal.'!$E469)</f>
        <v>0</v>
      </c>
      <c r="W469" s="727">
        <f>SUMIFS('Schedule 4'!$F$89:$F$649,'Schedule 4'!$I$89:$I$649,'Well Cal.'!W$3,'Schedule 4'!$J$89:$J$649,'Well Cal.'!$E469)</f>
        <v>0</v>
      </c>
      <c r="X469" s="727">
        <f>SUMIFS('Schedule 4'!$F$89:$F$649,'Schedule 4'!$I$89:$I$649,'Well Cal.'!X$3,'Schedule 4'!$J$89:$J$649,'Well Cal.'!$E469)</f>
        <v>0</v>
      </c>
      <c r="Y469" s="727">
        <f>SUMIFS('Schedule 4'!$F$89:$F$649,'Schedule 4'!$I$89:$I$649,'Well Cal.'!Y$3,'Schedule 4'!$J$89:$J$649,'Well Cal.'!$E469)</f>
        <v>0</v>
      </c>
      <c r="Z469" s="727">
        <f>SUMIFS('Schedule 4'!$F$89:$F$649,'Schedule 4'!$I$89:$I$649,'Well Cal.'!Z$3,'Schedule 4'!$J$89:$J$649,'Well Cal.'!$E469)</f>
        <v>0</v>
      </c>
      <c r="AA469" s="727"/>
      <c r="AB469" s="1731"/>
      <c r="AC469" s="1731"/>
      <c r="AE469" s="827"/>
    </row>
    <row r="470" spans="2:31" x14ac:dyDescent="0.3">
      <c r="B470" s="1724"/>
      <c r="C470" s="1727"/>
      <c r="D470" s="1721"/>
      <c r="E470" s="775" t="s">
        <v>4338</v>
      </c>
      <c r="F470" s="727">
        <f>SUMIFS('Schedule 4'!$F$89:$F$649,'Schedule 4'!$I$89:$I$649,'Well Cal.'!F$3,'Schedule 4'!$J$89:$J$649,'Well Cal.'!$E470)</f>
        <v>0</v>
      </c>
      <c r="G470" s="727">
        <f>SUMIFS('Schedule 4'!$F$89:$F$649,'Schedule 4'!$I$89:$I$649,'Well Cal.'!G$3,'Schedule 4'!$J$89:$J$649,'Well Cal.'!$E470)</f>
        <v>0</v>
      </c>
      <c r="H470" s="727">
        <f>SUMIFS('Schedule 4'!$F$89:$F$649,'Schedule 4'!$I$89:$I$649,'Well Cal.'!H$3,'Schedule 4'!$J$89:$J$649,'Well Cal.'!$E470)</f>
        <v>0</v>
      </c>
      <c r="I470" s="727">
        <f>SUMIFS('Schedule 4'!$F$89:$F$649,'Schedule 4'!$I$89:$I$649,'Well Cal.'!I$3,'Schedule 4'!$J$89:$J$649,'Well Cal.'!$E470)</f>
        <v>0</v>
      </c>
      <c r="J470" s="727">
        <f>SUMIFS('Schedule 4'!$F$89:$F$649,'Schedule 4'!$I$89:$I$649,'Well Cal.'!J$3,'Schedule 4'!$J$89:$J$649,'Well Cal.'!$E470)</f>
        <v>0</v>
      </c>
      <c r="K470" s="727">
        <f>SUMIFS('Schedule 4'!$F$89:$F$649,'Schedule 4'!$I$89:$I$649,'Well Cal.'!K$3,'Schedule 4'!$J$89:$J$649,'Well Cal.'!$E470)</f>
        <v>0</v>
      </c>
      <c r="L470" s="727">
        <f>SUMIFS('Schedule 4'!$F$89:$F$649,'Schedule 4'!$I$89:$I$649,'Well Cal.'!L$3,'Schedule 4'!$J$89:$J$649,'Well Cal.'!$E470)</f>
        <v>0</v>
      </c>
      <c r="M470" s="727">
        <f>SUMIFS('Schedule 4'!$F$89:$F$649,'Schedule 4'!$I$89:$I$649,'Well Cal.'!M$3,'Schedule 4'!$J$89:$J$649,'Well Cal.'!$E470)</f>
        <v>0</v>
      </c>
      <c r="N470" s="727">
        <f>SUMIFS('Schedule 4'!$F$89:$F$649,'Schedule 4'!$I$89:$I$649,'Well Cal.'!N$3,'Schedule 4'!$J$89:$J$649,'Well Cal.'!$E470)</f>
        <v>0</v>
      </c>
      <c r="O470" s="727">
        <f>SUMIFS('Schedule 4'!$F$89:$F$649,'Schedule 4'!$I$89:$I$649,'Well Cal.'!O$3,'Schedule 4'!$J$89:$J$649,'Well Cal.'!$E470)</f>
        <v>0</v>
      </c>
      <c r="P470" s="727">
        <f>SUMIFS('Schedule 4'!$F$89:$F$649,'Schedule 4'!$I$89:$I$649,'Well Cal.'!P$3,'Schedule 4'!$J$89:$J$649,'Well Cal.'!$E470)</f>
        <v>0</v>
      </c>
      <c r="Q470" s="727">
        <f>SUMIFS('Schedule 4'!$F$89:$F$649,'Schedule 4'!$I$89:$I$649,'Well Cal.'!Q$3,'Schedule 4'!$J$89:$J$649,'Well Cal.'!$E470)</f>
        <v>0</v>
      </c>
      <c r="R470" s="727">
        <f>SUMIFS('Schedule 4'!$F$89:$F$649,'Schedule 4'!$I$89:$I$649,'Well Cal.'!R$3,'Schedule 4'!$J$89:$J$649,'Well Cal.'!$E470)</f>
        <v>0</v>
      </c>
      <c r="S470" s="727">
        <f>SUMIFS('Schedule 4'!$F$89:$F$649,'Schedule 4'!$I$89:$I$649,'Well Cal.'!S$3,'Schedule 4'!$J$89:$J$649,'Well Cal.'!$E470)</f>
        <v>0</v>
      </c>
      <c r="T470" s="727">
        <f>SUMIFS('Schedule 4'!$F$89:$F$649,'Schedule 4'!$I$89:$I$649,'Well Cal.'!T$3,'Schedule 4'!$J$89:$J$649,'Well Cal.'!$E470)</f>
        <v>0</v>
      </c>
      <c r="U470" s="727">
        <f>SUMIFS('Schedule 4'!$F$89:$F$649,'Schedule 4'!$I$89:$I$649,'Well Cal.'!U$3,'Schedule 4'!$J$89:$J$649,'Well Cal.'!$E470)</f>
        <v>0</v>
      </c>
      <c r="V470" s="727">
        <f>SUMIFS('Schedule 4'!$F$89:$F$649,'Schedule 4'!$I$89:$I$649,'Well Cal.'!V$3,'Schedule 4'!$J$89:$J$649,'Well Cal.'!$E470)</f>
        <v>0</v>
      </c>
      <c r="W470" s="727">
        <f>SUMIFS('Schedule 4'!$F$89:$F$649,'Schedule 4'!$I$89:$I$649,'Well Cal.'!W$3,'Schedule 4'!$J$89:$J$649,'Well Cal.'!$E470)</f>
        <v>0</v>
      </c>
      <c r="X470" s="727">
        <f>SUMIFS('Schedule 4'!$F$89:$F$649,'Schedule 4'!$I$89:$I$649,'Well Cal.'!X$3,'Schedule 4'!$J$89:$J$649,'Well Cal.'!$E470)</f>
        <v>0</v>
      </c>
      <c r="Y470" s="727">
        <f>SUMIFS('Schedule 4'!$F$89:$F$649,'Schedule 4'!$I$89:$I$649,'Well Cal.'!Y$3,'Schedule 4'!$J$89:$J$649,'Well Cal.'!$E470)</f>
        <v>0</v>
      </c>
      <c r="Z470" s="727">
        <f>SUMIFS('Schedule 4'!$F$89:$F$649,'Schedule 4'!$I$89:$I$649,'Well Cal.'!Z$3,'Schedule 4'!$J$89:$J$649,'Well Cal.'!$E470)</f>
        <v>0</v>
      </c>
      <c r="AA470" s="727"/>
      <c r="AB470" s="1731"/>
      <c r="AC470" s="1731"/>
    </row>
    <row r="471" spans="2:31" x14ac:dyDescent="0.3">
      <c r="B471" s="1724"/>
      <c r="C471" s="1727"/>
      <c r="D471" s="1721"/>
      <c r="E471" s="775" t="s">
        <v>4400</v>
      </c>
      <c r="F471" s="727">
        <f>SUMIFS('Schedule 4'!$F$89:$F$649,'Schedule 4'!$I$89:$I$649,'Well Cal.'!F$3,'Schedule 4'!$J$89:$J$649,'Well Cal.'!$E471)</f>
        <v>0</v>
      </c>
      <c r="G471" s="727">
        <f>SUMIFS('Schedule 4'!$F$89:$F$649,'Schedule 4'!$I$89:$I$649,'Well Cal.'!G$3,'Schedule 4'!$J$89:$J$649,'Well Cal.'!$E471)</f>
        <v>0</v>
      </c>
      <c r="H471" s="727">
        <f>SUMIFS('Schedule 4'!$F$89:$F$649,'Schedule 4'!$I$89:$I$649,'Well Cal.'!H$3,'Schedule 4'!$J$89:$J$649,'Well Cal.'!$E471)</f>
        <v>0</v>
      </c>
      <c r="I471" s="727">
        <f>SUMIFS('Schedule 4'!$F$89:$F$649,'Schedule 4'!$I$89:$I$649,'Well Cal.'!I$3,'Schedule 4'!$J$89:$J$649,'Well Cal.'!$E471)</f>
        <v>0</v>
      </c>
      <c r="J471" s="727">
        <f>SUMIFS('Schedule 4'!$F$89:$F$649,'Schedule 4'!$I$89:$I$649,'Well Cal.'!J$3,'Schedule 4'!$J$89:$J$649,'Well Cal.'!$E471)</f>
        <v>0</v>
      </c>
      <c r="K471" s="727">
        <f>SUMIFS('Schedule 4'!$F$89:$F$649,'Schedule 4'!$I$89:$I$649,'Well Cal.'!K$3,'Schedule 4'!$J$89:$J$649,'Well Cal.'!$E471)</f>
        <v>0</v>
      </c>
      <c r="L471" s="727">
        <f>SUMIFS('Schedule 4'!$F$89:$F$649,'Schedule 4'!$I$89:$I$649,'Well Cal.'!L$3,'Schedule 4'!$J$89:$J$649,'Well Cal.'!$E471)</f>
        <v>0</v>
      </c>
      <c r="M471" s="727">
        <f>SUMIFS('Schedule 4'!$F$89:$F$649,'Schedule 4'!$I$89:$I$649,'Well Cal.'!M$3,'Schedule 4'!$J$89:$J$649,'Well Cal.'!$E471)</f>
        <v>0</v>
      </c>
      <c r="N471" s="727">
        <f>SUMIFS('Schedule 4'!$F$89:$F$649,'Schedule 4'!$I$89:$I$649,'Well Cal.'!N$3,'Schedule 4'!$J$89:$J$649,'Well Cal.'!$E471)</f>
        <v>0</v>
      </c>
      <c r="O471" s="727">
        <f>SUMIFS('Schedule 4'!$F$89:$F$649,'Schedule 4'!$I$89:$I$649,'Well Cal.'!O$3,'Schedule 4'!$J$89:$J$649,'Well Cal.'!$E471)</f>
        <v>0</v>
      </c>
      <c r="P471" s="727">
        <f>SUMIFS('Schedule 4'!$F$89:$F$649,'Schedule 4'!$I$89:$I$649,'Well Cal.'!P$3,'Schedule 4'!$J$89:$J$649,'Well Cal.'!$E471)</f>
        <v>0</v>
      </c>
      <c r="Q471" s="727">
        <f>SUMIFS('Schedule 4'!$F$89:$F$649,'Schedule 4'!$I$89:$I$649,'Well Cal.'!Q$3,'Schedule 4'!$J$89:$J$649,'Well Cal.'!$E471)</f>
        <v>0</v>
      </c>
      <c r="R471" s="727">
        <f>SUMIFS('Schedule 4'!$F$89:$F$649,'Schedule 4'!$I$89:$I$649,'Well Cal.'!R$3,'Schedule 4'!$J$89:$J$649,'Well Cal.'!$E471)</f>
        <v>0</v>
      </c>
      <c r="S471" s="727">
        <f>SUMIFS('Schedule 4'!$F$89:$F$649,'Schedule 4'!$I$89:$I$649,'Well Cal.'!S$3,'Schedule 4'!$J$89:$J$649,'Well Cal.'!$E471)</f>
        <v>0</v>
      </c>
      <c r="T471" s="727">
        <f>SUMIFS('Schedule 4'!$F$89:$F$649,'Schedule 4'!$I$89:$I$649,'Well Cal.'!T$3,'Schedule 4'!$J$89:$J$649,'Well Cal.'!$E471)</f>
        <v>0</v>
      </c>
      <c r="U471" s="727">
        <f>SUMIFS('Schedule 4'!$F$89:$F$649,'Schedule 4'!$I$89:$I$649,'Well Cal.'!U$3,'Schedule 4'!$J$89:$J$649,'Well Cal.'!$E471)</f>
        <v>0</v>
      </c>
      <c r="V471" s="727">
        <f>SUMIFS('Schedule 4'!$F$89:$F$649,'Schedule 4'!$I$89:$I$649,'Well Cal.'!V$3,'Schedule 4'!$J$89:$J$649,'Well Cal.'!$E471)</f>
        <v>0</v>
      </c>
      <c r="W471" s="727">
        <f>SUMIFS('Schedule 4'!$F$89:$F$649,'Schedule 4'!$I$89:$I$649,'Well Cal.'!W$3,'Schedule 4'!$J$89:$J$649,'Well Cal.'!$E471)</f>
        <v>0</v>
      </c>
      <c r="X471" s="727">
        <f>SUMIFS('Schedule 4'!$F$89:$F$649,'Schedule 4'!$I$89:$I$649,'Well Cal.'!X$3,'Schedule 4'!$J$89:$J$649,'Well Cal.'!$E471)</f>
        <v>0</v>
      </c>
      <c r="Y471" s="727">
        <f>SUMIFS('Schedule 4'!$F$89:$F$649,'Schedule 4'!$I$89:$I$649,'Well Cal.'!Y$3,'Schedule 4'!$J$89:$J$649,'Well Cal.'!$E471)</f>
        <v>0</v>
      </c>
      <c r="Z471" s="727">
        <f>SUMIFS('Schedule 4'!$F$89:$F$649,'Schedule 4'!$I$89:$I$649,'Well Cal.'!Z$3,'Schedule 4'!$J$89:$J$649,'Well Cal.'!$E471)</f>
        <v>0</v>
      </c>
      <c r="AA471" s="727"/>
      <c r="AB471" s="1731"/>
      <c r="AC471" s="1731"/>
    </row>
    <row r="472" spans="2:31" x14ac:dyDescent="0.3">
      <c r="B472" s="1724"/>
      <c r="C472" s="1727"/>
      <c r="D472" s="1721"/>
      <c r="E472" s="775" t="s">
        <v>4455</v>
      </c>
      <c r="F472" s="727">
        <f>SUMIFS('Schedule 4'!$F$89:$F$649,'Schedule 4'!$I$89:$I$649,'Well Cal.'!F$3,'Schedule 4'!$J$89:$J$649,'Well Cal.'!$E472)</f>
        <v>0</v>
      </c>
      <c r="G472" s="727">
        <f>SUMIFS('Schedule 4'!$F$89:$F$649,'Schedule 4'!$I$89:$I$649,'Well Cal.'!G$3,'Schedule 4'!$J$89:$J$649,'Well Cal.'!$E472)</f>
        <v>0</v>
      </c>
      <c r="H472" s="727">
        <f>SUMIFS('Schedule 4'!$F$89:$F$649,'Schedule 4'!$I$89:$I$649,'Well Cal.'!H$3,'Schedule 4'!$J$89:$J$649,'Well Cal.'!$E472)</f>
        <v>0</v>
      </c>
      <c r="I472" s="727">
        <f>SUMIFS('Schedule 4'!$F$89:$F$649,'Schedule 4'!$I$89:$I$649,'Well Cal.'!I$3,'Schedule 4'!$J$89:$J$649,'Well Cal.'!$E472)</f>
        <v>0</v>
      </c>
      <c r="J472" s="727">
        <f>SUMIFS('Schedule 4'!$F$89:$F$649,'Schedule 4'!$I$89:$I$649,'Well Cal.'!J$3,'Schedule 4'!$J$89:$J$649,'Well Cal.'!$E472)</f>
        <v>0</v>
      </c>
      <c r="K472" s="727">
        <f>SUMIFS('Schedule 4'!$F$89:$F$649,'Schedule 4'!$I$89:$I$649,'Well Cal.'!K$3,'Schedule 4'!$J$89:$J$649,'Well Cal.'!$E472)</f>
        <v>0</v>
      </c>
      <c r="L472" s="727">
        <f>SUMIFS('Schedule 4'!$F$89:$F$649,'Schedule 4'!$I$89:$I$649,'Well Cal.'!L$3,'Schedule 4'!$J$89:$J$649,'Well Cal.'!$E472)</f>
        <v>0</v>
      </c>
      <c r="M472" s="727">
        <f>SUMIFS('Schedule 4'!$F$89:$F$649,'Schedule 4'!$I$89:$I$649,'Well Cal.'!M$3,'Schedule 4'!$J$89:$J$649,'Well Cal.'!$E472)</f>
        <v>0</v>
      </c>
      <c r="N472" s="727">
        <f>SUMIFS('Schedule 4'!$F$89:$F$649,'Schedule 4'!$I$89:$I$649,'Well Cal.'!N$3,'Schedule 4'!$J$89:$J$649,'Well Cal.'!$E472)</f>
        <v>0</v>
      </c>
      <c r="O472" s="727">
        <f>SUMIFS('Schedule 4'!$F$89:$F$649,'Schedule 4'!$I$89:$I$649,'Well Cal.'!O$3,'Schedule 4'!$J$89:$J$649,'Well Cal.'!$E472)</f>
        <v>0</v>
      </c>
      <c r="P472" s="727">
        <f>SUMIFS('Schedule 4'!$F$89:$F$649,'Schedule 4'!$I$89:$I$649,'Well Cal.'!P$3,'Schedule 4'!$J$89:$J$649,'Well Cal.'!$E472)</f>
        <v>0</v>
      </c>
      <c r="Q472" s="727">
        <f>SUMIFS('Schedule 4'!$F$89:$F$649,'Schedule 4'!$I$89:$I$649,'Well Cal.'!Q$3,'Schedule 4'!$J$89:$J$649,'Well Cal.'!$E472)</f>
        <v>0</v>
      </c>
      <c r="R472" s="727">
        <f>SUMIFS('Schedule 4'!$F$89:$F$649,'Schedule 4'!$I$89:$I$649,'Well Cal.'!R$3,'Schedule 4'!$J$89:$J$649,'Well Cal.'!$E472)</f>
        <v>0</v>
      </c>
      <c r="S472" s="727">
        <f>SUMIFS('Schedule 4'!$F$89:$F$649,'Schedule 4'!$I$89:$I$649,'Well Cal.'!S$3,'Schedule 4'!$J$89:$J$649,'Well Cal.'!$E472)</f>
        <v>0</v>
      </c>
      <c r="T472" s="727">
        <f>SUMIFS('Schedule 4'!$F$89:$F$649,'Schedule 4'!$I$89:$I$649,'Well Cal.'!T$3,'Schedule 4'!$J$89:$J$649,'Well Cal.'!$E472)</f>
        <v>0</v>
      </c>
      <c r="U472" s="727">
        <f>SUMIFS('Schedule 4'!$F$89:$F$649,'Schedule 4'!$I$89:$I$649,'Well Cal.'!U$3,'Schedule 4'!$J$89:$J$649,'Well Cal.'!$E472)</f>
        <v>0</v>
      </c>
      <c r="V472" s="727">
        <f>SUMIFS('Schedule 4'!$F$89:$F$649,'Schedule 4'!$I$89:$I$649,'Well Cal.'!V$3,'Schedule 4'!$J$89:$J$649,'Well Cal.'!$E472)</f>
        <v>0</v>
      </c>
      <c r="W472" s="727">
        <f>SUMIFS('Schedule 4'!$F$89:$F$649,'Schedule 4'!$I$89:$I$649,'Well Cal.'!W$3,'Schedule 4'!$J$89:$J$649,'Well Cal.'!$E472)</f>
        <v>0</v>
      </c>
      <c r="X472" s="727">
        <f>SUMIFS('Schedule 4'!$F$89:$F$649,'Schedule 4'!$I$89:$I$649,'Well Cal.'!X$3,'Schedule 4'!$J$89:$J$649,'Well Cal.'!$E472)</f>
        <v>0</v>
      </c>
      <c r="Y472" s="727">
        <f>SUMIFS('Schedule 4'!$F$89:$F$649,'Schedule 4'!$I$89:$I$649,'Well Cal.'!Y$3,'Schedule 4'!$J$89:$J$649,'Well Cal.'!$E472)</f>
        <v>0</v>
      </c>
      <c r="Z472" s="727">
        <f>SUMIFS('Schedule 4'!$F$89:$F$649,'Schedule 4'!$I$89:$I$649,'Well Cal.'!Z$3,'Schedule 4'!$J$89:$J$649,'Well Cal.'!$E472)</f>
        <v>0</v>
      </c>
      <c r="AA472" s="727"/>
      <c r="AB472" s="1731"/>
      <c r="AC472" s="1731"/>
    </row>
    <row r="473" spans="2:31" x14ac:dyDescent="0.3">
      <c r="B473" s="1724"/>
      <c r="C473" s="1727"/>
      <c r="D473" s="1721"/>
      <c r="E473" s="775" t="s">
        <v>4507</v>
      </c>
      <c r="F473" s="727">
        <f>SUMIFS('Schedule 4'!$F$89:$F$649,'Schedule 4'!$I$89:$I$649,'Well Cal.'!F$3,'Schedule 4'!$J$89:$J$649,'Well Cal.'!$E473)</f>
        <v>0</v>
      </c>
      <c r="G473" s="727">
        <f>SUMIFS('Schedule 4'!$F$89:$F$649,'Schedule 4'!$I$89:$I$649,'Well Cal.'!G$3,'Schedule 4'!$J$89:$J$649,'Well Cal.'!$E473)</f>
        <v>0</v>
      </c>
      <c r="H473" s="727">
        <f>SUMIFS('Schedule 4'!$F$89:$F$649,'Schedule 4'!$I$89:$I$649,'Well Cal.'!H$3,'Schedule 4'!$J$89:$J$649,'Well Cal.'!$E473)</f>
        <v>0</v>
      </c>
      <c r="I473" s="727">
        <f>SUMIFS('Schedule 4'!$F$89:$F$649,'Schedule 4'!$I$89:$I$649,'Well Cal.'!I$3,'Schedule 4'!$J$89:$J$649,'Well Cal.'!$E473)</f>
        <v>0</v>
      </c>
      <c r="J473" s="727">
        <f>SUMIFS('Schedule 4'!$F$89:$F$649,'Schedule 4'!$I$89:$I$649,'Well Cal.'!J$3,'Schedule 4'!$J$89:$J$649,'Well Cal.'!$E473)</f>
        <v>0</v>
      </c>
      <c r="K473" s="727">
        <f>SUMIFS('Schedule 4'!$F$89:$F$649,'Schedule 4'!$I$89:$I$649,'Well Cal.'!K$3,'Schedule 4'!$J$89:$J$649,'Well Cal.'!$E473)</f>
        <v>0</v>
      </c>
      <c r="L473" s="727">
        <f>SUMIFS('Schedule 4'!$F$89:$F$649,'Schedule 4'!$I$89:$I$649,'Well Cal.'!L$3,'Schedule 4'!$J$89:$J$649,'Well Cal.'!$E473)</f>
        <v>0</v>
      </c>
      <c r="M473" s="727">
        <f>SUMIFS('Schedule 4'!$F$89:$F$649,'Schedule 4'!$I$89:$I$649,'Well Cal.'!M$3,'Schedule 4'!$J$89:$J$649,'Well Cal.'!$E473)</f>
        <v>0</v>
      </c>
      <c r="N473" s="727">
        <f>SUMIFS('Schedule 4'!$F$89:$F$649,'Schedule 4'!$I$89:$I$649,'Well Cal.'!N$3,'Schedule 4'!$J$89:$J$649,'Well Cal.'!$E473)</f>
        <v>0</v>
      </c>
      <c r="O473" s="727">
        <f>SUMIFS('Schedule 4'!$F$89:$F$649,'Schedule 4'!$I$89:$I$649,'Well Cal.'!O$3,'Schedule 4'!$J$89:$J$649,'Well Cal.'!$E473)</f>
        <v>0</v>
      </c>
      <c r="P473" s="727">
        <f>SUMIFS('Schedule 4'!$F$89:$F$649,'Schedule 4'!$I$89:$I$649,'Well Cal.'!P$3,'Schedule 4'!$J$89:$J$649,'Well Cal.'!$E473)</f>
        <v>0</v>
      </c>
      <c r="Q473" s="727">
        <f>SUMIFS('Schedule 4'!$F$89:$F$649,'Schedule 4'!$I$89:$I$649,'Well Cal.'!Q$3,'Schedule 4'!$J$89:$J$649,'Well Cal.'!$E473)</f>
        <v>0</v>
      </c>
      <c r="R473" s="727">
        <f>SUMIFS('Schedule 4'!$F$89:$F$649,'Schedule 4'!$I$89:$I$649,'Well Cal.'!R$3,'Schedule 4'!$J$89:$J$649,'Well Cal.'!$E473)</f>
        <v>0</v>
      </c>
      <c r="S473" s="727">
        <f>SUMIFS('Schedule 4'!$F$89:$F$649,'Schedule 4'!$I$89:$I$649,'Well Cal.'!S$3,'Schedule 4'!$J$89:$J$649,'Well Cal.'!$E473)</f>
        <v>0</v>
      </c>
      <c r="T473" s="727">
        <f>SUMIFS('Schedule 4'!$F$89:$F$649,'Schedule 4'!$I$89:$I$649,'Well Cal.'!T$3,'Schedule 4'!$J$89:$J$649,'Well Cal.'!$E473)</f>
        <v>0</v>
      </c>
      <c r="U473" s="727">
        <f>SUMIFS('Schedule 4'!$F$89:$F$649,'Schedule 4'!$I$89:$I$649,'Well Cal.'!U$3,'Schedule 4'!$J$89:$J$649,'Well Cal.'!$E473)</f>
        <v>0</v>
      </c>
      <c r="V473" s="727">
        <f>SUMIFS('Schedule 4'!$F$89:$F$649,'Schedule 4'!$I$89:$I$649,'Well Cal.'!V$3,'Schedule 4'!$J$89:$J$649,'Well Cal.'!$E473)</f>
        <v>0</v>
      </c>
      <c r="W473" s="727">
        <f>SUMIFS('Schedule 4'!$F$89:$F$649,'Schedule 4'!$I$89:$I$649,'Well Cal.'!W$3,'Schedule 4'!$J$89:$J$649,'Well Cal.'!$E473)</f>
        <v>0</v>
      </c>
      <c r="X473" s="727">
        <f>SUMIFS('Schedule 4'!$F$89:$F$649,'Schedule 4'!$I$89:$I$649,'Well Cal.'!X$3,'Schedule 4'!$J$89:$J$649,'Well Cal.'!$E473)</f>
        <v>0</v>
      </c>
      <c r="Y473" s="727">
        <f>SUMIFS('Schedule 4'!$F$89:$F$649,'Schedule 4'!$I$89:$I$649,'Well Cal.'!Y$3,'Schedule 4'!$J$89:$J$649,'Well Cal.'!$E473)</f>
        <v>0</v>
      </c>
      <c r="Z473" s="727">
        <f>SUMIFS('Schedule 4'!$F$89:$F$649,'Schedule 4'!$I$89:$I$649,'Well Cal.'!Z$3,'Schedule 4'!$J$89:$J$649,'Well Cal.'!$E473)</f>
        <v>0</v>
      </c>
      <c r="AA473" s="727"/>
      <c r="AB473" s="1731"/>
      <c r="AC473" s="1731"/>
    </row>
    <row r="474" spans="2:31" x14ac:dyDescent="0.3">
      <c r="B474" s="1724"/>
      <c r="C474" s="1727"/>
      <c r="D474" s="1721"/>
      <c r="E474" s="775" t="s">
        <v>4550</v>
      </c>
      <c r="F474" s="727">
        <f>SUMIFS('Schedule 4'!$F$89:$F$649,'Schedule 4'!$I$89:$I$649,'Well Cal.'!F$3,'Schedule 4'!$J$89:$J$649,'Well Cal.'!$E474)</f>
        <v>0</v>
      </c>
      <c r="G474" s="727">
        <f>SUMIFS('Schedule 4'!$F$89:$F$649,'Schedule 4'!$I$89:$I$649,'Well Cal.'!G$3,'Schedule 4'!$J$89:$J$649,'Well Cal.'!$E474)</f>
        <v>0</v>
      </c>
      <c r="H474" s="727">
        <f>SUMIFS('Schedule 4'!$F$89:$F$649,'Schedule 4'!$I$89:$I$649,'Well Cal.'!H$3,'Schedule 4'!$J$89:$J$649,'Well Cal.'!$E474)</f>
        <v>0</v>
      </c>
      <c r="I474" s="727">
        <f>SUMIFS('Schedule 4'!$F$89:$F$649,'Schedule 4'!$I$89:$I$649,'Well Cal.'!I$3,'Schedule 4'!$J$89:$J$649,'Well Cal.'!$E474)</f>
        <v>0</v>
      </c>
      <c r="J474" s="727">
        <f>SUMIFS('Schedule 4'!$F$89:$F$649,'Schedule 4'!$I$89:$I$649,'Well Cal.'!J$3,'Schedule 4'!$J$89:$J$649,'Well Cal.'!$E474)</f>
        <v>0</v>
      </c>
      <c r="K474" s="727">
        <f>SUMIFS('Schedule 4'!$F$89:$F$649,'Schedule 4'!$I$89:$I$649,'Well Cal.'!K$3,'Schedule 4'!$J$89:$J$649,'Well Cal.'!$E474)</f>
        <v>0</v>
      </c>
      <c r="L474" s="727">
        <f>SUMIFS('Schedule 4'!$F$89:$F$649,'Schedule 4'!$I$89:$I$649,'Well Cal.'!L$3,'Schedule 4'!$J$89:$J$649,'Well Cal.'!$E474)</f>
        <v>0</v>
      </c>
      <c r="M474" s="727">
        <f>SUMIFS('Schedule 4'!$F$89:$F$649,'Schedule 4'!$I$89:$I$649,'Well Cal.'!M$3,'Schedule 4'!$J$89:$J$649,'Well Cal.'!$E474)</f>
        <v>0</v>
      </c>
      <c r="N474" s="727">
        <f>SUMIFS('Schedule 4'!$F$89:$F$649,'Schedule 4'!$I$89:$I$649,'Well Cal.'!N$3,'Schedule 4'!$J$89:$J$649,'Well Cal.'!$E474)</f>
        <v>0</v>
      </c>
      <c r="O474" s="727">
        <f>SUMIFS('Schedule 4'!$F$89:$F$649,'Schedule 4'!$I$89:$I$649,'Well Cal.'!O$3,'Schedule 4'!$J$89:$J$649,'Well Cal.'!$E474)</f>
        <v>0</v>
      </c>
      <c r="P474" s="727">
        <f>SUMIFS('Schedule 4'!$F$89:$F$649,'Schedule 4'!$I$89:$I$649,'Well Cal.'!P$3,'Schedule 4'!$J$89:$J$649,'Well Cal.'!$E474)</f>
        <v>0</v>
      </c>
      <c r="Q474" s="727">
        <f>SUMIFS('Schedule 4'!$F$89:$F$649,'Schedule 4'!$I$89:$I$649,'Well Cal.'!Q$3,'Schedule 4'!$J$89:$J$649,'Well Cal.'!$E474)</f>
        <v>0</v>
      </c>
      <c r="R474" s="727">
        <f>SUMIFS('Schedule 4'!$F$89:$F$649,'Schedule 4'!$I$89:$I$649,'Well Cal.'!R$3,'Schedule 4'!$J$89:$J$649,'Well Cal.'!$E474)</f>
        <v>0</v>
      </c>
      <c r="S474" s="727">
        <f>SUMIFS('Schedule 4'!$F$89:$F$649,'Schedule 4'!$I$89:$I$649,'Well Cal.'!S$3,'Schedule 4'!$J$89:$J$649,'Well Cal.'!$E474)</f>
        <v>0</v>
      </c>
      <c r="T474" s="727">
        <f>SUMIFS('Schedule 4'!$F$89:$F$649,'Schedule 4'!$I$89:$I$649,'Well Cal.'!T$3,'Schedule 4'!$J$89:$J$649,'Well Cal.'!$E474)</f>
        <v>0</v>
      </c>
      <c r="U474" s="727">
        <f>SUMIFS('Schedule 4'!$F$89:$F$649,'Schedule 4'!$I$89:$I$649,'Well Cal.'!U$3,'Schedule 4'!$J$89:$J$649,'Well Cal.'!$E474)</f>
        <v>0</v>
      </c>
      <c r="V474" s="727">
        <f>SUMIFS('Schedule 4'!$F$89:$F$649,'Schedule 4'!$I$89:$I$649,'Well Cal.'!V$3,'Schedule 4'!$J$89:$J$649,'Well Cal.'!$E474)</f>
        <v>0</v>
      </c>
      <c r="W474" s="727">
        <f>SUMIFS('Schedule 4'!$F$89:$F$649,'Schedule 4'!$I$89:$I$649,'Well Cal.'!W$3,'Schedule 4'!$J$89:$J$649,'Well Cal.'!$E474)</f>
        <v>0</v>
      </c>
      <c r="X474" s="727">
        <f>SUMIFS('Schedule 4'!$F$89:$F$649,'Schedule 4'!$I$89:$I$649,'Well Cal.'!X$3,'Schedule 4'!$J$89:$J$649,'Well Cal.'!$E474)</f>
        <v>0</v>
      </c>
      <c r="Y474" s="727">
        <f>SUMIFS('Schedule 4'!$F$89:$F$649,'Schedule 4'!$I$89:$I$649,'Well Cal.'!Y$3,'Schedule 4'!$J$89:$J$649,'Well Cal.'!$E474)</f>
        <v>0</v>
      </c>
      <c r="Z474" s="727">
        <f>SUMIFS('Schedule 4'!$F$89:$F$649,'Schedule 4'!$I$89:$I$649,'Well Cal.'!Z$3,'Schedule 4'!$J$89:$J$649,'Well Cal.'!$E474)</f>
        <v>0</v>
      </c>
      <c r="AA474" s="727"/>
      <c r="AB474" s="1731"/>
      <c r="AC474" s="1731"/>
    </row>
    <row r="475" spans="2:31" x14ac:dyDescent="0.3">
      <c r="B475" s="1724"/>
      <c r="C475" s="1727"/>
      <c r="D475" s="1721"/>
      <c r="E475" s="775" t="s">
        <v>4571</v>
      </c>
      <c r="F475" s="727">
        <f>SUMIFS('Schedule 4'!$F$89:$F$649,'Schedule 4'!$I$89:$I$649,'Well Cal.'!F$3,'Schedule 4'!$J$89:$J$649,'Well Cal.'!$E475)</f>
        <v>0</v>
      </c>
      <c r="G475" s="727">
        <f>SUMIFS('Schedule 4'!$F$89:$F$649,'Schedule 4'!$I$89:$I$649,'Well Cal.'!G$3,'Schedule 4'!$J$89:$J$649,'Well Cal.'!$E475)</f>
        <v>0</v>
      </c>
      <c r="H475" s="727">
        <f>SUMIFS('Schedule 4'!$F$89:$F$649,'Schedule 4'!$I$89:$I$649,'Well Cal.'!H$3,'Schedule 4'!$J$89:$J$649,'Well Cal.'!$E475)</f>
        <v>0</v>
      </c>
      <c r="I475" s="727">
        <f>SUMIFS('Schedule 4'!$F$89:$F$649,'Schedule 4'!$I$89:$I$649,'Well Cal.'!I$3,'Schedule 4'!$J$89:$J$649,'Well Cal.'!$E475)</f>
        <v>0</v>
      </c>
      <c r="J475" s="727">
        <f>SUMIFS('Schedule 4'!$F$89:$F$649,'Schedule 4'!$I$89:$I$649,'Well Cal.'!J$3,'Schedule 4'!$J$89:$J$649,'Well Cal.'!$E475)</f>
        <v>0</v>
      </c>
      <c r="K475" s="727">
        <f>SUMIFS('Schedule 4'!$F$89:$F$649,'Schedule 4'!$I$89:$I$649,'Well Cal.'!K$3,'Schedule 4'!$J$89:$J$649,'Well Cal.'!$E475)</f>
        <v>0</v>
      </c>
      <c r="L475" s="727">
        <f>SUMIFS('Schedule 4'!$F$89:$F$649,'Schedule 4'!$I$89:$I$649,'Well Cal.'!L$3,'Schedule 4'!$J$89:$J$649,'Well Cal.'!$E475)</f>
        <v>0</v>
      </c>
      <c r="M475" s="727">
        <f>SUMIFS('Schedule 4'!$F$89:$F$649,'Schedule 4'!$I$89:$I$649,'Well Cal.'!M$3,'Schedule 4'!$J$89:$J$649,'Well Cal.'!$E475)</f>
        <v>0</v>
      </c>
      <c r="N475" s="727">
        <f>SUMIFS('Schedule 4'!$F$89:$F$649,'Schedule 4'!$I$89:$I$649,'Well Cal.'!N$3,'Schedule 4'!$J$89:$J$649,'Well Cal.'!$E475)</f>
        <v>0</v>
      </c>
      <c r="O475" s="727">
        <f>SUMIFS('Schedule 4'!$F$89:$F$649,'Schedule 4'!$I$89:$I$649,'Well Cal.'!O$3,'Schedule 4'!$J$89:$J$649,'Well Cal.'!$E475)</f>
        <v>0</v>
      </c>
      <c r="P475" s="727">
        <f>SUMIFS('Schedule 4'!$F$89:$F$649,'Schedule 4'!$I$89:$I$649,'Well Cal.'!P$3,'Schedule 4'!$J$89:$J$649,'Well Cal.'!$E475)</f>
        <v>0</v>
      </c>
      <c r="Q475" s="727">
        <f>SUMIFS('Schedule 4'!$F$89:$F$649,'Schedule 4'!$I$89:$I$649,'Well Cal.'!Q$3,'Schedule 4'!$J$89:$J$649,'Well Cal.'!$E475)</f>
        <v>0</v>
      </c>
      <c r="R475" s="727">
        <f>SUMIFS('Schedule 4'!$F$89:$F$649,'Schedule 4'!$I$89:$I$649,'Well Cal.'!R$3,'Schedule 4'!$J$89:$J$649,'Well Cal.'!$E475)</f>
        <v>0</v>
      </c>
      <c r="S475" s="727">
        <f>SUMIFS('Schedule 4'!$F$89:$F$649,'Schedule 4'!$I$89:$I$649,'Well Cal.'!S$3,'Schedule 4'!$J$89:$J$649,'Well Cal.'!$E475)</f>
        <v>0</v>
      </c>
      <c r="T475" s="727">
        <f>SUMIFS('Schedule 4'!$F$89:$F$649,'Schedule 4'!$I$89:$I$649,'Well Cal.'!T$3,'Schedule 4'!$J$89:$J$649,'Well Cal.'!$E475)</f>
        <v>0</v>
      </c>
      <c r="U475" s="727">
        <f>SUMIFS('Schedule 4'!$F$89:$F$649,'Schedule 4'!$I$89:$I$649,'Well Cal.'!U$3,'Schedule 4'!$J$89:$J$649,'Well Cal.'!$E475)</f>
        <v>0</v>
      </c>
      <c r="V475" s="727">
        <f>SUMIFS('Schedule 4'!$F$89:$F$649,'Schedule 4'!$I$89:$I$649,'Well Cal.'!V$3,'Schedule 4'!$J$89:$J$649,'Well Cal.'!$E475)</f>
        <v>0</v>
      </c>
      <c r="W475" s="727">
        <f>SUMIFS('Schedule 4'!$F$89:$F$649,'Schedule 4'!$I$89:$I$649,'Well Cal.'!W$3,'Schedule 4'!$J$89:$J$649,'Well Cal.'!$E475)</f>
        <v>0</v>
      </c>
      <c r="X475" s="727">
        <f>SUMIFS('Schedule 4'!$F$89:$F$649,'Schedule 4'!$I$89:$I$649,'Well Cal.'!X$3,'Schedule 4'!$J$89:$J$649,'Well Cal.'!$E475)</f>
        <v>0</v>
      </c>
      <c r="Y475" s="727">
        <f>SUMIFS('Schedule 4'!$F$89:$F$649,'Schedule 4'!$I$89:$I$649,'Well Cal.'!Y$3,'Schedule 4'!$J$89:$J$649,'Well Cal.'!$E475)</f>
        <v>0</v>
      </c>
      <c r="Z475" s="727">
        <f>SUMIFS('Schedule 4'!$F$89:$F$649,'Schedule 4'!$I$89:$I$649,'Well Cal.'!Z$3,'Schedule 4'!$J$89:$J$649,'Well Cal.'!$E475)</f>
        <v>0</v>
      </c>
      <c r="AA475" s="727"/>
      <c r="AB475" s="1731"/>
      <c r="AC475" s="1731"/>
    </row>
    <row r="476" spans="2:31" x14ac:dyDescent="0.3">
      <c r="B476" s="1725"/>
      <c r="C476" s="1728"/>
      <c r="D476" s="1722"/>
      <c r="E476" s="776"/>
      <c r="F476" s="777"/>
      <c r="G476" s="777"/>
      <c r="H476" s="777"/>
      <c r="I476" s="777"/>
      <c r="J476" s="777"/>
      <c r="K476" s="777"/>
      <c r="L476" s="777"/>
      <c r="M476" s="777"/>
      <c r="N476" s="777"/>
      <c r="O476" s="777"/>
      <c r="P476" s="777"/>
      <c r="Q476" s="777"/>
      <c r="R476" s="777"/>
      <c r="S476" s="777"/>
      <c r="T476" s="777"/>
      <c r="U476" s="777"/>
      <c r="V476" s="777"/>
      <c r="W476" s="777"/>
      <c r="X476" s="777"/>
      <c r="Y476" s="777"/>
      <c r="Z476" s="777"/>
      <c r="AA476" s="777"/>
      <c r="AB476" s="1732"/>
      <c r="AC476" s="1732"/>
    </row>
    <row r="477" spans="2:31" x14ac:dyDescent="0.3">
      <c r="B477" s="1723" t="s">
        <v>2517</v>
      </c>
      <c r="C477" s="1726">
        <v>54.05</v>
      </c>
      <c r="D477" s="1720">
        <f>SUMIFS('Schedule 4'!$F$89:$F$649,'Schedule 4'!$K$89:$K$649,'Well Cal.'!$B477)</f>
        <v>0</v>
      </c>
      <c r="E477" s="754" t="s">
        <v>3147</v>
      </c>
      <c r="F477" s="728">
        <f>SUMIFS('Schedule 4'!$F$89:$F$649,'Schedule 4'!$I$89:$I$649,'Well Cal.'!F$3,'Schedule 4'!$J$89:$J$649,'Well Cal.'!$E477)</f>
        <v>0</v>
      </c>
      <c r="G477" s="728">
        <f>SUMIFS('Schedule 4'!$F$89:$F$649,'Schedule 4'!$I$89:$I$649,'Well Cal.'!G$3,'Schedule 4'!$J$89:$J$649,'Well Cal.'!$E477)</f>
        <v>0</v>
      </c>
      <c r="H477" s="728">
        <f>SUMIFS('Schedule 4'!$F$89:$F$649,'Schedule 4'!$I$89:$I$649,'Well Cal.'!H$3,'Schedule 4'!$J$89:$J$649,'Well Cal.'!$E477)</f>
        <v>0</v>
      </c>
      <c r="I477" s="728">
        <f>SUMIFS('Schedule 4'!$F$89:$F$649,'Schedule 4'!$I$89:$I$649,'Well Cal.'!I$3,'Schedule 4'!$J$89:$J$649,'Well Cal.'!$E477)</f>
        <v>0</v>
      </c>
      <c r="J477" s="728">
        <f>SUMIFS('Schedule 4'!$F$89:$F$649,'Schedule 4'!$I$89:$I$649,'Well Cal.'!J$3,'Schedule 4'!$J$89:$J$649,'Well Cal.'!$E477)</f>
        <v>0</v>
      </c>
      <c r="K477" s="728">
        <f>SUMIFS('Schedule 4'!$F$89:$F$649,'Schedule 4'!$I$89:$I$649,'Well Cal.'!K$3,'Schedule 4'!$J$89:$J$649,'Well Cal.'!$E477)</f>
        <v>0</v>
      </c>
      <c r="L477" s="728">
        <f>SUMIFS('Schedule 4'!$F$89:$F$649,'Schedule 4'!$I$89:$I$649,'Well Cal.'!L$3,'Schedule 4'!$J$89:$J$649,'Well Cal.'!$E477)</f>
        <v>0</v>
      </c>
      <c r="M477" s="728">
        <f>SUMIFS('Schedule 4'!$F$89:$F$649,'Schedule 4'!$I$89:$I$649,'Well Cal.'!M$3,'Schedule 4'!$J$89:$J$649,'Well Cal.'!$E477)</f>
        <v>0</v>
      </c>
      <c r="N477" s="728">
        <f>SUMIFS('Schedule 4'!$F$89:$F$649,'Schedule 4'!$I$89:$I$649,'Well Cal.'!N$3,'Schedule 4'!$J$89:$J$649,'Well Cal.'!$E477)</f>
        <v>0</v>
      </c>
      <c r="O477" s="728">
        <f>SUMIFS('Schedule 4'!$F$89:$F$649,'Schedule 4'!$I$89:$I$649,'Well Cal.'!O$3,'Schedule 4'!$J$89:$J$649,'Well Cal.'!$E477)</f>
        <v>0</v>
      </c>
      <c r="P477" s="728">
        <f>SUMIFS('Schedule 4'!$F$89:$F$649,'Schedule 4'!$I$89:$I$649,'Well Cal.'!P$3,'Schedule 4'!$J$89:$J$649,'Well Cal.'!$E477)</f>
        <v>0</v>
      </c>
      <c r="Q477" s="728">
        <f>SUMIFS('Schedule 4'!$F$89:$F$649,'Schedule 4'!$I$89:$I$649,'Well Cal.'!Q$3,'Schedule 4'!$J$89:$J$649,'Well Cal.'!$E477)</f>
        <v>0</v>
      </c>
      <c r="R477" s="728">
        <f>SUMIFS('Schedule 4'!$F$89:$F$649,'Schedule 4'!$I$89:$I$649,'Well Cal.'!R$3,'Schedule 4'!$J$89:$J$649,'Well Cal.'!$E477)</f>
        <v>0</v>
      </c>
      <c r="S477" s="728">
        <f>SUMIFS('Schedule 4'!$F$89:$F$649,'Schedule 4'!$I$89:$I$649,'Well Cal.'!S$3,'Schedule 4'!$J$89:$J$649,'Well Cal.'!$E477)</f>
        <v>0</v>
      </c>
      <c r="T477" s="728">
        <f>SUMIFS('Schedule 4'!$F$89:$F$649,'Schedule 4'!$I$89:$I$649,'Well Cal.'!T$3,'Schedule 4'!$J$89:$J$649,'Well Cal.'!$E477)</f>
        <v>0</v>
      </c>
      <c r="U477" s="728">
        <f>SUMIFS('Schedule 4'!$F$89:$F$649,'Schedule 4'!$I$89:$I$649,'Well Cal.'!U$3,'Schedule 4'!$J$89:$J$649,'Well Cal.'!$E477)</f>
        <v>0</v>
      </c>
      <c r="V477" s="728">
        <f>SUMIFS('Schedule 4'!$F$89:$F$649,'Schedule 4'!$I$89:$I$649,'Well Cal.'!V$3,'Schedule 4'!$J$89:$J$649,'Well Cal.'!$E477)</f>
        <v>0</v>
      </c>
      <c r="W477" s="728">
        <f>SUMIFS('Schedule 4'!$F$89:$F$649,'Schedule 4'!$I$89:$I$649,'Well Cal.'!W$3,'Schedule 4'!$J$89:$J$649,'Well Cal.'!$E477)</f>
        <v>0</v>
      </c>
      <c r="X477" s="728">
        <f>SUMIFS('Schedule 4'!$F$89:$F$649,'Schedule 4'!$I$89:$I$649,'Well Cal.'!X$3,'Schedule 4'!$J$89:$J$649,'Well Cal.'!$E477)</f>
        <v>0</v>
      </c>
      <c r="Y477" s="728">
        <f>SUMIFS('Schedule 4'!$F$89:$F$649,'Schedule 4'!$I$89:$I$649,'Well Cal.'!Y$3,'Schedule 4'!$J$89:$J$649,'Well Cal.'!$E477)</f>
        <v>0</v>
      </c>
      <c r="Z477" s="728">
        <f>SUMIFS('Schedule 4'!$F$89:$F$649,'Schedule 4'!$I$89:$I$649,'Well Cal.'!Z$3,'Schedule 4'!$J$89:$J$649,'Well Cal.'!$E477)</f>
        <v>0</v>
      </c>
      <c r="AA477" s="728"/>
      <c r="AB477" s="1729">
        <f>SUM(F477:AA498)</f>
        <v>0</v>
      </c>
      <c r="AC477" s="1729">
        <f>D477-AB477</f>
        <v>0</v>
      </c>
    </row>
    <row r="478" spans="2:31" x14ac:dyDescent="0.3">
      <c r="B478" s="1724"/>
      <c r="C478" s="1727"/>
      <c r="D478" s="1721"/>
      <c r="E478" s="761" t="s">
        <v>3229</v>
      </c>
      <c r="F478" s="726">
        <f>SUMIFS('Schedule 4'!$F$89:$F$649,'Schedule 4'!$I$89:$I$649,'Well Cal.'!F$3,'Schedule 4'!$J$89:$J$649,'Well Cal.'!$E478)</f>
        <v>0</v>
      </c>
      <c r="G478" s="726">
        <f>SUMIFS('Schedule 4'!$F$89:$F$649,'Schedule 4'!$I$89:$I$649,'Well Cal.'!G$3,'Schedule 4'!$J$89:$J$649,'Well Cal.'!$E478)</f>
        <v>0</v>
      </c>
      <c r="H478" s="726">
        <f>SUMIFS('Schedule 4'!$F$89:$F$649,'Schedule 4'!$I$89:$I$649,'Well Cal.'!H$3,'Schedule 4'!$J$89:$J$649,'Well Cal.'!$E478)</f>
        <v>0</v>
      </c>
      <c r="I478" s="726">
        <f>SUMIFS('Schedule 4'!$F$89:$F$649,'Schedule 4'!$I$89:$I$649,'Well Cal.'!I$3,'Schedule 4'!$J$89:$J$649,'Well Cal.'!$E478)</f>
        <v>0</v>
      </c>
      <c r="J478" s="726">
        <f>SUMIFS('Schedule 4'!$F$89:$F$649,'Schedule 4'!$I$89:$I$649,'Well Cal.'!J$3,'Schedule 4'!$J$89:$J$649,'Well Cal.'!$E478)</f>
        <v>0</v>
      </c>
      <c r="K478" s="726">
        <f>SUMIFS('Schedule 4'!$F$89:$F$649,'Schedule 4'!$I$89:$I$649,'Well Cal.'!K$3,'Schedule 4'!$J$89:$J$649,'Well Cal.'!$E478)</f>
        <v>0</v>
      </c>
      <c r="L478" s="726">
        <f>SUMIFS('Schedule 4'!$F$89:$F$649,'Schedule 4'!$I$89:$I$649,'Well Cal.'!L$3,'Schedule 4'!$J$89:$J$649,'Well Cal.'!$E478)</f>
        <v>0</v>
      </c>
      <c r="M478" s="726">
        <f>SUMIFS('Schedule 4'!$F$89:$F$649,'Schedule 4'!$I$89:$I$649,'Well Cal.'!M$3,'Schedule 4'!$J$89:$J$649,'Well Cal.'!$E478)</f>
        <v>0</v>
      </c>
      <c r="N478" s="726">
        <f>SUMIFS('Schedule 4'!$F$89:$F$649,'Schedule 4'!$I$89:$I$649,'Well Cal.'!N$3,'Schedule 4'!$J$89:$J$649,'Well Cal.'!$E478)</f>
        <v>0</v>
      </c>
      <c r="O478" s="726">
        <f>SUMIFS('Schedule 4'!$F$89:$F$649,'Schedule 4'!$I$89:$I$649,'Well Cal.'!O$3,'Schedule 4'!$J$89:$J$649,'Well Cal.'!$E478)</f>
        <v>0</v>
      </c>
      <c r="P478" s="726">
        <f>SUMIFS('Schedule 4'!$F$89:$F$649,'Schedule 4'!$I$89:$I$649,'Well Cal.'!P$3,'Schedule 4'!$J$89:$J$649,'Well Cal.'!$E478)</f>
        <v>0</v>
      </c>
      <c r="Q478" s="726">
        <f>SUMIFS('Schedule 4'!$F$89:$F$649,'Schedule 4'!$I$89:$I$649,'Well Cal.'!Q$3,'Schedule 4'!$J$89:$J$649,'Well Cal.'!$E478)</f>
        <v>0</v>
      </c>
      <c r="R478" s="726">
        <f>SUMIFS('Schedule 4'!$F$89:$F$649,'Schedule 4'!$I$89:$I$649,'Well Cal.'!R$3,'Schedule 4'!$J$89:$J$649,'Well Cal.'!$E478)</f>
        <v>0</v>
      </c>
      <c r="S478" s="726">
        <f>SUMIFS('Schedule 4'!$F$89:$F$649,'Schedule 4'!$I$89:$I$649,'Well Cal.'!S$3,'Schedule 4'!$J$89:$J$649,'Well Cal.'!$E478)</f>
        <v>0</v>
      </c>
      <c r="T478" s="726">
        <f>SUMIFS('Schedule 4'!$F$89:$F$649,'Schedule 4'!$I$89:$I$649,'Well Cal.'!T$3,'Schedule 4'!$J$89:$J$649,'Well Cal.'!$E478)</f>
        <v>0</v>
      </c>
      <c r="U478" s="726">
        <f>SUMIFS('Schedule 4'!$F$89:$F$649,'Schedule 4'!$I$89:$I$649,'Well Cal.'!U$3,'Schedule 4'!$J$89:$J$649,'Well Cal.'!$E478)</f>
        <v>0</v>
      </c>
      <c r="V478" s="726">
        <f>SUMIFS('Schedule 4'!$F$89:$F$649,'Schedule 4'!$I$89:$I$649,'Well Cal.'!V$3,'Schedule 4'!$J$89:$J$649,'Well Cal.'!$E478)</f>
        <v>0</v>
      </c>
      <c r="W478" s="726">
        <f>SUMIFS('Schedule 4'!$F$89:$F$649,'Schedule 4'!$I$89:$I$649,'Well Cal.'!W$3,'Schedule 4'!$J$89:$J$649,'Well Cal.'!$E478)</f>
        <v>0</v>
      </c>
      <c r="X478" s="726">
        <f>SUMIFS('Schedule 4'!$F$89:$F$649,'Schedule 4'!$I$89:$I$649,'Well Cal.'!X$3,'Schedule 4'!$J$89:$J$649,'Well Cal.'!$E478)</f>
        <v>0</v>
      </c>
      <c r="Y478" s="726">
        <f>SUMIFS('Schedule 4'!$F$89:$F$649,'Schedule 4'!$I$89:$I$649,'Well Cal.'!Y$3,'Schedule 4'!$J$89:$J$649,'Well Cal.'!$E478)</f>
        <v>0</v>
      </c>
      <c r="Z478" s="726">
        <f>SUMIFS('Schedule 4'!$F$89:$F$649,'Schedule 4'!$I$89:$I$649,'Well Cal.'!Z$3,'Schedule 4'!$J$89:$J$649,'Well Cal.'!$E478)</f>
        <v>0</v>
      </c>
      <c r="AA478" s="726"/>
      <c r="AB478" s="1730"/>
      <c r="AC478" s="1730"/>
    </row>
    <row r="479" spans="2:31" x14ac:dyDescent="0.3">
      <c r="B479" s="1724"/>
      <c r="C479" s="1727"/>
      <c r="D479" s="1721"/>
      <c r="E479" s="761" t="s">
        <v>3308</v>
      </c>
      <c r="F479" s="726">
        <f>SUMIFS('Schedule 4'!$F$89:$F$649,'Schedule 4'!$I$89:$I$649,'Well Cal.'!F$3,'Schedule 4'!$J$89:$J$649,'Well Cal.'!$E479)</f>
        <v>0</v>
      </c>
      <c r="G479" s="726">
        <f>SUMIFS('Schedule 4'!$F$89:$F$649,'Schedule 4'!$I$89:$I$649,'Well Cal.'!G$3,'Schedule 4'!$J$89:$J$649,'Well Cal.'!$E479)</f>
        <v>0</v>
      </c>
      <c r="H479" s="726">
        <f>SUMIFS('Schedule 4'!$F$89:$F$649,'Schedule 4'!$I$89:$I$649,'Well Cal.'!H$3,'Schedule 4'!$J$89:$J$649,'Well Cal.'!$E479)</f>
        <v>0</v>
      </c>
      <c r="I479" s="726">
        <f>SUMIFS('Schedule 4'!$F$89:$F$649,'Schedule 4'!$I$89:$I$649,'Well Cal.'!I$3,'Schedule 4'!$J$89:$J$649,'Well Cal.'!$E479)</f>
        <v>0</v>
      </c>
      <c r="J479" s="726">
        <f>SUMIFS('Schedule 4'!$F$89:$F$649,'Schedule 4'!$I$89:$I$649,'Well Cal.'!J$3,'Schedule 4'!$J$89:$J$649,'Well Cal.'!$E479)</f>
        <v>0</v>
      </c>
      <c r="K479" s="726">
        <f>SUMIFS('Schedule 4'!$F$89:$F$649,'Schedule 4'!$I$89:$I$649,'Well Cal.'!K$3,'Schedule 4'!$J$89:$J$649,'Well Cal.'!$E479)</f>
        <v>0</v>
      </c>
      <c r="L479" s="726">
        <f>SUMIFS('Schedule 4'!$F$89:$F$649,'Schedule 4'!$I$89:$I$649,'Well Cal.'!L$3,'Schedule 4'!$J$89:$J$649,'Well Cal.'!$E479)</f>
        <v>0</v>
      </c>
      <c r="M479" s="726">
        <f>SUMIFS('Schedule 4'!$F$89:$F$649,'Schedule 4'!$I$89:$I$649,'Well Cal.'!M$3,'Schedule 4'!$J$89:$J$649,'Well Cal.'!$E479)</f>
        <v>0</v>
      </c>
      <c r="N479" s="726">
        <f>SUMIFS('Schedule 4'!$F$89:$F$649,'Schedule 4'!$I$89:$I$649,'Well Cal.'!N$3,'Schedule 4'!$J$89:$J$649,'Well Cal.'!$E479)</f>
        <v>0</v>
      </c>
      <c r="O479" s="726">
        <f>SUMIFS('Schedule 4'!$F$89:$F$649,'Schedule 4'!$I$89:$I$649,'Well Cal.'!O$3,'Schedule 4'!$J$89:$J$649,'Well Cal.'!$E479)</f>
        <v>0</v>
      </c>
      <c r="P479" s="726">
        <f>SUMIFS('Schedule 4'!$F$89:$F$649,'Schedule 4'!$I$89:$I$649,'Well Cal.'!P$3,'Schedule 4'!$J$89:$J$649,'Well Cal.'!$E479)</f>
        <v>0</v>
      </c>
      <c r="Q479" s="726">
        <f>SUMIFS('Schedule 4'!$F$89:$F$649,'Schedule 4'!$I$89:$I$649,'Well Cal.'!Q$3,'Schedule 4'!$J$89:$J$649,'Well Cal.'!$E479)</f>
        <v>0</v>
      </c>
      <c r="R479" s="726">
        <f>SUMIFS('Schedule 4'!$F$89:$F$649,'Schedule 4'!$I$89:$I$649,'Well Cal.'!R$3,'Schedule 4'!$J$89:$J$649,'Well Cal.'!$E479)</f>
        <v>0</v>
      </c>
      <c r="S479" s="726">
        <f>SUMIFS('Schedule 4'!$F$89:$F$649,'Schedule 4'!$I$89:$I$649,'Well Cal.'!S$3,'Schedule 4'!$J$89:$J$649,'Well Cal.'!$E479)</f>
        <v>0</v>
      </c>
      <c r="T479" s="726">
        <f>SUMIFS('Schedule 4'!$F$89:$F$649,'Schedule 4'!$I$89:$I$649,'Well Cal.'!T$3,'Schedule 4'!$J$89:$J$649,'Well Cal.'!$E479)</f>
        <v>0</v>
      </c>
      <c r="U479" s="726">
        <f>SUMIFS('Schedule 4'!$F$89:$F$649,'Schedule 4'!$I$89:$I$649,'Well Cal.'!U$3,'Schedule 4'!$J$89:$J$649,'Well Cal.'!$E479)</f>
        <v>0</v>
      </c>
      <c r="V479" s="726">
        <f>SUMIFS('Schedule 4'!$F$89:$F$649,'Schedule 4'!$I$89:$I$649,'Well Cal.'!V$3,'Schedule 4'!$J$89:$J$649,'Well Cal.'!$E479)</f>
        <v>0</v>
      </c>
      <c r="W479" s="726">
        <f>SUMIFS('Schedule 4'!$F$89:$F$649,'Schedule 4'!$I$89:$I$649,'Well Cal.'!W$3,'Schedule 4'!$J$89:$J$649,'Well Cal.'!$E479)</f>
        <v>0</v>
      </c>
      <c r="X479" s="726">
        <f>SUMIFS('Schedule 4'!$F$89:$F$649,'Schedule 4'!$I$89:$I$649,'Well Cal.'!X$3,'Schedule 4'!$J$89:$J$649,'Well Cal.'!$E479)</f>
        <v>0</v>
      </c>
      <c r="Y479" s="726">
        <f>SUMIFS('Schedule 4'!$F$89:$F$649,'Schedule 4'!$I$89:$I$649,'Well Cal.'!Y$3,'Schedule 4'!$J$89:$J$649,'Well Cal.'!$E479)</f>
        <v>0</v>
      </c>
      <c r="Z479" s="726">
        <f>SUMIFS('Schedule 4'!$F$89:$F$649,'Schedule 4'!$I$89:$I$649,'Well Cal.'!Z$3,'Schedule 4'!$J$89:$J$649,'Well Cal.'!$E479)</f>
        <v>0</v>
      </c>
      <c r="AA479" s="726"/>
      <c r="AB479" s="1730"/>
      <c r="AC479" s="1730"/>
    </row>
    <row r="480" spans="2:31" x14ac:dyDescent="0.3">
      <c r="B480" s="1724"/>
      <c r="C480" s="1727"/>
      <c r="D480" s="1721"/>
      <c r="E480" s="775" t="s">
        <v>3391</v>
      </c>
      <c r="F480" s="727">
        <f>SUMIFS('Schedule 4'!$F$89:$F$649,'Schedule 4'!$I$89:$I$649,'Well Cal.'!F$3,'Schedule 4'!$J$89:$J$649,'Well Cal.'!$E480)</f>
        <v>0</v>
      </c>
      <c r="G480" s="727">
        <f>SUMIFS('Schedule 4'!$F$89:$F$649,'Schedule 4'!$I$89:$I$649,'Well Cal.'!G$3,'Schedule 4'!$J$89:$J$649,'Well Cal.'!$E480)</f>
        <v>0</v>
      </c>
      <c r="H480" s="727">
        <f>SUMIFS('Schedule 4'!$F$89:$F$649,'Schedule 4'!$I$89:$I$649,'Well Cal.'!H$3,'Schedule 4'!$J$89:$J$649,'Well Cal.'!$E480)</f>
        <v>0</v>
      </c>
      <c r="I480" s="727">
        <f>SUMIFS('Schedule 4'!$F$89:$F$649,'Schedule 4'!$I$89:$I$649,'Well Cal.'!I$3,'Schedule 4'!$J$89:$J$649,'Well Cal.'!$E480)</f>
        <v>0</v>
      </c>
      <c r="J480" s="727">
        <f>SUMIFS('Schedule 4'!$F$89:$F$649,'Schedule 4'!$I$89:$I$649,'Well Cal.'!J$3,'Schedule 4'!$J$89:$J$649,'Well Cal.'!$E480)</f>
        <v>0</v>
      </c>
      <c r="K480" s="727">
        <f>SUMIFS('Schedule 4'!$F$89:$F$649,'Schedule 4'!$I$89:$I$649,'Well Cal.'!K$3,'Schedule 4'!$J$89:$J$649,'Well Cal.'!$E480)</f>
        <v>0</v>
      </c>
      <c r="L480" s="727">
        <f>SUMIFS('Schedule 4'!$F$89:$F$649,'Schedule 4'!$I$89:$I$649,'Well Cal.'!L$3,'Schedule 4'!$J$89:$J$649,'Well Cal.'!$E480)</f>
        <v>0</v>
      </c>
      <c r="M480" s="727">
        <f>SUMIFS('Schedule 4'!$F$89:$F$649,'Schedule 4'!$I$89:$I$649,'Well Cal.'!M$3,'Schedule 4'!$J$89:$J$649,'Well Cal.'!$E480)</f>
        <v>0</v>
      </c>
      <c r="N480" s="727">
        <f>SUMIFS('Schedule 4'!$F$89:$F$649,'Schedule 4'!$I$89:$I$649,'Well Cal.'!N$3,'Schedule 4'!$J$89:$J$649,'Well Cal.'!$E480)</f>
        <v>0</v>
      </c>
      <c r="O480" s="727">
        <f>SUMIFS('Schedule 4'!$F$89:$F$649,'Schedule 4'!$I$89:$I$649,'Well Cal.'!O$3,'Schedule 4'!$J$89:$J$649,'Well Cal.'!$E480)</f>
        <v>0</v>
      </c>
      <c r="P480" s="727">
        <f>SUMIFS('Schedule 4'!$F$89:$F$649,'Schedule 4'!$I$89:$I$649,'Well Cal.'!P$3,'Schedule 4'!$J$89:$J$649,'Well Cal.'!$E480)</f>
        <v>0</v>
      </c>
      <c r="Q480" s="727">
        <f>SUMIFS('Schedule 4'!$F$89:$F$649,'Schedule 4'!$I$89:$I$649,'Well Cal.'!Q$3,'Schedule 4'!$J$89:$J$649,'Well Cal.'!$E480)</f>
        <v>0</v>
      </c>
      <c r="R480" s="727">
        <f>SUMIFS('Schedule 4'!$F$89:$F$649,'Schedule 4'!$I$89:$I$649,'Well Cal.'!R$3,'Schedule 4'!$J$89:$J$649,'Well Cal.'!$E480)</f>
        <v>0</v>
      </c>
      <c r="S480" s="727">
        <f>SUMIFS('Schedule 4'!$F$89:$F$649,'Schedule 4'!$I$89:$I$649,'Well Cal.'!S$3,'Schedule 4'!$J$89:$J$649,'Well Cal.'!$E480)</f>
        <v>0</v>
      </c>
      <c r="T480" s="727">
        <f>SUMIFS('Schedule 4'!$F$89:$F$649,'Schedule 4'!$I$89:$I$649,'Well Cal.'!T$3,'Schedule 4'!$J$89:$J$649,'Well Cal.'!$E480)</f>
        <v>0</v>
      </c>
      <c r="U480" s="727">
        <f>SUMIFS('Schedule 4'!$F$89:$F$649,'Schedule 4'!$I$89:$I$649,'Well Cal.'!U$3,'Schedule 4'!$J$89:$J$649,'Well Cal.'!$E480)</f>
        <v>0</v>
      </c>
      <c r="V480" s="727">
        <f>SUMIFS('Schedule 4'!$F$89:$F$649,'Schedule 4'!$I$89:$I$649,'Well Cal.'!V$3,'Schedule 4'!$J$89:$J$649,'Well Cal.'!$E480)</f>
        <v>0</v>
      </c>
      <c r="W480" s="727">
        <f>SUMIFS('Schedule 4'!$F$89:$F$649,'Schedule 4'!$I$89:$I$649,'Well Cal.'!W$3,'Schedule 4'!$J$89:$J$649,'Well Cal.'!$E480)</f>
        <v>0</v>
      </c>
      <c r="X480" s="727">
        <f>SUMIFS('Schedule 4'!$F$89:$F$649,'Schedule 4'!$I$89:$I$649,'Well Cal.'!X$3,'Schedule 4'!$J$89:$J$649,'Well Cal.'!$E480)</f>
        <v>0</v>
      </c>
      <c r="Y480" s="727">
        <f>SUMIFS('Schedule 4'!$F$89:$F$649,'Schedule 4'!$I$89:$I$649,'Well Cal.'!Y$3,'Schedule 4'!$J$89:$J$649,'Well Cal.'!$E480)</f>
        <v>0</v>
      </c>
      <c r="Z480" s="727">
        <f>SUMIFS('Schedule 4'!$F$89:$F$649,'Schedule 4'!$I$89:$I$649,'Well Cal.'!Z$3,'Schedule 4'!$J$89:$J$649,'Well Cal.'!$E480)</f>
        <v>0</v>
      </c>
      <c r="AA480" s="727"/>
      <c r="AB480" s="1730"/>
      <c r="AC480" s="1730"/>
    </row>
    <row r="481" spans="2:29" x14ac:dyDescent="0.3">
      <c r="B481" s="1724"/>
      <c r="C481" s="1727"/>
      <c r="D481" s="1721"/>
      <c r="E481" s="775" t="s">
        <v>3462</v>
      </c>
      <c r="F481" s="727">
        <f>SUMIFS('Schedule 4'!$F$89:$F$649,'Schedule 4'!$I$89:$I$649,'Well Cal.'!F$3,'Schedule 4'!$J$89:$J$649,'Well Cal.'!$E481)</f>
        <v>0</v>
      </c>
      <c r="G481" s="727">
        <f>SUMIFS('Schedule 4'!$F$89:$F$649,'Schedule 4'!$I$89:$I$649,'Well Cal.'!G$3,'Schedule 4'!$J$89:$J$649,'Well Cal.'!$E481)</f>
        <v>0</v>
      </c>
      <c r="H481" s="727">
        <f>SUMIFS('Schedule 4'!$F$89:$F$649,'Schedule 4'!$I$89:$I$649,'Well Cal.'!H$3,'Schedule 4'!$J$89:$J$649,'Well Cal.'!$E481)</f>
        <v>0</v>
      </c>
      <c r="I481" s="727">
        <f>SUMIFS('Schedule 4'!$F$89:$F$649,'Schedule 4'!$I$89:$I$649,'Well Cal.'!I$3,'Schedule 4'!$J$89:$J$649,'Well Cal.'!$E481)</f>
        <v>0</v>
      </c>
      <c r="J481" s="727">
        <f>SUMIFS('Schedule 4'!$F$89:$F$649,'Schedule 4'!$I$89:$I$649,'Well Cal.'!J$3,'Schedule 4'!$J$89:$J$649,'Well Cal.'!$E481)</f>
        <v>0</v>
      </c>
      <c r="K481" s="727">
        <f>SUMIFS('Schedule 4'!$F$89:$F$649,'Schedule 4'!$I$89:$I$649,'Well Cal.'!K$3,'Schedule 4'!$J$89:$J$649,'Well Cal.'!$E481)</f>
        <v>0</v>
      </c>
      <c r="L481" s="727">
        <f>SUMIFS('Schedule 4'!$F$89:$F$649,'Schedule 4'!$I$89:$I$649,'Well Cal.'!L$3,'Schedule 4'!$J$89:$J$649,'Well Cal.'!$E481)</f>
        <v>0</v>
      </c>
      <c r="M481" s="727">
        <f>SUMIFS('Schedule 4'!$F$89:$F$649,'Schedule 4'!$I$89:$I$649,'Well Cal.'!M$3,'Schedule 4'!$J$89:$J$649,'Well Cal.'!$E481)</f>
        <v>0</v>
      </c>
      <c r="N481" s="727">
        <f>SUMIFS('Schedule 4'!$F$89:$F$649,'Schedule 4'!$I$89:$I$649,'Well Cal.'!N$3,'Schedule 4'!$J$89:$J$649,'Well Cal.'!$E481)</f>
        <v>0</v>
      </c>
      <c r="O481" s="727">
        <f>SUMIFS('Schedule 4'!$F$89:$F$649,'Schedule 4'!$I$89:$I$649,'Well Cal.'!O$3,'Schedule 4'!$J$89:$J$649,'Well Cal.'!$E481)</f>
        <v>0</v>
      </c>
      <c r="P481" s="727">
        <f>SUMIFS('Schedule 4'!$F$89:$F$649,'Schedule 4'!$I$89:$I$649,'Well Cal.'!P$3,'Schedule 4'!$J$89:$J$649,'Well Cal.'!$E481)</f>
        <v>0</v>
      </c>
      <c r="Q481" s="727">
        <f>SUMIFS('Schedule 4'!$F$89:$F$649,'Schedule 4'!$I$89:$I$649,'Well Cal.'!Q$3,'Schedule 4'!$J$89:$J$649,'Well Cal.'!$E481)</f>
        <v>0</v>
      </c>
      <c r="R481" s="727">
        <f>SUMIFS('Schedule 4'!$F$89:$F$649,'Schedule 4'!$I$89:$I$649,'Well Cal.'!R$3,'Schedule 4'!$J$89:$J$649,'Well Cal.'!$E481)</f>
        <v>0</v>
      </c>
      <c r="S481" s="727">
        <f>SUMIFS('Schedule 4'!$F$89:$F$649,'Schedule 4'!$I$89:$I$649,'Well Cal.'!S$3,'Schedule 4'!$J$89:$J$649,'Well Cal.'!$E481)</f>
        <v>0</v>
      </c>
      <c r="T481" s="727">
        <f>SUMIFS('Schedule 4'!$F$89:$F$649,'Schedule 4'!$I$89:$I$649,'Well Cal.'!T$3,'Schedule 4'!$J$89:$J$649,'Well Cal.'!$E481)</f>
        <v>0</v>
      </c>
      <c r="U481" s="727">
        <f>SUMIFS('Schedule 4'!$F$89:$F$649,'Schedule 4'!$I$89:$I$649,'Well Cal.'!U$3,'Schedule 4'!$J$89:$J$649,'Well Cal.'!$E481)</f>
        <v>0</v>
      </c>
      <c r="V481" s="727">
        <f>SUMIFS('Schedule 4'!$F$89:$F$649,'Schedule 4'!$I$89:$I$649,'Well Cal.'!V$3,'Schedule 4'!$J$89:$J$649,'Well Cal.'!$E481)</f>
        <v>0</v>
      </c>
      <c r="W481" s="727">
        <f>SUMIFS('Schedule 4'!$F$89:$F$649,'Schedule 4'!$I$89:$I$649,'Well Cal.'!W$3,'Schedule 4'!$J$89:$J$649,'Well Cal.'!$E481)</f>
        <v>0</v>
      </c>
      <c r="X481" s="727">
        <f>SUMIFS('Schedule 4'!$F$89:$F$649,'Schedule 4'!$I$89:$I$649,'Well Cal.'!X$3,'Schedule 4'!$J$89:$J$649,'Well Cal.'!$E481)</f>
        <v>0</v>
      </c>
      <c r="Y481" s="727">
        <f>SUMIFS('Schedule 4'!$F$89:$F$649,'Schedule 4'!$I$89:$I$649,'Well Cal.'!Y$3,'Schedule 4'!$J$89:$J$649,'Well Cal.'!$E481)</f>
        <v>0</v>
      </c>
      <c r="Z481" s="727">
        <f>SUMIFS('Schedule 4'!$F$89:$F$649,'Schedule 4'!$I$89:$I$649,'Well Cal.'!Z$3,'Schedule 4'!$J$89:$J$649,'Well Cal.'!$E481)</f>
        <v>0</v>
      </c>
      <c r="AA481" s="727"/>
      <c r="AB481" s="1730"/>
      <c r="AC481" s="1730"/>
    </row>
    <row r="482" spans="2:29" x14ac:dyDescent="0.3">
      <c r="B482" s="1724"/>
      <c r="C482" s="1727"/>
      <c r="D482" s="1721"/>
      <c r="E482" s="775" t="s">
        <v>3536</v>
      </c>
      <c r="F482" s="727">
        <f>SUMIFS('Schedule 4'!$F$89:$F$649,'Schedule 4'!$I$89:$I$649,'Well Cal.'!F$3,'Schedule 4'!$J$89:$J$649,'Well Cal.'!$E482)</f>
        <v>0</v>
      </c>
      <c r="G482" s="727">
        <f>SUMIFS('Schedule 4'!$F$89:$F$649,'Schedule 4'!$I$89:$I$649,'Well Cal.'!G$3,'Schedule 4'!$J$89:$J$649,'Well Cal.'!$E482)</f>
        <v>0</v>
      </c>
      <c r="H482" s="727">
        <f>SUMIFS('Schedule 4'!$F$89:$F$649,'Schedule 4'!$I$89:$I$649,'Well Cal.'!H$3,'Schedule 4'!$J$89:$J$649,'Well Cal.'!$E482)</f>
        <v>0</v>
      </c>
      <c r="I482" s="727">
        <f>SUMIFS('Schedule 4'!$F$89:$F$649,'Schedule 4'!$I$89:$I$649,'Well Cal.'!I$3,'Schedule 4'!$J$89:$J$649,'Well Cal.'!$E482)</f>
        <v>0</v>
      </c>
      <c r="J482" s="727">
        <f>SUMIFS('Schedule 4'!$F$89:$F$649,'Schedule 4'!$I$89:$I$649,'Well Cal.'!J$3,'Schedule 4'!$J$89:$J$649,'Well Cal.'!$E482)</f>
        <v>0</v>
      </c>
      <c r="K482" s="727">
        <f>SUMIFS('Schedule 4'!$F$89:$F$649,'Schedule 4'!$I$89:$I$649,'Well Cal.'!K$3,'Schedule 4'!$J$89:$J$649,'Well Cal.'!$E482)</f>
        <v>0</v>
      </c>
      <c r="L482" s="727">
        <f>SUMIFS('Schedule 4'!$F$89:$F$649,'Schedule 4'!$I$89:$I$649,'Well Cal.'!L$3,'Schedule 4'!$J$89:$J$649,'Well Cal.'!$E482)</f>
        <v>0</v>
      </c>
      <c r="M482" s="727">
        <f>SUMIFS('Schedule 4'!$F$89:$F$649,'Schedule 4'!$I$89:$I$649,'Well Cal.'!M$3,'Schedule 4'!$J$89:$J$649,'Well Cal.'!$E482)</f>
        <v>0</v>
      </c>
      <c r="N482" s="727">
        <f>SUMIFS('Schedule 4'!$F$89:$F$649,'Schedule 4'!$I$89:$I$649,'Well Cal.'!N$3,'Schedule 4'!$J$89:$J$649,'Well Cal.'!$E482)</f>
        <v>0</v>
      </c>
      <c r="O482" s="727">
        <f>SUMIFS('Schedule 4'!$F$89:$F$649,'Schedule 4'!$I$89:$I$649,'Well Cal.'!O$3,'Schedule 4'!$J$89:$J$649,'Well Cal.'!$E482)</f>
        <v>0</v>
      </c>
      <c r="P482" s="727">
        <f>SUMIFS('Schedule 4'!$F$89:$F$649,'Schedule 4'!$I$89:$I$649,'Well Cal.'!P$3,'Schedule 4'!$J$89:$J$649,'Well Cal.'!$E482)</f>
        <v>0</v>
      </c>
      <c r="Q482" s="727">
        <f>SUMIFS('Schedule 4'!$F$89:$F$649,'Schedule 4'!$I$89:$I$649,'Well Cal.'!Q$3,'Schedule 4'!$J$89:$J$649,'Well Cal.'!$E482)</f>
        <v>0</v>
      </c>
      <c r="R482" s="727">
        <f>SUMIFS('Schedule 4'!$F$89:$F$649,'Schedule 4'!$I$89:$I$649,'Well Cal.'!R$3,'Schedule 4'!$J$89:$J$649,'Well Cal.'!$E482)</f>
        <v>0</v>
      </c>
      <c r="S482" s="727">
        <f>SUMIFS('Schedule 4'!$F$89:$F$649,'Schedule 4'!$I$89:$I$649,'Well Cal.'!S$3,'Schedule 4'!$J$89:$J$649,'Well Cal.'!$E482)</f>
        <v>0</v>
      </c>
      <c r="T482" s="727">
        <f>SUMIFS('Schedule 4'!$F$89:$F$649,'Schedule 4'!$I$89:$I$649,'Well Cal.'!T$3,'Schedule 4'!$J$89:$J$649,'Well Cal.'!$E482)</f>
        <v>0</v>
      </c>
      <c r="U482" s="727">
        <f>SUMIFS('Schedule 4'!$F$89:$F$649,'Schedule 4'!$I$89:$I$649,'Well Cal.'!U$3,'Schedule 4'!$J$89:$J$649,'Well Cal.'!$E482)</f>
        <v>0</v>
      </c>
      <c r="V482" s="727">
        <f>SUMIFS('Schedule 4'!$F$89:$F$649,'Schedule 4'!$I$89:$I$649,'Well Cal.'!V$3,'Schedule 4'!$J$89:$J$649,'Well Cal.'!$E482)</f>
        <v>0</v>
      </c>
      <c r="W482" s="727">
        <f>SUMIFS('Schedule 4'!$F$89:$F$649,'Schedule 4'!$I$89:$I$649,'Well Cal.'!W$3,'Schedule 4'!$J$89:$J$649,'Well Cal.'!$E482)</f>
        <v>0</v>
      </c>
      <c r="X482" s="727">
        <f>SUMIFS('Schedule 4'!$F$89:$F$649,'Schedule 4'!$I$89:$I$649,'Well Cal.'!X$3,'Schedule 4'!$J$89:$J$649,'Well Cal.'!$E482)</f>
        <v>0</v>
      </c>
      <c r="Y482" s="727">
        <f>SUMIFS('Schedule 4'!$F$89:$F$649,'Schedule 4'!$I$89:$I$649,'Well Cal.'!Y$3,'Schedule 4'!$J$89:$J$649,'Well Cal.'!$E482)</f>
        <v>0</v>
      </c>
      <c r="Z482" s="727">
        <f>SUMIFS('Schedule 4'!$F$89:$F$649,'Schedule 4'!$I$89:$I$649,'Well Cal.'!Z$3,'Schedule 4'!$J$89:$J$649,'Well Cal.'!$E482)</f>
        <v>0</v>
      </c>
      <c r="AA482" s="727"/>
      <c r="AB482" s="1730"/>
      <c r="AC482" s="1730"/>
    </row>
    <row r="483" spans="2:29" x14ac:dyDescent="0.3">
      <c r="B483" s="1724"/>
      <c r="C483" s="1727"/>
      <c r="D483" s="1721"/>
      <c r="E483" s="775" t="s">
        <v>3616</v>
      </c>
      <c r="F483" s="727">
        <f>SUMIFS('Schedule 4'!$F$89:$F$649,'Schedule 4'!$I$89:$I$649,'Well Cal.'!F$3,'Schedule 4'!$J$89:$J$649,'Well Cal.'!$E483)</f>
        <v>0</v>
      </c>
      <c r="G483" s="727">
        <f>SUMIFS('Schedule 4'!$F$89:$F$649,'Schedule 4'!$I$89:$I$649,'Well Cal.'!G$3,'Schedule 4'!$J$89:$J$649,'Well Cal.'!$E483)</f>
        <v>0</v>
      </c>
      <c r="H483" s="727">
        <f>SUMIFS('Schedule 4'!$F$89:$F$649,'Schedule 4'!$I$89:$I$649,'Well Cal.'!H$3,'Schedule 4'!$J$89:$J$649,'Well Cal.'!$E483)</f>
        <v>0</v>
      </c>
      <c r="I483" s="727">
        <f>SUMIFS('Schedule 4'!$F$89:$F$649,'Schedule 4'!$I$89:$I$649,'Well Cal.'!I$3,'Schedule 4'!$J$89:$J$649,'Well Cal.'!$E483)</f>
        <v>0</v>
      </c>
      <c r="J483" s="727">
        <f>SUMIFS('Schedule 4'!$F$89:$F$649,'Schedule 4'!$I$89:$I$649,'Well Cal.'!J$3,'Schedule 4'!$J$89:$J$649,'Well Cal.'!$E483)</f>
        <v>0</v>
      </c>
      <c r="K483" s="727">
        <f>SUMIFS('Schedule 4'!$F$89:$F$649,'Schedule 4'!$I$89:$I$649,'Well Cal.'!K$3,'Schedule 4'!$J$89:$J$649,'Well Cal.'!$E483)</f>
        <v>0</v>
      </c>
      <c r="L483" s="727">
        <f>SUMIFS('Schedule 4'!$F$89:$F$649,'Schedule 4'!$I$89:$I$649,'Well Cal.'!L$3,'Schedule 4'!$J$89:$J$649,'Well Cal.'!$E483)</f>
        <v>0</v>
      </c>
      <c r="M483" s="727">
        <f>SUMIFS('Schedule 4'!$F$89:$F$649,'Schedule 4'!$I$89:$I$649,'Well Cal.'!M$3,'Schedule 4'!$J$89:$J$649,'Well Cal.'!$E483)</f>
        <v>0</v>
      </c>
      <c r="N483" s="727">
        <f>SUMIFS('Schedule 4'!$F$89:$F$649,'Schedule 4'!$I$89:$I$649,'Well Cal.'!N$3,'Schedule 4'!$J$89:$J$649,'Well Cal.'!$E483)</f>
        <v>0</v>
      </c>
      <c r="O483" s="727">
        <f>SUMIFS('Schedule 4'!$F$89:$F$649,'Schedule 4'!$I$89:$I$649,'Well Cal.'!O$3,'Schedule 4'!$J$89:$J$649,'Well Cal.'!$E483)</f>
        <v>0</v>
      </c>
      <c r="P483" s="727">
        <f>SUMIFS('Schedule 4'!$F$89:$F$649,'Schedule 4'!$I$89:$I$649,'Well Cal.'!P$3,'Schedule 4'!$J$89:$J$649,'Well Cal.'!$E483)</f>
        <v>0</v>
      </c>
      <c r="Q483" s="727">
        <f>SUMIFS('Schedule 4'!$F$89:$F$649,'Schedule 4'!$I$89:$I$649,'Well Cal.'!Q$3,'Schedule 4'!$J$89:$J$649,'Well Cal.'!$E483)</f>
        <v>0</v>
      </c>
      <c r="R483" s="727">
        <f>SUMIFS('Schedule 4'!$F$89:$F$649,'Schedule 4'!$I$89:$I$649,'Well Cal.'!R$3,'Schedule 4'!$J$89:$J$649,'Well Cal.'!$E483)</f>
        <v>0</v>
      </c>
      <c r="S483" s="727">
        <f>SUMIFS('Schedule 4'!$F$89:$F$649,'Schedule 4'!$I$89:$I$649,'Well Cal.'!S$3,'Schedule 4'!$J$89:$J$649,'Well Cal.'!$E483)</f>
        <v>0</v>
      </c>
      <c r="T483" s="727">
        <f>SUMIFS('Schedule 4'!$F$89:$F$649,'Schedule 4'!$I$89:$I$649,'Well Cal.'!T$3,'Schedule 4'!$J$89:$J$649,'Well Cal.'!$E483)</f>
        <v>0</v>
      </c>
      <c r="U483" s="727">
        <f>SUMIFS('Schedule 4'!$F$89:$F$649,'Schedule 4'!$I$89:$I$649,'Well Cal.'!U$3,'Schedule 4'!$J$89:$J$649,'Well Cal.'!$E483)</f>
        <v>0</v>
      </c>
      <c r="V483" s="727">
        <f>SUMIFS('Schedule 4'!$F$89:$F$649,'Schedule 4'!$I$89:$I$649,'Well Cal.'!V$3,'Schedule 4'!$J$89:$J$649,'Well Cal.'!$E483)</f>
        <v>0</v>
      </c>
      <c r="W483" s="727">
        <f>SUMIFS('Schedule 4'!$F$89:$F$649,'Schedule 4'!$I$89:$I$649,'Well Cal.'!W$3,'Schedule 4'!$J$89:$J$649,'Well Cal.'!$E483)</f>
        <v>0</v>
      </c>
      <c r="X483" s="727">
        <f>SUMIFS('Schedule 4'!$F$89:$F$649,'Schedule 4'!$I$89:$I$649,'Well Cal.'!X$3,'Schedule 4'!$J$89:$J$649,'Well Cal.'!$E483)</f>
        <v>0</v>
      </c>
      <c r="Y483" s="727">
        <f>SUMIFS('Schedule 4'!$F$89:$F$649,'Schedule 4'!$I$89:$I$649,'Well Cal.'!Y$3,'Schedule 4'!$J$89:$J$649,'Well Cal.'!$E483)</f>
        <v>0</v>
      </c>
      <c r="Z483" s="727">
        <f>SUMIFS('Schedule 4'!$F$89:$F$649,'Schedule 4'!$I$89:$I$649,'Well Cal.'!Z$3,'Schedule 4'!$J$89:$J$649,'Well Cal.'!$E483)</f>
        <v>0</v>
      </c>
      <c r="AA483" s="727"/>
      <c r="AB483" s="1730"/>
      <c r="AC483" s="1730"/>
    </row>
    <row r="484" spans="2:29" x14ac:dyDescent="0.3">
      <c r="B484" s="1724"/>
      <c r="C484" s="1727"/>
      <c r="D484" s="1721"/>
      <c r="E484" s="775" t="s">
        <v>3712</v>
      </c>
      <c r="F484" s="727">
        <f>SUMIFS('Schedule 4'!$F$89:$F$649,'Schedule 4'!$I$89:$I$649,'Well Cal.'!F$3,'Schedule 4'!$J$89:$J$649,'Well Cal.'!$E484)</f>
        <v>0</v>
      </c>
      <c r="G484" s="727">
        <f>SUMIFS('Schedule 4'!$F$89:$F$649,'Schedule 4'!$I$89:$I$649,'Well Cal.'!G$3,'Schedule 4'!$J$89:$J$649,'Well Cal.'!$E484)</f>
        <v>0</v>
      </c>
      <c r="H484" s="727">
        <f>SUMIFS('Schedule 4'!$F$89:$F$649,'Schedule 4'!$I$89:$I$649,'Well Cal.'!H$3,'Schedule 4'!$J$89:$J$649,'Well Cal.'!$E484)</f>
        <v>0</v>
      </c>
      <c r="I484" s="727">
        <f>SUMIFS('Schedule 4'!$F$89:$F$649,'Schedule 4'!$I$89:$I$649,'Well Cal.'!I$3,'Schedule 4'!$J$89:$J$649,'Well Cal.'!$E484)</f>
        <v>0</v>
      </c>
      <c r="J484" s="727">
        <f>SUMIFS('Schedule 4'!$F$89:$F$649,'Schedule 4'!$I$89:$I$649,'Well Cal.'!J$3,'Schedule 4'!$J$89:$J$649,'Well Cal.'!$E484)</f>
        <v>0</v>
      </c>
      <c r="K484" s="727">
        <f>SUMIFS('Schedule 4'!$F$89:$F$649,'Schedule 4'!$I$89:$I$649,'Well Cal.'!K$3,'Schedule 4'!$J$89:$J$649,'Well Cal.'!$E484)</f>
        <v>0</v>
      </c>
      <c r="L484" s="727">
        <f>SUMIFS('Schedule 4'!$F$89:$F$649,'Schedule 4'!$I$89:$I$649,'Well Cal.'!L$3,'Schedule 4'!$J$89:$J$649,'Well Cal.'!$E484)</f>
        <v>0</v>
      </c>
      <c r="M484" s="727">
        <f>SUMIFS('Schedule 4'!$F$89:$F$649,'Schedule 4'!$I$89:$I$649,'Well Cal.'!M$3,'Schedule 4'!$J$89:$J$649,'Well Cal.'!$E484)</f>
        <v>0</v>
      </c>
      <c r="N484" s="727">
        <f>SUMIFS('Schedule 4'!$F$89:$F$649,'Schedule 4'!$I$89:$I$649,'Well Cal.'!N$3,'Schedule 4'!$J$89:$J$649,'Well Cal.'!$E484)</f>
        <v>0</v>
      </c>
      <c r="O484" s="727">
        <f>SUMIFS('Schedule 4'!$F$89:$F$649,'Schedule 4'!$I$89:$I$649,'Well Cal.'!O$3,'Schedule 4'!$J$89:$J$649,'Well Cal.'!$E484)</f>
        <v>0</v>
      </c>
      <c r="P484" s="727">
        <f>SUMIFS('Schedule 4'!$F$89:$F$649,'Schedule 4'!$I$89:$I$649,'Well Cal.'!P$3,'Schedule 4'!$J$89:$J$649,'Well Cal.'!$E484)</f>
        <v>0</v>
      </c>
      <c r="Q484" s="727">
        <f>SUMIFS('Schedule 4'!$F$89:$F$649,'Schedule 4'!$I$89:$I$649,'Well Cal.'!Q$3,'Schedule 4'!$J$89:$J$649,'Well Cal.'!$E484)</f>
        <v>0</v>
      </c>
      <c r="R484" s="727">
        <f>SUMIFS('Schedule 4'!$F$89:$F$649,'Schedule 4'!$I$89:$I$649,'Well Cal.'!R$3,'Schedule 4'!$J$89:$J$649,'Well Cal.'!$E484)</f>
        <v>0</v>
      </c>
      <c r="S484" s="727">
        <f>SUMIFS('Schedule 4'!$F$89:$F$649,'Schedule 4'!$I$89:$I$649,'Well Cal.'!S$3,'Schedule 4'!$J$89:$J$649,'Well Cal.'!$E484)</f>
        <v>0</v>
      </c>
      <c r="T484" s="727">
        <f>SUMIFS('Schedule 4'!$F$89:$F$649,'Schedule 4'!$I$89:$I$649,'Well Cal.'!T$3,'Schedule 4'!$J$89:$J$649,'Well Cal.'!$E484)</f>
        <v>0</v>
      </c>
      <c r="U484" s="727">
        <f>SUMIFS('Schedule 4'!$F$89:$F$649,'Schedule 4'!$I$89:$I$649,'Well Cal.'!U$3,'Schedule 4'!$J$89:$J$649,'Well Cal.'!$E484)</f>
        <v>0</v>
      </c>
      <c r="V484" s="727">
        <f>SUMIFS('Schedule 4'!$F$89:$F$649,'Schedule 4'!$I$89:$I$649,'Well Cal.'!V$3,'Schedule 4'!$J$89:$J$649,'Well Cal.'!$E484)</f>
        <v>0</v>
      </c>
      <c r="W484" s="727">
        <f>SUMIFS('Schedule 4'!$F$89:$F$649,'Schedule 4'!$I$89:$I$649,'Well Cal.'!W$3,'Schedule 4'!$J$89:$J$649,'Well Cal.'!$E484)</f>
        <v>0</v>
      </c>
      <c r="X484" s="727">
        <f>SUMIFS('Schedule 4'!$F$89:$F$649,'Schedule 4'!$I$89:$I$649,'Well Cal.'!X$3,'Schedule 4'!$J$89:$J$649,'Well Cal.'!$E484)</f>
        <v>0</v>
      </c>
      <c r="Y484" s="727">
        <f>SUMIFS('Schedule 4'!$F$89:$F$649,'Schedule 4'!$I$89:$I$649,'Well Cal.'!Y$3,'Schedule 4'!$J$89:$J$649,'Well Cal.'!$E484)</f>
        <v>0</v>
      </c>
      <c r="Z484" s="727">
        <f>SUMIFS('Schedule 4'!$F$89:$F$649,'Schedule 4'!$I$89:$I$649,'Well Cal.'!Z$3,'Schedule 4'!$J$89:$J$649,'Well Cal.'!$E484)</f>
        <v>0</v>
      </c>
      <c r="AA484" s="727"/>
      <c r="AB484" s="1731"/>
      <c r="AC484" s="1731"/>
    </row>
    <row r="485" spans="2:29" x14ac:dyDescent="0.3">
      <c r="B485" s="1724"/>
      <c r="C485" s="1727"/>
      <c r="D485" s="1721"/>
      <c r="E485" s="775" t="s">
        <v>3771</v>
      </c>
      <c r="F485" s="727">
        <f>SUMIFS('Schedule 4'!$F$89:$F$649,'Schedule 4'!$I$89:$I$649,'Well Cal.'!F$3,'Schedule 4'!$J$89:$J$649,'Well Cal.'!$E485)</f>
        <v>0</v>
      </c>
      <c r="G485" s="727">
        <f>SUMIFS('Schedule 4'!$F$89:$F$649,'Schedule 4'!$I$89:$I$649,'Well Cal.'!G$3,'Schedule 4'!$J$89:$J$649,'Well Cal.'!$E485)</f>
        <v>0</v>
      </c>
      <c r="H485" s="727">
        <f>SUMIFS('Schedule 4'!$F$89:$F$649,'Schedule 4'!$I$89:$I$649,'Well Cal.'!H$3,'Schedule 4'!$J$89:$J$649,'Well Cal.'!$E485)</f>
        <v>0</v>
      </c>
      <c r="I485" s="727">
        <f>SUMIFS('Schedule 4'!$F$89:$F$649,'Schedule 4'!$I$89:$I$649,'Well Cal.'!I$3,'Schedule 4'!$J$89:$J$649,'Well Cal.'!$E485)</f>
        <v>0</v>
      </c>
      <c r="J485" s="727">
        <f>SUMIFS('Schedule 4'!$F$89:$F$649,'Schedule 4'!$I$89:$I$649,'Well Cal.'!J$3,'Schedule 4'!$J$89:$J$649,'Well Cal.'!$E485)</f>
        <v>0</v>
      </c>
      <c r="K485" s="727">
        <f>SUMIFS('Schedule 4'!$F$89:$F$649,'Schedule 4'!$I$89:$I$649,'Well Cal.'!K$3,'Schedule 4'!$J$89:$J$649,'Well Cal.'!$E485)</f>
        <v>0</v>
      </c>
      <c r="L485" s="727">
        <f>SUMIFS('Schedule 4'!$F$89:$F$649,'Schedule 4'!$I$89:$I$649,'Well Cal.'!L$3,'Schedule 4'!$J$89:$J$649,'Well Cal.'!$E485)</f>
        <v>0</v>
      </c>
      <c r="M485" s="727">
        <f>SUMIFS('Schedule 4'!$F$89:$F$649,'Schedule 4'!$I$89:$I$649,'Well Cal.'!M$3,'Schedule 4'!$J$89:$J$649,'Well Cal.'!$E485)</f>
        <v>0</v>
      </c>
      <c r="N485" s="727">
        <f>SUMIFS('Schedule 4'!$F$89:$F$649,'Schedule 4'!$I$89:$I$649,'Well Cal.'!N$3,'Schedule 4'!$J$89:$J$649,'Well Cal.'!$E485)</f>
        <v>0</v>
      </c>
      <c r="O485" s="727">
        <f>SUMIFS('Schedule 4'!$F$89:$F$649,'Schedule 4'!$I$89:$I$649,'Well Cal.'!O$3,'Schedule 4'!$J$89:$J$649,'Well Cal.'!$E485)</f>
        <v>0</v>
      </c>
      <c r="P485" s="727">
        <f>SUMIFS('Schedule 4'!$F$89:$F$649,'Schedule 4'!$I$89:$I$649,'Well Cal.'!P$3,'Schedule 4'!$J$89:$J$649,'Well Cal.'!$E485)</f>
        <v>0</v>
      </c>
      <c r="Q485" s="727">
        <f>SUMIFS('Schedule 4'!$F$89:$F$649,'Schedule 4'!$I$89:$I$649,'Well Cal.'!Q$3,'Schedule 4'!$J$89:$J$649,'Well Cal.'!$E485)</f>
        <v>0</v>
      </c>
      <c r="R485" s="727">
        <f>SUMIFS('Schedule 4'!$F$89:$F$649,'Schedule 4'!$I$89:$I$649,'Well Cal.'!R$3,'Schedule 4'!$J$89:$J$649,'Well Cal.'!$E485)</f>
        <v>0</v>
      </c>
      <c r="S485" s="727">
        <f>SUMIFS('Schedule 4'!$F$89:$F$649,'Schedule 4'!$I$89:$I$649,'Well Cal.'!S$3,'Schedule 4'!$J$89:$J$649,'Well Cal.'!$E485)</f>
        <v>0</v>
      </c>
      <c r="T485" s="727">
        <f>SUMIFS('Schedule 4'!$F$89:$F$649,'Schedule 4'!$I$89:$I$649,'Well Cal.'!T$3,'Schedule 4'!$J$89:$J$649,'Well Cal.'!$E485)</f>
        <v>0</v>
      </c>
      <c r="U485" s="727">
        <f>SUMIFS('Schedule 4'!$F$89:$F$649,'Schedule 4'!$I$89:$I$649,'Well Cal.'!U$3,'Schedule 4'!$J$89:$J$649,'Well Cal.'!$E485)</f>
        <v>0</v>
      </c>
      <c r="V485" s="727">
        <f>SUMIFS('Schedule 4'!$F$89:$F$649,'Schedule 4'!$I$89:$I$649,'Well Cal.'!V$3,'Schedule 4'!$J$89:$J$649,'Well Cal.'!$E485)</f>
        <v>0</v>
      </c>
      <c r="W485" s="727">
        <f>SUMIFS('Schedule 4'!$F$89:$F$649,'Schedule 4'!$I$89:$I$649,'Well Cal.'!W$3,'Schedule 4'!$J$89:$J$649,'Well Cal.'!$E485)</f>
        <v>0</v>
      </c>
      <c r="X485" s="727">
        <f>SUMIFS('Schedule 4'!$F$89:$F$649,'Schedule 4'!$I$89:$I$649,'Well Cal.'!X$3,'Schedule 4'!$J$89:$J$649,'Well Cal.'!$E485)</f>
        <v>0</v>
      </c>
      <c r="Y485" s="727">
        <f>SUMIFS('Schedule 4'!$F$89:$F$649,'Schedule 4'!$I$89:$I$649,'Well Cal.'!Y$3,'Schedule 4'!$J$89:$J$649,'Well Cal.'!$E485)</f>
        <v>0</v>
      </c>
      <c r="Z485" s="727">
        <f>SUMIFS('Schedule 4'!$F$89:$F$649,'Schedule 4'!$I$89:$I$649,'Well Cal.'!Z$3,'Schedule 4'!$J$89:$J$649,'Well Cal.'!$E485)</f>
        <v>0</v>
      </c>
      <c r="AA485" s="727"/>
      <c r="AB485" s="1731"/>
      <c r="AC485" s="1731"/>
    </row>
    <row r="486" spans="2:29" x14ac:dyDescent="0.3">
      <c r="B486" s="1724"/>
      <c r="C486" s="1727"/>
      <c r="D486" s="1721"/>
      <c r="E486" s="775" t="s">
        <v>3831</v>
      </c>
      <c r="F486" s="727">
        <f>SUMIFS('Schedule 4'!$F$89:$F$649,'Schedule 4'!$I$89:$I$649,'Well Cal.'!F$3,'Schedule 4'!$J$89:$J$649,'Well Cal.'!$E486)</f>
        <v>0</v>
      </c>
      <c r="G486" s="727">
        <f>SUMIFS('Schedule 4'!$F$89:$F$649,'Schedule 4'!$I$89:$I$649,'Well Cal.'!G$3,'Schedule 4'!$J$89:$J$649,'Well Cal.'!$E486)</f>
        <v>0</v>
      </c>
      <c r="H486" s="727">
        <f>SUMIFS('Schedule 4'!$F$89:$F$649,'Schedule 4'!$I$89:$I$649,'Well Cal.'!H$3,'Schedule 4'!$J$89:$J$649,'Well Cal.'!$E486)</f>
        <v>0</v>
      </c>
      <c r="I486" s="727">
        <f>SUMIFS('Schedule 4'!$F$89:$F$649,'Schedule 4'!$I$89:$I$649,'Well Cal.'!I$3,'Schedule 4'!$J$89:$J$649,'Well Cal.'!$E486)</f>
        <v>0</v>
      </c>
      <c r="J486" s="727">
        <f>SUMIFS('Schedule 4'!$F$89:$F$649,'Schedule 4'!$I$89:$I$649,'Well Cal.'!J$3,'Schedule 4'!$J$89:$J$649,'Well Cal.'!$E486)</f>
        <v>0</v>
      </c>
      <c r="K486" s="727">
        <f>SUMIFS('Schedule 4'!$F$89:$F$649,'Schedule 4'!$I$89:$I$649,'Well Cal.'!K$3,'Schedule 4'!$J$89:$J$649,'Well Cal.'!$E486)</f>
        <v>0</v>
      </c>
      <c r="L486" s="727">
        <f>SUMIFS('Schedule 4'!$F$89:$F$649,'Schedule 4'!$I$89:$I$649,'Well Cal.'!L$3,'Schedule 4'!$J$89:$J$649,'Well Cal.'!$E486)</f>
        <v>0</v>
      </c>
      <c r="M486" s="727">
        <f>SUMIFS('Schedule 4'!$F$89:$F$649,'Schedule 4'!$I$89:$I$649,'Well Cal.'!M$3,'Schedule 4'!$J$89:$J$649,'Well Cal.'!$E486)</f>
        <v>0</v>
      </c>
      <c r="N486" s="727">
        <f>SUMIFS('Schedule 4'!$F$89:$F$649,'Schedule 4'!$I$89:$I$649,'Well Cal.'!N$3,'Schedule 4'!$J$89:$J$649,'Well Cal.'!$E486)</f>
        <v>0</v>
      </c>
      <c r="O486" s="727">
        <f>SUMIFS('Schedule 4'!$F$89:$F$649,'Schedule 4'!$I$89:$I$649,'Well Cal.'!O$3,'Schedule 4'!$J$89:$J$649,'Well Cal.'!$E486)</f>
        <v>0</v>
      </c>
      <c r="P486" s="727">
        <f>SUMIFS('Schedule 4'!$F$89:$F$649,'Schedule 4'!$I$89:$I$649,'Well Cal.'!P$3,'Schedule 4'!$J$89:$J$649,'Well Cal.'!$E486)</f>
        <v>0</v>
      </c>
      <c r="Q486" s="727">
        <f>SUMIFS('Schedule 4'!$F$89:$F$649,'Schedule 4'!$I$89:$I$649,'Well Cal.'!Q$3,'Schedule 4'!$J$89:$J$649,'Well Cal.'!$E486)</f>
        <v>0</v>
      </c>
      <c r="R486" s="727">
        <f>SUMIFS('Schedule 4'!$F$89:$F$649,'Schedule 4'!$I$89:$I$649,'Well Cal.'!R$3,'Schedule 4'!$J$89:$J$649,'Well Cal.'!$E486)</f>
        <v>0</v>
      </c>
      <c r="S486" s="727">
        <f>SUMIFS('Schedule 4'!$F$89:$F$649,'Schedule 4'!$I$89:$I$649,'Well Cal.'!S$3,'Schedule 4'!$J$89:$J$649,'Well Cal.'!$E486)</f>
        <v>0</v>
      </c>
      <c r="T486" s="727">
        <f>SUMIFS('Schedule 4'!$F$89:$F$649,'Schedule 4'!$I$89:$I$649,'Well Cal.'!T$3,'Schedule 4'!$J$89:$J$649,'Well Cal.'!$E486)</f>
        <v>0</v>
      </c>
      <c r="U486" s="727">
        <f>SUMIFS('Schedule 4'!$F$89:$F$649,'Schedule 4'!$I$89:$I$649,'Well Cal.'!U$3,'Schedule 4'!$J$89:$J$649,'Well Cal.'!$E486)</f>
        <v>0</v>
      </c>
      <c r="V486" s="727">
        <f>SUMIFS('Schedule 4'!$F$89:$F$649,'Schedule 4'!$I$89:$I$649,'Well Cal.'!V$3,'Schedule 4'!$J$89:$J$649,'Well Cal.'!$E486)</f>
        <v>0</v>
      </c>
      <c r="W486" s="727">
        <f>SUMIFS('Schedule 4'!$F$89:$F$649,'Schedule 4'!$I$89:$I$649,'Well Cal.'!W$3,'Schedule 4'!$J$89:$J$649,'Well Cal.'!$E486)</f>
        <v>0</v>
      </c>
      <c r="X486" s="727">
        <f>SUMIFS('Schedule 4'!$F$89:$F$649,'Schedule 4'!$I$89:$I$649,'Well Cal.'!X$3,'Schedule 4'!$J$89:$J$649,'Well Cal.'!$E486)</f>
        <v>0</v>
      </c>
      <c r="Y486" s="727">
        <f>SUMIFS('Schedule 4'!$F$89:$F$649,'Schedule 4'!$I$89:$I$649,'Well Cal.'!Y$3,'Schedule 4'!$J$89:$J$649,'Well Cal.'!$E486)</f>
        <v>0</v>
      </c>
      <c r="Z486" s="727">
        <f>SUMIFS('Schedule 4'!$F$89:$F$649,'Schedule 4'!$I$89:$I$649,'Well Cal.'!Z$3,'Schedule 4'!$J$89:$J$649,'Well Cal.'!$E486)</f>
        <v>0</v>
      </c>
      <c r="AA486" s="727"/>
      <c r="AB486" s="1731"/>
      <c r="AC486" s="1731"/>
    </row>
    <row r="487" spans="2:29" x14ac:dyDescent="0.3">
      <c r="B487" s="1724"/>
      <c r="C487" s="1727"/>
      <c r="D487" s="1721"/>
      <c r="E487" s="775" t="s">
        <v>3889</v>
      </c>
      <c r="F487" s="727">
        <f>SUMIFS('Schedule 4'!$F$89:$F$649,'Schedule 4'!$I$89:$I$649,'Well Cal.'!F$3,'Schedule 4'!$J$89:$J$649,'Well Cal.'!$E487)</f>
        <v>0</v>
      </c>
      <c r="G487" s="727">
        <f>SUMIFS('Schedule 4'!$F$89:$F$649,'Schedule 4'!$I$89:$I$649,'Well Cal.'!G$3,'Schedule 4'!$J$89:$J$649,'Well Cal.'!$E487)</f>
        <v>0</v>
      </c>
      <c r="H487" s="727">
        <f>SUMIFS('Schedule 4'!$F$89:$F$649,'Schedule 4'!$I$89:$I$649,'Well Cal.'!H$3,'Schedule 4'!$J$89:$J$649,'Well Cal.'!$E487)</f>
        <v>0</v>
      </c>
      <c r="I487" s="727">
        <f>SUMIFS('Schedule 4'!$F$89:$F$649,'Schedule 4'!$I$89:$I$649,'Well Cal.'!I$3,'Schedule 4'!$J$89:$J$649,'Well Cal.'!$E487)</f>
        <v>0</v>
      </c>
      <c r="J487" s="727">
        <f>SUMIFS('Schedule 4'!$F$89:$F$649,'Schedule 4'!$I$89:$I$649,'Well Cal.'!J$3,'Schedule 4'!$J$89:$J$649,'Well Cal.'!$E487)</f>
        <v>0</v>
      </c>
      <c r="K487" s="727">
        <f>SUMIFS('Schedule 4'!$F$89:$F$649,'Schedule 4'!$I$89:$I$649,'Well Cal.'!K$3,'Schedule 4'!$J$89:$J$649,'Well Cal.'!$E487)</f>
        <v>0</v>
      </c>
      <c r="L487" s="727">
        <f>SUMIFS('Schedule 4'!$F$89:$F$649,'Schedule 4'!$I$89:$I$649,'Well Cal.'!L$3,'Schedule 4'!$J$89:$J$649,'Well Cal.'!$E487)</f>
        <v>0</v>
      </c>
      <c r="M487" s="727">
        <f>SUMIFS('Schedule 4'!$F$89:$F$649,'Schedule 4'!$I$89:$I$649,'Well Cal.'!M$3,'Schedule 4'!$J$89:$J$649,'Well Cal.'!$E487)</f>
        <v>0</v>
      </c>
      <c r="N487" s="727">
        <f>SUMIFS('Schedule 4'!$F$89:$F$649,'Schedule 4'!$I$89:$I$649,'Well Cal.'!N$3,'Schedule 4'!$J$89:$J$649,'Well Cal.'!$E487)</f>
        <v>0</v>
      </c>
      <c r="O487" s="727">
        <f>SUMIFS('Schedule 4'!$F$89:$F$649,'Schedule 4'!$I$89:$I$649,'Well Cal.'!O$3,'Schedule 4'!$J$89:$J$649,'Well Cal.'!$E487)</f>
        <v>0</v>
      </c>
      <c r="P487" s="727">
        <f>SUMIFS('Schedule 4'!$F$89:$F$649,'Schedule 4'!$I$89:$I$649,'Well Cal.'!P$3,'Schedule 4'!$J$89:$J$649,'Well Cal.'!$E487)</f>
        <v>0</v>
      </c>
      <c r="Q487" s="727">
        <f>SUMIFS('Schedule 4'!$F$89:$F$649,'Schedule 4'!$I$89:$I$649,'Well Cal.'!Q$3,'Schedule 4'!$J$89:$J$649,'Well Cal.'!$E487)</f>
        <v>0</v>
      </c>
      <c r="R487" s="727">
        <f>SUMIFS('Schedule 4'!$F$89:$F$649,'Schedule 4'!$I$89:$I$649,'Well Cal.'!R$3,'Schedule 4'!$J$89:$J$649,'Well Cal.'!$E487)</f>
        <v>0</v>
      </c>
      <c r="S487" s="727">
        <f>SUMIFS('Schedule 4'!$F$89:$F$649,'Schedule 4'!$I$89:$I$649,'Well Cal.'!S$3,'Schedule 4'!$J$89:$J$649,'Well Cal.'!$E487)</f>
        <v>0</v>
      </c>
      <c r="T487" s="727">
        <f>SUMIFS('Schedule 4'!$F$89:$F$649,'Schedule 4'!$I$89:$I$649,'Well Cal.'!T$3,'Schedule 4'!$J$89:$J$649,'Well Cal.'!$E487)</f>
        <v>0</v>
      </c>
      <c r="U487" s="727">
        <f>SUMIFS('Schedule 4'!$F$89:$F$649,'Schedule 4'!$I$89:$I$649,'Well Cal.'!U$3,'Schedule 4'!$J$89:$J$649,'Well Cal.'!$E487)</f>
        <v>0</v>
      </c>
      <c r="V487" s="727">
        <f>SUMIFS('Schedule 4'!$F$89:$F$649,'Schedule 4'!$I$89:$I$649,'Well Cal.'!V$3,'Schedule 4'!$J$89:$J$649,'Well Cal.'!$E487)</f>
        <v>0</v>
      </c>
      <c r="W487" s="727">
        <f>SUMIFS('Schedule 4'!$F$89:$F$649,'Schedule 4'!$I$89:$I$649,'Well Cal.'!W$3,'Schedule 4'!$J$89:$J$649,'Well Cal.'!$E487)</f>
        <v>0</v>
      </c>
      <c r="X487" s="727">
        <f>SUMIFS('Schedule 4'!$F$89:$F$649,'Schedule 4'!$I$89:$I$649,'Well Cal.'!X$3,'Schedule 4'!$J$89:$J$649,'Well Cal.'!$E487)</f>
        <v>0</v>
      </c>
      <c r="Y487" s="727">
        <f>SUMIFS('Schedule 4'!$F$89:$F$649,'Schedule 4'!$I$89:$I$649,'Well Cal.'!Y$3,'Schedule 4'!$J$89:$J$649,'Well Cal.'!$E487)</f>
        <v>0</v>
      </c>
      <c r="Z487" s="727">
        <f>SUMIFS('Schedule 4'!$F$89:$F$649,'Schedule 4'!$I$89:$I$649,'Well Cal.'!Z$3,'Schedule 4'!$J$89:$J$649,'Well Cal.'!$E487)</f>
        <v>0</v>
      </c>
      <c r="AA487" s="727"/>
      <c r="AB487" s="1731"/>
      <c r="AC487" s="1731"/>
    </row>
    <row r="488" spans="2:29" x14ac:dyDescent="0.3">
      <c r="B488" s="1724"/>
      <c r="C488" s="1727"/>
      <c r="D488" s="1721"/>
      <c r="E488" s="775" t="s">
        <v>3971</v>
      </c>
      <c r="F488" s="727">
        <f>SUMIFS('Schedule 4'!$F$89:$F$649,'Schedule 4'!$I$89:$I$649,'Well Cal.'!F$3,'Schedule 4'!$J$89:$J$649,'Well Cal.'!$E488)</f>
        <v>0</v>
      </c>
      <c r="G488" s="727">
        <f>SUMIFS('Schedule 4'!$F$89:$F$649,'Schedule 4'!$I$89:$I$649,'Well Cal.'!G$3,'Schedule 4'!$J$89:$J$649,'Well Cal.'!$E488)</f>
        <v>0</v>
      </c>
      <c r="H488" s="727">
        <f>SUMIFS('Schedule 4'!$F$89:$F$649,'Schedule 4'!$I$89:$I$649,'Well Cal.'!H$3,'Schedule 4'!$J$89:$J$649,'Well Cal.'!$E488)</f>
        <v>0</v>
      </c>
      <c r="I488" s="727">
        <f>SUMIFS('Schedule 4'!$F$89:$F$649,'Schedule 4'!$I$89:$I$649,'Well Cal.'!I$3,'Schedule 4'!$J$89:$J$649,'Well Cal.'!$E488)</f>
        <v>0</v>
      </c>
      <c r="J488" s="727">
        <f>SUMIFS('Schedule 4'!$F$89:$F$649,'Schedule 4'!$I$89:$I$649,'Well Cal.'!J$3,'Schedule 4'!$J$89:$J$649,'Well Cal.'!$E488)</f>
        <v>0</v>
      </c>
      <c r="K488" s="727">
        <f>SUMIFS('Schedule 4'!$F$89:$F$649,'Schedule 4'!$I$89:$I$649,'Well Cal.'!K$3,'Schedule 4'!$J$89:$J$649,'Well Cal.'!$E488)</f>
        <v>0</v>
      </c>
      <c r="L488" s="727">
        <f>SUMIFS('Schedule 4'!$F$89:$F$649,'Schedule 4'!$I$89:$I$649,'Well Cal.'!L$3,'Schedule 4'!$J$89:$J$649,'Well Cal.'!$E488)</f>
        <v>0</v>
      </c>
      <c r="M488" s="727">
        <f>SUMIFS('Schedule 4'!$F$89:$F$649,'Schedule 4'!$I$89:$I$649,'Well Cal.'!M$3,'Schedule 4'!$J$89:$J$649,'Well Cal.'!$E488)</f>
        <v>0</v>
      </c>
      <c r="N488" s="727">
        <f>SUMIFS('Schedule 4'!$F$89:$F$649,'Schedule 4'!$I$89:$I$649,'Well Cal.'!N$3,'Schedule 4'!$J$89:$J$649,'Well Cal.'!$E488)</f>
        <v>0</v>
      </c>
      <c r="O488" s="727">
        <f>SUMIFS('Schedule 4'!$F$89:$F$649,'Schedule 4'!$I$89:$I$649,'Well Cal.'!O$3,'Schedule 4'!$J$89:$J$649,'Well Cal.'!$E488)</f>
        <v>0</v>
      </c>
      <c r="P488" s="727">
        <f>SUMIFS('Schedule 4'!$F$89:$F$649,'Schedule 4'!$I$89:$I$649,'Well Cal.'!P$3,'Schedule 4'!$J$89:$J$649,'Well Cal.'!$E488)</f>
        <v>0</v>
      </c>
      <c r="Q488" s="727">
        <f>SUMIFS('Schedule 4'!$F$89:$F$649,'Schedule 4'!$I$89:$I$649,'Well Cal.'!Q$3,'Schedule 4'!$J$89:$J$649,'Well Cal.'!$E488)</f>
        <v>0</v>
      </c>
      <c r="R488" s="727">
        <f>SUMIFS('Schedule 4'!$F$89:$F$649,'Schedule 4'!$I$89:$I$649,'Well Cal.'!R$3,'Schedule 4'!$J$89:$J$649,'Well Cal.'!$E488)</f>
        <v>0</v>
      </c>
      <c r="S488" s="727">
        <f>SUMIFS('Schedule 4'!$F$89:$F$649,'Schedule 4'!$I$89:$I$649,'Well Cal.'!S$3,'Schedule 4'!$J$89:$J$649,'Well Cal.'!$E488)</f>
        <v>0</v>
      </c>
      <c r="T488" s="727">
        <f>SUMIFS('Schedule 4'!$F$89:$F$649,'Schedule 4'!$I$89:$I$649,'Well Cal.'!T$3,'Schedule 4'!$J$89:$J$649,'Well Cal.'!$E488)</f>
        <v>0</v>
      </c>
      <c r="U488" s="727">
        <f>SUMIFS('Schedule 4'!$F$89:$F$649,'Schedule 4'!$I$89:$I$649,'Well Cal.'!U$3,'Schedule 4'!$J$89:$J$649,'Well Cal.'!$E488)</f>
        <v>0</v>
      </c>
      <c r="V488" s="727">
        <f>SUMIFS('Schedule 4'!$F$89:$F$649,'Schedule 4'!$I$89:$I$649,'Well Cal.'!V$3,'Schedule 4'!$J$89:$J$649,'Well Cal.'!$E488)</f>
        <v>0</v>
      </c>
      <c r="W488" s="727">
        <f>SUMIFS('Schedule 4'!$F$89:$F$649,'Schedule 4'!$I$89:$I$649,'Well Cal.'!W$3,'Schedule 4'!$J$89:$J$649,'Well Cal.'!$E488)</f>
        <v>0</v>
      </c>
      <c r="X488" s="727">
        <f>SUMIFS('Schedule 4'!$F$89:$F$649,'Schedule 4'!$I$89:$I$649,'Well Cal.'!X$3,'Schedule 4'!$J$89:$J$649,'Well Cal.'!$E488)</f>
        <v>0</v>
      </c>
      <c r="Y488" s="727">
        <f>SUMIFS('Schedule 4'!$F$89:$F$649,'Schedule 4'!$I$89:$I$649,'Well Cal.'!Y$3,'Schedule 4'!$J$89:$J$649,'Well Cal.'!$E488)</f>
        <v>0</v>
      </c>
      <c r="Z488" s="727">
        <f>SUMIFS('Schedule 4'!$F$89:$F$649,'Schedule 4'!$I$89:$I$649,'Well Cal.'!Z$3,'Schedule 4'!$J$89:$J$649,'Well Cal.'!$E488)</f>
        <v>0</v>
      </c>
      <c r="AA488" s="727"/>
      <c r="AB488" s="1731"/>
      <c r="AC488" s="1731"/>
    </row>
    <row r="489" spans="2:29" x14ac:dyDescent="0.3">
      <c r="B489" s="1724"/>
      <c r="C489" s="1727"/>
      <c r="D489" s="1721"/>
      <c r="E489" s="775" t="s">
        <v>4028</v>
      </c>
      <c r="F489" s="727">
        <f>SUMIFS('Schedule 4'!$F$89:$F$649,'Schedule 4'!$I$89:$I$649,'Well Cal.'!F$3,'Schedule 4'!$J$89:$J$649,'Well Cal.'!$E489)</f>
        <v>0</v>
      </c>
      <c r="G489" s="727">
        <f>SUMIFS('Schedule 4'!$F$89:$F$649,'Schedule 4'!$I$89:$I$649,'Well Cal.'!G$3,'Schedule 4'!$J$89:$J$649,'Well Cal.'!$E489)</f>
        <v>0</v>
      </c>
      <c r="H489" s="727">
        <f>SUMIFS('Schedule 4'!$F$89:$F$649,'Schedule 4'!$I$89:$I$649,'Well Cal.'!H$3,'Schedule 4'!$J$89:$J$649,'Well Cal.'!$E489)</f>
        <v>0</v>
      </c>
      <c r="I489" s="727">
        <f>SUMIFS('Schedule 4'!$F$89:$F$649,'Schedule 4'!$I$89:$I$649,'Well Cal.'!I$3,'Schedule 4'!$J$89:$J$649,'Well Cal.'!$E489)</f>
        <v>0</v>
      </c>
      <c r="J489" s="727">
        <f>SUMIFS('Schedule 4'!$F$89:$F$649,'Schedule 4'!$I$89:$I$649,'Well Cal.'!J$3,'Schedule 4'!$J$89:$J$649,'Well Cal.'!$E489)</f>
        <v>0</v>
      </c>
      <c r="K489" s="727">
        <f>SUMIFS('Schedule 4'!$F$89:$F$649,'Schedule 4'!$I$89:$I$649,'Well Cal.'!K$3,'Schedule 4'!$J$89:$J$649,'Well Cal.'!$E489)</f>
        <v>0</v>
      </c>
      <c r="L489" s="727">
        <f>SUMIFS('Schedule 4'!$F$89:$F$649,'Schedule 4'!$I$89:$I$649,'Well Cal.'!L$3,'Schedule 4'!$J$89:$J$649,'Well Cal.'!$E489)</f>
        <v>0</v>
      </c>
      <c r="M489" s="727">
        <f>SUMIFS('Schedule 4'!$F$89:$F$649,'Schedule 4'!$I$89:$I$649,'Well Cal.'!M$3,'Schedule 4'!$J$89:$J$649,'Well Cal.'!$E489)</f>
        <v>0</v>
      </c>
      <c r="N489" s="727">
        <f>SUMIFS('Schedule 4'!$F$89:$F$649,'Schedule 4'!$I$89:$I$649,'Well Cal.'!N$3,'Schedule 4'!$J$89:$J$649,'Well Cal.'!$E489)</f>
        <v>0</v>
      </c>
      <c r="O489" s="727">
        <f>SUMIFS('Schedule 4'!$F$89:$F$649,'Schedule 4'!$I$89:$I$649,'Well Cal.'!O$3,'Schedule 4'!$J$89:$J$649,'Well Cal.'!$E489)</f>
        <v>0</v>
      </c>
      <c r="P489" s="727">
        <f>SUMIFS('Schedule 4'!$F$89:$F$649,'Schedule 4'!$I$89:$I$649,'Well Cal.'!P$3,'Schedule 4'!$J$89:$J$649,'Well Cal.'!$E489)</f>
        <v>0</v>
      </c>
      <c r="Q489" s="727">
        <f>SUMIFS('Schedule 4'!$F$89:$F$649,'Schedule 4'!$I$89:$I$649,'Well Cal.'!Q$3,'Schedule 4'!$J$89:$J$649,'Well Cal.'!$E489)</f>
        <v>0</v>
      </c>
      <c r="R489" s="727">
        <f>SUMIFS('Schedule 4'!$F$89:$F$649,'Schedule 4'!$I$89:$I$649,'Well Cal.'!R$3,'Schedule 4'!$J$89:$J$649,'Well Cal.'!$E489)</f>
        <v>0</v>
      </c>
      <c r="S489" s="727">
        <f>SUMIFS('Schedule 4'!$F$89:$F$649,'Schedule 4'!$I$89:$I$649,'Well Cal.'!S$3,'Schedule 4'!$J$89:$J$649,'Well Cal.'!$E489)</f>
        <v>0</v>
      </c>
      <c r="T489" s="727">
        <f>SUMIFS('Schedule 4'!$F$89:$F$649,'Schedule 4'!$I$89:$I$649,'Well Cal.'!T$3,'Schedule 4'!$J$89:$J$649,'Well Cal.'!$E489)</f>
        <v>0</v>
      </c>
      <c r="U489" s="727">
        <f>SUMIFS('Schedule 4'!$F$89:$F$649,'Schedule 4'!$I$89:$I$649,'Well Cal.'!U$3,'Schedule 4'!$J$89:$J$649,'Well Cal.'!$E489)</f>
        <v>0</v>
      </c>
      <c r="V489" s="727">
        <f>SUMIFS('Schedule 4'!$F$89:$F$649,'Schedule 4'!$I$89:$I$649,'Well Cal.'!V$3,'Schedule 4'!$J$89:$J$649,'Well Cal.'!$E489)</f>
        <v>0</v>
      </c>
      <c r="W489" s="727">
        <f>SUMIFS('Schedule 4'!$F$89:$F$649,'Schedule 4'!$I$89:$I$649,'Well Cal.'!W$3,'Schedule 4'!$J$89:$J$649,'Well Cal.'!$E489)</f>
        <v>0</v>
      </c>
      <c r="X489" s="727">
        <f>SUMIFS('Schedule 4'!$F$89:$F$649,'Schedule 4'!$I$89:$I$649,'Well Cal.'!X$3,'Schedule 4'!$J$89:$J$649,'Well Cal.'!$E489)</f>
        <v>0</v>
      </c>
      <c r="Y489" s="727">
        <f>SUMIFS('Schedule 4'!$F$89:$F$649,'Schedule 4'!$I$89:$I$649,'Well Cal.'!Y$3,'Schedule 4'!$J$89:$J$649,'Well Cal.'!$E489)</f>
        <v>0</v>
      </c>
      <c r="Z489" s="727">
        <f>SUMIFS('Schedule 4'!$F$89:$F$649,'Schedule 4'!$I$89:$I$649,'Well Cal.'!Z$3,'Schedule 4'!$J$89:$J$649,'Well Cal.'!$E489)</f>
        <v>0</v>
      </c>
      <c r="AA489" s="727"/>
      <c r="AB489" s="1731"/>
      <c r="AC489" s="1731"/>
    </row>
    <row r="490" spans="2:29" x14ac:dyDescent="0.3">
      <c r="B490" s="1724"/>
      <c r="C490" s="1727"/>
      <c r="D490" s="1721"/>
      <c r="E490" s="775" t="s">
        <v>4125</v>
      </c>
      <c r="F490" s="727">
        <f>SUMIFS('Schedule 4'!$F$89:$F$649,'Schedule 4'!$I$89:$I$649,'Well Cal.'!F$3,'Schedule 4'!$J$89:$J$649,'Well Cal.'!$E490)</f>
        <v>0</v>
      </c>
      <c r="G490" s="727">
        <f>SUMIFS('Schedule 4'!$F$89:$F$649,'Schedule 4'!$I$89:$I$649,'Well Cal.'!G$3,'Schedule 4'!$J$89:$J$649,'Well Cal.'!$E490)</f>
        <v>0</v>
      </c>
      <c r="H490" s="727">
        <f>SUMIFS('Schedule 4'!$F$89:$F$649,'Schedule 4'!$I$89:$I$649,'Well Cal.'!H$3,'Schedule 4'!$J$89:$J$649,'Well Cal.'!$E490)</f>
        <v>0</v>
      </c>
      <c r="I490" s="727">
        <f>SUMIFS('Schedule 4'!$F$89:$F$649,'Schedule 4'!$I$89:$I$649,'Well Cal.'!I$3,'Schedule 4'!$J$89:$J$649,'Well Cal.'!$E490)</f>
        <v>0</v>
      </c>
      <c r="J490" s="727">
        <f>SUMIFS('Schedule 4'!$F$89:$F$649,'Schedule 4'!$I$89:$I$649,'Well Cal.'!J$3,'Schedule 4'!$J$89:$J$649,'Well Cal.'!$E490)</f>
        <v>0</v>
      </c>
      <c r="K490" s="727">
        <f>SUMIFS('Schedule 4'!$F$89:$F$649,'Schedule 4'!$I$89:$I$649,'Well Cal.'!K$3,'Schedule 4'!$J$89:$J$649,'Well Cal.'!$E490)</f>
        <v>0</v>
      </c>
      <c r="L490" s="727">
        <f>SUMIFS('Schedule 4'!$F$89:$F$649,'Schedule 4'!$I$89:$I$649,'Well Cal.'!L$3,'Schedule 4'!$J$89:$J$649,'Well Cal.'!$E490)</f>
        <v>0</v>
      </c>
      <c r="M490" s="727">
        <f>SUMIFS('Schedule 4'!$F$89:$F$649,'Schedule 4'!$I$89:$I$649,'Well Cal.'!M$3,'Schedule 4'!$J$89:$J$649,'Well Cal.'!$E490)</f>
        <v>0</v>
      </c>
      <c r="N490" s="727">
        <f>SUMIFS('Schedule 4'!$F$89:$F$649,'Schedule 4'!$I$89:$I$649,'Well Cal.'!N$3,'Schedule 4'!$J$89:$J$649,'Well Cal.'!$E490)</f>
        <v>0</v>
      </c>
      <c r="O490" s="727">
        <f>SUMIFS('Schedule 4'!$F$89:$F$649,'Schedule 4'!$I$89:$I$649,'Well Cal.'!O$3,'Schedule 4'!$J$89:$J$649,'Well Cal.'!$E490)</f>
        <v>0</v>
      </c>
      <c r="P490" s="727">
        <f>SUMIFS('Schedule 4'!$F$89:$F$649,'Schedule 4'!$I$89:$I$649,'Well Cal.'!P$3,'Schedule 4'!$J$89:$J$649,'Well Cal.'!$E490)</f>
        <v>0</v>
      </c>
      <c r="Q490" s="727">
        <f>SUMIFS('Schedule 4'!$F$89:$F$649,'Schedule 4'!$I$89:$I$649,'Well Cal.'!Q$3,'Schedule 4'!$J$89:$J$649,'Well Cal.'!$E490)</f>
        <v>0</v>
      </c>
      <c r="R490" s="727">
        <f>SUMIFS('Schedule 4'!$F$89:$F$649,'Schedule 4'!$I$89:$I$649,'Well Cal.'!R$3,'Schedule 4'!$J$89:$J$649,'Well Cal.'!$E490)</f>
        <v>0</v>
      </c>
      <c r="S490" s="727">
        <f>SUMIFS('Schedule 4'!$F$89:$F$649,'Schedule 4'!$I$89:$I$649,'Well Cal.'!S$3,'Schedule 4'!$J$89:$J$649,'Well Cal.'!$E490)</f>
        <v>0</v>
      </c>
      <c r="T490" s="727">
        <f>SUMIFS('Schedule 4'!$F$89:$F$649,'Schedule 4'!$I$89:$I$649,'Well Cal.'!T$3,'Schedule 4'!$J$89:$J$649,'Well Cal.'!$E490)</f>
        <v>0</v>
      </c>
      <c r="U490" s="727">
        <f>SUMIFS('Schedule 4'!$F$89:$F$649,'Schedule 4'!$I$89:$I$649,'Well Cal.'!U$3,'Schedule 4'!$J$89:$J$649,'Well Cal.'!$E490)</f>
        <v>0</v>
      </c>
      <c r="V490" s="727">
        <f>SUMIFS('Schedule 4'!$F$89:$F$649,'Schedule 4'!$I$89:$I$649,'Well Cal.'!V$3,'Schedule 4'!$J$89:$J$649,'Well Cal.'!$E490)</f>
        <v>0</v>
      </c>
      <c r="W490" s="727">
        <f>SUMIFS('Schedule 4'!$F$89:$F$649,'Schedule 4'!$I$89:$I$649,'Well Cal.'!W$3,'Schedule 4'!$J$89:$J$649,'Well Cal.'!$E490)</f>
        <v>0</v>
      </c>
      <c r="X490" s="727">
        <f>SUMIFS('Schedule 4'!$F$89:$F$649,'Schedule 4'!$I$89:$I$649,'Well Cal.'!X$3,'Schedule 4'!$J$89:$J$649,'Well Cal.'!$E490)</f>
        <v>0</v>
      </c>
      <c r="Y490" s="727">
        <f>SUMIFS('Schedule 4'!$F$89:$F$649,'Schedule 4'!$I$89:$I$649,'Well Cal.'!Y$3,'Schedule 4'!$J$89:$J$649,'Well Cal.'!$E490)</f>
        <v>0</v>
      </c>
      <c r="Z490" s="727">
        <f>SUMIFS('Schedule 4'!$F$89:$F$649,'Schedule 4'!$I$89:$I$649,'Well Cal.'!Z$3,'Schedule 4'!$J$89:$J$649,'Well Cal.'!$E490)</f>
        <v>0</v>
      </c>
      <c r="AA490" s="727"/>
      <c r="AB490" s="1731"/>
      <c r="AC490" s="1731"/>
    </row>
    <row r="491" spans="2:29" x14ac:dyDescent="0.3">
      <c r="B491" s="1724"/>
      <c r="C491" s="1727"/>
      <c r="D491" s="1721"/>
      <c r="E491" s="775" t="s">
        <v>4188</v>
      </c>
      <c r="F491" s="727">
        <f>SUMIFS('Schedule 4'!$F$89:$F$649,'Schedule 4'!$I$89:$I$649,'Well Cal.'!F$3,'Schedule 4'!$J$89:$J$649,'Well Cal.'!$E491)</f>
        <v>0</v>
      </c>
      <c r="G491" s="727">
        <f>SUMIFS('Schedule 4'!$F$89:$F$649,'Schedule 4'!$I$89:$I$649,'Well Cal.'!G$3,'Schedule 4'!$J$89:$J$649,'Well Cal.'!$E491)</f>
        <v>0</v>
      </c>
      <c r="H491" s="727">
        <f>SUMIFS('Schedule 4'!$F$89:$F$649,'Schedule 4'!$I$89:$I$649,'Well Cal.'!H$3,'Schedule 4'!$J$89:$J$649,'Well Cal.'!$E491)</f>
        <v>0</v>
      </c>
      <c r="I491" s="727">
        <f>SUMIFS('Schedule 4'!$F$89:$F$649,'Schedule 4'!$I$89:$I$649,'Well Cal.'!I$3,'Schedule 4'!$J$89:$J$649,'Well Cal.'!$E491)</f>
        <v>0</v>
      </c>
      <c r="J491" s="727">
        <f>SUMIFS('Schedule 4'!$F$89:$F$649,'Schedule 4'!$I$89:$I$649,'Well Cal.'!J$3,'Schedule 4'!$J$89:$J$649,'Well Cal.'!$E491)</f>
        <v>0</v>
      </c>
      <c r="K491" s="727">
        <f>SUMIFS('Schedule 4'!$F$89:$F$649,'Schedule 4'!$I$89:$I$649,'Well Cal.'!K$3,'Schedule 4'!$J$89:$J$649,'Well Cal.'!$E491)</f>
        <v>0</v>
      </c>
      <c r="L491" s="727">
        <f>SUMIFS('Schedule 4'!$F$89:$F$649,'Schedule 4'!$I$89:$I$649,'Well Cal.'!L$3,'Schedule 4'!$J$89:$J$649,'Well Cal.'!$E491)</f>
        <v>0</v>
      </c>
      <c r="M491" s="727">
        <f>SUMIFS('Schedule 4'!$F$89:$F$649,'Schedule 4'!$I$89:$I$649,'Well Cal.'!M$3,'Schedule 4'!$J$89:$J$649,'Well Cal.'!$E491)</f>
        <v>0</v>
      </c>
      <c r="N491" s="727">
        <f>SUMIFS('Schedule 4'!$F$89:$F$649,'Schedule 4'!$I$89:$I$649,'Well Cal.'!N$3,'Schedule 4'!$J$89:$J$649,'Well Cal.'!$E491)</f>
        <v>0</v>
      </c>
      <c r="O491" s="727">
        <f>SUMIFS('Schedule 4'!$F$89:$F$649,'Schedule 4'!$I$89:$I$649,'Well Cal.'!O$3,'Schedule 4'!$J$89:$J$649,'Well Cal.'!$E491)</f>
        <v>0</v>
      </c>
      <c r="P491" s="727">
        <f>SUMIFS('Schedule 4'!$F$89:$F$649,'Schedule 4'!$I$89:$I$649,'Well Cal.'!P$3,'Schedule 4'!$J$89:$J$649,'Well Cal.'!$E491)</f>
        <v>0</v>
      </c>
      <c r="Q491" s="727">
        <f>SUMIFS('Schedule 4'!$F$89:$F$649,'Schedule 4'!$I$89:$I$649,'Well Cal.'!Q$3,'Schedule 4'!$J$89:$J$649,'Well Cal.'!$E491)</f>
        <v>0</v>
      </c>
      <c r="R491" s="727">
        <f>SUMIFS('Schedule 4'!$F$89:$F$649,'Schedule 4'!$I$89:$I$649,'Well Cal.'!R$3,'Schedule 4'!$J$89:$J$649,'Well Cal.'!$E491)</f>
        <v>0</v>
      </c>
      <c r="S491" s="727">
        <f>SUMIFS('Schedule 4'!$F$89:$F$649,'Schedule 4'!$I$89:$I$649,'Well Cal.'!S$3,'Schedule 4'!$J$89:$J$649,'Well Cal.'!$E491)</f>
        <v>0</v>
      </c>
      <c r="T491" s="727">
        <f>SUMIFS('Schedule 4'!$F$89:$F$649,'Schedule 4'!$I$89:$I$649,'Well Cal.'!T$3,'Schedule 4'!$J$89:$J$649,'Well Cal.'!$E491)</f>
        <v>0</v>
      </c>
      <c r="U491" s="727">
        <f>SUMIFS('Schedule 4'!$F$89:$F$649,'Schedule 4'!$I$89:$I$649,'Well Cal.'!U$3,'Schedule 4'!$J$89:$J$649,'Well Cal.'!$E491)</f>
        <v>0</v>
      </c>
      <c r="V491" s="727">
        <f>SUMIFS('Schedule 4'!$F$89:$F$649,'Schedule 4'!$I$89:$I$649,'Well Cal.'!V$3,'Schedule 4'!$J$89:$J$649,'Well Cal.'!$E491)</f>
        <v>0</v>
      </c>
      <c r="W491" s="727">
        <f>SUMIFS('Schedule 4'!$F$89:$F$649,'Schedule 4'!$I$89:$I$649,'Well Cal.'!W$3,'Schedule 4'!$J$89:$J$649,'Well Cal.'!$E491)</f>
        <v>0</v>
      </c>
      <c r="X491" s="727">
        <f>SUMIFS('Schedule 4'!$F$89:$F$649,'Schedule 4'!$I$89:$I$649,'Well Cal.'!X$3,'Schedule 4'!$J$89:$J$649,'Well Cal.'!$E491)</f>
        <v>0</v>
      </c>
      <c r="Y491" s="727">
        <f>SUMIFS('Schedule 4'!$F$89:$F$649,'Schedule 4'!$I$89:$I$649,'Well Cal.'!Y$3,'Schedule 4'!$J$89:$J$649,'Well Cal.'!$E491)</f>
        <v>0</v>
      </c>
      <c r="Z491" s="727">
        <f>SUMIFS('Schedule 4'!$F$89:$F$649,'Schedule 4'!$I$89:$I$649,'Well Cal.'!Z$3,'Schedule 4'!$J$89:$J$649,'Well Cal.'!$E491)</f>
        <v>0</v>
      </c>
      <c r="AA491" s="727"/>
      <c r="AB491" s="1731"/>
      <c r="AC491" s="1731"/>
    </row>
    <row r="492" spans="2:29" x14ac:dyDescent="0.3">
      <c r="B492" s="1724"/>
      <c r="C492" s="1727"/>
      <c r="D492" s="1721"/>
      <c r="E492" s="775" t="s">
        <v>4265</v>
      </c>
      <c r="F492" s="727">
        <f>SUMIFS('Schedule 4'!$F$89:$F$649,'Schedule 4'!$I$89:$I$649,'Well Cal.'!F$3,'Schedule 4'!$J$89:$J$649,'Well Cal.'!$E492)</f>
        <v>0</v>
      </c>
      <c r="G492" s="727">
        <f>SUMIFS('Schedule 4'!$F$89:$F$649,'Schedule 4'!$I$89:$I$649,'Well Cal.'!G$3,'Schedule 4'!$J$89:$J$649,'Well Cal.'!$E492)</f>
        <v>0</v>
      </c>
      <c r="H492" s="727">
        <f>SUMIFS('Schedule 4'!$F$89:$F$649,'Schedule 4'!$I$89:$I$649,'Well Cal.'!H$3,'Schedule 4'!$J$89:$J$649,'Well Cal.'!$E492)</f>
        <v>0</v>
      </c>
      <c r="I492" s="727">
        <f>SUMIFS('Schedule 4'!$F$89:$F$649,'Schedule 4'!$I$89:$I$649,'Well Cal.'!I$3,'Schedule 4'!$J$89:$J$649,'Well Cal.'!$E492)</f>
        <v>0</v>
      </c>
      <c r="J492" s="727">
        <f>SUMIFS('Schedule 4'!$F$89:$F$649,'Schedule 4'!$I$89:$I$649,'Well Cal.'!J$3,'Schedule 4'!$J$89:$J$649,'Well Cal.'!$E492)</f>
        <v>0</v>
      </c>
      <c r="K492" s="727">
        <f>SUMIFS('Schedule 4'!$F$89:$F$649,'Schedule 4'!$I$89:$I$649,'Well Cal.'!K$3,'Schedule 4'!$J$89:$J$649,'Well Cal.'!$E492)</f>
        <v>0</v>
      </c>
      <c r="L492" s="727">
        <f>SUMIFS('Schedule 4'!$F$89:$F$649,'Schedule 4'!$I$89:$I$649,'Well Cal.'!L$3,'Schedule 4'!$J$89:$J$649,'Well Cal.'!$E492)</f>
        <v>0</v>
      </c>
      <c r="M492" s="727">
        <f>SUMIFS('Schedule 4'!$F$89:$F$649,'Schedule 4'!$I$89:$I$649,'Well Cal.'!M$3,'Schedule 4'!$J$89:$J$649,'Well Cal.'!$E492)</f>
        <v>0</v>
      </c>
      <c r="N492" s="727">
        <f>SUMIFS('Schedule 4'!$F$89:$F$649,'Schedule 4'!$I$89:$I$649,'Well Cal.'!N$3,'Schedule 4'!$J$89:$J$649,'Well Cal.'!$E492)</f>
        <v>0</v>
      </c>
      <c r="O492" s="727">
        <f>SUMIFS('Schedule 4'!$F$89:$F$649,'Schedule 4'!$I$89:$I$649,'Well Cal.'!O$3,'Schedule 4'!$J$89:$J$649,'Well Cal.'!$E492)</f>
        <v>0</v>
      </c>
      <c r="P492" s="727">
        <f>SUMIFS('Schedule 4'!$F$89:$F$649,'Schedule 4'!$I$89:$I$649,'Well Cal.'!P$3,'Schedule 4'!$J$89:$J$649,'Well Cal.'!$E492)</f>
        <v>0</v>
      </c>
      <c r="Q492" s="727">
        <f>SUMIFS('Schedule 4'!$F$89:$F$649,'Schedule 4'!$I$89:$I$649,'Well Cal.'!Q$3,'Schedule 4'!$J$89:$J$649,'Well Cal.'!$E492)</f>
        <v>0</v>
      </c>
      <c r="R492" s="727">
        <f>SUMIFS('Schedule 4'!$F$89:$F$649,'Schedule 4'!$I$89:$I$649,'Well Cal.'!R$3,'Schedule 4'!$J$89:$J$649,'Well Cal.'!$E492)</f>
        <v>0</v>
      </c>
      <c r="S492" s="727">
        <f>SUMIFS('Schedule 4'!$F$89:$F$649,'Schedule 4'!$I$89:$I$649,'Well Cal.'!S$3,'Schedule 4'!$J$89:$J$649,'Well Cal.'!$E492)</f>
        <v>0</v>
      </c>
      <c r="T492" s="727">
        <f>SUMIFS('Schedule 4'!$F$89:$F$649,'Schedule 4'!$I$89:$I$649,'Well Cal.'!T$3,'Schedule 4'!$J$89:$J$649,'Well Cal.'!$E492)</f>
        <v>0</v>
      </c>
      <c r="U492" s="727">
        <f>SUMIFS('Schedule 4'!$F$89:$F$649,'Schedule 4'!$I$89:$I$649,'Well Cal.'!U$3,'Schedule 4'!$J$89:$J$649,'Well Cal.'!$E492)</f>
        <v>0</v>
      </c>
      <c r="V492" s="727">
        <f>SUMIFS('Schedule 4'!$F$89:$F$649,'Schedule 4'!$I$89:$I$649,'Well Cal.'!V$3,'Schedule 4'!$J$89:$J$649,'Well Cal.'!$E492)</f>
        <v>0</v>
      </c>
      <c r="W492" s="727">
        <f>SUMIFS('Schedule 4'!$F$89:$F$649,'Schedule 4'!$I$89:$I$649,'Well Cal.'!W$3,'Schedule 4'!$J$89:$J$649,'Well Cal.'!$E492)</f>
        <v>0</v>
      </c>
      <c r="X492" s="727">
        <f>SUMIFS('Schedule 4'!$F$89:$F$649,'Schedule 4'!$I$89:$I$649,'Well Cal.'!X$3,'Schedule 4'!$J$89:$J$649,'Well Cal.'!$E492)</f>
        <v>0</v>
      </c>
      <c r="Y492" s="727">
        <f>SUMIFS('Schedule 4'!$F$89:$F$649,'Schedule 4'!$I$89:$I$649,'Well Cal.'!Y$3,'Schedule 4'!$J$89:$J$649,'Well Cal.'!$E492)</f>
        <v>0</v>
      </c>
      <c r="Z492" s="727">
        <f>SUMIFS('Schedule 4'!$F$89:$F$649,'Schedule 4'!$I$89:$I$649,'Well Cal.'!Z$3,'Schedule 4'!$J$89:$J$649,'Well Cal.'!$E492)</f>
        <v>0</v>
      </c>
      <c r="AA492" s="727"/>
      <c r="AB492" s="1731"/>
      <c r="AC492" s="1731"/>
    </row>
    <row r="493" spans="2:29" x14ac:dyDescent="0.3">
      <c r="B493" s="1724"/>
      <c r="C493" s="1727"/>
      <c r="D493" s="1721"/>
      <c r="E493" s="775" t="s">
        <v>4327</v>
      </c>
      <c r="F493" s="727">
        <f>SUMIFS('Schedule 4'!$F$89:$F$649,'Schedule 4'!$I$89:$I$649,'Well Cal.'!F$3,'Schedule 4'!$J$89:$J$649,'Well Cal.'!$E493)</f>
        <v>0</v>
      </c>
      <c r="G493" s="727">
        <f>SUMIFS('Schedule 4'!$F$89:$F$649,'Schedule 4'!$I$89:$I$649,'Well Cal.'!G$3,'Schedule 4'!$J$89:$J$649,'Well Cal.'!$E493)</f>
        <v>0</v>
      </c>
      <c r="H493" s="727">
        <f>SUMIFS('Schedule 4'!$F$89:$F$649,'Schedule 4'!$I$89:$I$649,'Well Cal.'!H$3,'Schedule 4'!$J$89:$J$649,'Well Cal.'!$E493)</f>
        <v>0</v>
      </c>
      <c r="I493" s="727">
        <f>SUMIFS('Schedule 4'!$F$89:$F$649,'Schedule 4'!$I$89:$I$649,'Well Cal.'!I$3,'Schedule 4'!$J$89:$J$649,'Well Cal.'!$E493)</f>
        <v>0</v>
      </c>
      <c r="J493" s="727">
        <f>SUMIFS('Schedule 4'!$F$89:$F$649,'Schedule 4'!$I$89:$I$649,'Well Cal.'!J$3,'Schedule 4'!$J$89:$J$649,'Well Cal.'!$E493)</f>
        <v>0</v>
      </c>
      <c r="K493" s="727">
        <f>SUMIFS('Schedule 4'!$F$89:$F$649,'Schedule 4'!$I$89:$I$649,'Well Cal.'!K$3,'Schedule 4'!$J$89:$J$649,'Well Cal.'!$E493)</f>
        <v>0</v>
      </c>
      <c r="L493" s="727">
        <f>SUMIFS('Schedule 4'!$F$89:$F$649,'Schedule 4'!$I$89:$I$649,'Well Cal.'!L$3,'Schedule 4'!$J$89:$J$649,'Well Cal.'!$E493)</f>
        <v>0</v>
      </c>
      <c r="M493" s="727">
        <f>SUMIFS('Schedule 4'!$F$89:$F$649,'Schedule 4'!$I$89:$I$649,'Well Cal.'!M$3,'Schedule 4'!$J$89:$J$649,'Well Cal.'!$E493)</f>
        <v>0</v>
      </c>
      <c r="N493" s="727">
        <f>SUMIFS('Schedule 4'!$F$89:$F$649,'Schedule 4'!$I$89:$I$649,'Well Cal.'!N$3,'Schedule 4'!$J$89:$J$649,'Well Cal.'!$E493)</f>
        <v>0</v>
      </c>
      <c r="O493" s="727">
        <f>SUMIFS('Schedule 4'!$F$89:$F$649,'Schedule 4'!$I$89:$I$649,'Well Cal.'!O$3,'Schedule 4'!$J$89:$J$649,'Well Cal.'!$E493)</f>
        <v>0</v>
      </c>
      <c r="P493" s="727">
        <f>SUMIFS('Schedule 4'!$F$89:$F$649,'Schedule 4'!$I$89:$I$649,'Well Cal.'!P$3,'Schedule 4'!$J$89:$J$649,'Well Cal.'!$E493)</f>
        <v>0</v>
      </c>
      <c r="Q493" s="727">
        <f>SUMIFS('Schedule 4'!$F$89:$F$649,'Schedule 4'!$I$89:$I$649,'Well Cal.'!Q$3,'Schedule 4'!$J$89:$J$649,'Well Cal.'!$E493)</f>
        <v>0</v>
      </c>
      <c r="R493" s="727">
        <f>SUMIFS('Schedule 4'!$F$89:$F$649,'Schedule 4'!$I$89:$I$649,'Well Cal.'!R$3,'Schedule 4'!$J$89:$J$649,'Well Cal.'!$E493)</f>
        <v>0</v>
      </c>
      <c r="S493" s="727">
        <f>SUMIFS('Schedule 4'!$F$89:$F$649,'Schedule 4'!$I$89:$I$649,'Well Cal.'!S$3,'Schedule 4'!$J$89:$J$649,'Well Cal.'!$E493)</f>
        <v>0</v>
      </c>
      <c r="T493" s="727">
        <f>SUMIFS('Schedule 4'!$F$89:$F$649,'Schedule 4'!$I$89:$I$649,'Well Cal.'!T$3,'Schedule 4'!$J$89:$J$649,'Well Cal.'!$E493)</f>
        <v>0</v>
      </c>
      <c r="U493" s="727">
        <f>SUMIFS('Schedule 4'!$F$89:$F$649,'Schedule 4'!$I$89:$I$649,'Well Cal.'!U$3,'Schedule 4'!$J$89:$J$649,'Well Cal.'!$E493)</f>
        <v>0</v>
      </c>
      <c r="V493" s="727">
        <f>SUMIFS('Schedule 4'!$F$89:$F$649,'Schedule 4'!$I$89:$I$649,'Well Cal.'!V$3,'Schedule 4'!$J$89:$J$649,'Well Cal.'!$E493)</f>
        <v>0</v>
      </c>
      <c r="W493" s="727">
        <f>SUMIFS('Schedule 4'!$F$89:$F$649,'Schedule 4'!$I$89:$I$649,'Well Cal.'!W$3,'Schedule 4'!$J$89:$J$649,'Well Cal.'!$E493)</f>
        <v>0</v>
      </c>
      <c r="X493" s="727">
        <f>SUMIFS('Schedule 4'!$F$89:$F$649,'Schedule 4'!$I$89:$I$649,'Well Cal.'!X$3,'Schedule 4'!$J$89:$J$649,'Well Cal.'!$E493)</f>
        <v>0</v>
      </c>
      <c r="Y493" s="727">
        <f>SUMIFS('Schedule 4'!$F$89:$F$649,'Schedule 4'!$I$89:$I$649,'Well Cal.'!Y$3,'Schedule 4'!$J$89:$J$649,'Well Cal.'!$E493)</f>
        <v>0</v>
      </c>
      <c r="Z493" s="727">
        <f>SUMIFS('Schedule 4'!$F$89:$F$649,'Schedule 4'!$I$89:$I$649,'Well Cal.'!Z$3,'Schedule 4'!$J$89:$J$649,'Well Cal.'!$E493)</f>
        <v>0</v>
      </c>
      <c r="AA493" s="727"/>
      <c r="AB493" s="1731"/>
      <c r="AC493" s="1731"/>
    </row>
    <row r="494" spans="2:29" x14ac:dyDescent="0.3">
      <c r="B494" s="1724"/>
      <c r="C494" s="1727"/>
      <c r="D494" s="1721"/>
      <c r="E494" s="775" t="s">
        <v>4391</v>
      </c>
      <c r="F494" s="727">
        <f>SUMIFS('Schedule 4'!$F$89:$F$649,'Schedule 4'!$I$89:$I$649,'Well Cal.'!F$3,'Schedule 4'!$J$89:$J$649,'Well Cal.'!$E494)</f>
        <v>0</v>
      </c>
      <c r="G494" s="727">
        <f>SUMIFS('Schedule 4'!$F$89:$F$649,'Schedule 4'!$I$89:$I$649,'Well Cal.'!G$3,'Schedule 4'!$J$89:$J$649,'Well Cal.'!$E494)</f>
        <v>0</v>
      </c>
      <c r="H494" s="727">
        <f>SUMIFS('Schedule 4'!$F$89:$F$649,'Schedule 4'!$I$89:$I$649,'Well Cal.'!H$3,'Schedule 4'!$J$89:$J$649,'Well Cal.'!$E494)</f>
        <v>0</v>
      </c>
      <c r="I494" s="727">
        <f>SUMIFS('Schedule 4'!$F$89:$F$649,'Schedule 4'!$I$89:$I$649,'Well Cal.'!I$3,'Schedule 4'!$J$89:$J$649,'Well Cal.'!$E494)</f>
        <v>0</v>
      </c>
      <c r="J494" s="727">
        <f>SUMIFS('Schedule 4'!$F$89:$F$649,'Schedule 4'!$I$89:$I$649,'Well Cal.'!J$3,'Schedule 4'!$J$89:$J$649,'Well Cal.'!$E494)</f>
        <v>0</v>
      </c>
      <c r="K494" s="727">
        <f>SUMIFS('Schedule 4'!$F$89:$F$649,'Schedule 4'!$I$89:$I$649,'Well Cal.'!K$3,'Schedule 4'!$J$89:$J$649,'Well Cal.'!$E494)</f>
        <v>0</v>
      </c>
      <c r="L494" s="727">
        <f>SUMIFS('Schedule 4'!$F$89:$F$649,'Schedule 4'!$I$89:$I$649,'Well Cal.'!L$3,'Schedule 4'!$J$89:$J$649,'Well Cal.'!$E494)</f>
        <v>0</v>
      </c>
      <c r="M494" s="727">
        <f>SUMIFS('Schedule 4'!$F$89:$F$649,'Schedule 4'!$I$89:$I$649,'Well Cal.'!M$3,'Schedule 4'!$J$89:$J$649,'Well Cal.'!$E494)</f>
        <v>0</v>
      </c>
      <c r="N494" s="727">
        <f>SUMIFS('Schedule 4'!$F$89:$F$649,'Schedule 4'!$I$89:$I$649,'Well Cal.'!N$3,'Schedule 4'!$J$89:$J$649,'Well Cal.'!$E494)</f>
        <v>0</v>
      </c>
      <c r="O494" s="727">
        <f>SUMIFS('Schedule 4'!$F$89:$F$649,'Schedule 4'!$I$89:$I$649,'Well Cal.'!O$3,'Schedule 4'!$J$89:$J$649,'Well Cal.'!$E494)</f>
        <v>0</v>
      </c>
      <c r="P494" s="727">
        <f>SUMIFS('Schedule 4'!$F$89:$F$649,'Schedule 4'!$I$89:$I$649,'Well Cal.'!P$3,'Schedule 4'!$J$89:$J$649,'Well Cal.'!$E494)</f>
        <v>0</v>
      </c>
      <c r="Q494" s="727">
        <f>SUMIFS('Schedule 4'!$F$89:$F$649,'Schedule 4'!$I$89:$I$649,'Well Cal.'!Q$3,'Schedule 4'!$J$89:$J$649,'Well Cal.'!$E494)</f>
        <v>0</v>
      </c>
      <c r="R494" s="727">
        <f>SUMIFS('Schedule 4'!$F$89:$F$649,'Schedule 4'!$I$89:$I$649,'Well Cal.'!R$3,'Schedule 4'!$J$89:$J$649,'Well Cal.'!$E494)</f>
        <v>0</v>
      </c>
      <c r="S494" s="727">
        <f>SUMIFS('Schedule 4'!$F$89:$F$649,'Schedule 4'!$I$89:$I$649,'Well Cal.'!S$3,'Schedule 4'!$J$89:$J$649,'Well Cal.'!$E494)</f>
        <v>0</v>
      </c>
      <c r="T494" s="727">
        <f>SUMIFS('Schedule 4'!$F$89:$F$649,'Schedule 4'!$I$89:$I$649,'Well Cal.'!T$3,'Schedule 4'!$J$89:$J$649,'Well Cal.'!$E494)</f>
        <v>0</v>
      </c>
      <c r="U494" s="727">
        <f>SUMIFS('Schedule 4'!$F$89:$F$649,'Schedule 4'!$I$89:$I$649,'Well Cal.'!U$3,'Schedule 4'!$J$89:$J$649,'Well Cal.'!$E494)</f>
        <v>0</v>
      </c>
      <c r="V494" s="727">
        <f>SUMIFS('Schedule 4'!$F$89:$F$649,'Schedule 4'!$I$89:$I$649,'Well Cal.'!V$3,'Schedule 4'!$J$89:$J$649,'Well Cal.'!$E494)</f>
        <v>0</v>
      </c>
      <c r="W494" s="727">
        <f>SUMIFS('Schedule 4'!$F$89:$F$649,'Schedule 4'!$I$89:$I$649,'Well Cal.'!W$3,'Schedule 4'!$J$89:$J$649,'Well Cal.'!$E494)</f>
        <v>0</v>
      </c>
      <c r="X494" s="727">
        <f>SUMIFS('Schedule 4'!$F$89:$F$649,'Schedule 4'!$I$89:$I$649,'Well Cal.'!X$3,'Schedule 4'!$J$89:$J$649,'Well Cal.'!$E494)</f>
        <v>0</v>
      </c>
      <c r="Y494" s="727">
        <f>SUMIFS('Schedule 4'!$F$89:$F$649,'Schedule 4'!$I$89:$I$649,'Well Cal.'!Y$3,'Schedule 4'!$J$89:$J$649,'Well Cal.'!$E494)</f>
        <v>0</v>
      </c>
      <c r="Z494" s="727">
        <f>SUMIFS('Schedule 4'!$F$89:$F$649,'Schedule 4'!$I$89:$I$649,'Well Cal.'!Z$3,'Schedule 4'!$J$89:$J$649,'Well Cal.'!$E494)</f>
        <v>0</v>
      </c>
      <c r="AA494" s="727"/>
      <c r="AB494" s="1731"/>
      <c r="AC494" s="1731"/>
    </row>
    <row r="495" spans="2:29" x14ac:dyDescent="0.3">
      <c r="B495" s="1724"/>
      <c r="C495" s="1727"/>
      <c r="D495" s="1721"/>
      <c r="E495" s="775" t="s">
        <v>4444</v>
      </c>
      <c r="F495" s="727">
        <f>SUMIFS('Schedule 4'!$F$89:$F$649,'Schedule 4'!$I$89:$I$649,'Well Cal.'!F$3,'Schedule 4'!$J$89:$J$649,'Well Cal.'!$E495)</f>
        <v>0</v>
      </c>
      <c r="G495" s="727">
        <f>SUMIFS('Schedule 4'!$F$89:$F$649,'Schedule 4'!$I$89:$I$649,'Well Cal.'!G$3,'Schedule 4'!$J$89:$J$649,'Well Cal.'!$E495)</f>
        <v>0</v>
      </c>
      <c r="H495" s="727">
        <f>SUMIFS('Schedule 4'!$F$89:$F$649,'Schedule 4'!$I$89:$I$649,'Well Cal.'!H$3,'Schedule 4'!$J$89:$J$649,'Well Cal.'!$E495)</f>
        <v>0</v>
      </c>
      <c r="I495" s="727">
        <f>SUMIFS('Schedule 4'!$F$89:$F$649,'Schedule 4'!$I$89:$I$649,'Well Cal.'!I$3,'Schedule 4'!$J$89:$J$649,'Well Cal.'!$E495)</f>
        <v>0</v>
      </c>
      <c r="J495" s="727">
        <f>SUMIFS('Schedule 4'!$F$89:$F$649,'Schedule 4'!$I$89:$I$649,'Well Cal.'!J$3,'Schedule 4'!$J$89:$J$649,'Well Cal.'!$E495)</f>
        <v>0</v>
      </c>
      <c r="K495" s="727">
        <f>SUMIFS('Schedule 4'!$F$89:$F$649,'Schedule 4'!$I$89:$I$649,'Well Cal.'!K$3,'Schedule 4'!$J$89:$J$649,'Well Cal.'!$E495)</f>
        <v>0</v>
      </c>
      <c r="L495" s="727">
        <f>SUMIFS('Schedule 4'!$F$89:$F$649,'Schedule 4'!$I$89:$I$649,'Well Cal.'!L$3,'Schedule 4'!$J$89:$J$649,'Well Cal.'!$E495)</f>
        <v>0</v>
      </c>
      <c r="M495" s="727">
        <f>SUMIFS('Schedule 4'!$F$89:$F$649,'Schedule 4'!$I$89:$I$649,'Well Cal.'!M$3,'Schedule 4'!$J$89:$J$649,'Well Cal.'!$E495)</f>
        <v>0</v>
      </c>
      <c r="N495" s="727">
        <f>SUMIFS('Schedule 4'!$F$89:$F$649,'Schedule 4'!$I$89:$I$649,'Well Cal.'!N$3,'Schedule 4'!$J$89:$J$649,'Well Cal.'!$E495)</f>
        <v>0</v>
      </c>
      <c r="O495" s="727">
        <f>SUMIFS('Schedule 4'!$F$89:$F$649,'Schedule 4'!$I$89:$I$649,'Well Cal.'!O$3,'Schedule 4'!$J$89:$J$649,'Well Cal.'!$E495)</f>
        <v>0</v>
      </c>
      <c r="P495" s="727">
        <f>SUMIFS('Schedule 4'!$F$89:$F$649,'Schedule 4'!$I$89:$I$649,'Well Cal.'!P$3,'Schedule 4'!$J$89:$J$649,'Well Cal.'!$E495)</f>
        <v>0</v>
      </c>
      <c r="Q495" s="727">
        <f>SUMIFS('Schedule 4'!$F$89:$F$649,'Schedule 4'!$I$89:$I$649,'Well Cal.'!Q$3,'Schedule 4'!$J$89:$J$649,'Well Cal.'!$E495)</f>
        <v>0</v>
      </c>
      <c r="R495" s="727">
        <f>SUMIFS('Schedule 4'!$F$89:$F$649,'Schedule 4'!$I$89:$I$649,'Well Cal.'!R$3,'Schedule 4'!$J$89:$J$649,'Well Cal.'!$E495)</f>
        <v>0</v>
      </c>
      <c r="S495" s="727">
        <f>SUMIFS('Schedule 4'!$F$89:$F$649,'Schedule 4'!$I$89:$I$649,'Well Cal.'!S$3,'Schedule 4'!$J$89:$J$649,'Well Cal.'!$E495)</f>
        <v>0</v>
      </c>
      <c r="T495" s="727">
        <f>SUMIFS('Schedule 4'!$F$89:$F$649,'Schedule 4'!$I$89:$I$649,'Well Cal.'!T$3,'Schedule 4'!$J$89:$J$649,'Well Cal.'!$E495)</f>
        <v>0</v>
      </c>
      <c r="U495" s="727">
        <f>SUMIFS('Schedule 4'!$F$89:$F$649,'Schedule 4'!$I$89:$I$649,'Well Cal.'!U$3,'Schedule 4'!$J$89:$J$649,'Well Cal.'!$E495)</f>
        <v>0</v>
      </c>
      <c r="V495" s="727">
        <f>SUMIFS('Schedule 4'!$F$89:$F$649,'Schedule 4'!$I$89:$I$649,'Well Cal.'!V$3,'Schedule 4'!$J$89:$J$649,'Well Cal.'!$E495)</f>
        <v>0</v>
      </c>
      <c r="W495" s="727">
        <f>SUMIFS('Schedule 4'!$F$89:$F$649,'Schedule 4'!$I$89:$I$649,'Well Cal.'!W$3,'Schedule 4'!$J$89:$J$649,'Well Cal.'!$E495)</f>
        <v>0</v>
      </c>
      <c r="X495" s="727">
        <f>SUMIFS('Schedule 4'!$F$89:$F$649,'Schedule 4'!$I$89:$I$649,'Well Cal.'!X$3,'Schedule 4'!$J$89:$J$649,'Well Cal.'!$E495)</f>
        <v>0</v>
      </c>
      <c r="Y495" s="727">
        <f>SUMIFS('Schedule 4'!$F$89:$F$649,'Schedule 4'!$I$89:$I$649,'Well Cal.'!Y$3,'Schedule 4'!$J$89:$J$649,'Well Cal.'!$E495)</f>
        <v>0</v>
      </c>
      <c r="Z495" s="727">
        <f>SUMIFS('Schedule 4'!$F$89:$F$649,'Schedule 4'!$I$89:$I$649,'Well Cal.'!Z$3,'Schedule 4'!$J$89:$J$649,'Well Cal.'!$E495)</f>
        <v>0</v>
      </c>
      <c r="AA495" s="727"/>
      <c r="AB495" s="1731"/>
      <c r="AC495" s="1731"/>
    </row>
    <row r="496" spans="2:29" x14ac:dyDescent="0.3">
      <c r="B496" s="1724"/>
      <c r="C496" s="1727"/>
      <c r="D496" s="1721"/>
      <c r="E496" s="775" t="s">
        <v>4491</v>
      </c>
      <c r="F496" s="727">
        <f>SUMIFS('Schedule 4'!$F$89:$F$649,'Schedule 4'!$I$89:$I$649,'Well Cal.'!F$3,'Schedule 4'!$J$89:$J$649,'Well Cal.'!$E496)</f>
        <v>0</v>
      </c>
      <c r="G496" s="727">
        <f>SUMIFS('Schedule 4'!$F$89:$F$649,'Schedule 4'!$I$89:$I$649,'Well Cal.'!G$3,'Schedule 4'!$J$89:$J$649,'Well Cal.'!$E496)</f>
        <v>0</v>
      </c>
      <c r="H496" s="727">
        <f>SUMIFS('Schedule 4'!$F$89:$F$649,'Schedule 4'!$I$89:$I$649,'Well Cal.'!H$3,'Schedule 4'!$J$89:$J$649,'Well Cal.'!$E496)</f>
        <v>0</v>
      </c>
      <c r="I496" s="727">
        <f>SUMIFS('Schedule 4'!$F$89:$F$649,'Schedule 4'!$I$89:$I$649,'Well Cal.'!I$3,'Schedule 4'!$J$89:$J$649,'Well Cal.'!$E496)</f>
        <v>0</v>
      </c>
      <c r="J496" s="727">
        <f>SUMIFS('Schedule 4'!$F$89:$F$649,'Schedule 4'!$I$89:$I$649,'Well Cal.'!J$3,'Schedule 4'!$J$89:$J$649,'Well Cal.'!$E496)</f>
        <v>0</v>
      </c>
      <c r="K496" s="727">
        <f>SUMIFS('Schedule 4'!$F$89:$F$649,'Schedule 4'!$I$89:$I$649,'Well Cal.'!K$3,'Schedule 4'!$J$89:$J$649,'Well Cal.'!$E496)</f>
        <v>0</v>
      </c>
      <c r="L496" s="727">
        <f>SUMIFS('Schedule 4'!$F$89:$F$649,'Schedule 4'!$I$89:$I$649,'Well Cal.'!L$3,'Schedule 4'!$J$89:$J$649,'Well Cal.'!$E496)</f>
        <v>0</v>
      </c>
      <c r="M496" s="727">
        <f>SUMIFS('Schedule 4'!$F$89:$F$649,'Schedule 4'!$I$89:$I$649,'Well Cal.'!M$3,'Schedule 4'!$J$89:$J$649,'Well Cal.'!$E496)</f>
        <v>0</v>
      </c>
      <c r="N496" s="727">
        <f>SUMIFS('Schedule 4'!$F$89:$F$649,'Schedule 4'!$I$89:$I$649,'Well Cal.'!N$3,'Schedule 4'!$J$89:$J$649,'Well Cal.'!$E496)</f>
        <v>0</v>
      </c>
      <c r="O496" s="727">
        <f>SUMIFS('Schedule 4'!$F$89:$F$649,'Schedule 4'!$I$89:$I$649,'Well Cal.'!O$3,'Schedule 4'!$J$89:$J$649,'Well Cal.'!$E496)</f>
        <v>0</v>
      </c>
      <c r="P496" s="727">
        <f>SUMIFS('Schedule 4'!$F$89:$F$649,'Schedule 4'!$I$89:$I$649,'Well Cal.'!P$3,'Schedule 4'!$J$89:$J$649,'Well Cal.'!$E496)</f>
        <v>0</v>
      </c>
      <c r="Q496" s="727">
        <f>SUMIFS('Schedule 4'!$F$89:$F$649,'Schedule 4'!$I$89:$I$649,'Well Cal.'!Q$3,'Schedule 4'!$J$89:$J$649,'Well Cal.'!$E496)</f>
        <v>0</v>
      </c>
      <c r="R496" s="727">
        <f>SUMIFS('Schedule 4'!$F$89:$F$649,'Schedule 4'!$I$89:$I$649,'Well Cal.'!R$3,'Schedule 4'!$J$89:$J$649,'Well Cal.'!$E496)</f>
        <v>0</v>
      </c>
      <c r="S496" s="727">
        <f>SUMIFS('Schedule 4'!$F$89:$F$649,'Schedule 4'!$I$89:$I$649,'Well Cal.'!S$3,'Schedule 4'!$J$89:$J$649,'Well Cal.'!$E496)</f>
        <v>0</v>
      </c>
      <c r="T496" s="727">
        <f>SUMIFS('Schedule 4'!$F$89:$F$649,'Schedule 4'!$I$89:$I$649,'Well Cal.'!T$3,'Schedule 4'!$J$89:$J$649,'Well Cal.'!$E496)</f>
        <v>0</v>
      </c>
      <c r="U496" s="727">
        <f>SUMIFS('Schedule 4'!$F$89:$F$649,'Schedule 4'!$I$89:$I$649,'Well Cal.'!U$3,'Schedule 4'!$J$89:$J$649,'Well Cal.'!$E496)</f>
        <v>0</v>
      </c>
      <c r="V496" s="727">
        <f>SUMIFS('Schedule 4'!$F$89:$F$649,'Schedule 4'!$I$89:$I$649,'Well Cal.'!V$3,'Schedule 4'!$J$89:$J$649,'Well Cal.'!$E496)</f>
        <v>0</v>
      </c>
      <c r="W496" s="727">
        <f>SUMIFS('Schedule 4'!$F$89:$F$649,'Schedule 4'!$I$89:$I$649,'Well Cal.'!W$3,'Schedule 4'!$J$89:$J$649,'Well Cal.'!$E496)</f>
        <v>0</v>
      </c>
      <c r="X496" s="727">
        <f>SUMIFS('Schedule 4'!$F$89:$F$649,'Schedule 4'!$I$89:$I$649,'Well Cal.'!X$3,'Schedule 4'!$J$89:$J$649,'Well Cal.'!$E496)</f>
        <v>0</v>
      </c>
      <c r="Y496" s="727">
        <f>SUMIFS('Schedule 4'!$F$89:$F$649,'Schedule 4'!$I$89:$I$649,'Well Cal.'!Y$3,'Schedule 4'!$J$89:$J$649,'Well Cal.'!$E496)</f>
        <v>0</v>
      </c>
      <c r="Z496" s="727">
        <f>SUMIFS('Schedule 4'!$F$89:$F$649,'Schedule 4'!$I$89:$I$649,'Well Cal.'!Z$3,'Schedule 4'!$J$89:$J$649,'Well Cal.'!$E496)</f>
        <v>0</v>
      </c>
      <c r="AA496" s="727"/>
      <c r="AB496" s="1731"/>
      <c r="AC496" s="1731"/>
    </row>
    <row r="497" spans="2:29" x14ac:dyDescent="0.3">
      <c r="B497" s="1724"/>
      <c r="C497" s="1727"/>
      <c r="D497" s="1721"/>
      <c r="E497" s="775" t="s">
        <v>4536</v>
      </c>
      <c r="F497" s="727">
        <f>SUMIFS('Schedule 4'!$F$89:$F$649,'Schedule 4'!$I$89:$I$649,'Well Cal.'!F$3,'Schedule 4'!$J$89:$J$649,'Well Cal.'!$E497)</f>
        <v>0</v>
      </c>
      <c r="G497" s="727">
        <f>SUMIFS('Schedule 4'!$F$89:$F$649,'Schedule 4'!$I$89:$I$649,'Well Cal.'!G$3,'Schedule 4'!$J$89:$J$649,'Well Cal.'!$E497)</f>
        <v>0</v>
      </c>
      <c r="H497" s="727">
        <f>SUMIFS('Schedule 4'!$F$89:$F$649,'Schedule 4'!$I$89:$I$649,'Well Cal.'!H$3,'Schedule 4'!$J$89:$J$649,'Well Cal.'!$E497)</f>
        <v>0</v>
      </c>
      <c r="I497" s="727">
        <f>SUMIFS('Schedule 4'!$F$89:$F$649,'Schedule 4'!$I$89:$I$649,'Well Cal.'!I$3,'Schedule 4'!$J$89:$J$649,'Well Cal.'!$E497)</f>
        <v>0</v>
      </c>
      <c r="J497" s="727">
        <f>SUMIFS('Schedule 4'!$F$89:$F$649,'Schedule 4'!$I$89:$I$649,'Well Cal.'!J$3,'Schedule 4'!$J$89:$J$649,'Well Cal.'!$E497)</f>
        <v>0</v>
      </c>
      <c r="K497" s="727">
        <f>SUMIFS('Schedule 4'!$F$89:$F$649,'Schedule 4'!$I$89:$I$649,'Well Cal.'!K$3,'Schedule 4'!$J$89:$J$649,'Well Cal.'!$E497)</f>
        <v>0</v>
      </c>
      <c r="L497" s="727">
        <f>SUMIFS('Schedule 4'!$F$89:$F$649,'Schedule 4'!$I$89:$I$649,'Well Cal.'!L$3,'Schedule 4'!$J$89:$J$649,'Well Cal.'!$E497)</f>
        <v>0</v>
      </c>
      <c r="M497" s="727">
        <f>SUMIFS('Schedule 4'!$F$89:$F$649,'Schedule 4'!$I$89:$I$649,'Well Cal.'!M$3,'Schedule 4'!$J$89:$J$649,'Well Cal.'!$E497)</f>
        <v>0</v>
      </c>
      <c r="N497" s="727">
        <f>SUMIFS('Schedule 4'!$F$89:$F$649,'Schedule 4'!$I$89:$I$649,'Well Cal.'!N$3,'Schedule 4'!$J$89:$J$649,'Well Cal.'!$E497)</f>
        <v>0</v>
      </c>
      <c r="O497" s="727">
        <f>SUMIFS('Schedule 4'!$F$89:$F$649,'Schedule 4'!$I$89:$I$649,'Well Cal.'!O$3,'Schedule 4'!$J$89:$J$649,'Well Cal.'!$E497)</f>
        <v>0</v>
      </c>
      <c r="P497" s="727">
        <f>SUMIFS('Schedule 4'!$F$89:$F$649,'Schedule 4'!$I$89:$I$649,'Well Cal.'!P$3,'Schedule 4'!$J$89:$J$649,'Well Cal.'!$E497)</f>
        <v>0</v>
      </c>
      <c r="Q497" s="727">
        <f>SUMIFS('Schedule 4'!$F$89:$F$649,'Schedule 4'!$I$89:$I$649,'Well Cal.'!Q$3,'Schedule 4'!$J$89:$J$649,'Well Cal.'!$E497)</f>
        <v>0</v>
      </c>
      <c r="R497" s="727">
        <f>SUMIFS('Schedule 4'!$F$89:$F$649,'Schedule 4'!$I$89:$I$649,'Well Cal.'!R$3,'Schedule 4'!$J$89:$J$649,'Well Cal.'!$E497)</f>
        <v>0</v>
      </c>
      <c r="S497" s="727">
        <f>SUMIFS('Schedule 4'!$F$89:$F$649,'Schedule 4'!$I$89:$I$649,'Well Cal.'!S$3,'Schedule 4'!$J$89:$J$649,'Well Cal.'!$E497)</f>
        <v>0</v>
      </c>
      <c r="T497" s="727">
        <f>SUMIFS('Schedule 4'!$F$89:$F$649,'Schedule 4'!$I$89:$I$649,'Well Cal.'!T$3,'Schedule 4'!$J$89:$J$649,'Well Cal.'!$E497)</f>
        <v>0</v>
      </c>
      <c r="U497" s="727">
        <f>SUMIFS('Schedule 4'!$F$89:$F$649,'Schedule 4'!$I$89:$I$649,'Well Cal.'!U$3,'Schedule 4'!$J$89:$J$649,'Well Cal.'!$E497)</f>
        <v>0</v>
      </c>
      <c r="V497" s="727">
        <f>SUMIFS('Schedule 4'!$F$89:$F$649,'Schedule 4'!$I$89:$I$649,'Well Cal.'!V$3,'Schedule 4'!$J$89:$J$649,'Well Cal.'!$E497)</f>
        <v>0</v>
      </c>
      <c r="W497" s="727">
        <f>SUMIFS('Schedule 4'!$F$89:$F$649,'Schedule 4'!$I$89:$I$649,'Well Cal.'!W$3,'Schedule 4'!$J$89:$J$649,'Well Cal.'!$E497)</f>
        <v>0</v>
      </c>
      <c r="X497" s="727">
        <f>SUMIFS('Schedule 4'!$F$89:$F$649,'Schedule 4'!$I$89:$I$649,'Well Cal.'!X$3,'Schedule 4'!$J$89:$J$649,'Well Cal.'!$E497)</f>
        <v>0</v>
      </c>
      <c r="Y497" s="727">
        <f>SUMIFS('Schedule 4'!$F$89:$F$649,'Schedule 4'!$I$89:$I$649,'Well Cal.'!Y$3,'Schedule 4'!$J$89:$J$649,'Well Cal.'!$E497)</f>
        <v>0</v>
      </c>
      <c r="Z497" s="727">
        <f>SUMIFS('Schedule 4'!$F$89:$F$649,'Schedule 4'!$I$89:$I$649,'Well Cal.'!Z$3,'Schedule 4'!$J$89:$J$649,'Well Cal.'!$E497)</f>
        <v>0</v>
      </c>
      <c r="AA497" s="727"/>
      <c r="AB497" s="1731"/>
      <c r="AC497" s="1731"/>
    </row>
    <row r="498" spans="2:29" x14ac:dyDescent="0.3">
      <c r="B498" s="1725"/>
      <c r="C498" s="1728"/>
      <c r="D498" s="1722"/>
      <c r="E498" s="776"/>
      <c r="F498" s="777"/>
      <c r="G498" s="777"/>
      <c r="H498" s="777"/>
      <c r="I498" s="777"/>
      <c r="J498" s="777"/>
      <c r="K498" s="777"/>
      <c r="L498" s="777"/>
      <c r="M498" s="777"/>
      <c r="N498" s="777"/>
      <c r="O498" s="777"/>
      <c r="P498" s="777"/>
      <c r="Q498" s="777"/>
      <c r="R498" s="777"/>
      <c r="S498" s="777"/>
      <c r="T498" s="777"/>
      <c r="U498" s="777"/>
      <c r="V498" s="777"/>
      <c r="W498" s="777"/>
      <c r="X498" s="777"/>
      <c r="Y498" s="777"/>
      <c r="Z498" s="777"/>
      <c r="AA498" s="777"/>
      <c r="AB498" s="1732"/>
      <c r="AC498" s="1732"/>
    </row>
    <row r="499" spans="2:29" x14ac:dyDescent="0.3">
      <c r="B499" s="1723" t="s">
        <v>2518</v>
      </c>
      <c r="C499" s="1726">
        <v>50.55</v>
      </c>
      <c r="D499" s="1720">
        <f>SUMIFS('Schedule 4'!$F$89:$F$649,'Schedule 4'!$K$89:$K$649,'Well Cal.'!$B499)</f>
        <v>0</v>
      </c>
      <c r="E499" s="754" t="s">
        <v>3126</v>
      </c>
      <c r="F499" s="728">
        <f>SUMIFS('Schedule 4'!$F$89:$F$649,'Schedule 4'!$I$89:$I$649,'Well Cal.'!F$3,'Schedule 4'!$J$89:$J$649,'Well Cal.'!$E499)</f>
        <v>0</v>
      </c>
      <c r="G499" s="728">
        <f>SUMIFS('Schedule 4'!$F$89:$F$649,'Schedule 4'!$I$89:$I$649,'Well Cal.'!G$3,'Schedule 4'!$J$89:$J$649,'Well Cal.'!$E499)</f>
        <v>0</v>
      </c>
      <c r="H499" s="728">
        <f>SUMIFS('Schedule 4'!$F$89:$F$649,'Schedule 4'!$I$89:$I$649,'Well Cal.'!H$3,'Schedule 4'!$J$89:$J$649,'Well Cal.'!$E499)</f>
        <v>0</v>
      </c>
      <c r="I499" s="728">
        <f>SUMIFS('Schedule 4'!$F$89:$F$649,'Schedule 4'!$I$89:$I$649,'Well Cal.'!I$3,'Schedule 4'!$J$89:$J$649,'Well Cal.'!$E499)</f>
        <v>0</v>
      </c>
      <c r="J499" s="728">
        <f>SUMIFS('Schedule 4'!$F$89:$F$649,'Schedule 4'!$I$89:$I$649,'Well Cal.'!J$3,'Schedule 4'!$J$89:$J$649,'Well Cal.'!$E499)</f>
        <v>0</v>
      </c>
      <c r="K499" s="728">
        <f>SUMIFS('Schedule 4'!$F$89:$F$649,'Schedule 4'!$I$89:$I$649,'Well Cal.'!K$3,'Schedule 4'!$J$89:$J$649,'Well Cal.'!$E499)</f>
        <v>0</v>
      </c>
      <c r="L499" s="728">
        <f>SUMIFS('Schedule 4'!$F$89:$F$649,'Schedule 4'!$I$89:$I$649,'Well Cal.'!L$3,'Schedule 4'!$J$89:$J$649,'Well Cal.'!$E499)</f>
        <v>0</v>
      </c>
      <c r="M499" s="728">
        <f>SUMIFS('Schedule 4'!$F$89:$F$649,'Schedule 4'!$I$89:$I$649,'Well Cal.'!M$3,'Schedule 4'!$J$89:$J$649,'Well Cal.'!$E499)</f>
        <v>0</v>
      </c>
      <c r="N499" s="728">
        <f>SUMIFS('Schedule 4'!$F$89:$F$649,'Schedule 4'!$I$89:$I$649,'Well Cal.'!N$3,'Schedule 4'!$J$89:$J$649,'Well Cal.'!$E499)</f>
        <v>0</v>
      </c>
      <c r="O499" s="728">
        <f>SUMIFS('Schedule 4'!$F$89:$F$649,'Schedule 4'!$I$89:$I$649,'Well Cal.'!O$3,'Schedule 4'!$J$89:$J$649,'Well Cal.'!$E499)</f>
        <v>0</v>
      </c>
      <c r="P499" s="728">
        <f>SUMIFS('Schedule 4'!$F$89:$F$649,'Schedule 4'!$I$89:$I$649,'Well Cal.'!P$3,'Schedule 4'!$J$89:$J$649,'Well Cal.'!$E499)</f>
        <v>0</v>
      </c>
      <c r="Q499" s="728">
        <f>SUMIFS('Schedule 4'!$F$89:$F$649,'Schedule 4'!$I$89:$I$649,'Well Cal.'!Q$3,'Schedule 4'!$J$89:$J$649,'Well Cal.'!$E499)</f>
        <v>0</v>
      </c>
      <c r="R499" s="728">
        <f>SUMIFS('Schedule 4'!$F$89:$F$649,'Schedule 4'!$I$89:$I$649,'Well Cal.'!R$3,'Schedule 4'!$J$89:$J$649,'Well Cal.'!$E499)</f>
        <v>0</v>
      </c>
      <c r="S499" s="728">
        <f>SUMIFS('Schedule 4'!$F$89:$F$649,'Schedule 4'!$I$89:$I$649,'Well Cal.'!S$3,'Schedule 4'!$J$89:$J$649,'Well Cal.'!$E499)</f>
        <v>0</v>
      </c>
      <c r="T499" s="728">
        <f>SUMIFS('Schedule 4'!$F$89:$F$649,'Schedule 4'!$I$89:$I$649,'Well Cal.'!T$3,'Schedule 4'!$J$89:$J$649,'Well Cal.'!$E499)</f>
        <v>0</v>
      </c>
      <c r="U499" s="728">
        <f>SUMIFS('Schedule 4'!$F$89:$F$649,'Schedule 4'!$I$89:$I$649,'Well Cal.'!U$3,'Schedule 4'!$J$89:$J$649,'Well Cal.'!$E499)</f>
        <v>0</v>
      </c>
      <c r="V499" s="728">
        <f>SUMIFS('Schedule 4'!$F$89:$F$649,'Schedule 4'!$I$89:$I$649,'Well Cal.'!V$3,'Schedule 4'!$J$89:$J$649,'Well Cal.'!$E499)</f>
        <v>0</v>
      </c>
      <c r="W499" s="728">
        <f>SUMIFS('Schedule 4'!$F$89:$F$649,'Schedule 4'!$I$89:$I$649,'Well Cal.'!W$3,'Schedule 4'!$J$89:$J$649,'Well Cal.'!$E499)</f>
        <v>0</v>
      </c>
      <c r="X499" s="728">
        <f>SUMIFS('Schedule 4'!$F$89:$F$649,'Schedule 4'!$I$89:$I$649,'Well Cal.'!X$3,'Schedule 4'!$J$89:$J$649,'Well Cal.'!$E499)</f>
        <v>0</v>
      </c>
      <c r="Y499" s="728">
        <f>SUMIFS('Schedule 4'!$F$89:$F$649,'Schedule 4'!$I$89:$I$649,'Well Cal.'!Y$3,'Schedule 4'!$J$89:$J$649,'Well Cal.'!$E499)</f>
        <v>0</v>
      </c>
      <c r="Z499" s="728">
        <f>SUMIFS('Schedule 4'!$F$89:$F$649,'Schedule 4'!$I$89:$I$649,'Well Cal.'!Z$3,'Schedule 4'!$J$89:$J$649,'Well Cal.'!$E499)</f>
        <v>0</v>
      </c>
      <c r="AA499" s="728"/>
      <c r="AB499" s="1729">
        <f>SUM(F499:AA520)</f>
        <v>0</v>
      </c>
      <c r="AC499" s="1729">
        <f>D499-AB499</f>
        <v>0</v>
      </c>
    </row>
    <row r="500" spans="2:29" x14ac:dyDescent="0.3">
      <c r="B500" s="1724"/>
      <c r="C500" s="1727"/>
      <c r="D500" s="1721"/>
      <c r="E500" s="761" t="s">
        <v>3208</v>
      </c>
      <c r="F500" s="726">
        <f>SUMIFS('Schedule 4'!$F$89:$F$649,'Schedule 4'!$I$89:$I$649,'Well Cal.'!F$3,'Schedule 4'!$J$89:$J$649,'Well Cal.'!$E500)</f>
        <v>0</v>
      </c>
      <c r="G500" s="726">
        <f>SUMIFS('Schedule 4'!$F$89:$F$649,'Schedule 4'!$I$89:$I$649,'Well Cal.'!G$3,'Schedule 4'!$J$89:$J$649,'Well Cal.'!$E500)</f>
        <v>0</v>
      </c>
      <c r="H500" s="726">
        <f>SUMIFS('Schedule 4'!$F$89:$F$649,'Schedule 4'!$I$89:$I$649,'Well Cal.'!H$3,'Schedule 4'!$J$89:$J$649,'Well Cal.'!$E500)</f>
        <v>0</v>
      </c>
      <c r="I500" s="726">
        <f>SUMIFS('Schedule 4'!$F$89:$F$649,'Schedule 4'!$I$89:$I$649,'Well Cal.'!I$3,'Schedule 4'!$J$89:$J$649,'Well Cal.'!$E500)</f>
        <v>0</v>
      </c>
      <c r="J500" s="726">
        <f>SUMIFS('Schedule 4'!$F$89:$F$649,'Schedule 4'!$I$89:$I$649,'Well Cal.'!J$3,'Schedule 4'!$J$89:$J$649,'Well Cal.'!$E500)</f>
        <v>0</v>
      </c>
      <c r="K500" s="726">
        <f>SUMIFS('Schedule 4'!$F$89:$F$649,'Schedule 4'!$I$89:$I$649,'Well Cal.'!K$3,'Schedule 4'!$J$89:$J$649,'Well Cal.'!$E500)</f>
        <v>0</v>
      </c>
      <c r="L500" s="726">
        <f>SUMIFS('Schedule 4'!$F$89:$F$649,'Schedule 4'!$I$89:$I$649,'Well Cal.'!L$3,'Schedule 4'!$J$89:$J$649,'Well Cal.'!$E500)</f>
        <v>0</v>
      </c>
      <c r="M500" s="726">
        <f>SUMIFS('Schedule 4'!$F$89:$F$649,'Schedule 4'!$I$89:$I$649,'Well Cal.'!M$3,'Schedule 4'!$J$89:$J$649,'Well Cal.'!$E500)</f>
        <v>0</v>
      </c>
      <c r="N500" s="726">
        <f>SUMIFS('Schedule 4'!$F$89:$F$649,'Schedule 4'!$I$89:$I$649,'Well Cal.'!N$3,'Schedule 4'!$J$89:$J$649,'Well Cal.'!$E500)</f>
        <v>0</v>
      </c>
      <c r="O500" s="726">
        <f>SUMIFS('Schedule 4'!$F$89:$F$649,'Schedule 4'!$I$89:$I$649,'Well Cal.'!O$3,'Schedule 4'!$J$89:$J$649,'Well Cal.'!$E500)</f>
        <v>0</v>
      </c>
      <c r="P500" s="726">
        <f>SUMIFS('Schedule 4'!$F$89:$F$649,'Schedule 4'!$I$89:$I$649,'Well Cal.'!P$3,'Schedule 4'!$J$89:$J$649,'Well Cal.'!$E500)</f>
        <v>0</v>
      </c>
      <c r="Q500" s="726">
        <f>SUMIFS('Schedule 4'!$F$89:$F$649,'Schedule 4'!$I$89:$I$649,'Well Cal.'!Q$3,'Schedule 4'!$J$89:$J$649,'Well Cal.'!$E500)</f>
        <v>0</v>
      </c>
      <c r="R500" s="726">
        <f>SUMIFS('Schedule 4'!$F$89:$F$649,'Schedule 4'!$I$89:$I$649,'Well Cal.'!R$3,'Schedule 4'!$J$89:$J$649,'Well Cal.'!$E500)</f>
        <v>0</v>
      </c>
      <c r="S500" s="726">
        <f>SUMIFS('Schedule 4'!$F$89:$F$649,'Schedule 4'!$I$89:$I$649,'Well Cal.'!S$3,'Schedule 4'!$J$89:$J$649,'Well Cal.'!$E500)</f>
        <v>0</v>
      </c>
      <c r="T500" s="726">
        <f>SUMIFS('Schedule 4'!$F$89:$F$649,'Schedule 4'!$I$89:$I$649,'Well Cal.'!T$3,'Schedule 4'!$J$89:$J$649,'Well Cal.'!$E500)</f>
        <v>0</v>
      </c>
      <c r="U500" s="726">
        <f>SUMIFS('Schedule 4'!$F$89:$F$649,'Schedule 4'!$I$89:$I$649,'Well Cal.'!U$3,'Schedule 4'!$J$89:$J$649,'Well Cal.'!$E500)</f>
        <v>0</v>
      </c>
      <c r="V500" s="726">
        <f>SUMIFS('Schedule 4'!$F$89:$F$649,'Schedule 4'!$I$89:$I$649,'Well Cal.'!V$3,'Schedule 4'!$J$89:$J$649,'Well Cal.'!$E500)</f>
        <v>0</v>
      </c>
      <c r="W500" s="726">
        <f>SUMIFS('Schedule 4'!$F$89:$F$649,'Schedule 4'!$I$89:$I$649,'Well Cal.'!W$3,'Schedule 4'!$J$89:$J$649,'Well Cal.'!$E500)</f>
        <v>0</v>
      </c>
      <c r="X500" s="726">
        <f>SUMIFS('Schedule 4'!$F$89:$F$649,'Schedule 4'!$I$89:$I$649,'Well Cal.'!X$3,'Schedule 4'!$J$89:$J$649,'Well Cal.'!$E500)</f>
        <v>0</v>
      </c>
      <c r="Y500" s="726">
        <f>SUMIFS('Schedule 4'!$F$89:$F$649,'Schedule 4'!$I$89:$I$649,'Well Cal.'!Y$3,'Schedule 4'!$J$89:$J$649,'Well Cal.'!$E500)</f>
        <v>0</v>
      </c>
      <c r="Z500" s="726">
        <f>SUMIFS('Schedule 4'!$F$89:$F$649,'Schedule 4'!$I$89:$I$649,'Well Cal.'!Z$3,'Schedule 4'!$J$89:$J$649,'Well Cal.'!$E500)</f>
        <v>0</v>
      </c>
      <c r="AA500" s="726"/>
      <c r="AB500" s="1730"/>
      <c r="AC500" s="1730"/>
    </row>
    <row r="501" spans="2:29" x14ac:dyDescent="0.3">
      <c r="B501" s="1724"/>
      <c r="C501" s="1727"/>
      <c r="D501" s="1721"/>
      <c r="E501" s="761" t="s">
        <v>3287</v>
      </c>
      <c r="F501" s="726">
        <f>SUMIFS('Schedule 4'!$F$89:$F$649,'Schedule 4'!$I$89:$I$649,'Well Cal.'!F$3,'Schedule 4'!$J$89:$J$649,'Well Cal.'!$E501)</f>
        <v>0</v>
      </c>
      <c r="G501" s="726">
        <f>SUMIFS('Schedule 4'!$F$89:$F$649,'Schedule 4'!$I$89:$I$649,'Well Cal.'!G$3,'Schedule 4'!$J$89:$J$649,'Well Cal.'!$E501)</f>
        <v>0</v>
      </c>
      <c r="H501" s="726">
        <f>SUMIFS('Schedule 4'!$F$89:$F$649,'Schedule 4'!$I$89:$I$649,'Well Cal.'!H$3,'Schedule 4'!$J$89:$J$649,'Well Cal.'!$E501)</f>
        <v>0</v>
      </c>
      <c r="I501" s="726">
        <f>SUMIFS('Schedule 4'!$F$89:$F$649,'Schedule 4'!$I$89:$I$649,'Well Cal.'!I$3,'Schedule 4'!$J$89:$J$649,'Well Cal.'!$E501)</f>
        <v>0</v>
      </c>
      <c r="J501" s="726">
        <f>SUMIFS('Schedule 4'!$F$89:$F$649,'Schedule 4'!$I$89:$I$649,'Well Cal.'!J$3,'Schedule 4'!$J$89:$J$649,'Well Cal.'!$E501)</f>
        <v>0</v>
      </c>
      <c r="K501" s="726">
        <f>SUMIFS('Schedule 4'!$F$89:$F$649,'Schedule 4'!$I$89:$I$649,'Well Cal.'!K$3,'Schedule 4'!$J$89:$J$649,'Well Cal.'!$E501)</f>
        <v>0</v>
      </c>
      <c r="L501" s="726">
        <f>SUMIFS('Schedule 4'!$F$89:$F$649,'Schedule 4'!$I$89:$I$649,'Well Cal.'!L$3,'Schedule 4'!$J$89:$J$649,'Well Cal.'!$E501)</f>
        <v>0</v>
      </c>
      <c r="M501" s="726">
        <f>SUMIFS('Schedule 4'!$F$89:$F$649,'Schedule 4'!$I$89:$I$649,'Well Cal.'!M$3,'Schedule 4'!$J$89:$J$649,'Well Cal.'!$E501)</f>
        <v>0</v>
      </c>
      <c r="N501" s="726">
        <f>SUMIFS('Schedule 4'!$F$89:$F$649,'Schedule 4'!$I$89:$I$649,'Well Cal.'!N$3,'Schedule 4'!$J$89:$J$649,'Well Cal.'!$E501)</f>
        <v>0</v>
      </c>
      <c r="O501" s="726">
        <f>SUMIFS('Schedule 4'!$F$89:$F$649,'Schedule 4'!$I$89:$I$649,'Well Cal.'!O$3,'Schedule 4'!$J$89:$J$649,'Well Cal.'!$E501)</f>
        <v>0</v>
      </c>
      <c r="P501" s="726">
        <f>SUMIFS('Schedule 4'!$F$89:$F$649,'Schedule 4'!$I$89:$I$649,'Well Cal.'!P$3,'Schedule 4'!$J$89:$J$649,'Well Cal.'!$E501)</f>
        <v>0</v>
      </c>
      <c r="Q501" s="726">
        <f>SUMIFS('Schedule 4'!$F$89:$F$649,'Schedule 4'!$I$89:$I$649,'Well Cal.'!Q$3,'Schedule 4'!$J$89:$J$649,'Well Cal.'!$E501)</f>
        <v>0</v>
      </c>
      <c r="R501" s="726">
        <f>SUMIFS('Schedule 4'!$F$89:$F$649,'Schedule 4'!$I$89:$I$649,'Well Cal.'!R$3,'Schedule 4'!$J$89:$J$649,'Well Cal.'!$E501)</f>
        <v>0</v>
      </c>
      <c r="S501" s="726">
        <f>SUMIFS('Schedule 4'!$F$89:$F$649,'Schedule 4'!$I$89:$I$649,'Well Cal.'!S$3,'Schedule 4'!$J$89:$J$649,'Well Cal.'!$E501)</f>
        <v>0</v>
      </c>
      <c r="T501" s="726">
        <f>SUMIFS('Schedule 4'!$F$89:$F$649,'Schedule 4'!$I$89:$I$649,'Well Cal.'!T$3,'Schedule 4'!$J$89:$J$649,'Well Cal.'!$E501)</f>
        <v>0</v>
      </c>
      <c r="U501" s="726">
        <f>SUMIFS('Schedule 4'!$F$89:$F$649,'Schedule 4'!$I$89:$I$649,'Well Cal.'!U$3,'Schedule 4'!$J$89:$J$649,'Well Cal.'!$E501)</f>
        <v>0</v>
      </c>
      <c r="V501" s="726">
        <f>SUMIFS('Schedule 4'!$F$89:$F$649,'Schedule 4'!$I$89:$I$649,'Well Cal.'!V$3,'Schedule 4'!$J$89:$J$649,'Well Cal.'!$E501)</f>
        <v>0</v>
      </c>
      <c r="W501" s="726">
        <f>SUMIFS('Schedule 4'!$F$89:$F$649,'Schedule 4'!$I$89:$I$649,'Well Cal.'!W$3,'Schedule 4'!$J$89:$J$649,'Well Cal.'!$E501)</f>
        <v>0</v>
      </c>
      <c r="X501" s="726">
        <f>SUMIFS('Schedule 4'!$F$89:$F$649,'Schedule 4'!$I$89:$I$649,'Well Cal.'!X$3,'Schedule 4'!$J$89:$J$649,'Well Cal.'!$E501)</f>
        <v>0</v>
      </c>
      <c r="Y501" s="726">
        <f>SUMIFS('Schedule 4'!$F$89:$F$649,'Schedule 4'!$I$89:$I$649,'Well Cal.'!Y$3,'Schedule 4'!$J$89:$J$649,'Well Cal.'!$E501)</f>
        <v>0</v>
      </c>
      <c r="Z501" s="726">
        <f>SUMIFS('Schedule 4'!$F$89:$F$649,'Schedule 4'!$I$89:$I$649,'Well Cal.'!Z$3,'Schedule 4'!$J$89:$J$649,'Well Cal.'!$E501)</f>
        <v>0</v>
      </c>
      <c r="AA501" s="726"/>
      <c r="AB501" s="1730"/>
      <c r="AC501" s="1730"/>
    </row>
    <row r="502" spans="2:29" x14ac:dyDescent="0.3">
      <c r="B502" s="1724"/>
      <c r="C502" s="1727"/>
      <c r="D502" s="1721"/>
      <c r="E502" s="775" t="s">
        <v>3370</v>
      </c>
      <c r="F502" s="727">
        <f>SUMIFS('Schedule 4'!$F$89:$F$649,'Schedule 4'!$I$89:$I$649,'Well Cal.'!F$3,'Schedule 4'!$J$89:$J$649,'Well Cal.'!$E502)</f>
        <v>0</v>
      </c>
      <c r="G502" s="727">
        <f>SUMIFS('Schedule 4'!$F$89:$F$649,'Schedule 4'!$I$89:$I$649,'Well Cal.'!G$3,'Schedule 4'!$J$89:$J$649,'Well Cal.'!$E502)</f>
        <v>0</v>
      </c>
      <c r="H502" s="727">
        <f>SUMIFS('Schedule 4'!$F$89:$F$649,'Schedule 4'!$I$89:$I$649,'Well Cal.'!H$3,'Schedule 4'!$J$89:$J$649,'Well Cal.'!$E502)</f>
        <v>0</v>
      </c>
      <c r="I502" s="727">
        <f>SUMIFS('Schedule 4'!$F$89:$F$649,'Schedule 4'!$I$89:$I$649,'Well Cal.'!I$3,'Schedule 4'!$J$89:$J$649,'Well Cal.'!$E502)</f>
        <v>0</v>
      </c>
      <c r="J502" s="727">
        <f>SUMIFS('Schedule 4'!$F$89:$F$649,'Schedule 4'!$I$89:$I$649,'Well Cal.'!J$3,'Schedule 4'!$J$89:$J$649,'Well Cal.'!$E502)</f>
        <v>0</v>
      </c>
      <c r="K502" s="727">
        <f>SUMIFS('Schedule 4'!$F$89:$F$649,'Schedule 4'!$I$89:$I$649,'Well Cal.'!K$3,'Schedule 4'!$J$89:$J$649,'Well Cal.'!$E502)</f>
        <v>0</v>
      </c>
      <c r="L502" s="727">
        <f>SUMIFS('Schedule 4'!$F$89:$F$649,'Schedule 4'!$I$89:$I$649,'Well Cal.'!L$3,'Schedule 4'!$J$89:$J$649,'Well Cal.'!$E502)</f>
        <v>0</v>
      </c>
      <c r="M502" s="727">
        <f>SUMIFS('Schedule 4'!$F$89:$F$649,'Schedule 4'!$I$89:$I$649,'Well Cal.'!M$3,'Schedule 4'!$J$89:$J$649,'Well Cal.'!$E502)</f>
        <v>0</v>
      </c>
      <c r="N502" s="727">
        <f>SUMIFS('Schedule 4'!$F$89:$F$649,'Schedule 4'!$I$89:$I$649,'Well Cal.'!N$3,'Schedule 4'!$J$89:$J$649,'Well Cal.'!$E502)</f>
        <v>0</v>
      </c>
      <c r="O502" s="727">
        <f>SUMIFS('Schedule 4'!$F$89:$F$649,'Schedule 4'!$I$89:$I$649,'Well Cal.'!O$3,'Schedule 4'!$J$89:$J$649,'Well Cal.'!$E502)</f>
        <v>0</v>
      </c>
      <c r="P502" s="727">
        <f>SUMIFS('Schedule 4'!$F$89:$F$649,'Schedule 4'!$I$89:$I$649,'Well Cal.'!P$3,'Schedule 4'!$J$89:$J$649,'Well Cal.'!$E502)</f>
        <v>0</v>
      </c>
      <c r="Q502" s="727">
        <f>SUMIFS('Schedule 4'!$F$89:$F$649,'Schedule 4'!$I$89:$I$649,'Well Cal.'!Q$3,'Schedule 4'!$J$89:$J$649,'Well Cal.'!$E502)</f>
        <v>0</v>
      </c>
      <c r="R502" s="727">
        <f>SUMIFS('Schedule 4'!$F$89:$F$649,'Schedule 4'!$I$89:$I$649,'Well Cal.'!R$3,'Schedule 4'!$J$89:$J$649,'Well Cal.'!$E502)</f>
        <v>0</v>
      </c>
      <c r="S502" s="727">
        <f>SUMIFS('Schedule 4'!$F$89:$F$649,'Schedule 4'!$I$89:$I$649,'Well Cal.'!S$3,'Schedule 4'!$J$89:$J$649,'Well Cal.'!$E502)</f>
        <v>0</v>
      </c>
      <c r="T502" s="727">
        <f>SUMIFS('Schedule 4'!$F$89:$F$649,'Schedule 4'!$I$89:$I$649,'Well Cal.'!T$3,'Schedule 4'!$J$89:$J$649,'Well Cal.'!$E502)</f>
        <v>0</v>
      </c>
      <c r="U502" s="727">
        <f>SUMIFS('Schedule 4'!$F$89:$F$649,'Schedule 4'!$I$89:$I$649,'Well Cal.'!U$3,'Schedule 4'!$J$89:$J$649,'Well Cal.'!$E502)</f>
        <v>0</v>
      </c>
      <c r="V502" s="727">
        <f>SUMIFS('Schedule 4'!$F$89:$F$649,'Schedule 4'!$I$89:$I$649,'Well Cal.'!V$3,'Schedule 4'!$J$89:$J$649,'Well Cal.'!$E502)</f>
        <v>0</v>
      </c>
      <c r="W502" s="727">
        <f>SUMIFS('Schedule 4'!$F$89:$F$649,'Schedule 4'!$I$89:$I$649,'Well Cal.'!W$3,'Schedule 4'!$J$89:$J$649,'Well Cal.'!$E502)</f>
        <v>0</v>
      </c>
      <c r="X502" s="727">
        <f>SUMIFS('Schedule 4'!$F$89:$F$649,'Schedule 4'!$I$89:$I$649,'Well Cal.'!X$3,'Schedule 4'!$J$89:$J$649,'Well Cal.'!$E502)</f>
        <v>0</v>
      </c>
      <c r="Y502" s="727">
        <f>SUMIFS('Schedule 4'!$F$89:$F$649,'Schedule 4'!$I$89:$I$649,'Well Cal.'!Y$3,'Schedule 4'!$J$89:$J$649,'Well Cal.'!$E502)</f>
        <v>0</v>
      </c>
      <c r="Z502" s="727">
        <f>SUMIFS('Schedule 4'!$F$89:$F$649,'Schedule 4'!$I$89:$I$649,'Well Cal.'!Z$3,'Schedule 4'!$J$89:$J$649,'Well Cal.'!$E502)</f>
        <v>0</v>
      </c>
      <c r="AA502" s="727"/>
      <c r="AB502" s="1730"/>
      <c r="AC502" s="1730"/>
    </row>
    <row r="503" spans="2:29" x14ac:dyDescent="0.3">
      <c r="B503" s="1724"/>
      <c r="C503" s="1727"/>
      <c r="D503" s="1721"/>
      <c r="E503" s="775" t="s">
        <v>3439</v>
      </c>
      <c r="F503" s="727">
        <f>SUMIFS('Schedule 4'!$F$89:$F$649,'Schedule 4'!$I$89:$I$649,'Well Cal.'!F$3,'Schedule 4'!$J$89:$J$649,'Well Cal.'!$E503)</f>
        <v>0</v>
      </c>
      <c r="G503" s="727">
        <f>SUMIFS('Schedule 4'!$F$89:$F$649,'Schedule 4'!$I$89:$I$649,'Well Cal.'!G$3,'Schedule 4'!$J$89:$J$649,'Well Cal.'!$E503)</f>
        <v>0</v>
      </c>
      <c r="H503" s="727">
        <f>SUMIFS('Schedule 4'!$F$89:$F$649,'Schedule 4'!$I$89:$I$649,'Well Cal.'!H$3,'Schedule 4'!$J$89:$J$649,'Well Cal.'!$E503)</f>
        <v>0</v>
      </c>
      <c r="I503" s="727">
        <f>SUMIFS('Schedule 4'!$F$89:$F$649,'Schedule 4'!$I$89:$I$649,'Well Cal.'!I$3,'Schedule 4'!$J$89:$J$649,'Well Cal.'!$E503)</f>
        <v>0</v>
      </c>
      <c r="J503" s="727">
        <f>SUMIFS('Schedule 4'!$F$89:$F$649,'Schedule 4'!$I$89:$I$649,'Well Cal.'!J$3,'Schedule 4'!$J$89:$J$649,'Well Cal.'!$E503)</f>
        <v>0</v>
      </c>
      <c r="K503" s="727">
        <f>SUMIFS('Schedule 4'!$F$89:$F$649,'Schedule 4'!$I$89:$I$649,'Well Cal.'!K$3,'Schedule 4'!$J$89:$J$649,'Well Cal.'!$E503)</f>
        <v>0</v>
      </c>
      <c r="L503" s="727">
        <f>SUMIFS('Schedule 4'!$F$89:$F$649,'Schedule 4'!$I$89:$I$649,'Well Cal.'!L$3,'Schedule 4'!$J$89:$J$649,'Well Cal.'!$E503)</f>
        <v>0</v>
      </c>
      <c r="M503" s="727">
        <f>SUMIFS('Schedule 4'!$F$89:$F$649,'Schedule 4'!$I$89:$I$649,'Well Cal.'!M$3,'Schedule 4'!$J$89:$J$649,'Well Cal.'!$E503)</f>
        <v>0</v>
      </c>
      <c r="N503" s="727">
        <f>SUMIFS('Schedule 4'!$F$89:$F$649,'Schedule 4'!$I$89:$I$649,'Well Cal.'!N$3,'Schedule 4'!$J$89:$J$649,'Well Cal.'!$E503)</f>
        <v>0</v>
      </c>
      <c r="O503" s="727">
        <f>SUMIFS('Schedule 4'!$F$89:$F$649,'Schedule 4'!$I$89:$I$649,'Well Cal.'!O$3,'Schedule 4'!$J$89:$J$649,'Well Cal.'!$E503)</f>
        <v>0</v>
      </c>
      <c r="P503" s="727">
        <f>SUMIFS('Schedule 4'!$F$89:$F$649,'Schedule 4'!$I$89:$I$649,'Well Cal.'!P$3,'Schedule 4'!$J$89:$J$649,'Well Cal.'!$E503)</f>
        <v>0</v>
      </c>
      <c r="Q503" s="727">
        <f>SUMIFS('Schedule 4'!$F$89:$F$649,'Schedule 4'!$I$89:$I$649,'Well Cal.'!Q$3,'Schedule 4'!$J$89:$J$649,'Well Cal.'!$E503)</f>
        <v>0</v>
      </c>
      <c r="R503" s="727">
        <f>SUMIFS('Schedule 4'!$F$89:$F$649,'Schedule 4'!$I$89:$I$649,'Well Cal.'!R$3,'Schedule 4'!$J$89:$J$649,'Well Cal.'!$E503)</f>
        <v>0</v>
      </c>
      <c r="S503" s="727">
        <f>SUMIFS('Schedule 4'!$F$89:$F$649,'Schedule 4'!$I$89:$I$649,'Well Cal.'!S$3,'Schedule 4'!$J$89:$J$649,'Well Cal.'!$E503)</f>
        <v>0</v>
      </c>
      <c r="T503" s="727">
        <f>SUMIFS('Schedule 4'!$F$89:$F$649,'Schedule 4'!$I$89:$I$649,'Well Cal.'!T$3,'Schedule 4'!$J$89:$J$649,'Well Cal.'!$E503)</f>
        <v>0</v>
      </c>
      <c r="U503" s="727">
        <f>SUMIFS('Schedule 4'!$F$89:$F$649,'Schedule 4'!$I$89:$I$649,'Well Cal.'!U$3,'Schedule 4'!$J$89:$J$649,'Well Cal.'!$E503)</f>
        <v>0</v>
      </c>
      <c r="V503" s="727">
        <f>SUMIFS('Schedule 4'!$F$89:$F$649,'Schedule 4'!$I$89:$I$649,'Well Cal.'!V$3,'Schedule 4'!$J$89:$J$649,'Well Cal.'!$E503)</f>
        <v>0</v>
      </c>
      <c r="W503" s="727">
        <f>SUMIFS('Schedule 4'!$F$89:$F$649,'Schedule 4'!$I$89:$I$649,'Well Cal.'!W$3,'Schedule 4'!$J$89:$J$649,'Well Cal.'!$E503)</f>
        <v>0</v>
      </c>
      <c r="X503" s="727">
        <f>SUMIFS('Schedule 4'!$F$89:$F$649,'Schedule 4'!$I$89:$I$649,'Well Cal.'!X$3,'Schedule 4'!$J$89:$J$649,'Well Cal.'!$E503)</f>
        <v>0</v>
      </c>
      <c r="Y503" s="727">
        <f>SUMIFS('Schedule 4'!$F$89:$F$649,'Schedule 4'!$I$89:$I$649,'Well Cal.'!Y$3,'Schedule 4'!$J$89:$J$649,'Well Cal.'!$E503)</f>
        <v>0</v>
      </c>
      <c r="Z503" s="727">
        <f>SUMIFS('Schedule 4'!$F$89:$F$649,'Schedule 4'!$I$89:$I$649,'Well Cal.'!Z$3,'Schedule 4'!$J$89:$J$649,'Well Cal.'!$E503)</f>
        <v>0</v>
      </c>
      <c r="AA503" s="727"/>
      <c r="AB503" s="1730"/>
      <c r="AC503" s="1730"/>
    </row>
    <row r="504" spans="2:29" x14ac:dyDescent="0.3">
      <c r="B504" s="1724"/>
      <c r="C504" s="1727"/>
      <c r="D504" s="1721"/>
      <c r="E504" s="775" t="s">
        <v>3516</v>
      </c>
      <c r="F504" s="727">
        <f>SUMIFS('Schedule 4'!$F$89:$F$649,'Schedule 4'!$I$89:$I$649,'Well Cal.'!F$3,'Schedule 4'!$J$89:$J$649,'Well Cal.'!$E504)</f>
        <v>0</v>
      </c>
      <c r="G504" s="727">
        <f>SUMIFS('Schedule 4'!$F$89:$F$649,'Schedule 4'!$I$89:$I$649,'Well Cal.'!G$3,'Schedule 4'!$J$89:$J$649,'Well Cal.'!$E504)</f>
        <v>0</v>
      </c>
      <c r="H504" s="727">
        <f>SUMIFS('Schedule 4'!$F$89:$F$649,'Schedule 4'!$I$89:$I$649,'Well Cal.'!H$3,'Schedule 4'!$J$89:$J$649,'Well Cal.'!$E504)</f>
        <v>0</v>
      </c>
      <c r="I504" s="727">
        <f>SUMIFS('Schedule 4'!$F$89:$F$649,'Schedule 4'!$I$89:$I$649,'Well Cal.'!I$3,'Schedule 4'!$J$89:$J$649,'Well Cal.'!$E504)</f>
        <v>0</v>
      </c>
      <c r="J504" s="727">
        <f>SUMIFS('Schedule 4'!$F$89:$F$649,'Schedule 4'!$I$89:$I$649,'Well Cal.'!J$3,'Schedule 4'!$J$89:$J$649,'Well Cal.'!$E504)</f>
        <v>0</v>
      </c>
      <c r="K504" s="727">
        <f>SUMIFS('Schedule 4'!$F$89:$F$649,'Schedule 4'!$I$89:$I$649,'Well Cal.'!K$3,'Schedule 4'!$J$89:$J$649,'Well Cal.'!$E504)</f>
        <v>0</v>
      </c>
      <c r="L504" s="727">
        <f>SUMIFS('Schedule 4'!$F$89:$F$649,'Schedule 4'!$I$89:$I$649,'Well Cal.'!L$3,'Schedule 4'!$J$89:$J$649,'Well Cal.'!$E504)</f>
        <v>0</v>
      </c>
      <c r="M504" s="727">
        <f>SUMIFS('Schedule 4'!$F$89:$F$649,'Schedule 4'!$I$89:$I$649,'Well Cal.'!M$3,'Schedule 4'!$J$89:$J$649,'Well Cal.'!$E504)</f>
        <v>0</v>
      </c>
      <c r="N504" s="727">
        <f>SUMIFS('Schedule 4'!$F$89:$F$649,'Schedule 4'!$I$89:$I$649,'Well Cal.'!N$3,'Schedule 4'!$J$89:$J$649,'Well Cal.'!$E504)</f>
        <v>0</v>
      </c>
      <c r="O504" s="727">
        <f>SUMIFS('Schedule 4'!$F$89:$F$649,'Schedule 4'!$I$89:$I$649,'Well Cal.'!O$3,'Schedule 4'!$J$89:$J$649,'Well Cal.'!$E504)</f>
        <v>0</v>
      </c>
      <c r="P504" s="727">
        <f>SUMIFS('Schedule 4'!$F$89:$F$649,'Schedule 4'!$I$89:$I$649,'Well Cal.'!P$3,'Schedule 4'!$J$89:$J$649,'Well Cal.'!$E504)</f>
        <v>0</v>
      </c>
      <c r="Q504" s="727">
        <f>SUMIFS('Schedule 4'!$F$89:$F$649,'Schedule 4'!$I$89:$I$649,'Well Cal.'!Q$3,'Schedule 4'!$J$89:$J$649,'Well Cal.'!$E504)</f>
        <v>0</v>
      </c>
      <c r="R504" s="727">
        <f>SUMIFS('Schedule 4'!$F$89:$F$649,'Schedule 4'!$I$89:$I$649,'Well Cal.'!R$3,'Schedule 4'!$J$89:$J$649,'Well Cal.'!$E504)</f>
        <v>0</v>
      </c>
      <c r="S504" s="727">
        <f>SUMIFS('Schedule 4'!$F$89:$F$649,'Schedule 4'!$I$89:$I$649,'Well Cal.'!S$3,'Schedule 4'!$J$89:$J$649,'Well Cal.'!$E504)</f>
        <v>0</v>
      </c>
      <c r="T504" s="727">
        <f>SUMIFS('Schedule 4'!$F$89:$F$649,'Schedule 4'!$I$89:$I$649,'Well Cal.'!T$3,'Schedule 4'!$J$89:$J$649,'Well Cal.'!$E504)</f>
        <v>0</v>
      </c>
      <c r="U504" s="727">
        <f>SUMIFS('Schedule 4'!$F$89:$F$649,'Schedule 4'!$I$89:$I$649,'Well Cal.'!U$3,'Schedule 4'!$J$89:$J$649,'Well Cal.'!$E504)</f>
        <v>0</v>
      </c>
      <c r="V504" s="727">
        <f>SUMIFS('Schedule 4'!$F$89:$F$649,'Schedule 4'!$I$89:$I$649,'Well Cal.'!V$3,'Schedule 4'!$J$89:$J$649,'Well Cal.'!$E504)</f>
        <v>0</v>
      </c>
      <c r="W504" s="727">
        <f>SUMIFS('Schedule 4'!$F$89:$F$649,'Schedule 4'!$I$89:$I$649,'Well Cal.'!W$3,'Schedule 4'!$J$89:$J$649,'Well Cal.'!$E504)</f>
        <v>0</v>
      </c>
      <c r="X504" s="727">
        <f>SUMIFS('Schedule 4'!$F$89:$F$649,'Schedule 4'!$I$89:$I$649,'Well Cal.'!X$3,'Schedule 4'!$J$89:$J$649,'Well Cal.'!$E504)</f>
        <v>0</v>
      </c>
      <c r="Y504" s="727">
        <f>SUMIFS('Schedule 4'!$F$89:$F$649,'Schedule 4'!$I$89:$I$649,'Well Cal.'!Y$3,'Schedule 4'!$J$89:$J$649,'Well Cal.'!$E504)</f>
        <v>0</v>
      </c>
      <c r="Z504" s="727">
        <f>SUMIFS('Schedule 4'!$F$89:$F$649,'Schedule 4'!$I$89:$I$649,'Well Cal.'!Z$3,'Schedule 4'!$J$89:$J$649,'Well Cal.'!$E504)</f>
        <v>0</v>
      </c>
      <c r="AA504" s="727"/>
      <c r="AB504" s="1730"/>
      <c r="AC504" s="1730"/>
    </row>
    <row r="505" spans="2:29" x14ac:dyDescent="0.3">
      <c r="B505" s="1724"/>
      <c r="C505" s="1727"/>
      <c r="D505" s="1721"/>
      <c r="E505" s="775" t="s">
        <v>3588</v>
      </c>
      <c r="F505" s="727">
        <f>SUMIFS('Schedule 4'!$F$89:$F$649,'Schedule 4'!$I$89:$I$649,'Well Cal.'!F$3,'Schedule 4'!$J$89:$J$649,'Well Cal.'!$E505)</f>
        <v>0</v>
      </c>
      <c r="G505" s="727">
        <f>SUMIFS('Schedule 4'!$F$89:$F$649,'Schedule 4'!$I$89:$I$649,'Well Cal.'!G$3,'Schedule 4'!$J$89:$J$649,'Well Cal.'!$E505)</f>
        <v>0</v>
      </c>
      <c r="H505" s="727">
        <f>SUMIFS('Schedule 4'!$F$89:$F$649,'Schedule 4'!$I$89:$I$649,'Well Cal.'!H$3,'Schedule 4'!$J$89:$J$649,'Well Cal.'!$E505)</f>
        <v>0</v>
      </c>
      <c r="I505" s="727">
        <f>SUMIFS('Schedule 4'!$F$89:$F$649,'Schedule 4'!$I$89:$I$649,'Well Cal.'!I$3,'Schedule 4'!$J$89:$J$649,'Well Cal.'!$E505)</f>
        <v>0</v>
      </c>
      <c r="J505" s="727">
        <f>SUMIFS('Schedule 4'!$F$89:$F$649,'Schedule 4'!$I$89:$I$649,'Well Cal.'!J$3,'Schedule 4'!$J$89:$J$649,'Well Cal.'!$E505)</f>
        <v>0</v>
      </c>
      <c r="K505" s="727">
        <f>SUMIFS('Schedule 4'!$F$89:$F$649,'Schedule 4'!$I$89:$I$649,'Well Cal.'!K$3,'Schedule 4'!$J$89:$J$649,'Well Cal.'!$E505)</f>
        <v>0</v>
      </c>
      <c r="L505" s="727">
        <f>SUMIFS('Schedule 4'!$F$89:$F$649,'Schedule 4'!$I$89:$I$649,'Well Cal.'!L$3,'Schedule 4'!$J$89:$J$649,'Well Cal.'!$E505)</f>
        <v>0</v>
      </c>
      <c r="M505" s="727">
        <f>SUMIFS('Schedule 4'!$F$89:$F$649,'Schedule 4'!$I$89:$I$649,'Well Cal.'!M$3,'Schedule 4'!$J$89:$J$649,'Well Cal.'!$E505)</f>
        <v>0</v>
      </c>
      <c r="N505" s="727">
        <f>SUMIFS('Schedule 4'!$F$89:$F$649,'Schedule 4'!$I$89:$I$649,'Well Cal.'!N$3,'Schedule 4'!$J$89:$J$649,'Well Cal.'!$E505)</f>
        <v>0</v>
      </c>
      <c r="O505" s="727">
        <f>SUMIFS('Schedule 4'!$F$89:$F$649,'Schedule 4'!$I$89:$I$649,'Well Cal.'!O$3,'Schedule 4'!$J$89:$J$649,'Well Cal.'!$E505)</f>
        <v>0</v>
      </c>
      <c r="P505" s="727">
        <f>SUMIFS('Schedule 4'!$F$89:$F$649,'Schedule 4'!$I$89:$I$649,'Well Cal.'!P$3,'Schedule 4'!$J$89:$J$649,'Well Cal.'!$E505)</f>
        <v>0</v>
      </c>
      <c r="Q505" s="727">
        <f>SUMIFS('Schedule 4'!$F$89:$F$649,'Schedule 4'!$I$89:$I$649,'Well Cal.'!Q$3,'Schedule 4'!$J$89:$J$649,'Well Cal.'!$E505)</f>
        <v>0</v>
      </c>
      <c r="R505" s="727">
        <f>SUMIFS('Schedule 4'!$F$89:$F$649,'Schedule 4'!$I$89:$I$649,'Well Cal.'!R$3,'Schedule 4'!$J$89:$J$649,'Well Cal.'!$E505)</f>
        <v>0</v>
      </c>
      <c r="S505" s="727">
        <f>SUMIFS('Schedule 4'!$F$89:$F$649,'Schedule 4'!$I$89:$I$649,'Well Cal.'!S$3,'Schedule 4'!$J$89:$J$649,'Well Cal.'!$E505)</f>
        <v>0</v>
      </c>
      <c r="T505" s="727">
        <f>SUMIFS('Schedule 4'!$F$89:$F$649,'Schedule 4'!$I$89:$I$649,'Well Cal.'!T$3,'Schedule 4'!$J$89:$J$649,'Well Cal.'!$E505)</f>
        <v>0</v>
      </c>
      <c r="U505" s="727">
        <f>SUMIFS('Schedule 4'!$F$89:$F$649,'Schedule 4'!$I$89:$I$649,'Well Cal.'!U$3,'Schedule 4'!$J$89:$J$649,'Well Cal.'!$E505)</f>
        <v>0</v>
      </c>
      <c r="V505" s="727">
        <f>SUMIFS('Schedule 4'!$F$89:$F$649,'Schedule 4'!$I$89:$I$649,'Well Cal.'!V$3,'Schedule 4'!$J$89:$J$649,'Well Cal.'!$E505)</f>
        <v>0</v>
      </c>
      <c r="W505" s="727">
        <f>SUMIFS('Schedule 4'!$F$89:$F$649,'Schedule 4'!$I$89:$I$649,'Well Cal.'!W$3,'Schedule 4'!$J$89:$J$649,'Well Cal.'!$E505)</f>
        <v>0</v>
      </c>
      <c r="X505" s="727">
        <f>SUMIFS('Schedule 4'!$F$89:$F$649,'Schedule 4'!$I$89:$I$649,'Well Cal.'!X$3,'Schedule 4'!$J$89:$J$649,'Well Cal.'!$E505)</f>
        <v>0</v>
      </c>
      <c r="Y505" s="727">
        <f>SUMIFS('Schedule 4'!$F$89:$F$649,'Schedule 4'!$I$89:$I$649,'Well Cal.'!Y$3,'Schedule 4'!$J$89:$J$649,'Well Cal.'!$E505)</f>
        <v>0</v>
      </c>
      <c r="Z505" s="727">
        <f>SUMIFS('Schedule 4'!$F$89:$F$649,'Schedule 4'!$I$89:$I$649,'Well Cal.'!Z$3,'Schedule 4'!$J$89:$J$649,'Well Cal.'!$E505)</f>
        <v>0</v>
      </c>
      <c r="AA505" s="727"/>
      <c r="AB505" s="1730"/>
      <c r="AC505" s="1730"/>
    </row>
    <row r="506" spans="2:29" x14ac:dyDescent="0.3">
      <c r="B506" s="1724"/>
      <c r="C506" s="1727"/>
      <c r="D506" s="1721"/>
      <c r="E506" s="775" t="s">
        <v>3715</v>
      </c>
      <c r="F506" s="727">
        <f>SUMIFS('Schedule 4'!$F$89:$F$649,'Schedule 4'!$I$89:$I$649,'Well Cal.'!F$3,'Schedule 4'!$J$89:$J$649,'Well Cal.'!$E506)</f>
        <v>0</v>
      </c>
      <c r="G506" s="727">
        <f>SUMIFS('Schedule 4'!$F$89:$F$649,'Schedule 4'!$I$89:$I$649,'Well Cal.'!G$3,'Schedule 4'!$J$89:$J$649,'Well Cal.'!$E506)</f>
        <v>0</v>
      </c>
      <c r="H506" s="727">
        <f>SUMIFS('Schedule 4'!$F$89:$F$649,'Schedule 4'!$I$89:$I$649,'Well Cal.'!H$3,'Schedule 4'!$J$89:$J$649,'Well Cal.'!$E506)</f>
        <v>0</v>
      </c>
      <c r="I506" s="727">
        <f>SUMIFS('Schedule 4'!$F$89:$F$649,'Schedule 4'!$I$89:$I$649,'Well Cal.'!I$3,'Schedule 4'!$J$89:$J$649,'Well Cal.'!$E506)</f>
        <v>0</v>
      </c>
      <c r="J506" s="727">
        <f>SUMIFS('Schedule 4'!$F$89:$F$649,'Schedule 4'!$I$89:$I$649,'Well Cal.'!J$3,'Schedule 4'!$J$89:$J$649,'Well Cal.'!$E506)</f>
        <v>0</v>
      </c>
      <c r="K506" s="727">
        <f>SUMIFS('Schedule 4'!$F$89:$F$649,'Schedule 4'!$I$89:$I$649,'Well Cal.'!K$3,'Schedule 4'!$J$89:$J$649,'Well Cal.'!$E506)</f>
        <v>0</v>
      </c>
      <c r="L506" s="727">
        <f>SUMIFS('Schedule 4'!$F$89:$F$649,'Schedule 4'!$I$89:$I$649,'Well Cal.'!L$3,'Schedule 4'!$J$89:$J$649,'Well Cal.'!$E506)</f>
        <v>0</v>
      </c>
      <c r="M506" s="727">
        <f>SUMIFS('Schedule 4'!$F$89:$F$649,'Schedule 4'!$I$89:$I$649,'Well Cal.'!M$3,'Schedule 4'!$J$89:$J$649,'Well Cal.'!$E506)</f>
        <v>0</v>
      </c>
      <c r="N506" s="727">
        <f>SUMIFS('Schedule 4'!$F$89:$F$649,'Schedule 4'!$I$89:$I$649,'Well Cal.'!N$3,'Schedule 4'!$J$89:$J$649,'Well Cal.'!$E506)</f>
        <v>0</v>
      </c>
      <c r="O506" s="727">
        <f>SUMIFS('Schedule 4'!$F$89:$F$649,'Schedule 4'!$I$89:$I$649,'Well Cal.'!O$3,'Schedule 4'!$J$89:$J$649,'Well Cal.'!$E506)</f>
        <v>0</v>
      </c>
      <c r="P506" s="727">
        <f>SUMIFS('Schedule 4'!$F$89:$F$649,'Schedule 4'!$I$89:$I$649,'Well Cal.'!P$3,'Schedule 4'!$J$89:$J$649,'Well Cal.'!$E506)</f>
        <v>0</v>
      </c>
      <c r="Q506" s="727">
        <f>SUMIFS('Schedule 4'!$F$89:$F$649,'Schedule 4'!$I$89:$I$649,'Well Cal.'!Q$3,'Schedule 4'!$J$89:$J$649,'Well Cal.'!$E506)</f>
        <v>0</v>
      </c>
      <c r="R506" s="727">
        <f>SUMIFS('Schedule 4'!$F$89:$F$649,'Schedule 4'!$I$89:$I$649,'Well Cal.'!R$3,'Schedule 4'!$J$89:$J$649,'Well Cal.'!$E506)</f>
        <v>0</v>
      </c>
      <c r="S506" s="727">
        <f>SUMIFS('Schedule 4'!$F$89:$F$649,'Schedule 4'!$I$89:$I$649,'Well Cal.'!S$3,'Schedule 4'!$J$89:$J$649,'Well Cal.'!$E506)</f>
        <v>0</v>
      </c>
      <c r="T506" s="727">
        <f>SUMIFS('Schedule 4'!$F$89:$F$649,'Schedule 4'!$I$89:$I$649,'Well Cal.'!T$3,'Schedule 4'!$J$89:$J$649,'Well Cal.'!$E506)</f>
        <v>0</v>
      </c>
      <c r="U506" s="727">
        <f>SUMIFS('Schedule 4'!$F$89:$F$649,'Schedule 4'!$I$89:$I$649,'Well Cal.'!U$3,'Schedule 4'!$J$89:$J$649,'Well Cal.'!$E506)</f>
        <v>0</v>
      </c>
      <c r="V506" s="727">
        <f>SUMIFS('Schedule 4'!$F$89:$F$649,'Schedule 4'!$I$89:$I$649,'Well Cal.'!V$3,'Schedule 4'!$J$89:$J$649,'Well Cal.'!$E506)</f>
        <v>0</v>
      </c>
      <c r="W506" s="727">
        <f>SUMIFS('Schedule 4'!$F$89:$F$649,'Schedule 4'!$I$89:$I$649,'Well Cal.'!W$3,'Schedule 4'!$J$89:$J$649,'Well Cal.'!$E506)</f>
        <v>0</v>
      </c>
      <c r="X506" s="727">
        <f>SUMIFS('Schedule 4'!$F$89:$F$649,'Schedule 4'!$I$89:$I$649,'Well Cal.'!X$3,'Schedule 4'!$J$89:$J$649,'Well Cal.'!$E506)</f>
        <v>0</v>
      </c>
      <c r="Y506" s="727">
        <f>SUMIFS('Schedule 4'!$F$89:$F$649,'Schedule 4'!$I$89:$I$649,'Well Cal.'!Y$3,'Schedule 4'!$J$89:$J$649,'Well Cal.'!$E506)</f>
        <v>0</v>
      </c>
      <c r="Z506" s="727">
        <f>SUMIFS('Schedule 4'!$F$89:$F$649,'Schedule 4'!$I$89:$I$649,'Well Cal.'!Z$3,'Schedule 4'!$J$89:$J$649,'Well Cal.'!$E506)</f>
        <v>0</v>
      </c>
      <c r="AA506" s="727"/>
      <c r="AB506" s="1731"/>
      <c r="AC506" s="1731"/>
    </row>
    <row r="507" spans="2:29" x14ac:dyDescent="0.3">
      <c r="B507" s="1724"/>
      <c r="C507" s="1727"/>
      <c r="D507" s="1721"/>
      <c r="E507" s="775" t="s">
        <v>3756</v>
      </c>
      <c r="F507" s="727">
        <f>SUMIFS('Schedule 4'!$F$89:$F$649,'Schedule 4'!$I$89:$I$649,'Well Cal.'!F$3,'Schedule 4'!$J$89:$J$649,'Well Cal.'!$E507)</f>
        <v>0</v>
      </c>
      <c r="G507" s="727">
        <f>SUMIFS('Schedule 4'!$F$89:$F$649,'Schedule 4'!$I$89:$I$649,'Well Cal.'!G$3,'Schedule 4'!$J$89:$J$649,'Well Cal.'!$E507)</f>
        <v>0</v>
      </c>
      <c r="H507" s="727">
        <f>SUMIFS('Schedule 4'!$F$89:$F$649,'Schedule 4'!$I$89:$I$649,'Well Cal.'!H$3,'Schedule 4'!$J$89:$J$649,'Well Cal.'!$E507)</f>
        <v>0</v>
      </c>
      <c r="I507" s="727">
        <f>SUMIFS('Schedule 4'!$F$89:$F$649,'Schedule 4'!$I$89:$I$649,'Well Cal.'!I$3,'Schedule 4'!$J$89:$J$649,'Well Cal.'!$E507)</f>
        <v>0</v>
      </c>
      <c r="J507" s="727">
        <f>SUMIFS('Schedule 4'!$F$89:$F$649,'Schedule 4'!$I$89:$I$649,'Well Cal.'!J$3,'Schedule 4'!$J$89:$J$649,'Well Cal.'!$E507)</f>
        <v>0</v>
      </c>
      <c r="K507" s="727">
        <f>SUMIFS('Schedule 4'!$F$89:$F$649,'Schedule 4'!$I$89:$I$649,'Well Cal.'!K$3,'Schedule 4'!$J$89:$J$649,'Well Cal.'!$E507)</f>
        <v>0</v>
      </c>
      <c r="L507" s="727">
        <f>SUMIFS('Schedule 4'!$F$89:$F$649,'Schedule 4'!$I$89:$I$649,'Well Cal.'!L$3,'Schedule 4'!$J$89:$J$649,'Well Cal.'!$E507)</f>
        <v>0</v>
      </c>
      <c r="M507" s="727">
        <f>SUMIFS('Schedule 4'!$F$89:$F$649,'Schedule 4'!$I$89:$I$649,'Well Cal.'!M$3,'Schedule 4'!$J$89:$J$649,'Well Cal.'!$E507)</f>
        <v>0</v>
      </c>
      <c r="N507" s="727">
        <f>SUMIFS('Schedule 4'!$F$89:$F$649,'Schedule 4'!$I$89:$I$649,'Well Cal.'!N$3,'Schedule 4'!$J$89:$J$649,'Well Cal.'!$E507)</f>
        <v>0</v>
      </c>
      <c r="O507" s="727">
        <f>SUMIFS('Schedule 4'!$F$89:$F$649,'Schedule 4'!$I$89:$I$649,'Well Cal.'!O$3,'Schedule 4'!$J$89:$J$649,'Well Cal.'!$E507)</f>
        <v>0</v>
      </c>
      <c r="P507" s="727">
        <f>SUMIFS('Schedule 4'!$F$89:$F$649,'Schedule 4'!$I$89:$I$649,'Well Cal.'!P$3,'Schedule 4'!$J$89:$J$649,'Well Cal.'!$E507)</f>
        <v>0</v>
      </c>
      <c r="Q507" s="727">
        <f>SUMIFS('Schedule 4'!$F$89:$F$649,'Schedule 4'!$I$89:$I$649,'Well Cal.'!Q$3,'Schedule 4'!$J$89:$J$649,'Well Cal.'!$E507)</f>
        <v>0</v>
      </c>
      <c r="R507" s="727">
        <f>SUMIFS('Schedule 4'!$F$89:$F$649,'Schedule 4'!$I$89:$I$649,'Well Cal.'!R$3,'Schedule 4'!$J$89:$J$649,'Well Cal.'!$E507)</f>
        <v>0</v>
      </c>
      <c r="S507" s="727">
        <f>SUMIFS('Schedule 4'!$F$89:$F$649,'Schedule 4'!$I$89:$I$649,'Well Cal.'!S$3,'Schedule 4'!$J$89:$J$649,'Well Cal.'!$E507)</f>
        <v>0</v>
      </c>
      <c r="T507" s="727">
        <f>SUMIFS('Schedule 4'!$F$89:$F$649,'Schedule 4'!$I$89:$I$649,'Well Cal.'!T$3,'Schedule 4'!$J$89:$J$649,'Well Cal.'!$E507)</f>
        <v>0</v>
      </c>
      <c r="U507" s="727">
        <f>SUMIFS('Schedule 4'!$F$89:$F$649,'Schedule 4'!$I$89:$I$649,'Well Cal.'!U$3,'Schedule 4'!$J$89:$J$649,'Well Cal.'!$E507)</f>
        <v>0</v>
      </c>
      <c r="V507" s="727">
        <f>SUMIFS('Schedule 4'!$F$89:$F$649,'Schedule 4'!$I$89:$I$649,'Well Cal.'!V$3,'Schedule 4'!$J$89:$J$649,'Well Cal.'!$E507)</f>
        <v>0</v>
      </c>
      <c r="W507" s="727">
        <f>SUMIFS('Schedule 4'!$F$89:$F$649,'Schedule 4'!$I$89:$I$649,'Well Cal.'!W$3,'Schedule 4'!$J$89:$J$649,'Well Cal.'!$E507)</f>
        <v>0</v>
      </c>
      <c r="X507" s="727">
        <f>SUMIFS('Schedule 4'!$F$89:$F$649,'Schedule 4'!$I$89:$I$649,'Well Cal.'!X$3,'Schedule 4'!$J$89:$J$649,'Well Cal.'!$E507)</f>
        <v>0</v>
      </c>
      <c r="Y507" s="727">
        <f>SUMIFS('Schedule 4'!$F$89:$F$649,'Schedule 4'!$I$89:$I$649,'Well Cal.'!Y$3,'Schedule 4'!$J$89:$J$649,'Well Cal.'!$E507)</f>
        <v>0</v>
      </c>
      <c r="Z507" s="727">
        <f>SUMIFS('Schedule 4'!$F$89:$F$649,'Schedule 4'!$I$89:$I$649,'Well Cal.'!Z$3,'Schedule 4'!$J$89:$J$649,'Well Cal.'!$E507)</f>
        <v>0</v>
      </c>
      <c r="AA507" s="727"/>
      <c r="AB507" s="1731"/>
      <c r="AC507" s="1731"/>
    </row>
    <row r="508" spans="2:29" x14ac:dyDescent="0.3">
      <c r="B508" s="1724"/>
      <c r="C508" s="1727"/>
      <c r="D508" s="1721"/>
      <c r="E508" s="775" t="s">
        <v>3819</v>
      </c>
      <c r="F508" s="727">
        <f>SUMIFS('Schedule 4'!$F$89:$F$649,'Schedule 4'!$I$89:$I$649,'Well Cal.'!F$3,'Schedule 4'!$J$89:$J$649,'Well Cal.'!$E508)</f>
        <v>0</v>
      </c>
      <c r="G508" s="727">
        <f>SUMIFS('Schedule 4'!$F$89:$F$649,'Schedule 4'!$I$89:$I$649,'Well Cal.'!G$3,'Schedule 4'!$J$89:$J$649,'Well Cal.'!$E508)</f>
        <v>0</v>
      </c>
      <c r="H508" s="727">
        <f>SUMIFS('Schedule 4'!$F$89:$F$649,'Schedule 4'!$I$89:$I$649,'Well Cal.'!H$3,'Schedule 4'!$J$89:$J$649,'Well Cal.'!$E508)</f>
        <v>0</v>
      </c>
      <c r="I508" s="727">
        <f>SUMIFS('Schedule 4'!$F$89:$F$649,'Schedule 4'!$I$89:$I$649,'Well Cal.'!I$3,'Schedule 4'!$J$89:$J$649,'Well Cal.'!$E508)</f>
        <v>0</v>
      </c>
      <c r="J508" s="727">
        <f>SUMIFS('Schedule 4'!$F$89:$F$649,'Schedule 4'!$I$89:$I$649,'Well Cal.'!J$3,'Schedule 4'!$J$89:$J$649,'Well Cal.'!$E508)</f>
        <v>0</v>
      </c>
      <c r="K508" s="727">
        <f>SUMIFS('Schedule 4'!$F$89:$F$649,'Schedule 4'!$I$89:$I$649,'Well Cal.'!K$3,'Schedule 4'!$J$89:$J$649,'Well Cal.'!$E508)</f>
        <v>0</v>
      </c>
      <c r="L508" s="727">
        <f>SUMIFS('Schedule 4'!$F$89:$F$649,'Schedule 4'!$I$89:$I$649,'Well Cal.'!L$3,'Schedule 4'!$J$89:$J$649,'Well Cal.'!$E508)</f>
        <v>0</v>
      </c>
      <c r="M508" s="727">
        <f>SUMIFS('Schedule 4'!$F$89:$F$649,'Schedule 4'!$I$89:$I$649,'Well Cal.'!M$3,'Schedule 4'!$J$89:$J$649,'Well Cal.'!$E508)</f>
        <v>0</v>
      </c>
      <c r="N508" s="727">
        <f>SUMIFS('Schedule 4'!$F$89:$F$649,'Schedule 4'!$I$89:$I$649,'Well Cal.'!N$3,'Schedule 4'!$J$89:$J$649,'Well Cal.'!$E508)</f>
        <v>0</v>
      </c>
      <c r="O508" s="727">
        <f>SUMIFS('Schedule 4'!$F$89:$F$649,'Schedule 4'!$I$89:$I$649,'Well Cal.'!O$3,'Schedule 4'!$J$89:$J$649,'Well Cal.'!$E508)</f>
        <v>0</v>
      </c>
      <c r="P508" s="727">
        <f>SUMIFS('Schedule 4'!$F$89:$F$649,'Schedule 4'!$I$89:$I$649,'Well Cal.'!P$3,'Schedule 4'!$J$89:$J$649,'Well Cal.'!$E508)</f>
        <v>0</v>
      </c>
      <c r="Q508" s="727">
        <f>SUMIFS('Schedule 4'!$F$89:$F$649,'Schedule 4'!$I$89:$I$649,'Well Cal.'!Q$3,'Schedule 4'!$J$89:$J$649,'Well Cal.'!$E508)</f>
        <v>0</v>
      </c>
      <c r="R508" s="727">
        <f>SUMIFS('Schedule 4'!$F$89:$F$649,'Schedule 4'!$I$89:$I$649,'Well Cal.'!R$3,'Schedule 4'!$J$89:$J$649,'Well Cal.'!$E508)</f>
        <v>0</v>
      </c>
      <c r="S508" s="727">
        <f>SUMIFS('Schedule 4'!$F$89:$F$649,'Schedule 4'!$I$89:$I$649,'Well Cal.'!S$3,'Schedule 4'!$J$89:$J$649,'Well Cal.'!$E508)</f>
        <v>0</v>
      </c>
      <c r="T508" s="727">
        <f>SUMIFS('Schedule 4'!$F$89:$F$649,'Schedule 4'!$I$89:$I$649,'Well Cal.'!T$3,'Schedule 4'!$J$89:$J$649,'Well Cal.'!$E508)</f>
        <v>0</v>
      </c>
      <c r="U508" s="727">
        <f>SUMIFS('Schedule 4'!$F$89:$F$649,'Schedule 4'!$I$89:$I$649,'Well Cal.'!U$3,'Schedule 4'!$J$89:$J$649,'Well Cal.'!$E508)</f>
        <v>0</v>
      </c>
      <c r="V508" s="727">
        <f>SUMIFS('Schedule 4'!$F$89:$F$649,'Schedule 4'!$I$89:$I$649,'Well Cal.'!V$3,'Schedule 4'!$J$89:$J$649,'Well Cal.'!$E508)</f>
        <v>0</v>
      </c>
      <c r="W508" s="727">
        <f>SUMIFS('Schedule 4'!$F$89:$F$649,'Schedule 4'!$I$89:$I$649,'Well Cal.'!W$3,'Schedule 4'!$J$89:$J$649,'Well Cal.'!$E508)</f>
        <v>0</v>
      </c>
      <c r="X508" s="727">
        <f>SUMIFS('Schedule 4'!$F$89:$F$649,'Schedule 4'!$I$89:$I$649,'Well Cal.'!X$3,'Schedule 4'!$J$89:$J$649,'Well Cal.'!$E508)</f>
        <v>0</v>
      </c>
      <c r="Y508" s="727">
        <f>SUMIFS('Schedule 4'!$F$89:$F$649,'Schedule 4'!$I$89:$I$649,'Well Cal.'!Y$3,'Schedule 4'!$J$89:$J$649,'Well Cal.'!$E508)</f>
        <v>0</v>
      </c>
      <c r="Z508" s="727">
        <f>SUMIFS('Schedule 4'!$F$89:$F$649,'Schedule 4'!$I$89:$I$649,'Well Cal.'!Z$3,'Schedule 4'!$J$89:$J$649,'Well Cal.'!$E508)</f>
        <v>0</v>
      </c>
      <c r="AA508" s="727"/>
      <c r="AB508" s="1731"/>
      <c r="AC508" s="1731"/>
    </row>
    <row r="509" spans="2:29" x14ac:dyDescent="0.3">
      <c r="B509" s="1724"/>
      <c r="C509" s="1727"/>
      <c r="D509" s="1721"/>
      <c r="E509" s="775" t="s">
        <v>3892</v>
      </c>
      <c r="F509" s="727">
        <f>SUMIFS('Schedule 4'!$F$89:$F$649,'Schedule 4'!$I$89:$I$649,'Well Cal.'!F$3,'Schedule 4'!$J$89:$J$649,'Well Cal.'!$E509)</f>
        <v>0</v>
      </c>
      <c r="G509" s="727">
        <f>SUMIFS('Schedule 4'!$F$89:$F$649,'Schedule 4'!$I$89:$I$649,'Well Cal.'!G$3,'Schedule 4'!$J$89:$J$649,'Well Cal.'!$E509)</f>
        <v>0</v>
      </c>
      <c r="H509" s="727">
        <f>SUMIFS('Schedule 4'!$F$89:$F$649,'Schedule 4'!$I$89:$I$649,'Well Cal.'!H$3,'Schedule 4'!$J$89:$J$649,'Well Cal.'!$E509)</f>
        <v>0</v>
      </c>
      <c r="I509" s="727">
        <f>SUMIFS('Schedule 4'!$F$89:$F$649,'Schedule 4'!$I$89:$I$649,'Well Cal.'!I$3,'Schedule 4'!$J$89:$J$649,'Well Cal.'!$E509)</f>
        <v>0</v>
      </c>
      <c r="J509" s="727">
        <f>SUMIFS('Schedule 4'!$F$89:$F$649,'Schedule 4'!$I$89:$I$649,'Well Cal.'!J$3,'Schedule 4'!$J$89:$J$649,'Well Cal.'!$E509)</f>
        <v>0</v>
      </c>
      <c r="K509" s="727">
        <f>SUMIFS('Schedule 4'!$F$89:$F$649,'Schedule 4'!$I$89:$I$649,'Well Cal.'!K$3,'Schedule 4'!$J$89:$J$649,'Well Cal.'!$E509)</f>
        <v>0</v>
      </c>
      <c r="L509" s="727">
        <f>SUMIFS('Schedule 4'!$F$89:$F$649,'Schedule 4'!$I$89:$I$649,'Well Cal.'!L$3,'Schedule 4'!$J$89:$J$649,'Well Cal.'!$E509)</f>
        <v>0</v>
      </c>
      <c r="M509" s="727">
        <f>SUMIFS('Schedule 4'!$F$89:$F$649,'Schedule 4'!$I$89:$I$649,'Well Cal.'!M$3,'Schedule 4'!$J$89:$J$649,'Well Cal.'!$E509)</f>
        <v>0</v>
      </c>
      <c r="N509" s="727">
        <f>SUMIFS('Schedule 4'!$F$89:$F$649,'Schedule 4'!$I$89:$I$649,'Well Cal.'!N$3,'Schedule 4'!$J$89:$J$649,'Well Cal.'!$E509)</f>
        <v>0</v>
      </c>
      <c r="O509" s="727">
        <f>SUMIFS('Schedule 4'!$F$89:$F$649,'Schedule 4'!$I$89:$I$649,'Well Cal.'!O$3,'Schedule 4'!$J$89:$J$649,'Well Cal.'!$E509)</f>
        <v>0</v>
      </c>
      <c r="P509" s="727">
        <f>SUMIFS('Schedule 4'!$F$89:$F$649,'Schedule 4'!$I$89:$I$649,'Well Cal.'!P$3,'Schedule 4'!$J$89:$J$649,'Well Cal.'!$E509)</f>
        <v>0</v>
      </c>
      <c r="Q509" s="727">
        <f>SUMIFS('Schedule 4'!$F$89:$F$649,'Schedule 4'!$I$89:$I$649,'Well Cal.'!Q$3,'Schedule 4'!$J$89:$J$649,'Well Cal.'!$E509)</f>
        <v>0</v>
      </c>
      <c r="R509" s="727">
        <f>SUMIFS('Schedule 4'!$F$89:$F$649,'Schedule 4'!$I$89:$I$649,'Well Cal.'!R$3,'Schedule 4'!$J$89:$J$649,'Well Cal.'!$E509)</f>
        <v>0</v>
      </c>
      <c r="S509" s="727">
        <f>SUMIFS('Schedule 4'!$F$89:$F$649,'Schedule 4'!$I$89:$I$649,'Well Cal.'!S$3,'Schedule 4'!$J$89:$J$649,'Well Cal.'!$E509)</f>
        <v>0</v>
      </c>
      <c r="T509" s="727">
        <f>SUMIFS('Schedule 4'!$F$89:$F$649,'Schedule 4'!$I$89:$I$649,'Well Cal.'!T$3,'Schedule 4'!$J$89:$J$649,'Well Cal.'!$E509)</f>
        <v>0</v>
      </c>
      <c r="U509" s="727">
        <f>SUMIFS('Schedule 4'!$F$89:$F$649,'Schedule 4'!$I$89:$I$649,'Well Cal.'!U$3,'Schedule 4'!$J$89:$J$649,'Well Cal.'!$E509)</f>
        <v>0</v>
      </c>
      <c r="V509" s="727">
        <f>SUMIFS('Schedule 4'!$F$89:$F$649,'Schedule 4'!$I$89:$I$649,'Well Cal.'!V$3,'Schedule 4'!$J$89:$J$649,'Well Cal.'!$E509)</f>
        <v>0</v>
      </c>
      <c r="W509" s="727">
        <f>SUMIFS('Schedule 4'!$F$89:$F$649,'Schedule 4'!$I$89:$I$649,'Well Cal.'!W$3,'Schedule 4'!$J$89:$J$649,'Well Cal.'!$E509)</f>
        <v>0</v>
      </c>
      <c r="X509" s="727">
        <f>SUMIFS('Schedule 4'!$F$89:$F$649,'Schedule 4'!$I$89:$I$649,'Well Cal.'!X$3,'Schedule 4'!$J$89:$J$649,'Well Cal.'!$E509)</f>
        <v>0</v>
      </c>
      <c r="Y509" s="727">
        <f>SUMIFS('Schedule 4'!$F$89:$F$649,'Schedule 4'!$I$89:$I$649,'Well Cal.'!Y$3,'Schedule 4'!$J$89:$J$649,'Well Cal.'!$E509)</f>
        <v>0</v>
      </c>
      <c r="Z509" s="727">
        <f>SUMIFS('Schedule 4'!$F$89:$F$649,'Schedule 4'!$I$89:$I$649,'Well Cal.'!Z$3,'Schedule 4'!$J$89:$J$649,'Well Cal.'!$E509)</f>
        <v>0</v>
      </c>
      <c r="AA509" s="727"/>
      <c r="AB509" s="1731"/>
      <c r="AC509" s="1731"/>
    </row>
    <row r="510" spans="2:29" x14ac:dyDescent="0.3">
      <c r="B510" s="1724"/>
      <c r="C510" s="1727"/>
      <c r="D510" s="1721"/>
      <c r="E510" s="775" t="s">
        <v>3950</v>
      </c>
      <c r="F510" s="727">
        <f>SUMIFS('Schedule 4'!$F$89:$F$649,'Schedule 4'!$I$89:$I$649,'Well Cal.'!F$3,'Schedule 4'!$J$89:$J$649,'Well Cal.'!$E510)</f>
        <v>0</v>
      </c>
      <c r="G510" s="727">
        <f>SUMIFS('Schedule 4'!$F$89:$F$649,'Schedule 4'!$I$89:$I$649,'Well Cal.'!G$3,'Schedule 4'!$J$89:$J$649,'Well Cal.'!$E510)</f>
        <v>0</v>
      </c>
      <c r="H510" s="727">
        <f>SUMIFS('Schedule 4'!$F$89:$F$649,'Schedule 4'!$I$89:$I$649,'Well Cal.'!H$3,'Schedule 4'!$J$89:$J$649,'Well Cal.'!$E510)</f>
        <v>0</v>
      </c>
      <c r="I510" s="727">
        <f>SUMIFS('Schedule 4'!$F$89:$F$649,'Schedule 4'!$I$89:$I$649,'Well Cal.'!I$3,'Schedule 4'!$J$89:$J$649,'Well Cal.'!$E510)</f>
        <v>0</v>
      </c>
      <c r="J510" s="727">
        <f>SUMIFS('Schedule 4'!$F$89:$F$649,'Schedule 4'!$I$89:$I$649,'Well Cal.'!J$3,'Schedule 4'!$J$89:$J$649,'Well Cal.'!$E510)</f>
        <v>0</v>
      </c>
      <c r="K510" s="727">
        <f>SUMIFS('Schedule 4'!$F$89:$F$649,'Schedule 4'!$I$89:$I$649,'Well Cal.'!K$3,'Schedule 4'!$J$89:$J$649,'Well Cal.'!$E510)</f>
        <v>0</v>
      </c>
      <c r="L510" s="727">
        <f>SUMIFS('Schedule 4'!$F$89:$F$649,'Schedule 4'!$I$89:$I$649,'Well Cal.'!L$3,'Schedule 4'!$J$89:$J$649,'Well Cal.'!$E510)</f>
        <v>0</v>
      </c>
      <c r="M510" s="727">
        <f>SUMIFS('Schedule 4'!$F$89:$F$649,'Schedule 4'!$I$89:$I$649,'Well Cal.'!M$3,'Schedule 4'!$J$89:$J$649,'Well Cal.'!$E510)</f>
        <v>0</v>
      </c>
      <c r="N510" s="727">
        <f>SUMIFS('Schedule 4'!$F$89:$F$649,'Schedule 4'!$I$89:$I$649,'Well Cal.'!N$3,'Schedule 4'!$J$89:$J$649,'Well Cal.'!$E510)</f>
        <v>0</v>
      </c>
      <c r="O510" s="727">
        <f>SUMIFS('Schedule 4'!$F$89:$F$649,'Schedule 4'!$I$89:$I$649,'Well Cal.'!O$3,'Schedule 4'!$J$89:$J$649,'Well Cal.'!$E510)</f>
        <v>0</v>
      </c>
      <c r="P510" s="727">
        <f>SUMIFS('Schedule 4'!$F$89:$F$649,'Schedule 4'!$I$89:$I$649,'Well Cal.'!P$3,'Schedule 4'!$J$89:$J$649,'Well Cal.'!$E510)</f>
        <v>0</v>
      </c>
      <c r="Q510" s="727">
        <f>SUMIFS('Schedule 4'!$F$89:$F$649,'Schedule 4'!$I$89:$I$649,'Well Cal.'!Q$3,'Schedule 4'!$J$89:$J$649,'Well Cal.'!$E510)</f>
        <v>0</v>
      </c>
      <c r="R510" s="727">
        <f>SUMIFS('Schedule 4'!$F$89:$F$649,'Schedule 4'!$I$89:$I$649,'Well Cal.'!R$3,'Schedule 4'!$J$89:$J$649,'Well Cal.'!$E510)</f>
        <v>0</v>
      </c>
      <c r="S510" s="727">
        <f>SUMIFS('Schedule 4'!$F$89:$F$649,'Schedule 4'!$I$89:$I$649,'Well Cal.'!S$3,'Schedule 4'!$J$89:$J$649,'Well Cal.'!$E510)</f>
        <v>0</v>
      </c>
      <c r="T510" s="727">
        <f>SUMIFS('Schedule 4'!$F$89:$F$649,'Schedule 4'!$I$89:$I$649,'Well Cal.'!T$3,'Schedule 4'!$J$89:$J$649,'Well Cal.'!$E510)</f>
        <v>0</v>
      </c>
      <c r="U510" s="727">
        <f>SUMIFS('Schedule 4'!$F$89:$F$649,'Schedule 4'!$I$89:$I$649,'Well Cal.'!U$3,'Schedule 4'!$J$89:$J$649,'Well Cal.'!$E510)</f>
        <v>0</v>
      </c>
      <c r="V510" s="727">
        <f>SUMIFS('Schedule 4'!$F$89:$F$649,'Schedule 4'!$I$89:$I$649,'Well Cal.'!V$3,'Schedule 4'!$J$89:$J$649,'Well Cal.'!$E510)</f>
        <v>0</v>
      </c>
      <c r="W510" s="727">
        <f>SUMIFS('Schedule 4'!$F$89:$F$649,'Schedule 4'!$I$89:$I$649,'Well Cal.'!W$3,'Schedule 4'!$J$89:$J$649,'Well Cal.'!$E510)</f>
        <v>0</v>
      </c>
      <c r="X510" s="727">
        <f>SUMIFS('Schedule 4'!$F$89:$F$649,'Schedule 4'!$I$89:$I$649,'Well Cal.'!X$3,'Schedule 4'!$J$89:$J$649,'Well Cal.'!$E510)</f>
        <v>0</v>
      </c>
      <c r="Y510" s="727">
        <f>SUMIFS('Schedule 4'!$F$89:$F$649,'Schedule 4'!$I$89:$I$649,'Well Cal.'!Y$3,'Schedule 4'!$J$89:$J$649,'Well Cal.'!$E510)</f>
        <v>0</v>
      </c>
      <c r="Z510" s="727">
        <f>SUMIFS('Schedule 4'!$F$89:$F$649,'Schedule 4'!$I$89:$I$649,'Well Cal.'!Z$3,'Schedule 4'!$J$89:$J$649,'Well Cal.'!$E510)</f>
        <v>0</v>
      </c>
      <c r="AA510" s="727"/>
      <c r="AB510" s="1731"/>
      <c r="AC510" s="1731"/>
    </row>
    <row r="511" spans="2:29" x14ac:dyDescent="0.3">
      <c r="B511" s="1724"/>
      <c r="C511" s="1727"/>
      <c r="D511" s="1721"/>
      <c r="E511" s="775" t="s">
        <v>4016</v>
      </c>
      <c r="F511" s="727">
        <f>SUMIFS('Schedule 4'!$F$89:$F$649,'Schedule 4'!$I$89:$I$649,'Well Cal.'!F$3,'Schedule 4'!$J$89:$J$649,'Well Cal.'!$E511)</f>
        <v>0</v>
      </c>
      <c r="G511" s="727">
        <f>SUMIFS('Schedule 4'!$F$89:$F$649,'Schedule 4'!$I$89:$I$649,'Well Cal.'!G$3,'Schedule 4'!$J$89:$J$649,'Well Cal.'!$E511)</f>
        <v>0</v>
      </c>
      <c r="H511" s="727">
        <f>SUMIFS('Schedule 4'!$F$89:$F$649,'Schedule 4'!$I$89:$I$649,'Well Cal.'!H$3,'Schedule 4'!$J$89:$J$649,'Well Cal.'!$E511)</f>
        <v>0</v>
      </c>
      <c r="I511" s="727">
        <f>SUMIFS('Schedule 4'!$F$89:$F$649,'Schedule 4'!$I$89:$I$649,'Well Cal.'!I$3,'Schedule 4'!$J$89:$J$649,'Well Cal.'!$E511)</f>
        <v>0</v>
      </c>
      <c r="J511" s="727">
        <f>SUMIFS('Schedule 4'!$F$89:$F$649,'Schedule 4'!$I$89:$I$649,'Well Cal.'!J$3,'Schedule 4'!$J$89:$J$649,'Well Cal.'!$E511)</f>
        <v>0</v>
      </c>
      <c r="K511" s="727">
        <f>SUMIFS('Schedule 4'!$F$89:$F$649,'Schedule 4'!$I$89:$I$649,'Well Cal.'!K$3,'Schedule 4'!$J$89:$J$649,'Well Cal.'!$E511)</f>
        <v>0</v>
      </c>
      <c r="L511" s="727">
        <f>SUMIFS('Schedule 4'!$F$89:$F$649,'Schedule 4'!$I$89:$I$649,'Well Cal.'!L$3,'Schedule 4'!$J$89:$J$649,'Well Cal.'!$E511)</f>
        <v>0</v>
      </c>
      <c r="M511" s="727">
        <f>SUMIFS('Schedule 4'!$F$89:$F$649,'Schedule 4'!$I$89:$I$649,'Well Cal.'!M$3,'Schedule 4'!$J$89:$J$649,'Well Cal.'!$E511)</f>
        <v>0</v>
      </c>
      <c r="N511" s="727">
        <f>SUMIFS('Schedule 4'!$F$89:$F$649,'Schedule 4'!$I$89:$I$649,'Well Cal.'!N$3,'Schedule 4'!$J$89:$J$649,'Well Cal.'!$E511)</f>
        <v>0</v>
      </c>
      <c r="O511" s="727">
        <f>SUMIFS('Schedule 4'!$F$89:$F$649,'Schedule 4'!$I$89:$I$649,'Well Cal.'!O$3,'Schedule 4'!$J$89:$J$649,'Well Cal.'!$E511)</f>
        <v>0</v>
      </c>
      <c r="P511" s="727">
        <f>SUMIFS('Schedule 4'!$F$89:$F$649,'Schedule 4'!$I$89:$I$649,'Well Cal.'!P$3,'Schedule 4'!$J$89:$J$649,'Well Cal.'!$E511)</f>
        <v>0</v>
      </c>
      <c r="Q511" s="727">
        <f>SUMIFS('Schedule 4'!$F$89:$F$649,'Schedule 4'!$I$89:$I$649,'Well Cal.'!Q$3,'Schedule 4'!$J$89:$J$649,'Well Cal.'!$E511)</f>
        <v>0</v>
      </c>
      <c r="R511" s="727">
        <f>SUMIFS('Schedule 4'!$F$89:$F$649,'Schedule 4'!$I$89:$I$649,'Well Cal.'!R$3,'Schedule 4'!$J$89:$J$649,'Well Cal.'!$E511)</f>
        <v>0</v>
      </c>
      <c r="S511" s="727">
        <f>SUMIFS('Schedule 4'!$F$89:$F$649,'Schedule 4'!$I$89:$I$649,'Well Cal.'!S$3,'Schedule 4'!$J$89:$J$649,'Well Cal.'!$E511)</f>
        <v>0</v>
      </c>
      <c r="T511" s="727">
        <f>SUMIFS('Schedule 4'!$F$89:$F$649,'Schedule 4'!$I$89:$I$649,'Well Cal.'!T$3,'Schedule 4'!$J$89:$J$649,'Well Cal.'!$E511)</f>
        <v>0</v>
      </c>
      <c r="U511" s="727">
        <f>SUMIFS('Schedule 4'!$F$89:$F$649,'Schedule 4'!$I$89:$I$649,'Well Cal.'!U$3,'Schedule 4'!$J$89:$J$649,'Well Cal.'!$E511)</f>
        <v>0</v>
      </c>
      <c r="V511" s="727">
        <f>SUMIFS('Schedule 4'!$F$89:$F$649,'Schedule 4'!$I$89:$I$649,'Well Cal.'!V$3,'Schedule 4'!$J$89:$J$649,'Well Cal.'!$E511)</f>
        <v>0</v>
      </c>
      <c r="W511" s="727">
        <f>SUMIFS('Schedule 4'!$F$89:$F$649,'Schedule 4'!$I$89:$I$649,'Well Cal.'!W$3,'Schedule 4'!$J$89:$J$649,'Well Cal.'!$E511)</f>
        <v>0</v>
      </c>
      <c r="X511" s="727">
        <f>SUMIFS('Schedule 4'!$F$89:$F$649,'Schedule 4'!$I$89:$I$649,'Well Cal.'!X$3,'Schedule 4'!$J$89:$J$649,'Well Cal.'!$E511)</f>
        <v>0</v>
      </c>
      <c r="Y511" s="727">
        <f>SUMIFS('Schedule 4'!$F$89:$F$649,'Schedule 4'!$I$89:$I$649,'Well Cal.'!Y$3,'Schedule 4'!$J$89:$J$649,'Well Cal.'!$E511)</f>
        <v>0</v>
      </c>
      <c r="Z511" s="727">
        <f>SUMIFS('Schedule 4'!$F$89:$F$649,'Schedule 4'!$I$89:$I$649,'Well Cal.'!Z$3,'Schedule 4'!$J$89:$J$649,'Well Cal.'!$E511)</f>
        <v>0</v>
      </c>
      <c r="AA511" s="727"/>
      <c r="AB511" s="1731"/>
      <c r="AC511" s="1731"/>
    </row>
    <row r="512" spans="2:29" x14ac:dyDescent="0.3">
      <c r="B512" s="1724"/>
      <c r="C512" s="1727"/>
      <c r="D512" s="1721"/>
      <c r="E512" s="775" t="s">
        <v>4086</v>
      </c>
      <c r="F512" s="727">
        <f>SUMIFS('Schedule 4'!$F$89:$F$649,'Schedule 4'!$I$89:$I$649,'Well Cal.'!F$3,'Schedule 4'!$J$89:$J$649,'Well Cal.'!$E512)</f>
        <v>0</v>
      </c>
      <c r="G512" s="727">
        <f>SUMIFS('Schedule 4'!$F$89:$F$649,'Schedule 4'!$I$89:$I$649,'Well Cal.'!G$3,'Schedule 4'!$J$89:$J$649,'Well Cal.'!$E512)</f>
        <v>0</v>
      </c>
      <c r="H512" s="727">
        <f>SUMIFS('Schedule 4'!$F$89:$F$649,'Schedule 4'!$I$89:$I$649,'Well Cal.'!H$3,'Schedule 4'!$J$89:$J$649,'Well Cal.'!$E512)</f>
        <v>0</v>
      </c>
      <c r="I512" s="727">
        <f>SUMIFS('Schedule 4'!$F$89:$F$649,'Schedule 4'!$I$89:$I$649,'Well Cal.'!I$3,'Schedule 4'!$J$89:$J$649,'Well Cal.'!$E512)</f>
        <v>0</v>
      </c>
      <c r="J512" s="727">
        <f>SUMIFS('Schedule 4'!$F$89:$F$649,'Schedule 4'!$I$89:$I$649,'Well Cal.'!J$3,'Schedule 4'!$J$89:$J$649,'Well Cal.'!$E512)</f>
        <v>0</v>
      </c>
      <c r="K512" s="727">
        <f>SUMIFS('Schedule 4'!$F$89:$F$649,'Schedule 4'!$I$89:$I$649,'Well Cal.'!K$3,'Schedule 4'!$J$89:$J$649,'Well Cal.'!$E512)</f>
        <v>0</v>
      </c>
      <c r="L512" s="727">
        <f>SUMIFS('Schedule 4'!$F$89:$F$649,'Schedule 4'!$I$89:$I$649,'Well Cal.'!L$3,'Schedule 4'!$J$89:$J$649,'Well Cal.'!$E512)</f>
        <v>0</v>
      </c>
      <c r="M512" s="727">
        <f>SUMIFS('Schedule 4'!$F$89:$F$649,'Schedule 4'!$I$89:$I$649,'Well Cal.'!M$3,'Schedule 4'!$J$89:$J$649,'Well Cal.'!$E512)</f>
        <v>0</v>
      </c>
      <c r="N512" s="727">
        <f>SUMIFS('Schedule 4'!$F$89:$F$649,'Schedule 4'!$I$89:$I$649,'Well Cal.'!N$3,'Schedule 4'!$J$89:$J$649,'Well Cal.'!$E512)</f>
        <v>0</v>
      </c>
      <c r="O512" s="727">
        <f>SUMIFS('Schedule 4'!$F$89:$F$649,'Schedule 4'!$I$89:$I$649,'Well Cal.'!O$3,'Schedule 4'!$J$89:$J$649,'Well Cal.'!$E512)</f>
        <v>0</v>
      </c>
      <c r="P512" s="727">
        <f>SUMIFS('Schedule 4'!$F$89:$F$649,'Schedule 4'!$I$89:$I$649,'Well Cal.'!P$3,'Schedule 4'!$J$89:$J$649,'Well Cal.'!$E512)</f>
        <v>0</v>
      </c>
      <c r="Q512" s="727">
        <f>SUMIFS('Schedule 4'!$F$89:$F$649,'Schedule 4'!$I$89:$I$649,'Well Cal.'!Q$3,'Schedule 4'!$J$89:$J$649,'Well Cal.'!$E512)</f>
        <v>0</v>
      </c>
      <c r="R512" s="727">
        <f>SUMIFS('Schedule 4'!$F$89:$F$649,'Schedule 4'!$I$89:$I$649,'Well Cal.'!R$3,'Schedule 4'!$J$89:$J$649,'Well Cal.'!$E512)</f>
        <v>0</v>
      </c>
      <c r="S512" s="727">
        <f>SUMIFS('Schedule 4'!$F$89:$F$649,'Schedule 4'!$I$89:$I$649,'Well Cal.'!S$3,'Schedule 4'!$J$89:$J$649,'Well Cal.'!$E512)</f>
        <v>0</v>
      </c>
      <c r="T512" s="727">
        <f>SUMIFS('Schedule 4'!$F$89:$F$649,'Schedule 4'!$I$89:$I$649,'Well Cal.'!T$3,'Schedule 4'!$J$89:$J$649,'Well Cal.'!$E512)</f>
        <v>0</v>
      </c>
      <c r="U512" s="727">
        <f>SUMIFS('Schedule 4'!$F$89:$F$649,'Schedule 4'!$I$89:$I$649,'Well Cal.'!U$3,'Schedule 4'!$J$89:$J$649,'Well Cal.'!$E512)</f>
        <v>0</v>
      </c>
      <c r="V512" s="727">
        <f>SUMIFS('Schedule 4'!$F$89:$F$649,'Schedule 4'!$I$89:$I$649,'Well Cal.'!V$3,'Schedule 4'!$J$89:$J$649,'Well Cal.'!$E512)</f>
        <v>0</v>
      </c>
      <c r="W512" s="727">
        <f>SUMIFS('Schedule 4'!$F$89:$F$649,'Schedule 4'!$I$89:$I$649,'Well Cal.'!W$3,'Schedule 4'!$J$89:$J$649,'Well Cal.'!$E512)</f>
        <v>0</v>
      </c>
      <c r="X512" s="727">
        <f>SUMIFS('Schedule 4'!$F$89:$F$649,'Schedule 4'!$I$89:$I$649,'Well Cal.'!X$3,'Schedule 4'!$J$89:$J$649,'Well Cal.'!$E512)</f>
        <v>0</v>
      </c>
      <c r="Y512" s="727">
        <f>SUMIFS('Schedule 4'!$F$89:$F$649,'Schedule 4'!$I$89:$I$649,'Well Cal.'!Y$3,'Schedule 4'!$J$89:$J$649,'Well Cal.'!$E512)</f>
        <v>0</v>
      </c>
      <c r="Z512" s="727">
        <f>SUMIFS('Schedule 4'!$F$89:$F$649,'Schedule 4'!$I$89:$I$649,'Well Cal.'!Z$3,'Schedule 4'!$J$89:$J$649,'Well Cal.'!$E512)</f>
        <v>0</v>
      </c>
      <c r="AA512" s="727"/>
      <c r="AB512" s="1731"/>
      <c r="AC512" s="1731"/>
    </row>
    <row r="513" spans="2:29" x14ac:dyDescent="0.3">
      <c r="B513" s="1724"/>
      <c r="C513" s="1727"/>
      <c r="D513" s="1721"/>
      <c r="E513" s="775" t="s">
        <v>4163</v>
      </c>
      <c r="F513" s="727">
        <f>SUMIFS('Schedule 4'!$F$89:$F$649,'Schedule 4'!$I$89:$I$649,'Well Cal.'!F$3,'Schedule 4'!$J$89:$J$649,'Well Cal.'!$E513)</f>
        <v>0</v>
      </c>
      <c r="G513" s="727">
        <f>SUMIFS('Schedule 4'!$F$89:$F$649,'Schedule 4'!$I$89:$I$649,'Well Cal.'!G$3,'Schedule 4'!$J$89:$J$649,'Well Cal.'!$E513)</f>
        <v>0</v>
      </c>
      <c r="H513" s="727">
        <f>SUMIFS('Schedule 4'!$F$89:$F$649,'Schedule 4'!$I$89:$I$649,'Well Cal.'!H$3,'Schedule 4'!$J$89:$J$649,'Well Cal.'!$E513)</f>
        <v>0</v>
      </c>
      <c r="I513" s="727">
        <f>SUMIFS('Schedule 4'!$F$89:$F$649,'Schedule 4'!$I$89:$I$649,'Well Cal.'!I$3,'Schedule 4'!$J$89:$J$649,'Well Cal.'!$E513)</f>
        <v>0</v>
      </c>
      <c r="J513" s="727">
        <f>SUMIFS('Schedule 4'!$F$89:$F$649,'Schedule 4'!$I$89:$I$649,'Well Cal.'!J$3,'Schedule 4'!$J$89:$J$649,'Well Cal.'!$E513)</f>
        <v>0</v>
      </c>
      <c r="K513" s="727">
        <f>SUMIFS('Schedule 4'!$F$89:$F$649,'Schedule 4'!$I$89:$I$649,'Well Cal.'!K$3,'Schedule 4'!$J$89:$J$649,'Well Cal.'!$E513)</f>
        <v>0</v>
      </c>
      <c r="L513" s="727">
        <f>SUMIFS('Schedule 4'!$F$89:$F$649,'Schedule 4'!$I$89:$I$649,'Well Cal.'!L$3,'Schedule 4'!$J$89:$J$649,'Well Cal.'!$E513)</f>
        <v>0</v>
      </c>
      <c r="M513" s="727">
        <f>SUMIFS('Schedule 4'!$F$89:$F$649,'Schedule 4'!$I$89:$I$649,'Well Cal.'!M$3,'Schedule 4'!$J$89:$J$649,'Well Cal.'!$E513)</f>
        <v>0</v>
      </c>
      <c r="N513" s="727">
        <f>SUMIFS('Schedule 4'!$F$89:$F$649,'Schedule 4'!$I$89:$I$649,'Well Cal.'!N$3,'Schedule 4'!$J$89:$J$649,'Well Cal.'!$E513)</f>
        <v>0</v>
      </c>
      <c r="O513" s="727">
        <f>SUMIFS('Schedule 4'!$F$89:$F$649,'Schedule 4'!$I$89:$I$649,'Well Cal.'!O$3,'Schedule 4'!$J$89:$J$649,'Well Cal.'!$E513)</f>
        <v>0</v>
      </c>
      <c r="P513" s="727">
        <f>SUMIFS('Schedule 4'!$F$89:$F$649,'Schedule 4'!$I$89:$I$649,'Well Cal.'!P$3,'Schedule 4'!$J$89:$J$649,'Well Cal.'!$E513)</f>
        <v>0</v>
      </c>
      <c r="Q513" s="727">
        <f>SUMIFS('Schedule 4'!$F$89:$F$649,'Schedule 4'!$I$89:$I$649,'Well Cal.'!Q$3,'Schedule 4'!$J$89:$J$649,'Well Cal.'!$E513)</f>
        <v>0</v>
      </c>
      <c r="R513" s="727">
        <f>SUMIFS('Schedule 4'!$F$89:$F$649,'Schedule 4'!$I$89:$I$649,'Well Cal.'!R$3,'Schedule 4'!$J$89:$J$649,'Well Cal.'!$E513)</f>
        <v>0</v>
      </c>
      <c r="S513" s="727">
        <f>SUMIFS('Schedule 4'!$F$89:$F$649,'Schedule 4'!$I$89:$I$649,'Well Cal.'!S$3,'Schedule 4'!$J$89:$J$649,'Well Cal.'!$E513)</f>
        <v>0</v>
      </c>
      <c r="T513" s="727">
        <f>SUMIFS('Schedule 4'!$F$89:$F$649,'Schedule 4'!$I$89:$I$649,'Well Cal.'!T$3,'Schedule 4'!$J$89:$J$649,'Well Cal.'!$E513)</f>
        <v>0</v>
      </c>
      <c r="U513" s="727">
        <f>SUMIFS('Schedule 4'!$F$89:$F$649,'Schedule 4'!$I$89:$I$649,'Well Cal.'!U$3,'Schedule 4'!$J$89:$J$649,'Well Cal.'!$E513)</f>
        <v>0</v>
      </c>
      <c r="V513" s="727">
        <f>SUMIFS('Schedule 4'!$F$89:$F$649,'Schedule 4'!$I$89:$I$649,'Well Cal.'!V$3,'Schedule 4'!$J$89:$J$649,'Well Cal.'!$E513)</f>
        <v>0</v>
      </c>
      <c r="W513" s="727">
        <f>SUMIFS('Schedule 4'!$F$89:$F$649,'Schedule 4'!$I$89:$I$649,'Well Cal.'!W$3,'Schedule 4'!$J$89:$J$649,'Well Cal.'!$E513)</f>
        <v>0</v>
      </c>
      <c r="X513" s="727">
        <f>SUMIFS('Schedule 4'!$F$89:$F$649,'Schedule 4'!$I$89:$I$649,'Well Cal.'!X$3,'Schedule 4'!$J$89:$J$649,'Well Cal.'!$E513)</f>
        <v>0</v>
      </c>
      <c r="Y513" s="727">
        <f>SUMIFS('Schedule 4'!$F$89:$F$649,'Schedule 4'!$I$89:$I$649,'Well Cal.'!Y$3,'Schedule 4'!$J$89:$J$649,'Well Cal.'!$E513)</f>
        <v>0</v>
      </c>
      <c r="Z513" s="727">
        <f>SUMIFS('Schedule 4'!$F$89:$F$649,'Schedule 4'!$I$89:$I$649,'Well Cal.'!Z$3,'Schedule 4'!$J$89:$J$649,'Well Cal.'!$E513)</f>
        <v>0</v>
      </c>
      <c r="AA513" s="727"/>
      <c r="AB513" s="1731"/>
      <c r="AC513" s="1731"/>
    </row>
    <row r="514" spans="2:29" x14ac:dyDescent="0.3">
      <c r="B514" s="1724"/>
      <c r="C514" s="1727"/>
      <c r="D514" s="1721"/>
      <c r="E514" s="775" t="s">
        <v>4231</v>
      </c>
      <c r="F514" s="727">
        <f>SUMIFS('Schedule 4'!$F$89:$F$649,'Schedule 4'!$I$89:$I$649,'Well Cal.'!F$3,'Schedule 4'!$J$89:$J$649,'Well Cal.'!$E514)</f>
        <v>0</v>
      </c>
      <c r="G514" s="727">
        <f>SUMIFS('Schedule 4'!$F$89:$F$649,'Schedule 4'!$I$89:$I$649,'Well Cal.'!G$3,'Schedule 4'!$J$89:$J$649,'Well Cal.'!$E514)</f>
        <v>0</v>
      </c>
      <c r="H514" s="727">
        <f>SUMIFS('Schedule 4'!$F$89:$F$649,'Schedule 4'!$I$89:$I$649,'Well Cal.'!H$3,'Schedule 4'!$J$89:$J$649,'Well Cal.'!$E514)</f>
        <v>0</v>
      </c>
      <c r="I514" s="727">
        <f>SUMIFS('Schedule 4'!$F$89:$F$649,'Schedule 4'!$I$89:$I$649,'Well Cal.'!I$3,'Schedule 4'!$J$89:$J$649,'Well Cal.'!$E514)</f>
        <v>0</v>
      </c>
      <c r="J514" s="727">
        <f>SUMIFS('Schedule 4'!$F$89:$F$649,'Schedule 4'!$I$89:$I$649,'Well Cal.'!J$3,'Schedule 4'!$J$89:$J$649,'Well Cal.'!$E514)</f>
        <v>0</v>
      </c>
      <c r="K514" s="727">
        <f>SUMIFS('Schedule 4'!$F$89:$F$649,'Schedule 4'!$I$89:$I$649,'Well Cal.'!K$3,'Schedule 4'!$J$89:$J$649,'Well Cal.'!$E514)</f>
        <v>0</v>
      </c>
      <c r="L514" s="727">
        <f>SUMIFS('Schedule 4'!$F$89:$F$649,'Schedule 4'!$I$89:$I$649,'Well Cal.'!L$3,'Schedule 4'!$J$89:$J$649,'Well Cal.'!$E514)</f>
        <v>0</v>
      </c>
      <c r="M514" s="727">
        <f>SUMIFS('Schedule 4'!$F$89:$F$649,'Schedule 4'!$I$89:$I$649,'Well Cal.'!M$3,'Schedule 4'!$J$89:$J$649,'Well Cal.'!$E514)</f>
        <v>0</v>
      </c>
      <c r="N514" s="727">
        <f>SUMIFS('Schedule 4'!$F$89:$F$649,'Schedule 4'!$I$89:$I$649,'Well Cal.'!N$3,'Schedule 4'!$J$89:$J$649,'Well Cal.'!$E514)</f>
        <v>0</v>
      </c>
      <c r="O514" s="727">
        <f>SUMIFS('Schedule 4'!$F$89:$F$649,'Schedule 4'!$I$89:$I$649,'Well Cal.'!O$3,'Schedule 4'!$J$89:$J$649,'Well Cal.'!$E514)</f>
        <v>0</v>
      </c>
      <c r="P514" s="727">
        <f>SUMIFS('Schedule 4'!$F$89:$F$649,'Schedule 4'!$I$89:$I$649,'Well Cal.'!P$3,'Schedule 4'!$J$89:$J$649,'Well Cal.'!$E514)</f>
        <v>0</v>
      </c>
      <c r="Q514" s="727">
        <f>SUMIFS('Schedule 4'!$F$89:$F$649,'Schedule 4'!$I$89:$I$649,'Well Cal.'!Q$3,'Schedule 4'!$J$89:$J$649,'Well Cal.'!$E514)</f>
        <v>0</v>
      </c>
      <c r="R514" s="727">
        <f>SUMIFS('Schedule 4'!$F$89:$F$649,'Schedule 4'!$I$89:$I$649,'Well Cal.'!R$3,'Schedule 4'!$J$89:$J$649,'Well Cal.'!$E514)</f>
        <v>0</v>
      </c>
      <c r="S514" s="727">
        <f>SUMIFS('Schedule 4'!$F$89:$F$649,'Schedule 4'!$I$89:$I$649,'Well Cal.'!S$3,'Schedule 4'!$J$89:$J$649,'Well Cal.'!$E514)</f>
        <v>0</v>
      </c>
      <c r="T514" s="727">
        <f>SUMIFS('Schedule 4'!$F$89:$F$649,'Schedule 4'!$I$89:$I$649,'Well Cal.'!T$3,'Schedule 4'!$J$89:$J$649,'Well Cal.'!$E514)</f>
        <v>0</v>
      </c>
      <c r="U514" s="727">
        <f>SUMIFS('Schedule 4'!$F$89:$F$649,'Schedule 4'!$I$89:$I$649,'Well Cal.'!U$3,'Schedule 4'!$J$89:$J$649,'Well Cal.'!$E514)</f>
        <v>0</v>
      </c>
      <c r="V514" s="727">
        <f>SUMIFS('Schedule 4'!$F$89:$F$649,'Schedule 4'!$I$89:$I$649,'Well Cal.'!V$3,'Schedule 4'!$J$89:$J$649,'Well Cal.'!$E514)</f>
        <v>0</v>
      </c>
      <c r="W514" s="727">
        <f>SUMIFS('Schedule 4'!$F$89:$F$649,'Schedule 4'!$I$89:$I$649,'Well Cal.'!W$3,'Schedule 4'!$J$89:$J$649,'Well Cal.'!$E514)</f>
        <v>0</v>
      </c>
      <c r="X514" s="727">
        <f>SUMIFS('Schedule 4'!$F$89:$F$649,'Schedule 4'!$I$89:$I$649,'Well Cal.'!X$3,'Schedule 4'!$J$89:$J$649,'Well Cal.'!$E514)</f>
        <v>0</v>
      </c>
      <c r="Y514" s="727">
        <f>SUMIFS('Schedule 4'!$F$89:$F$649,'Schedule 4'!$I$89:$I$649,'Well Cal.'!Y$3,'Schedule 4'!$J$89:$J$649,'Well Cal.'!$E514)</f>
        <v>0</v>
      </c>
      <c r="Z514" s="727">
        <f>SUMIFS('Schedule 4'!$F$89:$F$649,'Schedule 4'!$I$89:$I$649,'Well Cal.'!Z$3,'Schedule 4'!$J$89:$J$649,'Well Cal.'!$E514)</f>
        <v>0</v>
      </c>
      <c r="AA514" s="727"/>
      <c r="AB514" s="1731"/>
      <c r="AC514" s="1731"/>
    </row>
    <row r="515" spans="2:29" x14ac:dyDescent="0.3">
      <c r="B515" s="1724"/>
      <c r="C515" s="1727"/>
      <c r="D515" s="1721"/>
      <c r="E515" s="775" t="s">
        <v>4301</v>
      </c>
      <c r="F515" s="727">
        <f>SUMIFS('Schedule 4'!$F$89:$F$649,'Schedule 4'!$I$89:$I$649,'Well Cal.'!F$3,'Schedule 4'!$J$89:$J$649,'Well Cal.'!$E515)</f>
        <v>0</v>
      </c>
      <c r="G515" s="727">
        <f>SUMIFS('Schedule 4'!$F$89:$F$649,'Schedule 4'!$I$89:$I$649,'Well Cal.'!G$3,'Schedule 4'!$J$89:$J$649,'Well Cal.'!$E515)</f>
        <v>0</v>
      </c>
      <c r="H515" s="727">
        <f>SUMIFS('Schedule 4'!$F$89:$F$649,'Schedule 4'!$I$89:$I$649,'Well Cal.'!H$3,'Schedule 4'!$J$89:$J$649,'Well Cal.'!$E515)</f>
        <v>0</v>
      </c>
      <c r="I515" s="727">
        <f>SUMIFS('Schedule 4'!$F$89:$F$649,'Schedule 4'!$I$89:$I$649,'Well Cal.'!I$3,'Schedule 4'!$J$89:$J$649,'Well Cal.'!$E515)</f>
        <v>0</v>
      </c>
      <c r="J515" s="727">
        <f>SUMIFS('Schedule 4'!$F$89:$F$649,'Schedule 4'!$I$89:$I$649,'Well Cal.'!J$3,'Schedule 4'!$J$89:$J$649,'Well Cal.'!$E515)</f>
        <v>0</v>
      </c>
      <c r="K515" s="727">
        <f>SUMIFS('Schedule 4'!$F$89:$F$649,'Schedule 4'!$I$89:$I$649,'Well Cal.'!K$3,'Schedule 4'!$J$89:$J$649,'Well Cal.'!$E515)</f>
        <v>0</v>
      </c>
      <c r="L515" s="727">
        <f>SUMIFS('Schedule 4'!$F$89:$F$649,'Schedule 4'!$I$89:$I$649,'Well Cal.'!L$3,'Schedule 4'!$J$89:$J$649,'Well Cal.'!$E515)</f>
        <v>0</v>
      </c>
      <c r="M515" s="727">
        <f>SUMIFS('Schedule 4'!$F$89:$F$649,'Schedule 4'!$I$89:$I$649,'Well Cal.'!M$3,'Schedule 4'!$J$89:$J$649,'Well Cal.'!$E515)</f>
        <v>0</v>
      </c>
      <c r="N515" s="727">
        <f>SUMIFS('Schedule 4'!$F$89:$F$649,'Schedule 4'!$I$89:$I$649,'Well Cal.'!N$3,'Schedule 4'!$J$89:$J$649,'Well Cal.'!$E515)</f>
        <v>0</v>
      </c>
      <c r="O515" s="727">
        <f>SUMIFS('Schedule 4'!$F$89:$F$649,'Schedule 4'!$I$89:$I$649,'Well Cal.'!O$3,'Schedule 4'!$J$89:$J$649,'Well Cal.'!$E515)</f>
        <v>0</v>
      </c>
      <c r="P515" s="727">
        <f>SUMIFS('Schedule 4'!$F$89:$F$649,'Schedule 4'!$I$89:$I$649,'Well Cal.'!P$3,'Schedule 4'!$J$89:$J$649,'Well Cal.'!$E515)</f>
        <v>0</v>
      </c>
      <c r="Q515" s="727">
        <f>SUMIFS('Schedule 4'!$F$89:$F$649,'Schedule 4'!$I$89:$I$649,'Well Cal.'!Q$3,'Schedule 4'!$J$89:$J$649,'Well Cal.'!$E515)</f>
        <v>0</v>
      </c>
      <c r="R515" s="727">
        <f>SUMIFS('Schedule 4'!$F$89:$F$649,'Schedule 4'!$I$89:$I$649,'Well Cal.'!R$3,'Schedule 4'!$J$89:$J$649,'Well Cal.'!$E515)</f>
        <v>0</v>
      </c>
      <c r="S515" s="727">
        <f>SUMIFS('Schedule 4'!$F$89:$F$649,'Schedule 4'!$I$89:$I$649,'Well Cal.'!S$3,'Schedule 4'!$J$89:$J$649,'Well Cal.'!$E515)</f>
        <v>0</v>
      </c>
      <c r="T515" s="727">
        <f>SUMIFS('Schedule 4'!$F$89:$F$649,'Schedule 4'!$I$89:$I$649,'Well Cal.'!T$3,'Schedule 4'!$J$89:$J$649,'Well Cal.'!$E515)</f>
        <v>0</v>
      </c>
      <c r="U515" s="727">
        <f>SUMIFS('Schedule 4'!$F$89:$F$649,'Schedule 4'!$I$89:$I$649,'Well Cal.'!U$3,'Schedule 4'!$J$89:$J$649,'Well Cal.'!$E515)</f>
        <v>0</v>
      </c>
      <c r="V515" s="727">
        <f>SUMIFS('Schedule 4'!$F$89:$F$649,'Schedule 4'!$I$89:$I$649,'Well Cal.'!V$3,'Schedule 4'!$J$89:$J$649,'Well Cal.'!$E515)</f>
        <v>0</v>
      </c>
      <c r="W515" s="727">
        <f>SUMIFS('Schedule 4'!$F$89:$F$649,'Schedule 4'!$I$89:$I$649,'Well Cal.'!W$3,'Schedule 4'!$J$89:$J$649,'Well Cal.'!$E515)</f>
        <v>0</v>
      </c>
      <c r="X515" s="727">
        <f>SUMIFS('Schedule 4'!$F$89:$F$649,'Schedule 4'!$I$89:$I$649,'Well Cal.'!X$3,'Schedule 4'!$J$89:$J$649,'Well Cal.'!$E515)</f>
        <v>0</v>
      </c>
      <c r="Y515" s="727">
        <f>SUMIFS('Schedule 4'!$F$89:$F$649,'Schedule 4'!$I$89:$I$649,'Well Cal.'!Y$3,'Schedule 4'!$J$89:$J$649,'Well Cal.'!$E515)</f>
        <v>0</v>
      </c>
      <c r="Z515" s="727">
        <f>SUMIFS('Schedule 4'!$F$89:$F$649,'Schedule 4'!$I$89:$I$649,'Well Cal.'!Z$3,'Schedule 4'!$J$89:$J$649,'Well Cal.'!$E515)</f>
        <v>0</v>
      </c>
      <c r="AA515" s="727"/>
      <c r="AB515" s="1731"/>
      <c r="AC515" s="1731"/>
    </row>
    <row r="516" spans="2:29" x14ac:dyDescent="0.3">
      <c r="B516" s="1724"/>
      <c r="C516" s="1727"/>
      <c r="D516" s="1721"/>
      <c r="E516" s="775" t="s">
        <v>4361</v>
      </c>
      <c r="F516" s="727">
        <f>SUMIFS('Schedule 4'!$F$89:$F$649,'Schedule 4'!$I$89:$I$649,'Well Cal.'!F$3,'Schedule 4'!$J$89:$J$649,'Well Cal.'!$E516)</f>
        <v>0</v>
      </c>
      <c r="G516" s="727">
        <f>SUMIFS('Schedule 4'!$F$89:$F$649,'Schedule 4'!$I$89:$I$649,'Well Cal.'!G$3,'Schedule 4'!$J$89:$J$649,'Well Cal.'!$E516)</f>
        <v>0</v>
      </c>
      <c r="H516" s="727">
        <f>SUMIFS('Schedule 4'!$F$89:$F$649,'Schedule 4'!$I$89:$I$649,'Well Cal.'!H$3,'Schedule 4'!$J$89:$J$649,'Well Cal.'!$E516)</f>
        <v>0</v>
      </c>
      <c r="I516" s="727">
        <f>SUMIFS('Schedule 4'!$F$89:$F$649,'Schedule 4'!$I$89:$I$649,'Well Cal.'!I$3,'Schedule 4'!$J$89:$J$649,'Well Cal.'!$E516)</f>
        <v>0</v>
      </c>
      <c r="J516" s="727">
        <f>SUMIFS('Schedule 4'!$F$89:$F$649,'Schedule 4'!$I$89:$I$649,'Well Cal.'!J$3,'Schedule 4'!$J$89:$J$649,'Well Cal.'!$E516)</f>
        <v>0</v>
      </c>
      <c r="K516" s="727">
        <f>SUMIFS('Schedule 4'!$F$89:$F$649,'Schedule 4'!$I$89:$I$649,'Well Cal.'!K$3,'Schedule 4'!$J$89:$J$649,'Well Cal.'!$E516)</f>
        <v>0</v>
      </c>
      <c r="L516" s="727">
        <f>SUMIFS('Schedule 4'!$F$89:$F$649,'Schedule 4'!$I$89:$I$649,'Well Cal.'!L$3,'Schedule 4'!$J$89:$J$649,'Well Cal.'!$E516)</f>
        <v>0</v>
      </c>
      <c r="M516" s="727">
        <f>SUMIFS('Schedule 4'!$F$89:$F$649,'Schedule 4'!$I$89:$I$649,'Well Cal.'!M$3,'Schedule 4'!$J$89:$J$649,'Well Cal.'!$E516)</f>
        <v>0</v>
      </c>
      <c r="N516" s="727">
        <f>SUMIFS('Schedule 4'!$F$89:$F$649,'Schedule 4'!$I$89:$I$649,'Well Cal.'!N$3,'Schedule 4'!$J$89:$J$649,'Well Cal.'!$E516)</f>
        <v>0</v>
      </c>
      <c r="O516" s="727">
        <f>SUMIFS('Schedule 4'!$F$89:$F$649,'Schedule 4'!$I$89:$I$649,'Well Cal.'!O$3,'Schedule 4'!$J$89:$J$649,'Well Cal.'!$E516)</f>
        <v>0</v>
      </c>
      <c r="P516" s="727">
        <f>SUMIFS('Schedule 4'!$F$89:$F$649,'Schedule 4'!$I$89:$I$649,'Well Cal.'!P$3,'Schedule 4'!$J$89:$J$649,'Well Cal.'!$E516)</f>
        <v>0</v>
      </c>
      <c r="Q516" s="727">
        <f>SUMIFS('Schedule 4'!$F$89:$F$649,'Schedule 4'!$I$89:$I$649,'Well Cal.'!Q$3,'Schedule 4'!$J$89:$J$649,'Well Cal.'!$E516)</f>
        <v>0</v>
      </c>
      <c r="R516" s="727">
        <f>SUMIFS('Schedule 4'!$F$89:$F$649,'Schedule 4'!$I$89:$I$649,'Well Cal.'!R$3,'Schedule 4'!$J$89:$J$649,'Well Cal.'!$E516)</f>
        <v>0</v>
      </c>
      <c r="S516" s="727">
        <f>SUMIFS('Schedule 4'!$F$89:$F$649,'Schedule 4'!$I$89:$I$649,'Well Cal.'!S$3,'Schedule 4'!$J$89:$J$649,'Well Cal.'!$E516)</f>
        <v>0</v>
      </c>
      <c r="T516" s="727">
        <f>SUMIFS('Schedule 4'!$F$89:$F$649,'Schedule 4'!$I$89:$I$649,'Well Cal.'!T$3,'Schedule 4'!$J$89:$J$649,'Well Cal.'!$E516)</f>
        <v>0</v>
      </c>
      <c r="U516" s="727">
        <f>SUMIFS('Schedule 4'!$F$89:$F$649,'Schedule 4'!$I$89:$I$649,'Well Cal.'!U$3,'Schedule 4'!$J$89:$J$649,'Well Cal.'!$E516)</f>
        <v>0</v>
      </c>
      <c r="V516" s="727">
        <f>SUMIFS('Schedule 4'!$F$89:$F$649,'Schedule 4'!$I$89:$I$649,'Well Cal.'!V$3,'Schedule 4'!$J$89:$J$649,'Well Cal.'!$E516)</f>
        <v>0</v>
      </c>
      <c r="W516" s="727">
        <f>SUMIFS('Schedule 4'!$F$89:$F$649,'Schedule 4'!$I$89:$I$649,'Well Cal.'!W$3,'Schedule 4'!$J$89:$J$649,'Well Cal.'!$E516)</f>
        <v>0</v>
      </c>
      <c r="X516" s="727">
        <f>SUMIFS('Schedule 4'!$F$89:$F$649,'Schedule 4'!$I$89:$I$649,'Well Cal.'!X$3,'Schedule 4'!$J$89:$J$649,'Well Cal.'!$E516)</f>
        <v>0</v>
      </c>
      <c r="Y516" s="727">
        <f>SUMIFS('Schedule 4'!$F$89:$F$649,'Schedule 4'!$I$89:$I$649,'Well Cal.'!Y$3,'Schedule 4'!$J$89:$J$649,'Well Cal.'!$E516)</f>
        <v>0</v>
      </c>
      <c r="Z516" s="727">
        <f>SUMIFS('Schedule 4'!$F$89:$F$649,'Schedule 4'!$I$89:$I$649,'Well Cal.'!Z$3,'Schedule 4'!$J$89:$J$649,'Well Cal.'!$E516)</f>
        <v>0</v>
      </c>
      <c r="AA516" s="727"/>
      <c r="AB516" s="1731"/>
      <c r="AC516" s="1731"/>
    </row>
    <row r="517" spans="2:29" x14ac:dyDescent="0.3">
      <c r="B517" s="1724"/>
      <c r="C517" s="1727"/>
      <c r="D517" s="1721"/>
      <c r="E517" s="775" t="s">
        <v>4425</v>
      </c>
      <c r="F517" s="727">
        <f>SUMIFS('Schedule 4'!$F$89:$F$649,'Schedule 4'!$I$89:$I$649,'Well Cal.'!F$3,'Schedule 4'!$J$89:$J$649,'Well Cal.'!$E517)</f>
        <v>0</v>
      </c>
      <c r="G517" s="727">
        <f>SUMIFS('Schedule 4'!$F$89:$F$649,'Schedule 4'!$I$89:$I$649,'Well Cal.'!G$3,'Schedule 4'!$J$89:$J$649,'Well Cal.'!$E517)</f>
        <v>0</v>
      </c>
      <c r="H517" s="727">
        <f>SUMIFS('Schedule 4'!$F$89:$F$649,'Schedule 4'!$I$89:$I$649,'Well Cal.'!H$3,'Schedule 4'!$J$89:$J$649,'Well Cal.'!$E517)</f>
        <v>0</v>
      </c>
      <c r="I517" s="727">
        <f>SUMIFS('Schedule 4'!$F$89:$F$649,'Schedule 4'!$I$89:$I$649,'Well Cal.'!I$3,'Schedule 4'!$J$89:$J$649,'Well Cal.'!$E517)</f>
        <v>0</v>
      </c>
      <c r="J517" s="727">
        <f>SUMIFS('Schedule 4'!$F$89:$F$649,'Schedule 4'!$I$89:$I$649,'Well Cal.'!J$3,'Schedule 4'!$J$89:$J$649,'Well Cal.'!$E517)</f>
        <v>0</v>
      </c>
      <c r="K517" s="727">
        <f>SUMIFS('Schedule 4'!$F$89:$F$649,'Schedule 4'!$I$89:$I$649,'Well Cal.'!K$3,'Schedule 4'!$J$89:$J$649,'Well Cal.'!$E517)</f>
        <v>0</v>
      </c>
      <c r="L517" s="727">
        <f>SUMIFS('Schedule 4'!$F$89:$F$649,'Schedule 4'!$I$89:$I$649,'Well Cal.'!L$3,'Schedule 4'!$J$89:$J$649,'Well Cal.'!$E517)</f>
        <v>0</v>
      </c>
      <c r="M517" s="727">
        <f>SUMIFS('Schedule 4'!$F$89:$F$649,'Schedule 4'!$I$89:$I$649,'Well Cal.'!M$3,'Schedule 4'!$J$89:$J$649,'Well Cal.'!$E517)</f>
        <v>0</v>
      </c>
      <c r="N517" s="727">
        <f>SUMIFS('Schedule 4'!$F$89:$F$649,'Schedule 4'!$I$89:$I$649,'Well Cal.'!N$3,'Schedule 4'!$J$89:$J$649,'Well Cal.'!$E517)</f>
        <v>0</v>
      </c>
      <c r="O517" s="727">
        <f>SUMIFS('Schedule 4'!$F$89:$F$649,'Schedule 4'!$I$89:$I$649,'Well Cal.'!O$3,'Schedule 4'!$J$89:$J$649,'Well Cal.'!$E517)</f>
        <v>0</v>
      </c>
      <c r="P517" s="727">
        <f>SUMIFS('Schedule 4'!$F$89:$F$649,'Schedule 4'!$I$89:$I$649,'Well Cal.'!P$3,'Schedule 4'!$J$89:$J$649,'Well Cal.'!$E517)</f>
        <v>0</v>
      </c>
      <c r="Q517" s="727">
        <f>SUMIFS('Schedule 4'!$F$89:$F$649,'Schedule 4'!$I$89:$I$649,'Well Cal.'!Q$3,'Schedule 4'!$J$89:$J$649,'Well Cal.'!$E517)</f>
        <v>0</v>
      </c>
      <c r="R517" s="727">
        <f>SUMIFS('Schedule 4'!$F$89:$F$649,'Schedule 4'!$I$89:$I$649,'Well Cal.'!R$3,'Schedule 4'!$J$89:$J$649,'Well Cal.'!$E517)</f>
        <v>0</v>
      </c>
      <c r="S517" s="727">
        <f>SUMIFS('Schedule 4'!$F$89:$F$649,'Schedule 4'!$I$89:$I$649,'Well Cal.'!S$3,'Schedule 4'!$J$89:$J$649,'Well Cal.'!$E517)</f>
        <v>0</v>
      </c>
      <c r="T517" s="727">
        <f>SUMIFS('Schedule 4'!$F$89:$F$649,'Schedule 4'!$I$89:$I$649,'Well Cal.'!T$3,'Schedule 4'!$J$89:$J$649,'Well Cal.'!$E517)</f>
        <v>0</v>
      </c>
      <c r="U517" s="727">
        <f>SUMIFS('Schedule 4'!$F$89:$F$649,'Schedule 4'!$I$89:$I$649,'Well Cal.'!U$3,'Schedule 4'!$J$89:$J$649,'Well Cal.'!$E517)</f>
        <v>0</v>
      </c>
      <c r="V517" s="727">
        <f>SUMIFS('Schedule 4'!$F$89:$F$649,'Schedule 4'!$I$89:$I$649,'Well Cal.'!V$3,'Schedule 4'!$J$89:$J$649,'Well Cal.'!$E517)</f>
        <v>0</v>
      </c>
      <c r="W517" s="727">
        <f>SUMIFS('Schedule 4'!$F$89:$F$649,'Schedule 4'!$I$89:$I$649,'Well Cal.'!W$3,'Schedule 4'!$J$89:$J$649,'Well Cal.'!$E517)</f>
        <v>0</v>
      </c>
      <c r="X517" s="727">
        <f>SUMIFS('Schedule 4'!$F$89:$F$649,'Schedule 4'!$I$89:$I$649,'Well Cal.'!X$3,'Schedule 4'!$J$89:$J$649,'Well Cal.'!$E517)</f>
        <v>0</v>
      </c>
      <c r="Y517" s="727">
        <f>SUMIFS('Schedule 4'!$F$89:$F$649,'Schedule 4'!$I$89:$I$649,'Well Cal.'!Y$3,'Schedule 4'!$J$89:$J$649,'Well Cal.'!$E517)</f>
        <v>0</v>
      </c>
      <c r="Z517" s="727">
        <f>SUMIFS('Schedule 4'!$F$89:$F$649,'Schedule 4'!$I$89:$I$649,'Well Cal.'!Z$3,'Schedule 4'!$J$89:$J$649,'Well Cal.'!$E517)</f>
        <v>0</v>
      </c>
      <c r="AA517" s="727"/>
      <c r="AB517" s="1731"/>
      <c r="AC517" s="1731"/>
    </row>
    <row r="518" spans="2:29" x14ac:dyDescent="0.3">
      <c r="B518" s="1724"/>
      <c r="C518" s="1727"/>
      <c r="D518" s="1721"/>
      <c r="E518" s="775" t="s">
        <v>4482</v>
      </c>
      <c r="F518" s="727">
        <f>SUMIFS('Schedule 4'!$F$89:$F$649,'Schedule 4'!$I$89:$I$649,'Well Cal.'!F$3,'Schedule 4'!$J$89:$J$649,'Well Cal.'!$E518)</f>
        <v>0</v>
      </c>
      <c r="G518" s="727">
        <f>SUMIFS('Schedule 4'!$F$89:$F$649,'Schedule 4'!$I$89:$I$649,'Well Cal.'!G$3,'Schedule 4'!$J$89:$J$649,'Well Cal.'!$E518)</f>
        <v>0</v>
      </c>
      <c r="H518" s="727">
        <f>SUMIFS('Schedule 4'!$F$89:$F$649,'Schedule 4'!$I$89:$I$649,'Well Cal.'!H$3,'Schedule 4'!$J$89:$J$649,'Well Cal.'!$E518)</f>
        <v>0</v>
      </c>
      <c r="I518" s="727">
        <f>SUMIFS('Schedule 4'!$F$89:$F$649,'Schedule 4'!$I$89:$I$649,'Well Cal.'!I$3,'Schedule 4'!$J$89:$J$649,'Well Cal.'!$E518)</f>
        <v>0</v>
      </c>
      <c r="J518" s="727">
        <f>SUMIFS('Schedule 4'!$F$89:$F$649,'Schedule 4'!$I$89:$I$649,'Well Cal.'!J$3,'Schedule 4'!$J$89:$J$649,'Well Cal.'!$E518)</f>
        <v>0</v>
      </c>
      <c r="K518" s="727">
        <f>SUMIFS('Schedule 4'!$F$89:$F$649,'Schedule 4'!$I$89:$I$649,'Well Cal.'!K$3,'Schedule 4'!$J$89:$J$649,'Well Cal.'!$E518)</f>
        <v>0</v>
      </c>
      <c r="L518" s="727">
        <f>SUMIFS('Schedule 4'!$F$89:$F$649,'Schedule 4'!$I$89:$I$649,'Well Cal.'!L$3,'Schedule 4'!$J$89:$J$649,'Well Cal.'!$E518)</f>
        <v>0</v>
      </c>
      <c r="M518" s="727">
        <f>SUMIFS('Schedule 4'!$F$89:$F$649,'Schedule 4'!$I$89:$I$649,'Well Cal.'!M$3,'Schedule 4'!$J$89:$J$649,'Well Cal.'!$E518)</f>
        <v>0</v>
      </c>
      <c r="N518" s="727">
        <f>SUMIFS('Schedule 4'!$F$89:$F$649,'Schedule 4'!$I$89:$I$649,'Well Cal.'!N$3,'Schedule 4'!$J$89:$J$649,'Well Cal.'!$E518)</f>
        <v>0</v>
      </c>
      <c r="O518" s="727">
        <f>SUMIFS('Schedule 4'!$F$89:$F$649,'Schedule 4'!$I$89:$I$649,'Well Cal.'!O$3,'Schedule 4'!$J$89:$J$649,'Well Cal.'!$E518)</f>
        <v>0</v>
      </c>
      <c r="P518" s="727">
        <f>SUMIFS('Schedule 4'!$F$89:$F$649,'Schedule 4'!$I$89:$I$649,'Well Cal.'!P$3,'Schedule 4'!$J$89:$J$649,'Well Cal.'!$E518)</f>
        <v>0</v>
      </c>
      <c r="Q518" s="727">
        <f>SUMIFS('Schedule 4'!$F$89:$F$649,'Schedule 4'!$I$89:$I$649,'Well Cal.'!Q$3,'Schedule 4'!$J$89:$J$649,'Well Cal.'!$E518)</f>
        <v>0</v>
      </c>
      <c r="R518" s="727">
        <f>SUMIFS('Schedule 4'!$F$89:$F$649,'Schedule 4'!$I$89:$I$649,'Well Cal.'!R$3,'Schedule 4'!$J$89:$J$649,'Well Cal.'!$E518)</f>
        <v>0</v>
      </c>
      <c r="S518" s="727">
        <f>SUMIFS('Schedule 4'!$F$89:$F$649,'Schedule 4'!$I$89:$I$649,'Well Cal.'!S$3,'Schedule 4'!$J$89:$J$649,'Well Cal.'!$E518)</f>
        <v>0</v>
      </c>
      <c r="T518" s="727">
        <f>SUMIFS('Schedule 4'!$F$89:$F$649,'Schedule 4'!$I$89:$I$649,'Well Cal.'!T$3,'Schedule 4'!$J$89:$J$649,'Well Cal.'!$E518)</f>
        <v>0</v>
      </c>
      <c r="U518" s="727">
        <f>SUMIFS('Schedule 4'!$F$89:$F$649,'Schedule 4'!$I$89:$I$649,'Well Cal.'!U$3,'Schedule 4'!$J$89:$J$649,'Well Cal.'!$E518)</f>
        <v>0</v>
      </c>
      <c r="V518" s="727">
        <f>SUMIFS('Schedule 4'!$F$89:$F$649,'Schedule 4'!$I$89:$I$649,'Well Cal.'!V$3,'Schedule 4'!$J$89:$J$649,'Well Cal.'!$E518)</f>
        <v>0</v>
      </c>
      <c r="W518" s="727">
        <f>SUMIFS('Schedule 4'!$F$89:$F$649,'Schedule 4'!$I$89:$I$649,'Well Cal.'!W$3,'Schedule 4'!$J$89:$J$649,'Well Cal.'!$E518)</f>
        <v>0</v>
      </c>
      <c r="X518" s="727">
        <f>SUMIFS('Schedule 4'!$F$89:$F$649,'Schedule 4'!$I$89:$I$649,'Well Cal.'!X$3,'Schedule 4'!$J$89:$J$649,'Well Cal.'!$E518)</f>
        <v>0</v>
      </c>
      <c r="Y518" s="727">
        <f>SUMIFS('Schedule 4'!$F$89:$F$649,'Schedule 4'!$I$89:$I$649,'Well Cal.'!Y$3,'Schedule 4'!$J$89:$J$649,'Well Cal.'!$E518)</f>
        <v>0</v>
      </c>
      <c r="Z518" s="727">
        <f>SUMIFS('Schedule 4'!$F$89:$F$649,'Schedule 4'!$I$89:$I$649,'Well Cal.'!Z$3,'Schedule 4'!$J$89:$J$649,'Well Cal.'!$E518)</f>
        <v>0</v>
      </c>
      <c r="AA518" s="727"/>
      <c r="AB518" s="1731"/>
      <c r="AC518" s="1731"/>
    </row>
    <row r="519" spans="2:29" x14ac:dyDescent="0.3">
      <c r="B519" s="1724"/>
      <c r="C519" s="1727"/>
      <c r="D519" s="1721"/>
      <c r="E519" s="775" t="s">
        <v>4531</v>
      </c>
      <c r="F519" s="727">
        <f>SUMIFS('Schedule 4'!$F$89:$F$649,'Schedule 4'!$I$89:$I$649,'Well Cal.'!F$3,'Schedule 4'!$J$89:$J$649,'Well Cal.'!$E519)</f>
        <v>0</v>
      </c>
      <c r="G519" s="727">
        <f>SUMIFS('Schedule 4'!$F$89:$F$649,'Schedule 4'!$I$89:$I$649,'Well Cal.'!G$3,'Schedule 4'!$J$89:$J$649,'Well Cal.'!$E519)</f>
        <v>0</v>
      </c>
      <c r="H519" s="727">
        <f>SUMIFS('Schedule 4'!$F$89:$F$649,'Schedule 4'!$I$89:$I$649,'Well Cal.'!H$3,'Schedule 4'!$J$89:$J$649,'Well Cal.'!$E519)</f>
        <v>0</v>
      </c>
      <c r="I519" s="727">
        <f>SUMIFS('Schedule 4'!$F$89:$F$649,'Schedule 4'!$I$89:$I$649,'Well Cal.'!I$3,'Schedule 4'!$J$89:$J$649,'Well Cal.'!$E519)</f>
        <v>0</v>
      </c>
      <c r="J519" s="727">
        <f>SUMIFS('Schedule 4'!$F$89:$F$649,'Schedule 4'!$I$89:$I$649,'Well Cal.'!J$3,'Schedule 4'!$J$89:$J$649,'Well Cal.'!$E519)</f>
        <v>0</v>
      </c>
      <c r="K519" s="727">
        <f>SUMIFS('Schedule 4'!$F$89:$F$649,'Schedule 4'!$I$89:$I$649,'Well Cal.'!K$3,'Schedule 4'!$J$89:$J$649,'Well Cal.'!$E519)</f>
        <v>0</v>
      </c>
      <c r="L519" s="727">
        <f>SUMIFS('Schedule 4'!$F$89:$F$649,'Schedule 4'!$I$89:$I$649,'Well Cal.'!L$3,'Schedule 4'!$J$89:$J$649,'Well Cal.'!$E519)</f>
        <v>0</v>
      </c>
      <c r="M519" s="727">
        <f>SUMIFS('Schedule 4'!$F$89:$F$649,'Schedule 4'!$I$89:$I$649,'Well Cal.'!M$3,'Schedule 4'!$J$89:$J$649,'Well Cal.'!$E519)</f>
        <v>0</v>
      </c>
      <c r="N519" s="727">
        <f>SUMIFS('Schedule 4'!$F$89:$F$649,'Schedule 4'!$I$89:$I$649,'Well Cal.'!N$3,'Schedule 4'!$J$89:$J$649,'Well Cal.'!$E519)</f>
        <v>0</v>
      </c>
      <c r="O519" s="727">
        <f>SUMIFS('Schedule 4'!$F$89:$F$649,'Schedule 4'!$I$89:$I$649,'Well Cal.'!O$3,'Schedule 4'!$J$89:$J$649,'Well Cal.'!$E519)</f>
        <v>0</v>
      </c>
      <c r="P519" s="727">
        <f>SUMIFS('Schedule 4'!$F$89:$F$649,'Schedule 4'!$I$89:$I$649,'Well Cal.'!P$3,'Schedule 4'!$J$89:$J$649,'Well Cal.'!$E519)</f>
        <v>0</v>
      </c>
      <c r="Q519" s="727">
        <f>SUMIFS('Schedule 4'!$F$89:$F$649,'Schedule 4'!$I$89:$I$649,'Well Cal.'!Q$3,'Schedule 4'!$J$89:$J$649,'Well Cal.'!$E519)</f>
        <v>0</v>
      </c>
      <c r="R519" s="727">
        <f>SUMIFS('Schedule 4'!$F$89:$F$649,'Schedule 4'!$I$89:$I$649,'Well Cal.'!R$3,'Schedule 4'!$J$89:$J$649,'Well Cal.'!$E519)</f>
        <v>0</v>
      </c>
      <c r="S519" s="727">
        <f>SUMIFS('Schedule 4'!$F$89:$F$649,'Schedule 4'!$I$89:$I$649,'Well Cal.'!S$3,'Schedule 4'!$J$89:$J$649,'Well Cal.'!$E519)</f>
        <v>0</v>
      </c>
      <c r="T519" s="727">
        <f>SUMIFS('Schedule 4'!$F$89:$F$649,'Schedule 4'!$I$89:$I$649,'Well Cal.'!T$3,'Schedule 4'!$J$89:$J$649,'Well Cal.'!$E519)</f>
        <v>0</v>
      </c>
      <c r="U519" s="727">
        <f>SUMIFS('Schedule 4'!$F$89:$F$649,'Schedule 4'!$I$89:$I$649,'Well Cal.'!U$3,'Schedule 4'!$J$89:$J$649,'Well Cal.'!$E519)</f>
        <v>0</v>
      </c>
      <c r="V519" s="727">
        <f>SUMIFS('Schedule 4'!$F$89:$F$649,'Schedule 4'!$I$89:$I$649,'Well Cal.'!V$3,'Schedule 4'!$J$89:$J$649,'Well Cal.'!$E519)</f>
        <v>0</v>
      </c>
      <c r="W519" s="727">
        <f>SUMIFS('Schedule 4'!$F$89:$F$649,'Schedule 4'!$I$89:$I$649,'Well Cal.'!W$3,'Schedule 4'!$J$89:$J$649,'Well Cal.'!$E519)</f>
        <v>0</v>
      </c>
      <c r="X519" s="727">
        <f>SUMIFS('Schedule 4'!$F$89:$F$649,'Schedule 4'!$I$89:$I$649,'Well Cal.'!X$3,'Schedule 4'!$J$89:$J$649,'Well Cal.'!$E519)</f>
        <v>0</v>
      </c>
      <c r="Y519" s="727">
        <f>SUMIFS('Schedule 4'!$F$89:$F$649,'Schedule 4'!$I$89:$I$649,'Well Cal.'!Y$3,'Schedule 4'!$J$89:$J$649,'Well Cal.'!$E519)</f>
        <v>0</v>
      </c>
      <c r="Z519" s="727">
        <f>SUMIFS('Schedule 4'!$F$89:$F$649,'Schedule 4'!$I$89:$I$649,'Well Cal.'!Z$3,'Schedule 4'!$J$89:$J$649,'Well Cal.'!$E519)</f>
        <v>0</v>
      </c>
      <c r="AA519" s="727"/>
      <c r="AB519" s="1731"/>
      <c r="AC519" s="1731"/>
    </row>
    <row r="520" spans="2:29" x14ac:dyDescent="0.3">
      <c r="B520" s="1725"/>
      <c r="C520" s="1728"/>
      <c r="D520" s="1722"/>
      <c r="E520" s="776"/>
      <c r="F520" s="777"/>
      <c r="G520" s="777"/>
      <c r="H520" s="777"/>
      <c r="I520" s="777"/>
      <c r="J520" s="777"/>
      <c r="K520" s="777"/>
      <c r="L520" s="777"/>
      <c r="M520" s="777"/>
      <c r="N520" s="777"/>
      <c r="O520" s="777"/>
      <c r="P520" s="777"/>
      <c r="Q520" s="777"/>
      <c r="R520" s="777"/>
      <c r="S520" s="777"/>
      <c r="T520" s="777"/>
      <c r="U520" s="777"/>
      <c r="V520" s="777"/>
      <c r="W520" s="777"/>
      <c r="X520" s="777"/>
      <c r="Y520" s="777"/>
      <c r="Z520" s="777"/>
      <c r="AA520" s="777"/>
      <c r="AB520" s="1732"/>
      <c r="AC520" s="1732"/>
    </row>
    <row r="521" spans="2:29" x14ac:dyDescent="0.3">
      <c r="B521" s="1723" t="s">
        <v>2519</v>
      </c>
      <c r="C521" s="1726">
        <v>54.05</v>
      </c>
      <c r="D521" s="1720">
        <f>SUMIFS('Schedule 4'!$F$89:$F$649,'Schedule 4'!$K$89:$K$649,'Well Cal.'!$B521)</f>
        <v>0</v>
      </c>
      <c r="E521" s="754" t="s">
        <v>3183</v>
      </c>
      <c r="F521" s="728">
        <f>SUMIFS('Schedule 4'!$F$89:$F$649,'Schedule 4'!$I$89:$I$649,'Well Cal.'!F$3,'Schedule 4'!$J$89:$J$649,'Well Cal.'!$E521)</f>
        <v>0</v>
      </c>
      <c r="G521" s="728">
        <f>SUMIFS('Schedule 4'!$F$89:$F$649,'Schedule 4'!$I$89:$I$649,'Well Cal.'!G$3,'Schedule 4'!$J$89:$J$649,'Well Cal.'!$E521)</f>
        <v>0</v>
      </c>
      <c r="H521" s="728">
        <f>SUMIFS('Schedule 4'!$F$89:$F$649,'Schedule 4'!$I$89:$I$649,'Well Cal.'!H$3,'Schedule 4'!$J$89:$J$649,'Well Cal.'!$E521)</f>
        <v>0</v>
      </c>
      <c r="I521" s="728">
        <f>SUMIFS('Schedule 4'!$F$89:$F$649,'Schedule 4'!$I$89:$I$649,'Well Cal.'!I$3,'Schedule 4'!$J$89:$J$649,'Well Cal.'!$E521)</f>
        <v>0</v>
      </c>
      <c r="J521" s="728">
        <f>SUMIFS('Schedule 4'!$F$89:$F$649,'Schedule 4'!$I$89:$I$649,'Well Cal.'!J$3,'Schedule 4'!$J$89:$J$649,'Well Cal.'!$E521)</f>
        <v>0</v>
      </c>
      <c r="K521" s="728">
        <f>SUMIFS('Schedule 4'!$F$89:$F$649,'Schedule 4'!$I$89:$I$649,'Well Cal.'!K$3,'Schedule 4'!$J$89:$J$649,'Well Cal.'!$E521)</f>
        <v>0</v>
      </c>
      <c r="L521" s="728">
        <f>SUMIFS('Schedule 4'!$F$89:$F$649,'Schedule 4'!$I$89:$I$649,'Well Cal.'!L$3,'Schedule 4'!$J$89:$J$649,'Well Cal.'!$E521)</f>
        <v>0</v>
      </c>
      <c r="M521" s="728">
        <f>SUMIFS('Schedule 4'!$F$89:$F$649,'Schedule 4'!$I$89:$I$649,'Well Cal.'!M$3,'Schedule 4'!$J$89:$J$649,'Well Cal.'!$E521)</f>
        <v>0</v>
      </c>
      <c r="N521" s="728">
        <f>SUMIFS('Schedule 4'!$F$89:$F$649,'Schedule 4'!$I$89:$I$649,'Well Cal.'!N$3,'Schedule 4'!$J$89:$J$649,'Well Cal.'!$E521)</f>
        <v>0</v>
      </c>
      <c r="O521" s="728">
        <f>SUMIFS('Schedule 4'!$F$89:$F$649,'Schedule 4'!$I$89:$I$649,'Well Cal.'!O$3,'Schedule 4'!$J$89:$J$649,'Well Cal.'!$E521)</f>
        <v>0</v>
      </c>
      <c r="P521" s="728">
        <f>SUMIFS('Schedule 4'!$F$89:$F$649,'Schedule 4'!$I$89:$I$649,'Well Cal.'!P$3,'Schedule 4'!$J$89:$J$649,'Well Cal.'!$E521)</f>
        <v>0</v>
      </c>
      <c r="Q521" s="728">
        <f>SUMIFS('Schedule 4'!$F$89:$F$649,'Schedule 4'!$I$89:$I$649,'Well Cal.'!Q$3,'Schedule 4'!$J$89:$J$649,'Well Cal.'!$E521)</f>
        <v>0</v>
      </c>
      <c r="R521" s="728">
        <f>SUMIFS('Schedule 4'!$F$89:$F$649,'Schedule 4'!$I$89:$I$649,'Well Cal.'!R$3,'Schedule 4'!$J$89:$J$649,'Well Cal.'!$E521)</f>
        <v>0</v>
      </c>
      <c r="S521" s="728">
        <f>SUMIFS('Schedule 4'!$F$89:$F$649,'Schedule 4'!$I$89:$I$649,'Well Cal.'!S$3,'Schedule 4'!$J$89:$J$649,'Well Cal.'!$E521)</f>
        <v>0</v>
      </c>
      <c r="T521" s="728">
        <f>SUMIFS('Schedule 4'!$F$89:$F$649,'Schedule 4'!$I$89:$I$649,'Well Cal.'!T$3,'Schedule 4'!$J$89:$J$649,'Well Cal.'!$E521)</f>
        <v>0</v>
      </c>
      <c r="U521" s="728">
        <f>SUMIFS('Schedule 4'!$F$89:$F$649,'Schedule 4'!$I$89:$I$649,'Well Cal.'!U$3,'Schedule 4'!$J$89:$J$649,'Well Cal.'!$E521)</f>
        <v>0</v>
      </c>
      <c r="V521" s="728">
        <f>SUMIFS('Schedule 4'!$F$89:$F$649,'Schedule 4'!$I$89:$I$649,'Well Cal.'!V$3,'Schedule 4'!$J$89:$J$649,'Well Cal.'!$E521)</f>
        <v>0</v>
      </c>
      <c r="W521" s="728">
        <f>SUMIFS('Schedule 4'!$F$89:$F$649,'Schedule 4'!$I$89:$I$649,'Well Cal.'!W$3,'Schedule 4'!$J$89:$J$649,'Well Cal.'!$E521)</f>
        <v>0</v>
      </c>
      <c r="X521" s="728">
        <f>SUMIFS('Schedule 4'!$F$89:$F$649,'Schedule 4'!$I$89:$I$649,'Well Cal.'!X$3,'Schedule 4'!$J$89:$J$649,'Well Cal.'!$E521)</f>
        <v>0</v>
      </c>
      <c r="Y521" s="728">
        <f>SUMIFS('Schedule 4'!$F$89:$F$649,'Schedule 4'!$I$89:$I$649,'Well Cal.'!Y$3,'Schedule 4'!$J$89:$J$649,'Well Cal.'!$E521)</f>
        <v>0</v>
      </c>
      <c r="Z521" s="728">
        <f>SUMIFS('Schedule 4'!$F$89:$F$649,'Schedule 4'!$I$89:$I$649,'Well Cal.'!Z$3,'Schedule 4'!$J$89:$J$649,'Well Cal.'!$E521)</f>
        <v>0</v>
      </c>
      <c r="AA521" s="728"/>
      <c r="AB521" s="1729">
        <f>SUM(F521:AA542)</f>
        <v>0</v>
      </c>
      <c r="AC521" s="1729">
        <f>D521-AB521</f>
        <v>0</v>
      </c>
    </row>
    <row r="522" spans="2:29" x14ac:dyDescent="0.3">
      <c r="B522" s="1724"/>
      <c r="C522" s="1727"/>
      <c r="D522" s="1721"/>
      <c r="E522" s="761" t="s">
        <v>3264</v>
      </c>
      <c r="F522" s="726">
        <f>SUMIFS('Schedule 4'!$F$89:$F$649,'Schedule 4'!$I$89:$I$649,'Well Cal.'!F$3,'Schedule 4'!$J$89:$J$649,'Well Cal.'!$E522)</f>
        <v>0</v>
      </c>
      <c r="G522" s="726">
        <f>SUMIFS('Schedule 4'!$F$89:$F$649,'Schedule 4'!$I$89:$I$649,'Well Cal.'!G$3,'Schedule 4'!$J$89:$J$649,'Well Cal.'!$E522)</f>
        <v>0</v>
      </c>
      <c r="H522" s="726">
        <f>SUMIFS('Schedule 4'!$F$89:$F$649,'Schedule 4'!$I$89:$I$649,'Well Cal.'!H$3,'Schedule 4'!$J$89:$J$649,'Well Cal.'!$E522)</f>
        <v>0</v>
      </c>
      <c r="I522" s="726">
        <f>SUMIFS('Schedule 4'!$F$89:$F$649,'Schedule 4'!$I$89:$I$649,'Well Cal.'!I$3,'Schedule 4'!$J$89:$J$649,'Well Cal.'!$E522)</f>
        <v>0</v>
      </c>
      <c r="J522" s="726">
        <f>SUMIFS('Schedule 4'!$F$89:$F$649,'Schedule 4'!$I$89:$I$649,'Well Cal.'!J$3,'Schedule 4'!$J$89:$J$649,'Well Cal.'!$E522)</f>
        <v>0</v>
      </c>
      <c r="K522" s="726">
        <f>SUMIFS('Schedule 4'!$F$89:$F$649,'Schedule 4'!$I$89:$I$649,'Well Cal.'!K$3,'Schedule 4'!$J$89:$J$649,'Well Cal.'!$E522)</f>
        <v>0</v>
      </c>
      <c r="L522" s="726">
        <f>SUMIFS('Schedule 4'!$F$89:$F$649,'Schedule 4'!$I$89:$I$649,'Well Cal.'!L$3,'Schedule 4'!$J$89:$J$649,'Well Cal.'!$E522)</f>
        <v>0</v>
      </c>
      <c r="M522" s="726">
        <f>SUMIFS('Schedule 4'!$F$89:$F$649,'Schedule 4'!$I$89:$I$649,'Well Cal.'!M$3,'Schedule 4'!$J$89:$J$649,'Well Cal.'!$E522)</f>
        <v>0</v>
      </c>
      <c r="N522" s="726">
        <f>SUMIFS('Schedule 4'!$F$89:$F$649,'Schedule 4'!$I$89:$I$649,'Well Cal.'!N$3,'Schedule 4'!$J$89:$J$649,'Well Cal.'!$E522)</f>
        <v>0</v>
      </c>
      <c r="O522" s="726">
        <f>SUMIFS('Schedule 4'!$F$89:$F$649,'Schedule 4'!$I$89:$I$649,'Well Cal.'!O$3,'Schedule 4'!$J$89:$J$649,'Well Cal.'!$E522)</f>
        <v>0</v>
      </c>
      <c r="P522" s="726">
        <f>SUMIFS('Schedule 4'!$F$89:$F$649,'Schedule 4'!$I$89:$I$649,'Well Cal.'!P$3,'Schedule 4'!$J$89:$J$649,'Well Cal.'!$E522)</f>
        <v>0</v>
      </c>
      <c r="Q522" s="726">
        <f>SUMIFS('Schedule 4'!$F$89:$F$649,'Schedule 4'!$I$89:$I$649,'Well Cal.'!Q$3,'Schedule 4'!$J$89:$J$649,'Well Cal.'!$E522)</f>
        <v>0</v>
      </c>
      <c r="R522" s="726">
        <f>SUMIFS('Schedule 4'!$F$89:$F$649,'Schedule 4'!$I$89:$I$649,'Well Cal.'!R$3,'Schedule 4'!$J$89:$J$649,'Well Cal.'!$E522)</f>
        <v>0</v>
      </c>
      <c r="S522" s="726">
        <f>SUMIFS('Schedule 4'!$F$89:$F$649,'Schedule 4'!$I$89:$I$649,'Well Cal.'!S$3,'Schedule 4'!$J$89:$J$649,'Well Cal.'!$E522)</f>
        <v>0</v>
      </c>
      <c r="T522" s="726">
        <f>SUMIFS('Schedule 4'!$F$89:$F$649,'Schedule 4'!$I$89:$I$649,'Well Cal.'!T$3,'Schedule 4'!$J$89:$J$649,'Well Cal.'!$E522)</f>
        <v>0</v>
      </c>
      <c r="U522" s="726">
        <f>SUMIFS('Schedule 4'!$F$89:$F$649,'Schedule 4'!$I$89:$I$649,'Well Cal.'!U$3,'Schedule 4'!$J$89:$J$649,'Well Cal.'!$E522)</f>
        <v>0</v>
      </c>
      <c r="V522" s="726">
        <f>SUMIFS('Schedule 4'!$F$89:$F$649,'Schedule 4'!$I$89:$I$649,'Well Cal.'!V$3,'Schedule 4'!$J$89:$J$649,'Well Cal.'!$E522)</f>
        <v>0</v>
      </c>
      <c r="W522" s="726">
        <f>SUMIFS('Schedule 4'!$F$89:$F$649,'Schedule 4'!$I$89:$I$649,'Well Cal.'!W$3,'Schedule 4'!$J$89:$J$649,'Well Cal.'!$E522)</f>
        <v>0</v>
      </c>
      <c r="X522" s="726">
        <f>SUMIFS('Schedule 4'!$F$89:$F$649,'Schedule 4'!$I$89:$I$649,'Well Cal.'!X$3,'Schedule 4'!$J$89:$J$649,'Well Cal.'!$E522)</f>
        <v>0</v>
      </c>
      <c r="Y522" s="726">
        <f>SUMIFS('Schedule 4'!$F$89:$F$649,'Schedule 4'!$I$89:$I$649,'Well Cal.'!Y$3,'Schedule 4'!$J$89:$J$649,'Well Cal.'!$E522)</f>
        <v>0</v>
      </c>
      <c r="Z522" s="726">
        <f>SUMIFS('Schedule 4'!$F$89:$F$649,'Schedule 4'!$I$89:$I$649,'Well Cal.'!Z$3,'Schedule 4'!$J$89:$J$649,'Well Cal.'!$E522)</f>
        <v>0</v>
      </c>
      <c r="AA522" s="726"/>
      <c r="AB522" s="1730"/>
      <c r="AC522" s="1730"/>
    </row>
    <row r="523" spans="2:29" x14ac:dyDescent="0.3">
      <c r="B523" s="1724"/>
      <c r="C523" s="1727"/>
      <c r="D523" s="1721"/>
      <c r="E523" s="761" t="s">
        <v>3340</v>
      </c>
      <c r="F523" s="726">
        <f>SUMIFS('Schedule 4'!$F$89:$F$649,'Schedule 4'!$I$89:$I$649,'Well Cal.'!F$3,'Schedule 4'!$J$89:$J$649,'Well Cal.'!$E523)</f>
        <v>0</v>
      </c>
      <c r="G523" s="726">
        <f>SUMIFS('Schedule 4'!$F$89:$F$649,'Schedule 4'!$I$89:$I$649,'Well Cal.'!G$3,'Schedule 4'!$J$89:$J$649,'Well Cal.'!$E523)</f>
        <v>0</v>
      </c>
      <c r="H523" s="726">
        <f>SUMIFS('Schedule 4'!$F$89:$F$649,'Schedule 4'!$I$89:$I$649,'Well Cal.'!H$3,'Schedule 4'!$J$89:$J$649,'Well Cal.'!$E523)</f>
        <v>0</v>
      </c>
      <c r="I523" s="726">
        <f>SUMIFS('Schedule 4'!$F$89:$F$649,'Schedule 4'!$I$89:$I$649,'Well Cal.'!I$3,'Schedule 4'!$J$89:$J$649,'Well Cal.'!$E523)</f>
        <v>0</v>
      </c>
      <c r="J523" s="726">
        <f>SUMIFS('Schedule 4'!$F$89:$F$649,'Schedule 4'!$I$89:$I$649,'Well Cal.'!J$3,'Schedule 4'!$J$89:$J$649,'Well Cal.'!$E523)</f>
        <v>0</v>
      </c>
      <c r="K523" s="726">
        <f>SUMIFS('Schedule 4'!$F$89:$F$649,'Schedule 4'!$I$89:$I$649,'Well Cal.'!K$3,'Schedule 4'!$J$89:$J$649,'Well Cal.'!$E523)</f>
        <v>0</v>
      </c>
      <c r="L523" s="726">
        <f>SUMIFS('Schedule 4'!$F$89:$F$649,'Schedule 4'!$I$89:$I$649,'Well Cal.'!L$3,'Schedule 4'!$J$89:$J$649,'Well Cal.'!$E523)</f>
        <v>0</v>
      </c>
      <c r="M523" s="726">
        <f>SUMIFS('Schedule 4'!$F$89:$F$649,'Schedule 4'!$I$89:$I$649,'Well Cal.'!M$3,'Schedule 4'!$J$89:$J$649,'Well Cal.'!$E523)</f>
        <v>0</v>
      </c>
      <c r="N523" s="726">
        <f>SUMIFS('Schedule 4'!$F$89:$F$649,'Schedule 4'!$I$89:$I$649,'Well Cal.'!N$3,'Schedule 4'!$J$89:$J$649,'Well Cal.'!$E523)</f>
        <v>0</v>
      </c>
      <c r="O523" s="726">
        <f>SUMIFS('Schedule 4'!$F$89:$F$649,'Schedule 4'!$I$89:$I$649,'Well Cal.'!O$3,'Schedule 4'!$J$89:$J$649,'Well Cal.'!$E523)</f>
        <v>0</v>
      </c>
      <c r="P523" s="726">
        <f>SUMIFS('Schedule 4'!$F$89:$F$649,'Schedule 4'!$I$89:$I$649,'Well Cal.'!P$3,'Schedule 4'!$J$89:$J$649,'Well Cal.'!$E523)</f>
        <v>0</v>
      </c>
      <c r="Q523" s="726">
        <f>SUMIFS('Schedule 4'!$F$89:$F$649,'Schedule 4'!$I$89:$I$649,'Well Cal.'!Q$3,'Schedule 4'!$J$89:$J$649,'Well Cal.'!$E523)</f>
        <v>0</v>
      </c>
      <c r="R523" s="726">
        <f>SUMIFS('Schedule 4'!$F$89:$F$649,'Schedule 4'!$I$89:$I$649,'Well Cal.'!R$3,'Schedule 4'!$J$89:$J$649,'Well Cal.'!$E523)</f>
        <v>0</v>
      </c>
      <c r="S523" s="726">
        <f>SUMIFS('Schedule 4'!$F$89:$F$649,'Schedule 4'!$I$89:$I$649,'Well Cal.'!S$3,'Schedule 4'!$J$89:$J$649,'Well Cal.'!$E523)</f>
        <v>0</v>
      </c>
      <c r="T523" s="726">
        <f>SUMIFS('Schedule 4'!$F$89:$F$649,'Schedule 4'!$I$89:$I$649,'Well Cal.'!T$3,'Schedule 4'!$J$89:$J$649,'Well Cal.'!$E523)</f>
        <v>0</v>
      </c>
      <c r="U523" s="726">
        <f>SUMIFS('Schedule 4'!$F$89:$F$649,'Schedule 4'!$I$89:$I$649,'Well Cal.'!U$3,'Schedule 4'!$J$89:$J$649,'Well Cal.'!$E523)</f>
        <v>0</v>
      </c>
      <c r="V523" s="726">
        <f>SUMIFS('Schedule 4'!$F$89:$F$649,'Schedule 4'!$I$89:$I$649,'Well Cal.'!V$3,'Schedule 4'!$J$89:$J$649,'Well Cal.'!$E523)</f>
        <v>0</v>
      </c>
      <c r="W523" s="726">
        <f>SUMIFS('Schedule 4'!$F$89:$F$649,'Schedule 4'!$I$89:$I$649,'Well Cal.'!W$3,'Schedule 4'!$J$89:$J$649,'Well Cal.'!$E523)</f>
        <v>0</v>
      </c>
      <c r="X523" s="726">
        <f>SUMIFS('Schedule 4'!$F$89:$F$649,'Schedule 4'!$I$89:$I$649,'Well Cal.'!X$3,'Schedule 4'!$J$89:$J$649,'Well Cal.'!$E523)</f>
        <v>0</v>
      </c>
      <c r="Y523" s="726">
        <f>SUMIFS('Schedule 4'!$F$89:$F$649,'Schedule 4'!$I$89:$I$649,'Well Cal.'!Y$3,'Schedule 4'!$J$89:$J$649,'Well Cal.'!$E523)</f>
        <v>0</v>
      </c>
      <c r="Z523" s="726">
        <f>SUMIFS('Schedule 4'!$F$89:$F$649,'Schedule 4'!$I$89:$I$649,'Well Cal.'!Z$3,'Schedule 4'!$J$89:$J$649,'Well Cal.'!$E523)</f>
        <v>0</v>
      </c>
      <c r="AA523" s="726"/>
      <c r="AB523" s="1730"/>
      <c r="AC523" s="1730"/>
    </row>
    <row r="524" spans="2:29" x14ac:dyDescent="0.3">
      <c r="B524" s="1724"/>
      <c r="C524" s="1727"/>
      <c r="D524" s="1721"/>
      <c r="E524" s="775" t="s">
        <v>3418</v>
      </c>
      <c r="F524" s="727">
        <f>SUMIFS('Schedule 4'!$F$89:$F$649,'Schedule 4'!$I$89:$I$649,'Well Cal.'!F$3,'Schedule 4'!$J$89:$J$649,'Well Cal.'!$E524)</f>
        <v>0</v>
      </c>
      <c r="G524" s="727">
        <f>SUMIFS('Schedule 4'!$F$89:$F$649,'Schedule 4'!$I$89:$I$649,'Well Cal.'!G$3,'Schedule 4'!$J$89:$J$649,'Well Cal.'!$E524)</f>
        <v>0</v>
      </c>
      <c r="H524" s="727">
        <f>SUMIFS('Schedule 4'!$F$89:$F$649,'Schedule 4'!$I$89:$I$649,'Well Cal.'!H$3,'Schedule 4'!$J$89:$J$649,'Well Cal.'!$E524)</f>
        <v>0</v>
      </c>
      <c r="I524" s="727">
        <f>SUMIFS('Schedule 4'!$F$89:$F$649,'Schedule 4'!$I$89:$I$649,'Well Cal.'!I$3,'Schedule 4'!$J$89:$J$649,'Well Cal.'!$E524)</f>
        <v>0</v>
      </c>
      <c r="J524" s="727">
        <f>SUMIFS('Schedule 4'!$F$89:$F$649,'Schedule 4'!$I$89:$I$649,'Well Cal.'!J$3,'Schedule 4'!$J$89:$J$649,'Well Cal.'!$E524)</f>
        <v>0</v>
      </c>
      <c r="K524" s="727">
        <f>SUMIFS('Schedule 4'!$F$89:$F$649,'Schedule 4'!$I$89:$I$649,'Well Cal.'!K$3,'Schedule 4'!$J$89:$J$649,'Well Cal.'!$E524)</f>
        <v>0</v>
      </c>
      <c r="L524" s="727">
        <f>SUMIFS('Schedule 4'!$F$89:$F$649,'Schedule 4'!$I$89:$I$649,'Well Cal.'!L$3,'Schedule 4'!$J$89:$J$649,'Well Cal.'!$E524)</f>
        <v>0</v>
      </c>
      <c r="M524" s="727">
        <f>SUMIFS('Schedule 4'!$F$89:$F$649,'Schedule 4'!$I$89:$I$649,'Well Cal.'!M$3,'Schedule 4'!$J$89:$J$649,'Well Cal.'!$E524)</f>
        <v>0</v>
      </c>
      <c r="N524" s="727">
        <f>SUMIFS('Schedule 4'!$F$89:$F$649,'Schedule 4'!$I$89:$I$649,'Well Cal.'!N$3,'Schedule 4'!$J$89:$J$649,'Well Cal.'!$E524)</f>
        <v>0</v>
      </c>
      <c r="O524" s="727">
        <f>SUMIFS('Schedule 4'!$F$89:$F$649,'Schedule 4'!$I$89:$I$649,'Well Cal.'!O$3,'Schedule 4'!$J$89:$J$649,'Well Cal.'!$E524)</f>
        <v>0</v>
      </c>
      <c r="P524" s="727">
        <f>SUMIFS('Schedule 4'!$F$89:$F$649,'Schedule 4'!$I$89:$I$649,'Well Cal.'!P$3,'Schedule 4'!$J$89:$J$649,'Well Cal.'!$E524)</f>
        <v>0</v>
      </c>
      <c r="Q524" s="727">
        <f>SUMIFS('Schedule 4'!$F$89:$F$649,'Schedule 4'!$I$89:$I$649,'Well Cal.'!Q$3,'Schedule 4'!$J$89:$J$649,'Well Cal.'!$E524)</f>
        <v>0</v>
      </c>
      <c r="R524" s="727">
        <f>SUMIFS('Schedule 4'!$F$89:$F$649,'Schedule 4'!$I$89:$I$649,'Well Cal.'!R$3,'Schedule 4'!$J$89:$J$649,'Well Cal.'!$E524)</f>
        <v>0</v>
      </c>
      <c r="S524" s="727">
        <f>SUMIFS('Schedule 4'!$F$89:$F$649,'Schedule 4'!$I$89:$I$649,'Well Cal.'!S$3,'Schedule 4'!$J$89:$J$649,'Well Cal.'!$E524)</f>
        <v>0</v>
      </c>
      <c r="T524" s="727">
        <f>SUMIFS('Schedule 4'!$F$89:$F$649,'Schedule 4'!$I$89:$I$649,'Well Cal.'!T$3,'Schedule 4'!$J$89:$J$649,'Well Cal.'!$E524)</f>
        <v>0</v>
      </c>
      <c r="U524" s="727">
        <f>SUMIFS('Schedule 4'!$F$89:$F$649,'Schedule 4'!$I$89:$I$649,'Well Cal.'!U$3,'Schedule 4'!$J$89:$J$649,'Well Cal.'!$E524)</f>
        <v>0</v>
      </c>
      <c r="V524" s="727">
        <f>SUMIFS('Schedule 4'!$F$89:$F$649,'Schedule 4'!$I$89:$I$649,'Well Cal.'!V$3,'Schedule 4'!$J$89:$J$649,'Well Cal.'!$E524)</f>
        <v>0</v>
      </c>
      <c r="W524" s="727">
        <f>SUMIFS('Schedule 4'!$F$89:$F$649,'Schedule 4'!$I$89:$I$649,'Well Cal.'!W$3,'Schedule 4'!$J$89:$J$649,'Well Cal.'!$E524)</f>
        <v>0</v>
      </c>
      <c r="X524" s="727">
        <f>SUMIFS('Schedule 4'!$F$89:$F$649,'Schedule 4'!$I$89:$I$649,'Well Cal.'!X$3,'Schedule 4'!$J$89:$J$649,'Well Cal.'!$E524)</f>
        <v>0</v>
      </c>
      <c r="Y524" s="727">
        <f>SUMIFS('Schedule 4'!$F$89:$F$649,'Schedule 4'!$I$89:$I$649,'Well Cal.'!Y$3,'Schedule 4'!$J$89:$J$649,'Well Cal.'!$E524)</f>
        <v>0</v>
      </c>
      <c r="Z524" s="727">
        <f>SUMIFS('Schedule 4'!$F$89:$F$649,'Schedule 4'!$I$89:$I$649,'Well Cal.'!Z$3,'Schedule 4'!$J$89:$J$649,'Well Cal.'!$E524)</f>
        <v>0</v>
      </c>
      <c r="AA524" s="727"/>
      <c r="AB524" s="1730"/>
      <c r="AC524" s="1730"/>
    </row>
    <row r="525" spans="2:29" x14ac:dyDescent="0.3">
      <c r="B525" s="1724"/>
      <c r="C525" s="1727"/>
      <c r="D525" s="1721"/>
      <c r="E525" s="775" t="s">
        <v>3496</v>
      </c>
      <c r="F525" s="727">
        <f>SUMIFS('Schedule 4'!$F$89:$F$649,'Schedule 4'!$I$89:$I$649,'Well Cal.'!F$3,'Schedule 4'!$J$89:$J$649,'Well Cal.'!$E525)</f>
        <v>0</v>
      </c>
      <c r="G525" s="727">
        <f>SUMIFS('Schedule 4'!$F$89:$F$649,'Schedule 4'!$I$89:$I$649,'Well Cal.'!G$3,'Schedule 4'!$J$89:$J$649,'Well Cal.'!$E525)</f>
        <v>0</v>
      </c>
      <c r="H525" s="727">
        <f>SUMIFS('Schedule 4'!$F$89:$F$649,'Schedule 4'!$I$89:$I$649,'Well Cal.'!H$3,'Schedule 4'!$J$89:$J$649,'Well Cal.'!$E525)</f>
        <v>0</v>
      </c>
      <c r="I525" s="727">
        <f>SUMIFS('Schedule 4'!$F$89:$F$649,'Schedule 4'!$I$89:$I$649,'Well Cal.'!I$3,'Schedule 4'!$J$89:$J$649,'Well Cal.'!$E525)</f>
        <v>0</v>
      </c>
      <c r="J525" s="727">
        <f>SUMIFS('Schedule 4'!$F$89:$F$649,'Schedule 4'!$I$89:$I$649,'Well Cal.'!J$3,'Schedule 4'!$J$89:$J$649,'Well Cal.'!$E525)</f>
        <v>0</v>
      </c>
      <c r="K525" s="727">
        <f>SUMIFS('Schedule 4'!$F$89:$F$649,'Schedule 4'!$I$89:$I$649,'Well Cal.'!K$3,'Schedule 4'!$J$89:$J$649,'Well Cal.'!$E525)</f>
        <v>0</v>
      </c>
      <c r="L525" s="727">
        <f>SUMIFS('Schedule 4'!$F$89:$F$649,'Schedule 4'!$I$89:$I$649,'Well Cal.'!L$3,'Schedule 4'!$J$89:$J$649,'Well Cal.'!$E525)</f>
        <v>0</v>
      </c>
      <c r="M525" s="727">
        <f>SUMIFS('Schedule 4'!$F$89:$F$649,'Schedule 4'!$I$89:$I$649,'Well Cal.'!M$3,'Schedule 4'!$J$89:$J$649,'Well Cal.'!$E525)</f>
        <v>0</v>
      </c>
      <c r="N525" s="727">
        <f>SUMIFS('Schedule 4'!$F$89:$F$649,'Schedule 4'!$I$89:$I$649,'Well Cal.'!N$3,'Schedule 4'!$J$89:$J$649,'Well Cal.'!$E525)</f>
        <v>0</v>
      </c>
      <c r="O525" s="727">
        <f>SUMIFS('Schedule 4'!$F$89:$F$649,'Schedule 4'!$I$89:$I$649,'Well Cal.'!O$3,'Schedule 4'!$J$89:$J$649,'Well Cal.'!$E525)</f>
        <v>0</v>
      </c>
      <c r="P525" s="727">
        <f>SUMIFS('Schedule 4'!$F$89:$F$649,'Schedule 4'!$I$89:$I$649,'Well Cal.'!P$3,'Schedule 4'!$J$89:$J$649,'Well Cal.'!$E525)</f>
        <v>0</v>
      </c>
      <c r="Q525" s="727">
        <f>SUMIFS('Schedule 4'!$F$89:$F$649,'Schedule 4'!$I$89:$I$649,'Well Cal.'!Q$3,'Schedule 4'!$J$89:$J$649,'Well Cal.'!$E525)</f>
        <v>0</v>
      </c>
      <c r="R525" s="727">
        <f>SUMIFS('Schedule 4'!$F$89:$F$649,'Schedule 4'!$I$89:$I$649,'Well Cal.'!R$3,'Schedule 4'!$J$89:$J$649,'Well Cal.'!$E525)</f>
        <v>0</v>
      </c>
      <c r="S525" s="727">
        <f>SUMIFS('Schedule 4'!$F$89:$F$649,'Schedule 4'!$I$89:$I$649,'Well Cal.'!S$3,'Schedule 4'!$J$89:$J$649,'Well Cal.'!$E525)</f>
        <v>0</v>
      </c>
      <c r="T525" s="727">
        <f>SUMIFS('Schedule 4'!$F$89:$F$649,'Schedule 4'!$I$89:$I$649,'Well Cal.'!T$3,'Schedule 4'!$J$89:$J$649,'Well Cal.'!$E525)</f>
        <v>0</v>
      </c>
      <c r="U525" s="727">
        <f>SUMIFS('Schedule 4'!$F$89:$F$649,'Schedule 4'!$I$89:$I$649,'Well Cal.'!U$3,'Schedule 4'!$J$89:$J$649,'Well Cal.'!$E525)</f>
        <v>0</v>
      </c>
      <c r="V525" s="727">
        <f>SUMIFS('Schedule 4'!$F$89:$F$649,'Schedule 4'!$I$89:$I$649,'Well Cal.'!V$3,'Schedule 4'!$J$89:$J$649,'Well Cal.'!$E525)</f>
        <v>0</v>
      </c>
      <c r="W525" s="727">
        <f>SUMIFS('Schedule 4'!$F$89:$F$649,'Schedule 4'!$I$89:$I$649,'Well Cal.'!W$3,'Schedule 4'!$J$89:$J$649,'Well Cal.'!$E525)</f>
        <v>0</v>
      </c>
      <c r="X525" s="727">
        <f>SUMIFS('Schedule 4'!$F$89:$F$649,'Schedule 4'!$I$89:$I$649,'Well Cal.'!X$3,'Schedule 4'!$J$89:$J$649,'Well Cal.'!$E525)</f>
        <v>0</v>
      </c>
      <c r="Y525" s="727">
        <f>SUMIFS('Schedule 4'!$F$89:$F$649,'Schedule 4'!$I$89:$I$649,'Well Cal.'!Y$3,'Schedule 4'!$J$89:$J$649,'Well Cal.'!$E525)</f>
        <v>0</v>
      </c>
      <c r="Z525" s="727">
        <f>SUMIFS('Schedule 4'!$F$89:$F$649,'Schedule 4'!$I$89:$I$649,'Well Cal.'!Z$3,'Schedule 4'!$J$89:$J$649,'Well Cal.'!$E525)</f>
        <v>0</v>
      </c>
      <c r="AA525" s="727"/>
      <c r="AB525" s="1730"/>
      <c r="AC525" s="1730"/>
    </row>
    <row r="526" spans="2:29" x14ac:dyDescent="0.3">
      <c r="B526" s="1724"/>
      <c r="C526" s="1727"/>
      <c r="D526" s="1721"/>
      <c r="E526" s="775" t="s">
        <v>3571</v>
      </c>
      <c r="F526" s="727">
        <f>SUMIFS('Schedule 4'!$F$89:$F$649,'Schedule 4'!$I$89:$I$649,'Well Cal.'!F$3,'Schedule 4'!$J$89:$J$649,'Well Cal.'!$E526)</f>
        <v>0</v>
      </c>
      <c r="G526" s="727">
        <f>SUMIFS('Schedule 4'!$F$89:$F$649,'Schedule 4'!$I$89:$I$649,'Well Cal.'!G$3,'Schedule 4'!$J$89:$J$649,'Well Cal.'!$E526)</f>
        <v>0</v>
      </c>
      <c r="H526" s="727">
        <f>SUMIFS('Schedule 4'!$F$89:$F$649,'Schedule 4'!$I$89:$I$649,'Well Cal.'!H$3,'Schedule 4'!$J$89:$J$649,'Well Cal.'!$E526)</f>
        <v>0</v>
      </c>
      <c r="I526" s="727">
        <f>SUMIFS('Schedule 4'!$F$89:$F$649,'Schedule 4'!$I$89:$I$649,'Well Cal.'!I$3,'Schedule 4'!$J$89:$J$649,'Well Cal.'!$E526)</f>
        <v>0</v>
      </c>
      <c r="J526" s="727">
        <f>SUMIFS('Schedule 4'!$F$89:$F$649,'Schedule 4'!$I$89:$I$649,'Well Cal.'!J$3,'Schedule 4'!$J$89:$J$649,'Well Cal.'!$E526)</f>
        <v>0</v>
      </c>
      <c r="K526" s="727">
        <f>SUMIFS('Schedule 4'!$F$89:$F$649,'Schedule 4'!$I$89:$I$649,'Well Cal.'!K$3,'Schedule 4'!$J$89:$J$649,'Well Cal.'!$E526)</f>
        <v>0</v>
      </c>
      <c r="L526" s="727">
        <f>SUMIFS('Schedule 4'!$F$89:$F$649,'Schedule 4'!$I$89:$I$649,'Well Cal.'!L$3,'Schedule 4'!$J$89:$J$649,'Well Cal.'!$E526)</f>
        <v>0</v>
      </c>
      <c r="M526" s="727">
        <f>SUMIFS('Schedule 4'!$F$89:$F$649,'Schedule 4'!$I$89:$I$649,'Well Cal.'!M$3,'Schedule 4'!$J$89:$J$649,'Well Cal.'!$E526)</f>
        <v>0</v>
      </c>
      <c r="N526" s="727">
        <f>SUMIFS('Schedule 4'!$F$89:$F$649,'Schedule 4'!$I$89:$I$649,'Well Cal.'!N$3,'Schedule 4'!$J$89:$J$649,'Well Cal.'!$E526)</f>
        <v>0</v>
      </c>
      <c r="O526" s="727">
        <f>SUMIFS('Schedule 4'!$F$89:$F$649,'Schedule 4'!$I$89:$I$649,'Well Cal.'!O$3,'Schedule 4'!$J$89:$J$649,'Well Cal.'!$E526)</f>
        <v>0</v>
      </c>
      <c r="P526" s="727">
        <f>SUMIFS('Schedule 4'!$F$89:$F$649,'Schedule 4'!$I$89:$I$649,'Well Cal.'!P$3,'Schedule 4'!$J$89:$J$649,'Well Cal.'!$E526)</f>
        <v>0</v>
      </c>
      <c r="Q526" s="727">
        <f>SUMIFS('Schedule 4'!$F$89:$F$649,'Schedule 4'!$I$89:$I$649,'Well Cal.'!Q$3,'Schedule 4'!$J$89:$J$649,'Well Cal.'!$E526)</f>
        <v>0</v>
      </c>
      <c r="R526" s="727">
        <f>SUMIFS('Schedule 4'!$F$89:$F$649,'Schedule 4'!$I$89:$I$649,'Well Cal.'!R$3,'Schedule 4'!$J$89:$J$649,'Well Cal.'!$E526)</f>
        <v>0</v>
      </c>
      <c r="S526" s="727">
        <f>SUMIFS('Schedule 4'!$F$89:$F$649,'Schedule 4'!$I$89:$I$649,'Well Cal.'!S$3,'Schedule 4'!$J$89:$J$649,'Well Cal.'!$E526)</f>
        <v>0</v>
      </c>
      <c r="T526" s="727">
        <f>SUMIFS('Schedule 4'!$F$89:$F$649,'Schedule 4'!$I$89:$I$649,'Well Cal.'!T$3,'Schedule 4'!$J$89:$J$649,'Well Cal.'!$E526)</f>
        <v>0</v>
      </c>
      <c r="U526" s="727">
        <f>SUMIFS('Schedule 4'!$F$89:$F$649,'Schedule 4'!$I$89:$I$649,'Well Cal.'!U$3,'Schedule 4'!$J$89:$J$649,'Well Cal.'!$E526)</f>
        <v>0</v>
      </c>
      <c r="V526" s="727">
        <f>SUMIFS('Schedule 4'!$F$89:$F$649,'Schedule 4'!$I$89:$I$649,'Well Cal.'!V$3,'Schedule 4'!$J$89:$J$649,'Well Cal.'!$E526)</f>
        <v>0</v>
      </c>
      <c r="W526" s="727">
        <f>SUMIFS('Schedule 4'!$F$89:$F$649,'Schedule 4'!$I$89:$I$649,'Well Cal.'!W$3,'Schedule 4'!$J$89:$J$649,'Well Cal.'!$E526)</f>
        <v>0</v>
      </c>
      <c r="X526" s="727">
        <f>SUMIFS('Schedule 4'!$F$89:$F$649,'Schedule 4'!$I$89:$I$649,'Well Cal.'!X$3,'Schedule 4'!$J$89:$J$649,'Well Cal.'!$E526)</f>
        <v>0</v>
      </c>
      <c r="Y526" s="727">
        <f>SUMIFS('Schedule 4'!$F$89:$F$649,'Schedule 4'!$I$89:$I$649,'Well Cal.'!Y$3,'Schedule 4'!$J$89:$J$649,'Well Cal.'!$E526)</f>
        <v>0</v>
      </c>
      <c r="Z526" s="727">
        <f>SUMIFS('Schedule 4'!$F$89:$F$649,'Schedule 4'!$I$89:$I$649,'Well Cal.'!Z$3,'Schedule 4'!$J$89:$J$649,'Well Cal.'!$E526)</f>
        <v>0</v>
      </c>
      <c r="AA526" s="727"/>
      <c r="AB526" s="1730"/>
      <c r="AC526" s="1730"/>
    </row>
    <row r="527" spans="2:29" x14ac:dyDescent="0.3">
      <c r="B527" s="1724"/>
      <c r="C527" s="1727"/>
      <c r="D527" s="1721"/>
      <c r="E527" s="775" t="s">
        <v>3646</v>
      </c>
      <c r="F527" s="727">
        <f>SUMIFS('Schedule 4'!$F$89:$F$649,'Schedule 4'!$I$89:$I$649,'Well Cal.'!F$3,'Schedule 4'!$J$89:$J$649,'Well Cal.'!$E527)</f>
        <v>0</v>
      </c>
      <c r="G527" s="727">
        <f>SUMIFS('Schedule 4'!$F$89:$F$649,'Schedule 4'!$I$89:$I$649,'Well Cal.'!G$3,'Schedule 4'!$J$89:$J$649,'Well Cal.'!$E527)</f>
        <v>0</v>
      </c>
      <c r="H527" s="727">
        <f>SUMIFS('Schedule 4'!$F$89:$F$649,'Schedule 4'!$I$89:$I$649,'Well Cal.'!H$3,'Schedule 4'!$J$89:$J$649,'Well Cal.'!$E527)</f>
        <v>0</v>
      </c>
      <c r="I527" s="727">
        <f>SUMIFS('Schedule 4'!$F$89:$F$649,'Schedule 4'!$I$89:$I$649,'Well Cal.'!I$3,'Schedule 4'!$J$89:$J$649,'Well Cal.'!$E527)</f>
        <v>0</v>
      </c>
      <c r="J527" s="727">
        <f>SUMIFS('Schedule 4'!$F$89:$F$649,'Schedule 4'!$I$89:$I$649,'Well Cal.'!J$3,'Schedule 4'!$J$89:$J$649,'Well Cal.'!$E527)</f>
        <v>0</v>
      </c>
      <c r="K527" s="727">
        <f>SUMIFS('Schedule 4'!$F$89:$F$649,'Schedule 4'!$I$89:$I$649,'Well Cal.'!K$3,'Schedule 4'!$J$89:$J$649,'Well Cal.'!$E527)</f>
        <v>0</v>
      </c>
      <c r="L527" s="727">
        <f>SUMIFS('Schedule 4'!$F$89:$F$649,'Schedule 4'!$I$89:$I$649,'Well Cal.'!L$3,'Schedule 4'!$J$89:$J$649,'Well Cal.'!$E527)</f>
        <v>0</v>
      </c>
      <c r="M527" s="727">
        <f>SUMIFS('Schedule 4'!$F$89:$F$649,'Schedule 4'!$I$89:$I$649,'Well Cal.'!M$3,'Schedule 4'!$J$89:$J$649,'Well Cal.'!$E527)</f>
        <v>0</v>
      </c>
      <c r="N527" s="727">
        <f>SUMIFS('Schedule 4'!$F$89:$F$649,'Schedule 4'!$I$89:$I$649,'Well Cal.'!N$3,'Schedule 4'!$J$89:$J$649,'Well Cal.'!$E527)</f>
        <v>0</v>
      </c>
      <c r="O527" s="727">
        <f>SUMIFS('Schedule 4'!$F$89:$F$649,'Schedule 4'!$I$89:$I$649,'Well Cal.'!O$3,'Schedule 4'!$J$89:$J$649,'Well Cal.'!$E527)</f>
        <v>0</v>
      </c>
      <c r="P527" s="727">
        <f>SUMIFS('Schedule 4'!$F$89:$F$649,'Schedule 4'!$I$89:$I$649,'Well Cal.'!P$3,'Schedule 4'!$J$89:$J$649,'Well Cal.'!$E527)</f>
        <v>0</v>
      </c>
      <c r="Q527" s="727">
        <f>SUMIFS('Schedule 4'!$F$89:$F$649,'Schedule 4'!$I$89:$I$649,'Well Cal.'!Q$3,'Schedule 4'!$J$89:$J$649,'Well Cal.'!$E527)</f>
        <v>0</v>
      </c>
      <c r="R527" s="727">
        <f>SUMIFS('Schedule 4'!$F$89:$F$649,'Schedule 4'!$I$89:$I$649,'Well Cal.'!R$3,'Schedule 4'!$J$89:$J$649,'Well Cal.'!$E527)</f>
        <v>0</v>
      </c>
      <c r="S527" s="727">
        <f>SUMIFS('Schedule 4'!$F$89:$F$649,'Schedule 4'!$I$89:$I$649,'Well Cal.'!S$3,'Schedule 4'!$J$89:$J$649,'Well Cal.'!$E527)</f>
        <v>0</v>
      </c>
      <c r="T527" s="727">
        <f>SUMIFS('Schedule 4'!$F$89:$F$649,'Schedule 4'!$I$89:$I$649,'Well Cal.'!T$3,'Schedule 4'!$J$89:$J$649,'Well Cal.'!$E527)</f>
        <v>0</v>
      </c>
      <c r="U527" s="727">
        <f>SUMIFS('Schedule 4'!$F$89:$F$649,'Schedule 4'!$I$89:$I$649,'Well Cal.'!U$3,'Schedule 4'!$J$89:$J$649,'Well Cal.'!$E527)</f>
        <v>0</v>
      </c>
      <c r="V527" s="727">
        <f>SUMIFS('Schedule 4'!$F$89:$F$649,'Schedule 4'!$I$89:$I$649,'Well Cal.'!V$3,'Schedule 4'!$J$89:$J$649,'Well Cal.'!$E527)</f>
        <v>0</v>
      </c>
      <c r="W527" s="727">
        <f>SUMIFS('Schedule 4'!$F$89:$F$649,'Schedule 4'!$I$89:$I$649,'Well Cal.'!W$3,'Schedule 4'!$J$89:$J$649,'Well Cal.'!$E527)</f>
        <v>0</v>
      </c>
      <c r="X527" s="727">
        <f>SUMIFS('Schedule 4'!$F$89:$F$649,'Schedule 4'!$I$89:$I$649,'Well Cal.'!X$3,'Schedule 4'!$J$89:$J$649,'Well Cal.'!$E527)</f>
        <v>0</v>
      </c>
      <c r="Y527" s="727">
        <f>SUMIFS('Schedule 4'!$F$89:$F$649,'Schedule 4'!$I$89:$I$649,'Well Cal.'!Y$3,'Schedule 4'!$J$89:$J$649,'Well Cal.'!$E527)</f>
        <v>0</v>
      </c>
      <c r="Z527" s="727">
        <f>SUMIFS('Schedule 4'!$F$89:$F$649,'Schedule 4'!$I$89:$I$649,'Well Cal.'!Z$3,'Schedule 4'!$J$89:$J$649,'Well Cal.'!$E527)</f>
        <v>0</v>
      </c>
      <c r="AA527" s="727"/>
      <c r="AB527" s="1730"/>
      <c r="AC527" s="1730"/>
    </row>
    <row r="528" spans="2:29" x14ac:dyDescent="0.3">
      <c r="B528" s="1724"/>
      <c r="C528" s="1727"/>
      <c r="D528" s="1721"/>
      <c r="E528" s="775" t="s">
        <v>3718</v>
      </c>
      <c r="F528" s="727">
        <f>SUMIFS('Schedule 4'!$F$89:$F$649,'Schedule 4'!$I$89:$I$649,'Well Cal.'!F$3,'Schedule 4'!$J$89:$J$649,'Well Cal.'!$E528)</f>
        <v>0</v>
      </c>
      <c r="G528" s="727">
        <f>SUMIFS('Schedule 4'!$F$89:$F$649,'Schedule 4'!$I$89:$I$649,'Well Cal.'!G$3,'Schedule 4'!$J$89:$J$649,'Well Cal.'!$E528)</f>
        <v>0</v>
      </c>
      <c r="H528" s="727">
        <f>SUMIFS('Schedule 4'!$F$89:$F$649,'Schedule 4'!$I$89:$I$649,'Well Cal.'!H$3,'Schedule 4'!$J$89:$J$649,'Well Cal.'!$E528)</f>
        <v>0</v>
      </c>
      <c r="I528" s="727">
        <f>SUMIFS('Schedule 4'!$F$89:$F$649,'Schedule 4'!$I$89:$I$649,'Well Cal.'!I$3,'Schedule 4'!$J$89:$J$649,'Well Cal.'!$E528)</f>
        <v>0</v>
      </c>
      <c r="J528" s="727">
        <f>SUMIFS('Schedule 4'!$F$89:$F$649,'Schedule 4'!$I$89:$I$649,'Well Cal.'!J$3,'Schedule 4'!$J$89:$J$649,'Well Cal.'!$E528)</f>
        <v>0</v>
      </c>
      <c r="K528" s="727">
        <f>SUMIFS('Schedule 4'!$F$89:$F$649,'Schedule 4'!$I$89:$I$649,'Well Cal.'!K$3,'Schedule 4'!$J$89:$J$649,'Well Cal.'!$E528)</f>
        <v>0</v>
      </c>
      <c r="L528" s="727">
        <f>SUMIFS('Schedule 4'!$F$89:$F$649,'Schedule 4'!$I$89:$I$649,'Well Cal.'!L$3,'Schedule 4'!$J$89:$J$649,'Well Cal.'!$E528)</f>
        <v>0</v>
      </c>
      <c r="M528" s="727">
        <f>SUMIFS('Schedule 4'!$F$89:$F$649,'Schedule 4'!$I$89:$I$649,'Well Cal.'!M$3,'Schedule 4'!$J$89:$J$649,'Well Cal.'!$E528)</f>
        <v>0</v>
      </c>
      <c r="N528" s="727">
        <f>SUMIFS('Schedule 4'!$F$89:$F$649,'Schedule 4'!$I$89:$I$649,'Well Cal.'!N$3,'Schedule 4'!$J$89:$J$649,'Well Cal.'!$E528)</f>
        <v>0</v>
      </c>
      <c r="O528" s="727">
        <f>SUMIFS('Schedule 4'!$F$89:$F$649,'Schedule 4'!$I$89:$I$649,'Well Cal.'!O$3,'Schedule 4'!$J$89:$J$649,'Well Cal.'!$E528)</f>
        <v>0</v>
      </c>
      <c r="P528" s="727">
        <f>SUMIFS('Schedule 4'!$F$89:$F$649,'Schedule 4'!$I$89:$I$649,'Well Cal.'!P$3,'Schedule 4'!$J$89:$J$649,'Well Cal.'!$E528)</f>
        <v>0</v>
      </c>
      <c r="Q528" s="727">
        <f>SUMIFS('Schedule 4'!$F$89:$F$649,'Schedule 4'!$I$89:$I$649,'Well Cal.'!Q$3,'Schedule 4'!$J$89:$J$649,'Well Cal.'!$E528)</f>
        <v>0</v>
      </c>
      <c r="R528" s="727">
        <f>SUMIFS('Schedule 4'!$F$89:$F$649,'Schedule 4'!$I$89:$I$649,'Well Cal.'!R$3,'Schedule 4'!$J$89:$J$649,'Well Cal.'!$E528)</f>
        <v>0</v>
      </c>
      <c r="S528" s="727">
        <f>SUMIFS('Schedule 4'!$F$89:$F$649,'Schedule 4'!$I$89:$I$649,'Well Cal.'!S$3,'Schedule 4'!$J$89:$J$649,'Well Cal.'!$E528)</f>
        <v>0</v>
      </c>
      <c r="T528" s="727">
        <f>SUMIFS('Schedule 4'!$F$89:$F$649,'Schedule 4'!$I$89:$I$649,'Well Cal.'!T$3,'Schedule 4'!$J$89:$J$649,'Well Cal.'!$E528)</f>
        <v>0</v>
      </c>
      <c r="U528" s="727">
        <f>SUMIFS('Schedule 4'!$F$89:$F$649,'Schedule 4'!$I$89:$I$649,'Well Cal.'!U$3,'Schedule 4'!$J$89:$J$649,'Well Cal.'!$E528)</f>
        <v>0</v>
      </c>
      <c r="V528" s="727">
        <f>SUMIFS('Schedule 4'!$F$89:$F$649,'Schedule 4'!$I$89:$I$649,'Well Cal.'!V$3,'Schedule 4'!$J$89:$J$649,'Well Cal.'!$E528)</f>
        <v>0</v>
      </c>
      <c r="W528" s="727">
        <f>SUMIFS('Schedule 4'!$F$89:$F$649,'Schedule 4'!$I$89:$I$649,'Well Cal.'!W$3,'Schedule 4'!$J$89:$J$649,'Well Cal.'!$E528)</f>
        <v>0</v>
      </c>
      <c r="X528" s="727">
        <f>SUMIFS('Schedule 4'!$F$89:$F$649,'Schedule 4'!$I$89:$I$649,'Well Cal.'!X$3,'Schedule 4'!$J$89:$J$649,'Well Cal.'!$E528)</f>
        <v>0</v>
      </c>
      <c r="Y528" s="727">
        <f>SUMIFS('Schedule 4'!$F$89:$F$649,'Schedule 4'!$I$89:$I$649,'Well Cal.'!Y$3,'Schedule 4'!$J$89:$J$649,'Well Cal.'!$E528)</f>
        <v>0</v>
      </c>
      <c r="Z528" s="727">
        <f>SUMIFS('Schedule 4'!$F$89:$F$649,'Schedule 4'!$I$89:$I$649,'Well Cal.'!Z$3,'Schedule 4'!$J$89:$J$649,'Well Cal.'!$E528)</f>
        <v>0</v>
      </c>
      <c r="AA528" s="727"/>
      <c r="AB528" s="1731"/>
      <c r="AC528" s="1731"/>
    </row>
    <row r="529" spans="2:29" x14ac:dyDescent="0.3">
      <c r="B529" s="1724"/>
      <c r="C529" s="1727"/>
      <c r="D529" s="1721"/>
      <c r="E529" s="775" t="s">
        <v>3783</v>
      </c>
      <c r="F529" s="727">
        <f>SUMIFS('Schedule 4'!$F$89:$F$649,'Schedule 4'!$I$89:$I$649,'Well Cal.'!F$3,'Schedule 4'!$J$89:$J$649,'Well Cal.'!$E529)</f>
        <v>0</v>
      </c>
      <c r="G529" s="727">
        <f>SUMIFS('Schedule 4'!$F$89:$F$649,'Schedule 4'!$I$89:$I$649,'Well Cal.'!G$3,'Schedule 4'!$J$89:$J$649,'Well Cal.'!$E529)</f>
        <v>0</v>
      </c>
      <c r="H529" s="727">
        <f>SUMIFS('Schedule 4'!$F$89:$F$649,'Schedule 4'!$I$89:$I$649,'Well Cal.'!H$3,'Schedule 4'!$J$89:$J$649,'Well Cal.'!$E529)</f>
        <v>0</v>
      </c>
      <c r="I529" s="727">
        <f>SUMIFS('Schedule 4'!$F$89:$F$649,'Schedule 4'!$I$89:$I$649,'Well Cal.'!I$3,'Schedule 4'!$J$89:$J$649,'Well Cal.'!$E529)</f>
        <v>0</v>
      </c>
      <c r="J529" s="727">
        <f>SUMIFS('Schedule 4'!$F$89:$F$649,'Schedule 4'!$I$89:$I$649,'Well Cal.'!J$3,'Schedule 4'!$J$89:$J$649,'Well Cal.'!$E529)</f>
        <v>0</v>
      </c>
      <c r="K529" s="727">
        <f>SUMIFS('Schedule 4'!$F$89:$F$649,'Schedule 4'!$I$89:$I$649,'Well Cal.'!K$3,'Schedule 4'!$J$89:$J$649,'Well Cal.'!$E529)</f>
        <v>0</v>
      </c>
      <c r="L529" s="727">
        <f>SUMIFS('Schedule 4'!$F$89:$F$649,'Schedule 4'!$I$89:$I$649,'Well Cal.'!L$3,'Schedule 4'!$J$89:$J$649,'Well Cal.'!$E529)</f>
        <v>0</v>
      </c>
      <c r="M529" s="727">
        <f>SUMIFS('Schedule 4'!$F$89:$F$649,'Schedule 4'!$I$89:$I$649,'Well Cal.'!M$3,'Schedule 4'!$J$89:$J$649,'Well Cal.'!$E529)</f>
        <v>0</v>
      </c>
      <c r="N529" s="727">
        <f>SUMIFS('Schedule 4'!$F$89:$F$649,'Schedule 4'!$I$89:$I$649,'Well Cal.'!N$3,'Schedule 4'!$J$89:$J$649,'Well Cal.'!$E529)</f>
        <v>0</v>
      </c>
      <c r="O529" s="727">
        <f>SUMIFS('Schedule 4'!$F$89:$F$649,'Schedule 4'!$I$89:$I$649,'Well Cal.'!O$3,'Schedule 4'!$J$89:$J$649,'Well Cal.'!$E529)</f>
        <v>0</v>
      </c>
      <c r="P529" s="727">
        <f>SUMIFS('Schedule 4'!$F$89:$F$649,'Schedule 4'!$I$89:$I$649,'Well Cal.'!P$3,'Schedule 4'!$J$89:$J$649,'Well Cal.'!$E529)</f>
        <v>0</v>
      </c>
      <c r="Q529" s="727">
        <f>SUMIFS('Schedule 4'!$F$89:$F$649,'Schedule 4'!$I$89:$I$649,'Well Cal.'!Q$3,'Schedule 4'!$J$89:$J$649,'Well Cal.'!$E529)</f>
        <v>0</v>
      </c>
      <c r="R529" s="727">
        <f>SUMIFS('Schedule 4'!$F$89:$F$649,'Schedule 4'!$I$89:$I$649,'Well Cal.'!R$3,'Schedule 4'!$J$89:$J$649,'Well Cal.'!$E529)</f>
        <v>0</v>
      </c>
      <c r="S529" s="727">
        <f>SUMIFS('Schedule 4'!$F$89:$F$649,'Schedule 4'!$I$89:$I$649,'Well Cal.'!S$3,'Schedule 4'!$J$89:$J$649,'Well Cal.'!$E529)</f>
        <v>0</v>
      </c>
      <c r="T529" s="727">
        <f>SUMIFS('Schedule 4'!$F$89:$F$649,'Schedule 4'!$I$89:$I$649,'Well Cal.'!T$3,'Schedule 4'!$J$89:$J$649,'Well Cal.'!$E529)</f>
        <v>0</v>
      </c>
      <c r="U529" s="727">
        <f>SUMIFS('Schedule 4'!$F$89:$F$649,'Schedule 4'!$I$89:$I$649,'Well Cal.'!U$3,'Schedule 4'!$J$89:$J$649,'Well Cal.'!$E529)</f>
        <v>0</v>
      </c>
      <c r="V529" s="727">
        <f>SUMIFS('Schedule 4'!$F$89:$F$649,'Schedule 4'!$I$89:$I$649,'Well Cal.'!V$3,'Schedule 4'!$J$89:$J$649,'Well Cal.'!$E529)</f>
        <v>0</v>
      </c>
      <c r="W529" s="727">
        <f>SUMIFS('Schedule 4'!$F$89:$F$649,'Schedule 4'!$I$89:$I$649,'Well Cal.'!W$3,'Schedule 4'!$J$89:$J$649,'Well Cal.'!$E529)</f>
        <v>0</v>
      </c>
      <c r="X529" s="727">
        <f>SUMIFS('Schedule 4'!$F$89:$F$649,'Schedule 4'!$I$89:$I$649,'Well Cal.'!X$3,'Schedule 4'!$J$89:$J$649,'Well Cal.'!$E529)</f>
        <v>0</v>
      </c>
      <c r="Y529" s="727">
        <f>SUMIFS('Schedule 4'!$F$89:$F$649,'Schedule 4'!$I$89:$I$649,'Well Cal.'!Y$3,'Schedule 4'!$J$89:$J$649,'Well Cal.'!$E529)</f>
        <v>0</v>
      </c>
      <c r="Z529" s="727">
        <f>SUMIFS('Schedule 4'!$F$89:$F$649,'Schedule 4'!$I$89:$I$649,'Well Cal.'!Z$3,'Schedule 4'!$J$89:$J$649,'Well Cal.'!$E529)</f>
        <v>0</v>
      </c>
      <c r="AA529" s="727"/>
      <c r="AB529" s="1731"/>
      <c r="AC529" s="1731"/>
    </row>
    <row r="530" spans="2:29" x14ac:dyDescent="0.3">
      <c r="B530" s="1724"/>
      <c r="C530" s="1727"/>
      <c r="D530" s="1721"/>
      <c r="E530" s="775" t="s">
        <v>3852</v>
      </c>
      <c r="F530" s="727">
        <f>SUMIFS('Schedule 4'!$F$89:$F$649,'Schedule 4'!$I$89:$I$649,'Well Cal.'!F$3,'Schedule 4'!$J$89:$J$649,'Well Cal.'!$E530)</f>
        <v>0</v>
      </c>
      <c r="G530" s="727">
        <f>SUMIFS('Schedule 4'!$F$89:$F$649,'Schedule 4'!$I$89:$I$649,'Well Cal.'!G$3,'Schedule 4'!$J$89:$J$649,'Well Cal.'!$E530)</f>
        <v>0</v>
      </c>
      <c r="H530" s="727">
        <f>SUMIFS('Schedule 4'!$F$89:$F$649,'Schedule 4'!$I$89:$I$649,'Well Cal.'!H$3,'Schedule 4'!$J$89:$J$649,'Well Cal.'!$E530)</f>
        <v>0</v>
      </c>
      <c r="I530" s="727">
        <f>SUMIFS('Schedule 4'!$F$89:$F$649,'Schedule 4'!$I$89:$I$649,'Well Cal.'!I$3,'Schedule 4'!$J$89:$J$649,'Well Cal.'!$E530)</f>
        <v>0</v>
      </c>
      <c r="J530" s="727">
        <f>SUMIFS('Schedule 4'!$F$89:$F$649,'Schedule 4'!$I$89:$I$649,'Well Cal.'!J$3,'Schedule 4'!$J$89:$J$649,'Well Cal.'!$E530)</f>
        <v>0</v>
      </c>
      <c r="K530" s="727">
        <f>SUMIFS('Schedule 4'!$F$89:$F$649,'Schedule 4'!$I$89:$I$649,'Well Cal.'!K$3,'Schedule 4'!$J$89:$J$649,'Well Cal.'!$E530)</f>
        <v>0</v>
      </c>
      <c r="L530" s="727">
        <f>SUMIFS('Schedule 4'!$F$89:$F$649,'Schedule 4'!$I$89:$I$649,'Well Cal.'!L$3,'Schedule 4'!$J$89:$J$649,'Well Cal.'!$E530)</f>
        <v>0</v>
      </c>
      <c r="M530" s="727">
        <f>SUMIFS('Schedule 4'!$F$89:$F$649,'Schedule 4'!$I$89:$I$649,'Well Cal.'!M$3,'Schedule 4'!$J$89:$J$649,'Well Cal.'!$E530)</f>
        <v>0</v>
      </c>
      <c r="N530" s="727">
        <f>SUMIFS('Schedule 4'!$F$89:$F$649,'Schedule 4'!$I$89:$I$649,'Well Cal.'!N$3,'Schedule 4'!$J$89:$J$649,'Well Cal.'!$E530)</f>
        <v>0</v>
      </c>
      <c r="O530" s="727">
        <f>SUMIFS('Schedule 4'!$F$89:$F$649,'Schedule 4'!$I$89:$I$649,'Well Cal.'!O$3,'Schedule 4'!$J$89:$J$649,'Well Cal.'!$E530)</f>
        <v>0</v>
      </c>
      <c r="P530" s="727">
        <f>SUMIFS('Schedule 4'!$F$89:$F$649,'Schedule 4'!$I$89:$I$649,'Well Cal.'!P$3,'Schedule 4'!$J$89:$J$649,'Well Cal.'!$E530)</f>
        <v>0</v>
      </c>
      <c r="Q530" s="727">
        <f>SUMIFS('Schedule 4'!$F$89:$F$649,'Schedule 4'!$I$89:$I$649,'Well Cal.'!Q$3,'Schedule 4'!$J$89:$J$649,'Well Cal.'!$E530)</f>
        <v>0</v>
      </c>
      <c r="R530" s="727">
        <f>SUMIFS('Schedule 4'!$F$89:$F$649,'Schedule 4'!$I$89:$I$649,'Well Cal.'!R$3,'Schedule 4'!$J$89:$J$649,'Well Cal.'!$E530)</f>
        <v>0</v>
      </c>
      <c r="S530" s="727">
        <f>SUMIFS('Schedule 4'!$F$89:$F$649,'Schedule 4'!$I$89:$I$649,'Well Cal.'!S$3,'Schedule 4'!$J$89:$J$649,'Well Cal.'!$E530)</f>
        <v>0</v>
      </c>
      <c r="T530" s="727">
        <f>SUMIFS('Schedule 4'!$F$89:$F$649,'Schedule 4'!$I$89:$I$649,'Well Cal.'!T$3,'Schedule 4'!$J$89:$J$649,'Well Cal.'!$E530)</f>
        <v>0</v>
      </c>
      <c r="U530" s="727">
        <f>SUMIFS('Schedule 4'!$F$89:$F$649,'Schedule 4'!$I$89:$I$649,'Well Cal.'!U$3,'Schedule 4'!$J$89:$J$649,'Well Cal.'!$E530)</f>
        <v>0</v>
      </c>
      <c r="V530" s="727">
        <f>SUMIFS('Schedule 4'!$F$89:$F$649,'Schedule 4'!$I$89:$I$649,'Well Cal.'!V$3,'Schedule 4'!$J$89:$J$649,'Well Cal.'!$E530)</f>
        <v>0</v>
      </c>
      <c r="W530" s="727">
        <f>SUMIFS('Schedule 4'!$F$89:$F$649,'Schedule 4'!$I$89:$I$649,'Well Cal.'!W$3,'Schedule 4'!$J$89:$J$649,'Well Cal.'!$E530)</f>
        <v>0</v>
      </c>
      <c r="X530" s="727">
        <f>SUMIFS('Schedule 4'!$F$89:$F$649,'Schedule 4'!$I$89:$I$649,'Well Cal.'!X$3,'Schedule 4'!$J$89:$J$649,'Well Cal.'!$E530)</f>
        <v>0</v>
      </c>
      <c r="Y530" s="727">
        <f>SUMIFS('Schedule 4'!$F$89:$F$649,'Schedule 4'!$I$89:$I$649,'Well Cal.'!Y$3,'Schedule 4'!$J$89:$J$649,'Well Cal.'!$E530)</f>
        <v>0</v>
      </c>
      <c r="Z530" s="727">
        <f>SUMIFS('Schedule 4'!$F$89:$F$649,'Schedule 4'!$I$89:$I$649,'Well Cal.'!Z$3,'Schedule 4'!$J$89:$J$649,'Well Cal.'!$E530)</f>
        <v>0</v>
      </c>
      <c r="AA530" s="727"/>
      <c r="AB530" s="1731"/>
      <c r="AC530" s="1731"/>
    </row>
    <row r="531" spans="2:29" x14ac:dyDescent="0.3">
      <c r="B531" s="1724"/>
      <c r="C531" s="1727"/>
      <c r="D531" s="1721"/>
      <c r="E531" s="775" t="s">
        <v>3920</v>
      </c>
      <c r="F531" s="727">
        <f>SUMIFS('Schedule 4'!$F$89:$F$649,'Schedule 4'!$I$89:$I$649,'Well Cal.'!F$3,'Schedule 4'!$J$89:$J$649,'Well Cal.'!$E531)</f>
        <v>0</v>
      </c>
      <c r="G531" s="727">
        <f>SUMIFS('Schedule 4'!$F$89:$F$649,'Schedule 4'!$I$89:$I$649,'Well Cal.'!G$3,'Schedule 4'!$J$89:$J$649,'Well Cal.'!$E531)</f>
        <v>0</v>
      </c>
      <c r="H531" s="727">
        <f>SUMIFS('Schedule 4'!$F$89:$F$649,'Schedule 4'!$I$89:$I$649,'Well Cal.'!H$3,'Schedule 4'!$J$89:$J$649,'Well Cal.'!$E531)</f>
        <v>0</v>
      </c>
      <c r="I531" s="727">
        <f>SUMIFS('Schedule 4'!$F$89:$F$649,'Schedule 4'!$I$89:$I$649,'Well Cal.'!I$3,'Schedule 4'!$J$89:$J$649,'Well Cal.'!$E531)</f>
        <v>0</v>
      </c>
      <c r="J531" s="727">
        <f>SUMIFS('Schedule 4'!$F$89:$F$649,'Schedule 4'!$I$89:$I$649,'Well Cal.'!J$3,'Schedule 4'!$J$89:$J$649,'Well Cal.'!$E531)</f>
        <v>0</v>
      </c>
      <c r="K531" s="727">
        <f>SUMIFS('Schedule 4'!$F$89:$F$649,'Schedule 4'!$I$89:$I$649,'Well Cal.'!K$3,'Schedule 4'!$J$89:$J$649,'Well Cal.'!$E531)</f>
        <v>0</v>
      </c>
      <c r="L531" s="727">
        <f>SUMIFS('Schedule 4'!$F$89:$F$649,'Schedule 4'!$I$89:$I$649,'Well Cal.'!L$3,'Schedule 4'!$J$89:$J$649,'Well Cal.'!$E531)</f>
        <v>0</v>
      </c>
      <c r="M531" s="727">
        <f>SUMIFS('Schedule 4'!$F$89:$F$649,'Schedule 4'!$I$89:$I$649,'Well Cal.'!M$3,'Schedule 4'!$J$89:$J$649,'Well Cal.'!$E531)</f>
        <v>0</v>
      </c>
      <c r="N531" s="727">
        <f>SUMIFS('Schedule 4'!$F$89:$F$649,'Schedule 4'!$I$89:$I$649,'Well Cal.'!N$3,'Schedule 4'!$J$89:$J$649,'Well Cal.'!$E531)</f>
        <v>0</v>
      </c>
      <c r="O531" s="727">
        <f>SUMIFS('Schedule 4'!$F$89:$F$649,'Schedule 4'!$I$89:$I$649,'Well Cal.'!O$3,'Schedule 4'!$J$89:$J$649,'Well Cal.'!$E531)</f>
        <v>0</v>
      </c>
      <c r="P531" s="727">
        <f>SUMIFS('Schedule 4'!$F$89:$F$649,'Schedule 4'!$I$89:$I$649,'Well Cal.'!P$3,'Schedule 4'!$J$89:$J$649,'Well Cal.'!$E531)</f>
        <v>0</v>
      </c>
      <c r="Q531" s="727">
        <f>SUMIFS('Schedule 4'!$F$89:$F$649,'Schedule 4'!$I$89:$I$649,'Well Cal.'!Q$3,'Schedule 4'!$J$89:$J$649,'Well Cal.'!$E531)</f>
        <v>0</v>
      </c>
      <c r="R531" s="727">
        <f>SUMIFS('Schedule 4'!$F$89:$F$649,'Schedule 4'!$I$89:$I$649,'Well Cal.'!R$3,'Schedule 4'!$J$89:$J$649,'Well Cal.'!$E531)</f>
        <v>0</v>
      </c>
      <c r="S531" s="727">
        <f>SUMIFS('Schedule 4'!$F$89:$F$649,'Schedule 4'!$I$89:$I$649,'Well Cal.'!S$3,'Schedule 4'!$J$89:$J$649,'Well Cal.'!$E531)</f>
        <v>0</v>
      </c>
      <c r="T531" s="727">
        <f>SUMIFS('Schedule 4'!$F$89:$F$649,'Schedule 4'!$I$89:$I$649,'Well Cal.'!T$3,'Schedule 4'!$J$89:$J$649,'Well Cal.'!$E531)</f>
        <v>0</v>
      </c>
      <c r="U531" s="727">
        <f>SUMIFS('Schedule 4'!$F$89:$F$649,'Schedule 4'!$I$89:$I$649,'Well Cal.'!U$3,'Schedule 4'!$J$89:$J$649,'Well Cal.'!$E531)</f>
        <v>0</v>
      </c>
      <c r="V531" s="727">
        <f>SUMIFS('Schedule 4'!$F$89:$F$649,'Schedule 4'!$I$89:$I$649,'Well Cal.'!V$3,'Schedule 4'!$J$89:$J$649,'Well Cal.'!$E531)</f>
        <v>0</v>
      </c>
      <c r="W531" s="727">
        <f>SUMIFS('Schedule 4'!$F$89:$F$649,'Schedule 4'!$I$89:$I$649,'Well Cal.'!W$3,'Schedule 4'!$J$89:$J$649,'Well Cal.'!$E531)</f>
        <v>0</v>
      </c>
      <c r="X531" s="727">
        <f>SUMIFS('Schedule 4'!$F$89:$F$649,'Schedule 4'!$I$89:$I$649,'Well Cal.'!X$3,'Schedule 4'!$J$89:$J$649,'Well Cal.'!$E531)</f>
        <v>0</v>
      </c>
      <c r="Y531" s="727">
        <f>SUMIFS('Schedule 4'!$F$89:$F$649,'Schedule 4'!$I$89:$I$649,'Well Cal.'!Y$3,'Schedule 4'!$J$89:$J$649,'Well Cal.'!$E531)</f>
        <v>0</v>
      </c>
      <c r="Z531" s="727">
        <f>SUMIFS('Schedule 4'!$F$89:$F$649,'Schedule 4'!$I$89:$I$649,'Well Cal.'!Z$3,'Schedule 4'!$J$89:$J$649,'Well Cal.'!$E531)</f>
        <v>0</v>
      </c>
      <c r="AA531" s="727"/>
      <c r="AB531" s="1731"/>
      <c r="AC531" s="1731"/>
    </row>
    <row r="532" spans="2:29" x14ac:dyDescent="0.3">
      <c r="B532" s="1724"/>
      <c r="C532" s="1727"/>
      <c r="D532" s="1721"/>
      <c r="E532" s="775" t="s">
        <v>3986</v>
      </c>
      <c r="F532" s="727">
        <f>SUMIFS('Schedule 4'!$F$89:$F$649,'Schedule 4'!$I$89:$I$649,'Well Cal.'!F$3,'Schedule 4'!$J$89:$J$649,'Well Cal.'!$E532)</f>
        <v>0</v>
      </c>
      <c r="G532" s="727">
        <f>SUMIFS('Schedule 4'!$F$89:$F$649,'Schedule 4'!$I$89:$I$649,'Well Cal.'!G$3,'Schedule 4'!$J$89:$J$649,'Well Cal.'!$E532)</f>
        <v>0</v>
      </c>
      <c r="H532" s="727">
        <f>SUMIFS('Schedule 4'!$F$89:$F$649,'Schedule 4'!$I$89:$I$649,'Well Cal.'!H$3,'Schedule 4'!$J$89:$J$649,'Well Cal.'!$E532)</f>
        <v>0</v>
      </c>
      <c r="I532" s="727">
        <f>SUMIFS('Schedule 4'!$F$89:$F$649,'Schedule 4'!$I$89:$I$649,'Well Cal.'!I$3,'Schedule 4'!$J$89:$J$649,'Well Cal.'!$E532)</f>
        <v>0</v>
      </c>
      <c r="J532" s="727">
        <f>SUMIFS('Schedule 4'!$F$89:$F$649,'Schedule 4'!$I$89:$I$649,'Well Cal.'!J$3,'Schedule 4'!$J$89:$J$649,'Well Cal.'!$E532)</f>
        <v>0</v>
      </c>
      <c r="K532" s="727">
        <f>SUMIFS('Schedule 4'!$F$89:$F$649,'Schedule 4'!$I$89:$I$649,'Well Cal.'!K$3,'Schedule 4'!$J$89:$J$649,'Well Cal.'!$E532)</f>
        <v>0</v>
      </c>
      <c r="L532" s="727">
        <f>SUMIFS('Schedule 4'!$F$89:$F$649,'Schedule 4'!$I$89:$I$649,'Well Cal.'!L$3,'Schedule 4'!$J$89:$J$649,'Well Cal.'!$E532)</f>
        <v>0</v>
      </c>
      <c r="M532" s="727">
        <f>SUMIFS('Schedule 4'!$F$89:$F$649,'Schedule 4'!$I$89:$I$649,'Well Cal.'!M$3,'Schedule 4'!$J$89:$J$649,'Well Cal.'!$E532)</f>
        <v>0</v>
      </c>
      <c r="N532" s="727">
        <f>SUMIFS('Schedule 4'!$F$89:$F$649,'Schedule 4'!$I$89:$I$649,'Well Cal.'!N$3,'Schedule 4'!$J$89:$J$649,'Well Cal.'!$E532)</f>
        <v>0</v>
      </c>
      <c r="O532" s="727">
        <f>SUMIFS('Schedule 4'!$F$89:$F$649,'Schedule 4'!$I$89:$I$649,'Well Cal.'!O$3,'Schedule 4'!$J$89:$J$649,'Well Cal.'!$E532)</f>
        <v>0</v>
      </c>
      <c r="P532" s="727">
        <f>SUMIFS('Schedule 4'!$F$89:$F$649,'Schedule 4'!$I$89:$I$649,'Well Cal.'!P$3,'Schedule 4'!$J$89:$J$649,'Well Cal.'!$E532)</f>
        <v>0</v>
      </c>
      <c r="Q532" s="727">
        <f>SUMIFS('Schedule 4'!$F$89:$F$649,'Schedule 4'!$I$89:$I$649,'Well Cal.'!Q$3,'Schedule 4'!$J$89:$J$649,'Well Cal.'!$E532)</f>
        <v>0</v>
      </c>
      <c r="R532" s="727">
        <f>SUMIFS('Schedule 4'!$F$89:$F$649,'Schedule 4'!$I$89:$I$649,'Well Cal.'!R$3,'Schedule 4'!$J$89:$J$649,'Well Cal.'!$E532)</f>
        <v>0</v>
      </c>
      <c r="S532" s="727">
        <f>SUMIFS('Schedule 4'!$F$89:$F$649,'Schedule 4'!$I$89:$I$649,'Well Cal.'!S$3,'Schedule 4'!$J$89:$J$649,'Well Cal.'!$E532)</f>
        <v>0</v>
      </c>
      <c r="T532" s="727">
        <f>SUMIFS('Schedule 4'!$F$89:$F$649,'Schedule 4'!$I$89:$I$649,'Well Cal.'!T$3,'Schedule 4'!$J$89:$J$649,'Well Cal.'!$E532)</f>
        <v>0</v>
      </c>
      <c r="U532" s="727">
        <f>SUMIFS('Schedule 4'!$F$89:$F$649,'Schedule 4'!$I$89:$I$649,'Well Cal.'!U$3,'Schedule 4'!$J$89:$J$649,'Well Cal.'!$E532)</f>
        <v>0</v>
      </c>
      <c r="V532" s="727">
        <f>SUMIFS('Schedule 4'!$F$89:$F$649,'Schedule 4'!$I$89:$I$649,'Well Cal.'!V$3,'Schedule 4'!$J$89:$J$649,'Well Cal.'!$E532)</f>
        <v>0</v>
      </c>
      <c r="W532" s="727">
        <f>SUMIFS('Schedule 4'!$F$89:$F$649,'Schedule 4'!$I$89:$I$649,'Well Cal.'!W$3,'Schedule 4'!$J$89:$J$649,'Well Cal.'!$E532)</f>
        <v>0</v>
      </c>
      <c r="X532" s="727">
        <f>SUMIFS('Schedule 4'!$F$89:$F$649,'Schedule 4'!$I$89:$I$649,'Well Cal.'!X$3,'Schedule 4'!$J$89:$J$649,'Well Cal.'!$E532)</f>
        <v>0</v>
      </c>
      <c r="Y532" s="727">
        <f>SUMIFS('Schedule 4'!$F$89:$F$649,'Schedule 4'!$I$89:$I$649,'Well Cal.'!Y$3,'Schedule 4'!$J$89:$J$649,'Well Cal.'!$E532)</f>
        <v>0</v>
      </c>
      <c r="Z532" s="727">
        <f>SUMIFS('Schedule 4'!$F$89:$F$649,'Schedule 4'!$I$89:$I$649,'Well Cal.'!Z$3,'Schedule 4'!$J$89:$J$649,'Well Cal.'!$E532)</f>
        <v>0</v>
      </c>
      <c r="AA532" s="727"/>
      <c r="AB532" s="1731"/>
      <c r="AC532" s="1731"/>
    </row>
    <row r="533" spans="2:29" x14ac:dyDescent="0.3">
      <c r="B533" s="1724"/>
      <c r="C533" s="1727"/>
      <c r="D533" s="1721"/>
      <c r="E533" s="775" t="s">
        <v>4057</v>
      </c>
      <c r="F533" s="727">
        <f>SUMIFS('Schedule 4'!$F$89:$F$649,'Schedule 4'!$I$89:$I$649,'Well Cal.'!F$3,'Schedule 4'!$J$89:$J$649,'Well Cal.'!$E533)</f>
        <v>0</v>
      </c>
      <c r="G533" s="727">
        <f>SUMIFS('Schedule 4'!$F$89:$F$649,'Schedule 4'!$I$89:$I$649,'Well Cal.'!G$3,'Schedule 4'!$J$89:$J$649,'Well Cal.'!$E533)</f>
        <v>0</v>
      </c>
      <c r="H533" s="727">
        <f>SUMIFS('Schedule 4'!$F$89:$F$649,'Schedule 4'!$I$89:$I$649,'Well Cal.'!H$3,'Schedule 4'!$J$89:$J$649,'Well Cal.'!$E533)</f>
        <v>0</v>
      </c>
      <c r="I533" s="727">
        <f>SUMIFS('Schedule 4'!$F$89:$F$649,'Schedule 4'!$I$89:$I$649,'Well Cal.'!I$3,'Schedule 4'!$J$89:$J$649,'Well Cal.'!$E533)</f>
        <v>0</v>
      </c>
      <c r="J533" s="727">
        <f>SUMIFS('Schedule 4'!$F$89:$F$649,'Schedule 4'!$I$89:$I$649,'Well Cal.'!J$3,'Schedule 4'!$J$89:$J$649,'Well Cal.'!$E533)</f>
        <v>0</v>
      </c>
      <c r="K533" s="727">
        <f>SUMIFS('Schedule 4'!$F$89:$F$649,'Schedule 4'!$I$89:$I$649,'Well Cal.'!K$3,'Schedule 4'!$J$89:$J$649,'Well Cal.'!$E533)</f>
        <v>0</v>
      </c>
      <c r="L533" s="727">
        <f>SUMIFS('Schedule 4'!$F$89:$F$649,'Schedule 4'!$I$89:$I$649,'Well Cal.'!L$3,'Schedule 4'!$J$89:$J$649,'Well Cal.'!$E533)</f>
        <v>0</v>
      </c>
      <c r="M533" s="727">
        <f>SUMIFS('Schedule 4'!$F$89:$F$649,'Schedule 4'!$I$89:$I$649,'Well Cal.'!M$3,'Schedule 4'!$J$89:$J$649,'Well Cal.'!$E533)</f>
        <v>0</v>
      </c>
      <c r="N533" s="727">
        <f>SUMIFS('Schedule 4'!$F$89:$F$649,'Schedule 4'!$I$89:$I$649,'Well Cal.'!N$3,'Schedule 4'!$J$89:$J$649,'Well Cal.'!$E533)</f>
        <v>0</v>
      </c>
      <c r="O533" s="727">
        <f>SUMIFS('Schedule 4'!$F$89:$F$649,'Schedule 4'!$I$89:$I$649,'Well Cal.'!O$3,'Schedule 4'!$J$89:$J$649,'Well Cal.'!$E533)</f>
        <v>0</v>
      </c>
      <c r="P533" s="727">
        <f>SUMIFS('Schedule 4'!$F$89:$F$649,'Schedule 4'!$I$89:$I$649,'Well Cal.'!P$3,'Schedule 4'!$J$89:$J$649,'Well Cal.'!$E533)</f>
        <v>0</v>
      </c>
      <c r="Q533" s="727">
        <f>SUMIFS('Schedule 4'!$F$89:$F$649,'Schedule 4'!$I$89:$I$649,'Well Cal.'!Q$3,'Schedule 4'!$J$89:$J$649,'Well Cal.'!$E533)</f>
        <v>0</v>
      </c>
      <c r="R533" s="727">
        <f>SUMIFS('Schedule 4'!$F$89:$F$649,'Schedule 4'!$I$89:$I$649,'Well Cal.'!R$3,'Schedule 4'!$J$89:$J$649,'Well Cal.'!$E533)</f>
        <v>0</v>
      </c>
      <c r="S533" s="727">
        <f>SUMIFS('Schedule 4'!$F$89:$F$649,'Schedule 4'!$I$89:$I$649,'Well Cal.'!S$3,'Schedule 4'!$J$89:$J$649,'Well Cal.'!$E533)</f>
        <v>0</v>
      </c>
      <c r="T533" s="727">
        <f>SUMIFS('Schedule 4'!$F$89:$F$649,'Schedule 4'!$I$89:$I$649,'Well Cal.'!T$3,'Schedule 4'!$J$89:$J$649,'Well Cal.'!$E533)</f>
        <v>0</v>
      </c>
      <c r="U533" s="727">
        <f>SUMIFS('Schedule 4'!$F$89:$F$649,'Schedule 4'!$I$89:$I$649,'Well Cal.'!U$3,'Schedule 4'!$J$89:$J$649,'Well Cal.'!$E533)</f>
        <v>0</v>
      </c>
      <c r="V533" s="727">
        <f>SUMIFS('Schedule 4'!$F$89:$F$649,'Schedule 4'!$I$89:$I$649,'Well Cal.'!V$3,'Schedule 4'!$J$89:$J$649,'Well Cal.'!$E533)</f>
        <v>0</v>
      </c>
      <c r="W533" s="727">
        <f>SUMIFS('Schedule 4'!$F$89:$F$649,'Schedule 4'!$I$89:$I$649,'Well Cal.'!W$3,'Schedule 4'!$J$89:$J$649,'Well Cal.'!$E533)</f>
        <v>0</v>
      </c>
      <c r="X533" s="727">
        <f>SUMIFS('Schedule 4'!$F$89:$F$649,'Schedule 4'!$I$89:$I$649,'Well Cal.'!X$3,'Schedule 4'!$J$89:$J$649,'Well Cal.'!$E533)</f>
        <v>0</v>
      </c>
      <c r="Y533" s="727">
        <f>SUMIFS('Schedule 4'!$F$89:$F$649,'Schedule 4'!$I$89:$I$649,'Well Cal.'!Y$3,'Schedule 4'!$J$89:$J$649,'Well Cal.'!$E533)</f>
        <v>0</v>
      </c>
      <c r="Z533" s="727">
        <f>SUMIFS('Schedule 4'!$F$89:$F$649,'Schedule 4'!$I$89:$I$649,'Well Cal.'!Z$3,'Schedule 4'!$J$89:$J$649,'Well Cal.'!$E533)</f>
        <v>0</v>
      </c>
      <c r="AA533" s="727"/>
      <c r="AB533" s="1731"/>
      <c r="AC533" s="1731"/>
    </row>
    <row r="534" spans="2:29" x14ac:dyDescent="0.3">
      <c r="B534" s="1724"/>
      <c r="C534" s="1727"/>
      <c r="D534" s="1721"/>
      <c r="E534" s="775" t="s">
        <v>4131</v>
      </c>
      <c r="F534" s="727">
        <f>SUMIFS('Schedule 4'!$F$89:$F$649,'Schedule 4'!$I$89:$I$649,'Well Cal.'!F$3,'Schedule 4'!$J$89:$J$649,'Well Cal.'!$E534)</f>
        <v>0</v>
      </c>
      <c r="G534" s="727">
        <f>SUMIFS('Schedule 4'!$F$89:$F$649,'Schedule 4'!$I$89:$I$649,'Well Cal.'!G$3,'Schedule 4'!$J$89:$J$649,'Well Cal.'!$E534)</f>
        <v>0</v>
      </c>
      <c r="H534" s="727">
        <f>SUMIFS('Schedule 4'!$F$89:$F$649,'Schedule 4'!$I$89:$I$649,'Well Cal.'!H$3,'Schedule 4'!$J$89:$J$649,'Well Cal.'!$E534)</f>
        <v>0</v>
      </c>
      <c r="I534" s="727">
        <f>SUMIFS('Schedule 4'!$F$89:$F$649,'Schedule 4'!$I$89:$I$649,'Well Cal.'!I$3,'Schedule 4'!$J$89:$J$649,'Well Cal.'!$E534)</f>
        <v>0</v>
      </c>
      <c r="J534" s="727">
        <f>SUMIFS('Schedule 4'!$F$89:$F$649,'Schedule 4'!$I$89:$I$649,'Well Cal.'!J$3,'Schedule 4'!$J$89:$J$649,'Well Cal.'!$E534)</f>
        <v>0</v>
      </c>
      <c r="K534" s="727">
        <f>SUMIFS('Schedule 4'!$F$89:$F$649,'Schedule 4'!$I$89:$I$649,'Well Cal.'!K$3,'Schedule 4'!$J$89:$J$649,'Well Cal.'!$E534)</f>
        <v>0</v>
      </c>
      <c r="L534" s="727">
        <f>SUMIFS('Schedule 4'!$F$89:$F$649,'Schedule 4'!$I$89:$I$649,'Well Cal.'!L$3,'Schedule 4'!$J$89:$J$649,'Well Cal.'!$E534)</f>
        <v>0</v>
      </c>
      <c r="M534" s="727">
        <f>SUMIFS('Schedule 4'!$F$89:$F$649,'Schedule 4'!$I$89:$I$649,'Well Cal.'!M$3,'Schedule 4'!$J$89:$J$649,'Well Cal.'!$E534)</f>
        <v>0</v>
      </c>
      <c r="N534" s="727">
        <f>SUMIFS('Schedule 4'!$F$89:$F$649,'Schedule 4'!$I$89:$I$649,'Well Cal.'!N$3,'Schedule 4'!$J$89:$J$649,'Well Cal.'!$E534)</f>
        <v>0</v>
      </c>
      <c r="O534" s="727">
        <f>SUMIFS('Schedule 4'!$F$89:$F$649,'Schedule 4'!$I$89:$I$649,'Well Cal.'!O$3,'Schedule 4'!$J$89:$J$649,'Well Cal.'!$E534)</f>
        <v>0</v>
      </c>
      <c r="P534" s="727">
        <f>SUMIFS('Schedule 4'!$F$89:$F$649,'Schedule 4'!$I$89:$I$649,'Well Cal.'!P$3,'Schedule 4'!$J$89:$J$649,'Well Cal.'!$E534)</f>
        <v>0</v>
      </c>
      <c r="Q534" s="727">
        <f>SUMIFS('Schedule 4'!$F$89:$F$649,'Schedule 4'!$I$89:$I$649,'Well Cal.'!Q$3,'Schedule 4'!$J$89:$J$649,'Well Cal.'!$E534)</f>
        <v>0</v>
      </c>
      <c r="R534" s="727">
        <f>SUMIFS('Schedule 4'!$F$89:$F$649,'Schedule 4'!$I$89:$I$649,'Well Cal.'!R$3,'Schedule 4'!$J$89:$J$649,'Well Cal.'!$E534)</f>
        <v>0</v>
      </c>
      <c r="S534" s="727">
        <f>SUMIFS('Schedule 4'!$F$89:$F$649,'Schedule 4'!$I$89:$I$649,'Well Cal.'!S$3,'Schedule 4'!$J$89:$J$649,'Well Cal.'!$E534)</f>
        <v>0</v>
      </c>
      <c r="T534" s="727">
        <f>SUMIFS('Schedule 4'!$F$89:$F$649,'Schedule 4'!$I$89:$I$649,'Well Cal.'!T$3,'Schedule 4'!$J$89:$J$649,'Well Cal.'!$E534)</f>
        <v>0</v>
      </c>
      <c r="U534" s="727">
        <f>SUMIFS('Schedule 4'!$F$89:$F$649,'Schedule 4'!$I$89:$I$649,'Well Cal.'!U$3,'Schedule 4'!$J$89:$J$649,'Well Cal.'!$E534)</f>
        <v>0</v>
      </c>
      <c r="V534" s="727">
        <f>SUMIFS('Schedule 4'!$F$89:$F$649,'Schedule 4'!$I$89:$I$649,'Well Cal.'!V$3,'Schedule 4'!$J$89:$J$649,'Well Cal.'!$E534)</f>
        <v>0</v>
      </c>
      <c r="W534" s="727">
        <f>SUMIFS('Schedule 4'!$F$89:$F$649,'Schedule 4'!$I$89:$I$649,'Well Cal.'!W$3,'Schedule 4'!$J$89:$J$649,'Well Cal.'!$E534)</f>
        <v>0</v>
      </c>
      <c r="X534" s="727">
        <f>SUMIFS('Schedule 4'!$F$89:$F$649,'Schedule 4'!$I$89:$I$649,'Well Cal.'!X$3,'Schedule 4'!$J$89:$J$649,'Well Cal.'!$E534)</f>
        <v>0</v>
      </c>
      <c r="Y534" s="727">
        <f>SUMIFS('Schedule 4'!$F$89:$F$649,'Schedule 4'!$I$89:$I$649,'Well Cal.'!Y$3,'Schedule 4'!$J$89:$J$649,'Well Cal.'!$E534)</f>
        <v>0</v>
      </c>
      <c r="Z534" s="727">
        <f>SUMIFS('Schedule 4'!$F$89:$F$649,'Schedule 4'!$I$89:$I$649,'Well Cal.'!Z$3,'Schedule 4'!$J$89:$J$649,'Well Cal.'!$E534)</f>
        <v>0</v>
      </c>
      <c r="AA534" s="727"/>
      <c r="AB534" s="1731"/>
      <c r="AC534" s="1731"/>
    </row>
    <row r="535" spans="2:29" x14ac:dyDescent="0.3">
      <c r="B535" s="1724"/>
      <c r="C535" s="1727"/>
      <c r="D535" s="1721"/>
      <c r="E535" s="775" t="s">
        <v>4203</v>
      </c>
      <c r="F535" s="727">
        <f>SUMIFS('Schedule 4'!$F$89:$F$649,'Schedule 4'!$I$89:$I$649,'Well Cal.'!F$3,'Schedule 4'!$J$89:$J$649,'Well Cal.'!$E535)</f>
        <v>0</v>
      </c>
      <c r="G535" s="727">
        <f>SUMIFS('Schedule 4'!$F$89:$F$649,'Schedule 4'!$I$89:$I$649,'Well Cal.'!G$3,'Schedule 4'!$J$89:$J$649,'Well Cal.'!$E535)</f>
        <v>0</v>
      </c>
      <c r="H535" s="727">
        <f>SUMIFS('Schedule 4'!$F$89:$F$649,'Schedule 4'!$I$89:$I$649,'Well Cal.'!H$3,'Schedule 4'!$J$89:$J$649,'Well Cal.'!$E535)</f>
        <v>0</v>
      </c>
      <c r="I535" s="727">
        <f>SUMIFS('Schedule 4'!$F$89:$F$649,'Schedule 4'!$I$89:$I$649,'Well Cal.'!I$3,'Schedule 4'!$J$89:$J$649,'Well Cal.'!$E535)</f>
        <v>0</v>
      </c>
      <c r="J535" s="727">
        <f>SUMIFS('Schedule 4'!$F$89:$F$649,'Schedule 4'!$I$89:$I$649,'Well Cal.'!J$3,'Schedule 4'!$J$89:$J$649,'Well Cal.'!$E535)</f>
        <v>0</v>
      </c>
      <c r="K535" s="727">
        <f>SUMIFS('Schedule 4'!$F$89:$F$649,'Schedule 4'!$I$89:$I$649,'Well Cal.'!K$3,'Schedule 4'!$J$89:$J$649,'Well Cal.'!$E535)</f>
        <v>0</v>
      </c>
      <c r="L535" s="727">
        <f>SUMIFS('Schedule 4'!$F$89:$F$649,'Schedule 4'!$I$89:$I$649,'Well Cal.'!L$3,'Schedule 4'!$J$89:$J$649,'Well Cal.'!$E535)</f>
        <v>0</v>
      </c>
      <c r="M535" s="727">
        <f>SUMIFS('Schedule 4'!$F$89:$F$649,'Schedule 4'!$I$89:$I$649,'Well Cal.'!M$3,'Schedule 4'!$J$89:$J$649,'Well Cal.'!$E535)</f>
        <v>0</v>
      </c>
      <c r="N535" s="727">
        <f>SUMIFS('Schedule 4'!$F$89:$F$649,'Schedule 4'!$I$89:$I$649,'Well Cal.'!N$3,'Schedule 4'!$J$89:$J$649,'Well Cal.'!$E535)</f>
        <v>0</v>
      </c>
      <c r="O535" s="727">
        <f>SUMIFS('Schedule 4'!$F$89:$F$649,'Schedule 4'!$I$89:$I$649,'Well Cal.'!O$3,'Schedule 4'!$J$89:$J$649,'Well Cal.'!$E535)</f>
        <v>0</v>
      </c>
      <c r="P535" s="727">
        <f>SUMIFS('Schedule 4'!$F$89:$F$649,'Schedule 4'!$I$89:$I$649,'Well Cal.'!P$3,'Schedule 4'!$J$89:$J$649,'Well Cal.'!$E535)</f>
        <v>0</v>
      </c>
      <c r="Q535" s="727">
        <f>SUMIFS('Schedule 4'!$F$89:$F$649,'Schedule 4'!$I$89:$I$649,'Well Cal.'!Q$3,'Schedule 4'!$J$89:$J$649,'Well Cal.'!$E535)</f>
        <v>0</v>
      </c>
      <c r="R535" s="727">
        <f>SUMIFS('Schedule 4'!$F$89:$F$649,'Schedule 4'!$I$89:$I$649,'Well Cal.'!R$3,'Schedule 4'!$J$89:$J$649,'Well Cal.'!$E535)</f>
        <v>0</v>
      </c>
      <c r="S535" s="727">
        <f>SUMIFS('Schedule 4'!$F$89:$F$649,'Schedule 4'!$I$89:$I$649,'Well Cal.'!S$3,'Schedule 4'!$J$89:$J$649,'Well Cal.'!$E535)</f>
        <v>0</v>
      </c>
      <c r="T535" s="727">
        <f>SUMIFS('Schedule 4'!$F$89:$F$649,'Schedule 4'!$I$89:$I$649,'Well Cal.'!T$3,'Schedule 4'!$J$89:$J$649,'Well Cal.'!$E535)</f>
        <v>0</v>
      </c>
      <c r="U535" s="727">
        <f>SUMIFS('Schedule 4'!$F$89:$F$649,'Schedule 4'!$I$89:$I$649,'Well Cal.'!U$3,'Schedule 4'!$J$89:$J$649,'Well Cal.'!$E535)</f>
        <v>0</v>
      </c>
      <c r="V535" s="727">
        <f>SUMIFS('Schedule 4'!$F$89:$F$649,'Schedule 4'!$I$89:$I$649,'Well Cal.'!V$3,'Schedule 4'!$J$89:$J$649,'Well Cal.'!$E535)</f>
        <v>0</v>
      </c>
      <c r="W535" s="727">
        <f>SUMIFS('Schedule 4'!$F$89:$F$649,'Schedule 4'!$I$89:$I$649,'Well Cal.'!W$3,'Schedule 4'!$J$89:$J$649,'Well Cal.'!$E535)</f>
        <v>0</v>
      </c>
      <c r="X535" s="727">
        <f>SUMIFS('Schedule 4'!$F$89:$F$649,'Schedule 4'!$I$89:$I$649,'Well Cal.'!X$3,'Schedule 4'!$J$89:$J$649,'Well Cal.'!$E535)</f>
        <v>0</v>
      </c>
      <c r="Y535" s="727">
        <f>SUMIFS('Schedule 4'!$F$89:$F$649,'Schedule 4'!$I$89:$I$649,'Well Cal.'!Y$3,'Schedule 4'!$J$89:$J$649,'Well Cal.'!$E535)</f>
        <v>0</v>
      </c>
      <c r="Z535" s="727">
        <f>SUMIFS('Schedule 4'!$F$89:$F$649,'Schedule 4'!$I$89:$I$649,'Well Cal.'!Z$3,'Schedule 4'!$J$89:$J$649,'Well Cal.'!$E535)</f>
        <v>0</v>
      </c>
      <c r="AA535" s="727"/>
      <c r="AB535" s="1731"/>
      <c r="AC535" s="1731"/>
    </row>
    <row r="536" spans="2:29" x14ac:dyDescent="0.3">
      <c r="B536" s="1724"/>
      <c r="C536" s="1727"/>
      <c r="D536" s="1721"/>
      <c r="E536" s="775" t="s">
        <v>4274</v>
      </c>
      <c r="F536" s="727">
        <f>SUMIFS('Schedule 4'!$F$89:$F$649,'Schedule 4'!$I$89:$I$649,'Well Cal.'!F$3,'Schedule 4'!$J$89:$J$649,'Well Cal.'!$E536)</f>
        <v>0</v>
      </c>
      <c r="G536" s="727">
        <f>SUMIFS('Schedule 4'!$F$89:$F$649,'Schedule 4'!$I$89:$I$649,'Well Cal.'!G$3,'Schedule 4'!$J$89:$J$649,'Well Cal.'!$E536)</f>
        <v>0</v>
      </c>
      <c r="H536" s="727">
        <f>SUMIFS('Schedule 4'!$F$89:$F$649,'Schedule 4'!$I$89:$I$649,'Well Cal.'!H$3,'Schedule 4'!$J$89:$J$649,'Well Cal.'!$E536)</f>
        <v>0</v>
      </c>
      <c r="I536" s="727">
        <f>SUMIFS('Schedule 4'!$F$89:$F$649,'Schedule 4'!$I$89:$I$649,'Well Cal.'!I$3,'Schedule 4'!$J$89:$J$649,'Well Cal.'!$E536)</f>
        <v>0</v>
      </c>
      <c r="J536" s="727">
        <f>SUMIFS('Schedule 4'!$F$89:$F$649,'Schedule 4'!$I$89:$I$649,'Well Cal.'!J$3,'Schedule 4'!$J$89:$J$649,'Well Cal.'!$E536)</f>
        <v>0</v>
      </c>
      <c r="K536" s="727">
        <f>SUMIFS('Schedule 4'!$F$89:$F$649,'Schedule 4'!$I$89:$I$649,'Well Cal.'!K$3,'Schedule 4'!$J$89:$J$649,'Well Cal.'!$E536)</f>
        <v>0</v>
      </c>
      <c r="L536" s="727">
        <f>SUMIFS('Schedule 4'!$F$89:$F$649,'Schedule 4'!$I$89:$I$649,'Well Cal.'!L$3,'Schedule 4'!$J$89:$J$649,'Well Cal.'!$E536)</f>
        <v>0</v>
      </c>
      <c r="M536" s="727">
        <f>SUMIFS('Schedule 4'!$F$89:$F$649,'Schedule 4'!$I$89:$I$649,'Well Cal.'!M$3,'Schedule 4'!$J$89:$J$649,'Well Cal.'!$E536)</f>
        <v>0</v>
      </c>
      <c r="N536" s="727">
        <f>SUMIFS('Schedule 4'!$F$89:$F$649,'Schedule 4'!$I$89:$I$649,'Well Cal.'!N$3,'Schedule 4'!$J$89:$J$649,'Well Cal.'!$E536)</f>
        <v>0</v>
      </c>
      <c r="O536" s="727">
        <f>SUMIFS('Schedule 4'!$F$89:$F$649,'Schedule 4'!$I$89:$I$649,'Well Cal.'!O$3,'Schedule 4'!$J$89:$J$649,'Well Cal.'!$E536)</f>
        <v>0</v>
      </c>
      <c r="P536" s="727">
        <f>SUMIFS('Schedule 4'!$F$89:$F$649,'Schedule 4'!$I$89:$I$649,'Well Cal.'!P$3,'Schedule 4'!$J$89:$J$649,'Well Cal.'!$E536)</f>
        <v>0</v>
      </c>
      <c r="Q536" s="727">
        <f>SUMIFS('Schedule 4'!$F$89:$F$649,'Schedule 4'!$I$89:$I$649,'Well Cal.'!Q$3,'Schedule 4'!$J$89:$J$649,'Well Cal.'!$E536)</f>
        <v>0</v>
      </c>
      <c r="R536" s="727">
        <f>SUMIFS('Schedule 4'!$F$89:$F$649,'Schedule 4'!$I$89:$I$649,'Well Cal.'!R$3,'Schedule 4'!$J$89:$J$649,'Well Cal.'!$E536)</f>
        <v>0</v>
      </c>
      <c r="S536" s="727">
        <f>SUMIFS('Schedule 4'!$F$89:$F$649,'Schedule 4'!$I$89:$I$649,'Well Cal.'!S$3,'Schedule 4'!$J$89:$J$649,'Well Cal.'!$E536)</f>
        <v>0</v>
      </c>
      <c r="T536" s="727">
        <f>SUMIFS('Schedule 4'!$F$89:$F$649,'Schedule 4'!$I$89:$I$649,'Well Cal.'!T$3,'Schedule 4'!$J$89:$J$649,'Well Cal.'!$E536)</f>
        <v>0</v>
      </c>
      <c r="U536" s="727">
        <f>SUMIFS('Schedule 4'!$F$89:$F$649,'Schedule 4'!$I$89:$I$649,'Well Cal.'!U$3,'Schedule 4'!$J$89:$J$649,'Well Cal.'!$E536)</f>
        <v>0</v>
      </c>
      <c r="V536" s="727">
        <f>SUMIFS('Schedule 4'!$F$89:$F$649,'Schedule 4'!$I$89:$I$649,'Well Cal.'!V$3,'Schedule 4'!$J$89:$J$649,'Well Cal.'!$E536)</f>
        <v>0</v>
      </c>
      <c r="W536" s="727">
        <f>SUMIFS('Schedule 4'!$F$89:$F$649,'Schedule 4'!$I$89:$I$649,'Well Cal.'!W$3,'Schedule 4'!$J$89:$J$649,'Well Cal.'!$E536)</f>
        <v>0</v>
      </c>
      <c r="X536" s="727">
        <f>SUMIFS('Schedule 4'!$F$89:$F$649,'Schedule 4'!$I$89:$I$649,'Well Cal.'!X$3,'Schedule 4'!$J$89:$J$649,'Well Cal.'!$E536)</f>
        <v>0</v>
      </c>
      <c r="Y536" s="727">
        <f>SUMIFS('Schedule 4'!$F$89:$F$649,'Schedule 4'!$I$89:$I$649,'Well Cal.'!Y$3,'Schedule 4'!$J$89:$J$649,'Well Cal.'!$E536)</f>
        <v>0</v>
      </c>
      <c r="Z536" s="727">
        <f>SUMIFS('Schedule 4'!$F$89:$F$649,'Schedule 4'!$I$89:$I$649,'Well Cal.'!Z$3,'Schedule 4'!$J$89:$J$649,'Well Cal.'!$E536)</f>
        <v>0</v>
      </c>
      <c r="AA536" s="727"/>
      <c r="AB536" s="1731"/>
      <c r="AC536" s="1731"/>
    </row>
    <row r="537" spans="2:29" x14ac:dyDescent="0.3">
      <c r="B537" s="1724"/>
      <c r="C537" s="1727"/>
      <c r="D537" s="1721"/>
      <c r="E537" s="775" t="s">
        <v>4340</v>
      </c>
      <c r="F537" s="727">
        <f>SUMIFS('Schedule 4'!$F$89:$F$649,'Schedule 4'!$I$89:$I$649,'Well Cal.'!F$3,'Schedule 4'!$J$89:$J$649,'Well Cal.'!$E537)</f>
        <v>0</v>
      </c>
      <c r="G537" s="727">
        <f>SUMIFS('Schedule 4'!$F$89:$F$649,'Schedule 4'!$I$89:$I$649,'Well Cal.'!G$3,'Schedule 4'!$J$89:$J$649,'Well Cal.'!$E537)</f>
        <v>0</v>
      </c>
      <c r="H537" s="727">
        <f>SUMIFS('Schedule 4'!$F$89:$F$649,'Schedule 4'!$I$89:$I$649,'Well Cal.'!H$3,'Schedule 4'!$J$89:$J$649,'Well Cal.'!$E537)</f>
        <v>0</v>
      </c>
      <c r="I537" s="727">
        <f>SUMIFS('Schedule 4'!$F$89:$F$649,'Schedule 4'!$I$89:$I$649,'Well Cal.'!I$3,'Schedule 4'!$J$89:$J$649,'Well Cal.'!$E537)</f>
        <v>0</v>
      </c>
      <c r="J537" s="727">
        <f>SUMIFS('Schedule 4'!$F$89:$F$649,'Schedule 4'!$I$89:$I$649,'Well Cal.'!J$3,'Schedule 4'!$J$89:$J$649,'Well Cal.'!$E537)</f>
        <v>0</v>
      </c>
      <c r="K537" s="727">
        <f>SUMIFS('Schedule 4'!$F$89:$F$649,'Schedule 4'!$I$89:$I$649,'Well Cal.'!K$3,'Schedule 4'!$J$89:$J$649,'Well Cal.'!$E537)</f>
        <v>0</v>
      </c>
      <c r="L537" s="727">
        <f>SUMIFS('Schedule 4'!$F$89:$F$649,'Schedule 4'!$I$89:$I$649,'Well Cal.'!L$3,'Schedule 4'!$J$89:$J$649,'Well Cal.'!$E537)</f>
        <v>0</v>
      </c>
      <c r="M537" s="727">
        <f>SUMIFS('Schedule 4'!$F$89:$F$649,'Schedule 4'!$I$89:$I$649,'Well Cal.'!M$3,'Schedule 4'!$J$89:$J$649,'Well Cal.'!$E537)</f>
        <v>0</v>
      </c>
      <c r="N537" s="727">
        <f>SUMIFS('Schedule 4'!$F$89:$F$649,'Schedule 4'!$I$89:$I$649,'Well Cal.'!N$3,'Schedule 4'!$J$89:$J$649,'Well Cal.'!$E537)</f>
        <v>0</v>
      </c>
      <c r="O537" s="727">
        <f>SUMIFS('Schedule 4'!$F$89:$F$649,'Schedule 4'!$I$89:$I$649,'Well Cal.'!O$3,'Schedule 4'!$J$89:$J$649,'Well Cal.'!$E537)</f>
        <v>0</v>
      </c>
      <c r="P537" s="727">
        <f>SUMIFS('Schedule 4'!$F$89:$F$649,'Schedule 4'!$I$89:$I$649,'Well Cal.'!P$3,'Schedule 4'!$J$89:$J$649,'Well Cal.'!$E537)</f>
        <v>0</v>
      </c>
      <c r="Q537" s="727">
        <f>SUMIFS('Schedule 4'!$F$89:$F$649,'Schedule 4'!$I$89:$I$649,'Well Cal.'!Q$3,'Schedule 4'!$J$89:$J$649,'Well Cal.'!$E537)</f>
        <v>0</v>
      </c>
      <c r="R537" s="727">
        <f>SUMIFS('Schedule 4'!$F$89:$F$649,'Schedule 4'!$I$89:$I$649,'Well Cal.'!R$3,'Schedule 4'!$J$89:$J$649,'Well Cal.'!$E537)</f>
        <v>0</v>
      </c>
      <c r="S537" s="727">
        <f>SUMIFS('Schedule 4'!$F$89:$F$649,'Schedule 4'!$I$89:$I$649,'Well Cal.'!S$3,'Schedule 4'!$J$89:$J$649,'Well Cal.'!$E537)</f>
        <v>0</v>
      </c>
      <c r="T537" s="727">
        <f>SUMIFS('Schedule 4'!$F$89:$F$649,'Schedule 4'!$I$89:$I$649,'Well Cal.'!T$3,'Schedule 4'!$J$89:$J$649,'Well Cal.'!$E537)</f>
        <v>0</v>
      </c>
      <c r="U537" s="727">
        <f>SUMIFS('Schedule 4'!$F$89:$F$649,'Schedule 4'!$I$89:$I$649,'Well Cal.'!U$3,'Schedule 4'!$J$89:$J$649,'Well Cal.'!$E537)</f>
        <v>0</v>
      </c>
      <c r="V537" s="727">
        <f>SUMIFS('Schedule 4'!$F$89:$F$649,'Schedule 4'!$I$89:$I$649,'Well Cal.'!V$3,'Schedule 4'!$J$89:$J$649,'Well Cal.'!$E537)</f>
        <v>0</v>
      </c>
      <c r="W537" s="727">
        <f>SUMIFS('Schedule 4'!$F$89:$F$649,'Schedule 4'!$I$89:$I$649,'Well Cal.'!W$3,'Schedule 4'!$J$89:$J$649,'Well Cal.'!$E537)</f>
        <v>0</v>
      </c>
      <c r="X537" s="727">
        <f>SUMIFS('Schedule 4'!$F$89:$F$649,'Schedule 4'!$I$89:$I$649,'Well Cal.'!X$3,'Schedule 4'!$J$89:$J$649,'Well Cal.'!$E537)</f>
        <v>0</v>
      </c>
      <c r="Y537" s="727">
        <f>SUMIFS('Schedule 4'!$F$89:$F$649,'Schedule 4'!$I$89:$I$649,'Well Cal.'!Y$3,'Schedule 4'!$J$89:$J$649,'Well Cal.'!$E537)</f>
        <v>0</v>
      </c>
      <c r="Z537" s="727">
        <f>SUMIFS('Schedule 4'!$F$89:$F$649,'Schedule 4'!$I$89:$I$649,'Well Cal.'!Z$3,'Schedule 4'!$J$89:$J$649,'Well Cal.'!$E537)</f>
        <v>0</v>
      </c>
      <c r="AA537" s="727"/>
      <c r="AB537" s="1731"/>
      <c r="AC537" s="1731"/>
    </row>
    <row r="538" spans="2:29" x14ac:dyDescent="0.3">
      <c r="B538" s="1724"/>
      <c r="C538" s="1727"/>
      <c r="D538" s="1721"/>
      <c r="E538" s="775" t="s">
        <v>4403</v>
      </c>
      <c r="F538" s="727">
        <f>SUMIFS('Schedule 4'!$F$89:$F$649,'Schedule 4'!$I$89:$I$649,'Well Cal.'!F$3,'Schedule 4'!$J$89:$J$649,'Well Cal.'!$E538)</f>
        <v>0</v>
      </c>
      <c r="G538" s="727">
        <f>SUMIFS('Schedule 4'!$F$89:$F$649,'Schedule 4'!$I$89:$I$649,'Well Cal.'!G$3,'Schedule 4'!$J$89:$J$649,'Well Cal.'!$E538)</f>
        <v>0</v>
      </c>
      <c r="H538" s="727">
        <f>SUMIFS('Schedule 4'!$F$89:$F$649,'Schedule 4'!$I$89:$I$649,'Well Cal.'!H$3,'Schedule 4'!$J$89:$J$649,'Well Cal.'!$E538)</f>
        <v>0</v>
      </c>
      <c r="I538" s="727">
        <f>SUMIFS('Schedule 4'!$F$89:$F$649,'Schedule 4'!$I$89:$I$649,'Well Cal.'!I$3,'Schedule 4'!$J$89:$J$649,'Well Cal.'!$E538)</f>
        <v>0</v>
      </c>
      <c r="J538" s="727">
        <f>SUMIFS('Schedule 4'!$F$89:$F$649,'Schedule 4'!$I$89:$I$649,'Well Cal.'!J$3,'Schedule 4'!$J$89:$J$649,'Well Cal.'!$E538)</f>
        <v>0</v>
      </c>
      <c r="K538" s="727">
        <f>SUMIFS('Schedule 4'!$F$89:$F$649,'Schedule 4'!$I$89:$I$649,'Well Cal.'!K$3,'Schedule 4'!$J$89:$J$649,'Well Cal.'!$E538)</f>
        <v>0</v>
      </c>
      <c r="L538" s="727">
        <f>SUMIFS('Schedule 4'!$F$89:$F$649,'Schedule 4'!$I$89:$I$649,'Well Cal.'!L$3,'Schedule 4'!$J$89:$J$649,'Well Cal.'!$E538)</f>
        <v>0</v>
      </c>
      <c r="M538" s="727">
        <f>SUMIFS('Schedule 4'!$F$89:$F$649,'Schedule 4'!$I$89:$I$649,'Well Cal.'!M$3,'Schedule 4'!$J$89:$J$649,'Well Cal.'!$E538)</f>
        <v>0</v>
      </c>
      <c r="N538" s="727">
        <f>SUMIFS('Schedule 4'!$F$89:$F$649,'Schedule 4'!$I$89:$I$649,'Well Cal.'!N$3,'Schedule 4'!$J$89:$J$649,'Well Cal.'!$E538)</f>
        <v>0</v>
      </c>
      <c r="O538" s="727">
        <f>SUMIFS('Schedule 4'!$F$89:$F$649,'Schedule 4'!$I$89:$I$649,'Well Cal.'!O$3,'Schedule 4'!$J$89:$J$649,'Well Cal.'!$E538)</f>
        <v>0</v>
      </c>
      <c r="P538" s="727">
        <f>SUMIFS('Schedule 4'!$F$89:$F$649,'Schedule 4'!$I$89:$I$649,'Well Cal.'!P$3,'Schedule 4'!$J$89:$J$649,'Well Cal.'!$E538)</f>
        <v>0</v>
      </c>
      <c r="Q538" s="727">
        <f>SUMIFS('Schedule 4'!$F$89:$F$649,'Schedule 4'!$I$89:$I$649,'Well Cal.'!Q$3,'Schedule 4'!$J$89:$J$649,'Well Cal.'!$E538)</f>
        <v>0</v>
      </c>
      <c r="R538" s="727">
        <f>SUMIFS('Schedule 4'!$F$89:$F$649,'Schedule 4'!$I$89:$I$649,'Well Cal.'!R$3,'Schedule 4'!$J$89:$J$649,'Well Cal.'!$E538)</f>
        <v>0</v>
      </c>
      <c r="S538" s="727">
        <f>SUMIFS('Schedule 4'!$F$89:$F$649,'Schedule 4'!$I$89:$I$649,'Well Cal.'!S$3,'Schedule 4'!$J$89:$J$649,'Well Cal.'!$E538)</f>
        <v>0</v>
      </c>
      <c r="T538" s="727">
        <f>SUMIFS('Schedule 4'!$F$89:$F$649,'Schedule 4'!$I$89:$I$649,'Well Cal.'!T$3,'Schedule 4'!$J$89:$J$649,'Well Cal.'!$E538)</f>
        <v>0</v>
      </c>
      <c r="U538" s="727">
        <f>SUMIFS('Schedule 4'!$F$89:$F$649,'Schedule 4'!$I$89:$I$649,'Well Cal.'!U$3,'Schedule 4'!$J$89:$J$649,'Well Cal.'!$E538)</f>
        <v>0</v>
      </c>
      <c r="V538" s="727">
        <f>SUMIFS('Schedule 4'!$F$89:$F$649,'Schedule 4'!$I$89:$I$649,'Well Cal.'!V$3,'Schedule 4'!$J$89:$J$649,'Well Cal.'!$E538)</f>
        <v>0</v>
      </c>
      <c r="W538" s="727">
        <f>SUMIFS('Schedule 4'!$F$89:$F$649,'Schedule 4'!$I$89:$I$649,'Well Cal.'!W$3,'Schedule 4'!$J$89:$J$649,'Well Cal.'!$E538)</f>
        <v>0</v>
      </c>
      <c r="X538" s="727">
        <f>SUMIFS('Schedule 4'!$F$89:$F$649,'Schedule 4'!$I$89:$I$649,'Well Cal.'!X$3,'Schedule 4'!$J$89:$J$649,'Well Cal.'!$E538)</f>
        <v>0</v>
      </c>
      <c r="Y538" s="727">
        <f>SUMIFS('Schedule 4'!$F$89:$F$649,'Schedule 4'!$I$89:$I$649,'Well Cal.'!Y$3,'Schedule 4'!$J$89:$J$649,'Well Cal.'!$E538)</f>
        <v>0</v>
      </c>
      <c r="Z538" s="727">
        <f>SUMIFS('Schedule 4'!$F$89:$F$649,'Schedule 4'!$I$89:$I$649,'Well Cal.'!Z$3,'Schedule 4'!$J$89:$J$649,'Well Cal.'!$E538)</f>
        <v>0</v>
      </c>
      <c r="AA538" s="727"/>
      <c r="AB538" s="1731"/>
      <c r="AC538" s="1731"/>
    </row>
    <row r="539" spans="2:29" x14ac:dyDescent="0.3">
      <c r="B539" s="1724"/>
      <c r="C539" s="1727"/>
      <c r="D539" s="1721"/>
      <c r="E539" s="775" t="s">
        <v>4463</v>
      </c>
      <c r="F539" s="727">
        <f>SUMIFS('Schedule 4'!$F$89:$F$649,'Schedule 4'!$I$89:$I$649,'Well Cal.'!F$3,'Schedule 4'!$J$89:$J$649,'Well Cal.'!$E539)</f>
        <v>0</v>
      </c>
      <c r="G539" s="727">
        <f>SUMIFS('Schedule 4'!$F$89:$F$649,'Schedule 4'!$I$89:$I$649,'Well Cal.'!G$3,'Schedule 4'!$J$89:$J$649,'Well Cal.'!$E539)</f>
        <v>0</v>
      </c>
      <c r="H539" s="727">
        <f>SUMIFS('Schedule 4'!$F$89:$F$649,'Schedule 4'!$I$89:$I$649,'Well Cal.'!H$3,'Schedule 4'!$J$89:$J$649,'Well Cal.'!$E539)</f>
        <v>0</v>
      </c>
      <c r="I539" s="727">
        <f>SUMIFS('Schedule 4'!$F$89:$F$649,'Schedule 4'!$I$89:$I$649,'Well Cal.'!I$3,'Schedule 4'!$J$89:$J$649,'Well Cal.'!$E539)</f>
        <v>0</v>
      </c>
      <c r="J539" s="727">
        <f>SUMIFS('Schedule 4'!$F$89:$F$649,'Schedule 4'!$I$89:$I$649,'Well Cal.'!J$3,'Schedule 4'!$J$89:$J$649,'Well Cal.'!$E539)</f>
        <v>0</v>
      </c>
      <c r="K539" s="727">
        <f>SUMIFS('Schedule 4'!$F$89:$F$649,'Schedule 4'!$I$89:$I$649,'Well Cal.'!K$3,'Schedule 4'!$J$89:$J$649,'Well Cal.'!$E539)</f>
        <v>0</v>
      </c>
      <c r="L539" s="727">
        <f>SUMIFS('Schedule 4'!$F$89:$F$649,'Schedule 4'!$I$89:$I$649,'Well Cal.'!L$3,'Schedule 4'!$J$89:$J$649,'Well Cal.'!$E539)</f>
        <v>0</v>
      </c>
      <c r="M539" s="727">
        <f>SUMIFS('Schedule 4'!$F$89:$F$649,'Schedule 4'!$I$89:$I$649,'Well Cal.'!M$3,'Schedule 4'!$J$89:$J$649,'Well Cal.'!$E539)</f>
        <v>0</v>
      </c>
      <c r="N539" s="727">
        <f>SUMIFS('Schedule 4'!$F$89:$F$649,'Schedule 4'!$I$89:$I$649,'Well Cal.'!N$3,'Schedule 4'!$J$89:$J$649,'Well Cal.'!$E539)</f>
        <v>0</v>
      </c>
      <c r="O539" s="727">
        <f>SUMIFS('Schedule 4'!$F$89:$F$649,'Schedule 4'!$I$89:$I$649,'Well Cal.'!O$3,'Schedule 4'!$J$89:$J$649,'Well Cal.'!$E539)</f>
        <v>0</v>
      </c>
      <c r="P539" s="727">
        <f>SUMIFS('Schedule 4'!$F$89:$F$649,'Schedule 4'!$I$89:$I$649,'Well Cal.'!P$3,'Schedule 4'!$J$89:$J$649,'Well Cal.'!$E539)</f>
        <v>0</v>
      </c>
      <c r="Q539" s="727">
        <f>SUMIFS('Schedule 4'!$F$89:$F$649,'Schedule 4'!$I$89:$I$649,'Well Cal.'!Q$3,'Schedule 4'!$J$89:$J$649,'Well Cal.'!$E539)</f>
        <v>0</v>
      </c>
      <c r="R539" s="727">
        <f>SUMIFS('Schedule 4'!$F$89:$F$649,'Schedule 4'!$I$89:$I$649,'Well Cal.'!R$3,'Schedule 4'!$J$89:$J$649,'Well Cal.'!$E539)</f>
        <v>0</v>
      </c>
      <c r="S539" s="727">
        <f>SUMIFS('Schedule 4'!$F$89:$F$649,'Schedule 4'!$I$89:$I$649,'Well Cal.'!S$3,'Schedule 4'!$J$89:$J$649,'Well Cal.'!$E539)</f>
        <v>0</v>
      </c>
      <c r="T539" s="727">
        <f>SUMIFS('Schedule 4'!$F$89:$F$649,'Schedule 4'!$I$89:$I$649,'Well Cal.'!T$3,'Schedule 4'!$J$89:$J$649,'Well Cal.'!$E539)</f>
        <v>0</v>
      </c>
      <c r="U539" s="727">
        <f>SUMIFS('Schedule 4'!$F$89:$F$649,'Schedule 4'!$I$89:$I$649,'Well Cal.'!U$3,'Schedule 4'!$J$89:$J$649,'Well Cal.'!$E539)</f>
        <v>0</v>
      </c>
      <c r="V539" s="727">
        <f>SUMIFS('Schedule 4'!$F$89:$F$649,'Schedule 4'!$I$89:$I$649,'Well Cal.'!V$3,'Schedule 4'!$J$89:$J$649,'Well Cal.'!$E539)</f>
        <v>0</v>
      </c>
      <c r="W539" s="727">
        <f>SUMIFS('Schedule 4'!$F$89:$F$649,'Schedule 4'!$I$89:$I$649,'Well Cal.'!W$3,'Schedule 4'!$J$89:$J$649,'Well Cal.'!$E539)</f>
        <v>0</v>
      </c>
      <c r="X539" s="727">
        <f>SUMIFS('Schedule 4'!$F$89:$F$649,'Schedule 4'!$I$89:$I$649,'Well Cal.'!X$3,'Schedule 4'!$J$89:$J$649,'Well Cal.'!$E539)</f>
        <v>0</v>
      </c>
      <c r="Y539" s="727">
        <f>SUMIFS('Schedule 4'!$F$89:$F$649,'Schedule 4'!$I$89:$I$649,'Well Cal.'!Y$3,'Schedule 4'!$J$89:$J$649,'Well Cal.'!$E539)</f>
        <v>0</v>
      </c>
      <c r="Z539" s="727">
        <f>SUMIFS('Schedule 4'!$F$89:$F$649,'Schedule 4'!$I$89:$I$649,'Well Cal.'!Z$3,'Schedule 4'!$J$89:$J$649,'Well Cal.'!$E539)</f>
        <v>0</v>
      </c>
      <c r="AA539" s="727"/>
      <c r="AB539" s="1731"/>
      <c r="AC539" s="1731"/>
    </row>
    <row r="540" spans="2:29" x14ac:dyDescent="0.3">
      <c r="B540" s="1724"/>
      <c r="C540" s="1727"/>
      <c r="D540" s="1721"/>
      <c r="E540" s="775" t="s">
        <v>4520</v>
      </c>
      <c r="F540" s="727">
        <f>SUMIFS('Schedule 4'!$F$89:$F$649,'Schedule 4'!$I$89:$I$649,'Well Cal.'!F$3,'Schedule 4'!$J$89:$J$649,'Well Cal.'!$E540)</f>
        <v>0</v>
      </c>
      <c r="G540" s="727">
        <f>SUMIFS('Schedule 4'!$F$89:$F$649,'Schedule 4'!$I$89:$I$649,'Well Cal.'!G$3,'Schedule 4'!$J$89:$J$649,'Well Cal.'!$E540)</f>
        <v>0</v>
      </c>
      <c r="H540" s="727">
        <f>SUMIFS('Schedule 4'!$F$89:$F$649,'Schedule 4'!$I$89:$I$649,'Well Cal.'!H$3,'Schedule 4'!$J$89:$J$649,'Well Cal.'!$E540)</f>
        <v>0</v>
      </c>
      <c r="I540" s="727">
        <f>SUMIFS('Schedule 4'!$F$89:$F$649,'Schedule 4'!$I$89:$I$649,'Well Cal.'!I$3,'Schedule 4'!$J$89:$J$649,'Well Cal.'!$E540)</f>
        <v>0</v>
      </c>
      <c r="J540" s="727">
        <f>SUMIFS('Schedule 4'!$F$89:$F$649,'Schedule 4'!$I$89:$I$649,'Well Cal.'!J$3,'Schedule 4'!$J$89:$J$649,'Well Cal.'!$E540)</f>
        <v>0</v>
      </c>
      <c r="K540" s="727">
        <f>SUMIFS('Schedule 4'!$F$89:$F$649,'Schedule 4'!$I$89:$I$649,'Well Cal.'!K$3,'Schedule 4'!$J$89:$J$649,'Well Cal.'!$E540)</f>
        <v>0</v>
      </c>
      <c r="L540" s="727">
        <f>SUMIFS('Schedule 4'!$F$89:$F$649,'Schedule 4'!$I$89:$I$649,'Well Cal.'!L$3,'Schedule 4'!$J$89:$J$649,'Well Cal.'!$E540)</f>
        <v>0</v>
      </c>
      <c r="M540" s="727">
        <f>SUMIFS('Schedule 4'!$F$89:$F$649,'Schedule 4'!$I$89:$I$649,'Well Cal.'!M$3,'Schedule 4'!$J$89:$J$649,'Well Cal.'!$E540)</f>
        <v>0</v>
      </c>
      <c r="N540" s="727">
        <f>SUMIFS('Schedule 4'!$F$89:$F$649,'Schedule 4'!$I$89:$I$649,'Well Cal.'!N$3,'Schedule 4'!$J$89:$J$649,'Well Cal.'!$E540)</f>
        <v>0</v>
      </c>
      <c r="O540" s="727">
        <f>SUMIFS('Schedule 4'!$F$89:$F$649,'Schedule 4'!$I$89:$I$649,'Well Cal.'!O$3,'Schedule 4'!$J$89:$J$649,'Well Cal.'!$E540)</f>
        <v>0</v>
      </c>
      <c r="P540" s="727">
        <f>SUMIFS('Schedule 4'!$F$89:$F$649,'Schedule 4'!$I$89:$I$649,'Well Cal.'!P$3,'Schedule 4'!$J$89:$J$649,'Well Cal.'!$E540)</f>
        <v>0</v>
      </c>
      <c r="Q540" s="727">
        <f>SUMIFS('Schedule 4'!$F$89:$F$649,'Schedule 4'!$I$89:$I$649,'Well Cal.'!Q$3,'Schedule 4'!$J$89:$J$649,'Well Cal.'!$E540)</f>
        <v>0</v>
      </c>
      <c r="R540" s="727">
        <f>SUMIFS('Schedule 4'!$F$89:$F$649,'Schedule 4'!$I$89:$I$649,'Well Cal.'!R$3,'Schedule 4'!$J$89:$J$649,'Well Cal.'!$E540)</f>
        <v>0</v>
      </c>
      <c r="S540" s="727">
        <f>SUMIFS('Schedule 4'!$F$89:$F$649,'Schedule 4'!$I$89:$I$649,'Well Cal.'!S$3,'Schedule 4'!$J$89:$J$649,'Well Cal.'!$E540)</f>
        <v>0</v>
      </c>
      <c r="T540" s="727">
        <f>SUMIFS('Schedule 4'!$F$89:$F$649,'Schedule 4'!$I$89:$I$649,'Well Cal.'!T$3,'Schedule 4'!$J$89:$J$649,'Well Cal.'!$E540)</f>
        <v>0</v>
      </c>
      <c r="U540" s="727">
        <f>SUMIFS('Schedule 4'!$F$89:$F$649,'Schedule 4'!$I$89:$I$649,'Well Cal.'!U$3,'Schedule 4'!$J$89:$J$649,'Well Cal.'!$E540)</f>
        <v>0</v>
      </c>
      <c r="V540" s="727">
        <f>SUMIFS('Schedule 4'!$F$89:$F$649,'Schedule 4'!$I$89:$I$649,'Well Cal.'!V$3,'Schedule 4'!$J$89:$J$649,'Well Cal.'!$E540)</f>
        <v>0</v>
      </c>
      <c r="W540" s="727">
        <f>SUMIFS('Schedule 4'!$F$89:$F$649,'Schedule 4'!$I$89:$I$649,'Well Cal.'!W$3,'Schedule 4'!$J$89:$J$649,'Well Cal.'!$E540)</f>
        <v>0</v>
      </c>
      <c r="X540" s="727">
        <f>SUMIFS('Schedule 4'!$F$89:$F$649,'Schedule 4'!$I$89:$I$649,'Well Cal.'!X$3,'Schedule 4'!$J$89:$J$649,'Well Cal.'!$E540)</f>
        <v>0</v>
      </c>
      <c r="Y540" s="727">
        <f>SUMIFS('Schedule 4'!$F$89:$F$649,'Schedule 4'!$I$89:$I$649,'Well Cal.'!Y$3,'Schedule 4'!$J$89:$J$649,'Well Cal.'!$E540)</f>
        <v>0</v>
      </c>
      <c r="Z540" s="727">
        <f>SUMIFS('Schedule 4'!$F$89:$F$649,'Schedule 4'!$I$89:$I$649,'Well Cal.'!Z$3,'Schedule 4'!$J$89:$J$649,'Well Cal.'!$E540)</f>
        <v>0</v>
      </c>
      <c r="AA540" s="727"/>
      <c r="AB540" s="1731"/>
      <c r="AC540" s="1731"/>
    </row>
    <row r="541" spans="2:29" x14ac:dyDescent="0.3">
      <c r="B541" s="1724"/>
      <c r="C541" s="1727"/>
      <c r="D541" s="1721"/>
      <c r="E541" s="775" t="s">
        <v>4561</v>
      </c>
      <c r="F541" s="727">
        <f>SUMIFS('Schedule 4'!$F$89:$F$649,'Schedule 4'!$I$89:$I$649,'Well Cal.'!F$3,'Schedule 4'!$J$89:$J$649,'Well Cal.'!$E541)</f>
        <v>0</v>
      </c>
      <c r="G541" s="727">
        <f>SUMIFS('Schedule 4'!$F$89:$F$649,'Schedule 4'!$I$89:$I$649,'Well Cal.'!G$3,'Schedule 4'!$J$89:$J$649,'Well Cal.'!$E541)</f>
        <v>0</v>
      </c>
      <c r="H541" s="727">
        <f>SUMIFS('Schedule 4'!$F$89:$F$649,'Schedule 4'!$I$89:$I$649,'Well Cal.'!H$3,'Schedule 4'!$J$89:$J$649,'Well Cal.'!$E541)</f>
        <v>0</v>
      </c>
      <c r="I541" s="727">
        <f>SUMIFS('Schedule 4'!$F$89:$F$649,'Schedule 4'!$I$89:$I$649,'Well Cal.'!I$3,'Schedule 4'!$J$89:$J$649,'Well Cal.'!$E541)</f>
        <v>0</v>
      </c>
      <c r="J541" s="727">
        <f>SUMIFS('Schedule 4'!$F$89:$F$649,'Schedule 4'!$I$89:$I$649,'Well Cal.'!J$3,'Schedule 4'!$J$89:$J$649,'Well Cal.'!$E541)</f>
        <v>0</v>
      </c>
      <c r="K541" s="727">
        <f>SUMIFS('Schedule 4'!$F$89:$F$649,'Schedule 4'!$I$89:$I$649,'Well Cal.'!K$3,'Schedule 4'!$J$89:$J$649,'Well Cal.'!$E541)</f>
        <v>0</v>
      </c>
      <c r="L541" s="727">
        <f>SUMIFS('Schedule 4'!$F$89:$F$649,'Schedule 4'!$I$89:$I$649,'Well Cal.'!L$3,'Schedule 4'!$J$89:$J$649,'Well Cal.'!$E541)</f>
        <v>0</v>
      </c>
      <c r="M541" s="727">
        <f>SUMIFS('Schedule 4'!$F$89:$F$649,'Schedule 4'!$I$89:$I$649,'Well Cal.'!M$3,'Schedule 4'!$J$89:$J$649,'Well Cal.'!$E541)</f>
        <v>0</v>
      </c>
      <c r="N541" s="727">
        <f>SUMIFS('Schedule 4'!$F$89:$F$649,'Schedule 4'!$I$89:$I$649,'Well Cal.'!N$3,'Schedule 4'!$J$89:$J$649,'Well Cal.'!$E541)</f>
        <v>0</v>
      </c>
      <c r="O541" s="727">
        <f>SUMIFS('Schedule 4'!$F$89:$F$649,'Schedule 4'!$I$89:$I$649,'Well Cal.'!O$3,'Schedule 4'!$J$89:$J$649,'Well Cal.'!$E541)</f>
        <v>0</v>
      </c>
      <c r="P541" s="727">
        <f>SUMIFS('Schedule 4'!$F$89:$F$649,'Schedule 4'!$I$89:$I$649,'Well Cal.'!P$3,'Schedule 4'!$J$89:$J$649,'Well Cal.'!$E541)</f>
        <v>0</v>
      </c>
      <c r="Q541" s="727">
        <f>SUMIFS('Schedule 4'!$F$89:$F$649,'Schedule 4'!$I$89:$I$649,'Well Cal.'!Q$3,'Schedule 4'!$J$89:$J$649,'Well Cal.'!$E541)</f>
        <v>0</v>
      </c>
      <c r="R541" s="727">
        <f>SUMIFS('Schedule 4'!$F$89:$F$649,'Schedule 4'!$I$89:$I$649,'Well Cal.'!R$3,'Schedule 4'!$J$89:$J$649,'Well Cal.'!$E541)</f>
        <v>0</v>
      </c>
      <c r="S541" s="727">
        <f>SUMIFS('Schedule 4'!$F$89:$F$649,'Schedule 4'!$I$89:$I$649,'Well Cal.'!S$3,'Schedule 4'!$J$89:$J$649,'Well Cal.'!$E541)</f>
        <v>0</v>
      </c>
      <c r="T541" s="727">
        <f>SUMIFS('Schedule 4'!$F$89:$F$649,'Schedule 4'!$I$89:$I$649,'Well Cal.'!T$3,'Schedule 4'!$J$89:$J$649,'Well Cal.'!$E541)</f>
        <v>0</v>
      </c>
      <c r="U541" s="727">
        <f>SUMIFS('Schedule 4'!$F$89:$F$649,'Schedule 4'!$I$89:$I$649,'Well Cal.'!U$3,'Schedule 4'!$J$89:$J$649,'Well Cal.'!$E541)</f>
        <v>0</v>
      </c>
      <c r="V541" s="727">
        <f>SUMIFS('Schedule 4'!$F$89:$F$649,'Schedule 4'!$I$89:$I$649,'Well Cal.'!V$3,'Schedule 4'!$J$89:$J$649,'Well Cal.'!$E541)</f>
        <v>0</v>
      </c>
      <c r="W541" s="727">
        <f>SUMIFS('Schedule 4'!$F$89:$F$649,'Schedule 4'!$I$89:$I$649,'Well Cal.'!W$3,'Schedule 4'!$J$89:$J$649,'Well Cal.'!$E541)</f>
        <v>0</v>
      </c>
      <c r="X541" s="727">
        <f>SUMIFS('Schedule 4'!$F$89:$F$649,'Schedule 4'!$I$89:$I$649,'Well Cal.'!X$3,'Schedule 4'!$J$89:$J$649,'Well Cal.'!$E541)</f>
        <v>0</v>
      </c>
      <c r="Y541" s="727">
        <f>SUMIFS('Schedule 4'!$F$89:$F$649,'Schedule 4'!$I$89:$I$649,'Well Cal.'!Y$3,'Schedule 4'!$J$89:$J$649,'Well Cal.'!$E541)</f>
        <v>0</v>
      </c>
      <c r="Z541" s="727">
        <f>SUMIFS('Schedule 4'!$F$89:$F$649,'Schedule 4'!$I$89:$I$649,'Well Cal.'!Z$3,'Schedule 4'!$J$89:$J$649,'Well Cal.'!$E541)</f>
        <v>0</v>
      </c>
      <c r="AA541" s="727"/>
      <c r="AB541" s="1731"/>
      <c r="AC541" s="1731"/>
    </row>
    <row r="542" spans="2:29" x14ac:dyDescent="0.3">
      <c r="B542" s="1725"/>
      <c r="C542" s="1728"/>
      <c r="D542" s="1722"/>
      <c r="E542" s="776"/>
      <c r="F542" s="777"/>
      <c r="G542" s="777"/>
      <c r="H542" s="777"/>
      <c r="I542" s="777"/>
      <c r="J542" s="777"/>
      <c r="K542" s="777"/>
      <c r="L542" s="777"/>
      <c r="M542" s="777"/>
      <c r="N542" s="777"/>
      <c r="O542" s="777"/>
      <c r="P542" s="777"/>
      <c r="Q542" s="777"/>
      <c r="R542" s="777"/>
      <c r="S542" s="777"/>
      <c r="T542" s="777"/>
      <c r="U542" s="777"/>
      <c r="V542" s="777"/>
      <c r="W542" s="777"/>
      <c r="X542" s="777"/>
      <c r="Y542" s="777"/>
      <c r="Z542" s="777"/>
      <c r="AA542" s="777"/>
      <c r="AB542" s="1732"/>
      <c r="AC542" s="1732"/>
    </row>
    <row r="543" spans="2:29" x14ac:dyDescent="0.3">
      <c r="B543" s="1723" t="s">
        <v>2520</v>
      </c>
      <c r="C543" s="1726">
        <v>54.05</v>
      </c>
      <c r="D543" s="1720">
        <f>SUMIFS('Schedule 4'!$F$89:$F$649,'Schedule 4'!$K$89:$K$649,'Well Cal.'!$B543)</f>
        <v>0</v>
      </c>
      <c r="E543" s="754" t="s">
        <v>3138</v>
      </c>
      <c r="F543" s="728">
        <f>SUMIFS('Schedule 4'!$F$89:$F$649,'Schedule 4'!$I$89:$I$649,'Well Cal.'!F$3,'Schedule 4'!$J$89:$J$649,'Well Cal.'!$E543)</f>
        <v>0</v>
      </c>
      <c r="G543" s="728">
        <f>SUMIFS('Schedule 4'!$F$89:$F$649,'Schedule 4'!$I$89:$I$649,'Well Cal.'!G$3,'Schedule 4'!$J$89:$J$649,'Well Cal.'!$E543)</f>
        <v>0</v>
      </c>
      <c r="H543" s="728">
        <f>SUMIFS('Schedule 4'!$F$89:$F$649,'Schedule 4'!$I$89:$I$649,'Well Cal.'!H$3,'Schedule 4'!$J$89:$J$649,'Well Cal.'!$E543)</f>
        <v>0</v>
      </c>
      <c r="I543" s="728">
        <f>SUMIFS('Schedule 4'!$F$89:$F$649,'Schedule 4'!$I$89:$I$649,'Well Cal.'!I$3,'Schedule 4'!$J$89:$J$649,'Well Cal.'!$E543)</f>
        <v>0</v>
      </c>
      <c r="J543" s="728">
        <f>SUMIFS('Schedule 4'!$F$89:$F$649,'Schedule 4'!$I$89:$I$649,'Well Cal.'!J$3,'Schedule 4'!$J$89:$J$649,'Well Cal.'!$E543)</f>
        <v>0</v>
      </c>
      <c r="K543" s="728">
        <f>SUMIFS('Schedule 4'!$F$89:$F$649,'Schedule 4'!$I$89:$I$649,'Well Cal.'!K$3,'Schedule 4'!$J$89:$J$649,'Well Cal.'!$E543)</f>
        <v>0</v>
      </c>
      <c r="L543" s="728">
        <f>SUMIFS('Schedule 4'!$F$89:$F$649,'Schedule 4'!$I$89:$I$649,'Well Cal.'!L$3,'Schedule 4'!$J$89:$J$649,'Well Cal.'!$E543)</f>
        <v>0</v>
      </c>
      <c r="M543" s="728">
        <f>SUMIFS('Schedule 4'!$F$89:$F$649,'Schedule 4'!$I$89:$I$649,'Well Cal.'!M$3,'Schedule 4'!$J$89:$J$649,'Well Cal.'!$E543)</f>
        <v>0</v>
      </c>
      <c r="N543" s="728">
        <f>SUMIFS('Schedule 4'!$F$89:$F$649,'Schedule 4'!$I$89:$I$649,'Well Cal.'!N$3,'Schedule 4'!$J$89:$J$649,'Well Cal.'!$E543)</f>
        <v>0</v>
      </c>
      <c r="O543" s="728">
        <f>SUMIFS('Schedule 4'!$F$89:$F$649,'Schedule 4'!$I$89:$I$649,'Well Cal.'!O$3,'Schedule 4'!$J$89:$J$649,'Well Cal.'!$E543)</f>
        <v>0</v>
      </c>
      <c r="P543" s="728">
        <f>SUMIFS('Schedule 4'!$F$89:$F$649,'Schedule 4'!$I$89:$I$649,'Well Cal.'!P$3,'Schedule 4'!$J$89:$J$649,'Well Cal.'!$E543)</f>
        <v>0</v>
      </c>
      <c r="Q543" s="728">
        <f>SUMIFS('Schedule 4'!$F$89:$F$649,'Schedule 4'!$I$89:$I$649,'Well Cal.'!Q$3,'Schedule 4'!$J$89:$J$649,'Well Cal.'!$E543)</f>
        <v>0</v>
      </c>
      <c r="R543" s="728">
        <f>SUMIFS('Schedule 4'!$F$89:$F$649,'Schedule 4'!$I$89:$I$649,'Well Cal.'!R$3,'Schedule 4'!$J$89:$J$649,'Well Cal.'!$E543)</f>
        <v>0</v>
      </c>
      <c r="S543" s="728">
        <f>SUMIFS('Schedule 4'!$F$89:$F$649,'Schedule 4'!$I$89:$I$649,'Well Cal.'!S$3,'Schedule 4'!$J$89:$J$649,'Well Cal.'!$E543)</f>
        <v>0</v>
      </c>
      <c r="T543" s="728">
        <f>SUMIFS('Schedule 4'!$F$89:$F$649,'Schedule 4'!$I$89:$I$649,'Well Cal.'!T$3,'Schedule 4'!$J$89:$J$649,'Well Cal.'!$E543)</f>
        <v>0</v>
      </c>
      <c r="U543" s="728">
        <f>SUMIFS('Schedule 4'!$F$89:$F$649,'Schedule 4'!$I$89:$I$649,'Well Cal.'!U$3,'Schedule 4'!$J$89:$J$649,'Well Cal.'!$E543)</f>
        <v>0</v>
      </c>
      <c r="V543" s="728">
        <f>SUMIFS('Schedule 4'!$F$89:$F$649,'Schedule 4'!$I$89:$I$649,'Well Cal.'!V$3,'Schedule 4'!$J$89:$J$649,'Well Cal.'!$E543)</f>
        <v>0</v>
      </c>
      <c r="W543" s="728">
        <f>SUMIFS('Schedule 4'!$F$89:$F$649,'Schedule 4'!$I$89:$I$649,'Well Cal.'!W$3,'Schedule 4'!$J$89:$J$649,'Well Cal.'!$E543)</f>
        <v>0</v>
      </c>
      <c r="X543" s="728">
        <f>SUMIFS('Schedule 4'!$F$89:$F$649,'Schedule 4'!$I$89:$I$649,'Well Cal.'!X$3,'Schedule 4'!$J$89:$J$649,'Well Cal.'!$E543)</f>
        <v>0</v>
      </c>
      <c r="Y543" s="728">
        <f>SUMIFS('Schedule 4'!$F$89:$F$649,'Schedule 4'!$I$89:$I$649,'Well Cal.'!Y$3,'Schedule 4'!$J$89:$J$649,'Well Cal.'!$E543)</f>
        <v>0</v>
      </c>
      <c r="Z543" s="728">
        <f>SUMIFS('Schedule 4'!$F$89:$F$649,'Schedule 4'!$I$89:$I$649,'Well Cal.'!Z$3,'Schedule 4'!$J$89:$J$649,'Well Cal.'!$E543)</f>
        <v>0</v>
      </c>
      <c r="AA543" s="728"/>
      <c r="AB543" s="1729">
        <f>SUM(F543:AA565)</f>
        <v>0</v>
      </c>
      <c r="AC543" s="1729">
        <f>D543-AB543</f>
        <v>0</v>
      </c>
    </row>
    <row r="544" spans="2:29" x14ac:dyDescent="0.3">
      <c r="B544" s="1724"/>
      <c r="C544" s="1727"/>
      <c r="D544" s="1721"/>
      <c r="E544" s="761" t="s">
        <v>3232</v>
      </c>
      <c r="F544" s="726">
        <f>SUMIFS('Schedule 4'!$F$89:$F$649,'Schedule 4'!$I$89:$I$649,'Well Cal.'!F$3,'Schedule 4'!$J$89:$J$649,'Well Cal.'!$E544)</f>
        <v>0</v>
      </c>
      <c r="G544" s="726">
        <f>SUMIFS('Schedule 4'!$F$89:$F$649,'Schedule 4'!$I$89:$I$649,'Well Cal.'!G$3,'Schedule 4'!$J$89:$J$649,'Well Cal.'!$E544)</f>
        <v>0</v>
      </c>
      <c r="H544" s="726">
        <f>SUMIFS('Schedule 4'!$F$89:$F$649,'Schedule 4'!$I$89:$I$649,'Well Cal.'!H$3,'Schedule 4'!$J$89:$J$649,'Well Cal.'!$E544)</f>
        <v>0</v>
      </c>
      <c r="I544" s="726">
        <f>SUMIFS('Schedule 4'!$F$89:$F$649,'Schedule 4'!$I$89:$I$649,'Well Cal.'!I$3,'Schedule 4'!$J$89:$J$649,'Well Cal.'!$E544)</f>
        <v>0</v>
      </c>
      <c r="J544" s="726">
        <f>SUMIFS('Schedule 4'!$F$89:$F$649,'Schedule 4'!$I$89:$I$649,'Well Cal.'!J$3,'Schedule 4'!$J$89:$J$649,'Well Cal.'!$E544)</f>
        <v>0</v>
      </c>
      <c r="K544" s="726">
        <f>SUMIFS('Schedule 4'!$F$89:$F$649,'Schedule 4'!$I$89:$I$649,'Well Cal.'!K$3,'Schedule 4'!$J$89:$J$649,'Well Cal.'!$E544)</f>
        <v>0</v>
      </c>
      <c r="L544" s="726">
        <f>SUMIFS('Schedule 4'!$F$89:$F$649,'Schedule 4'!$I$89:$I$649,'Well Cal.'!L$3,'Schedule 4'!$J$89:$J$649,'Well Cal.'!$E544)</f>
        <v>0</v>
      </c>
      <c r="M544" s="726">
        <f>SUMIFS('Schedule 4'!$F$89:$F$649,'Schedule 4'!$I$89:$I$649,'Well Cal.'!M$3,'Schedule 4'!$J$89:$J$649,'Well Cal.'!$E544)</f>
        <v>0</v>
      </c>
      <c r="N544" s="726">
        <f>SUMIFS('Schedule 4'!$F$89:$F$649,'Schedule 4'!$I$89:$I$649,'Well Cal.'!N$3,'Schedule 4'!$J$89:$J$649,'Well Cal.'!$E544)</f>
        <v>0</v>
      </c>
      <c r="O544" s="726">
        <f>SUMIFS('Schedule 4'!$F$89:$F$649,'Schedule 4'!$I$89:$I$649,'Well Cal.'!O$3,'Schedule 4'!$J$89:$J$649,'Well Cal.'!$E544)</f>
        <v>0</v>
      </c>
      <c r="P544" s="726">
        <f>SUMIFS('Schedule 4'!$F$89:$F$649,'Schedule 4'!$I$89:$I$649,'Well Cal.'!P$3,'Schedule 4'!$J$89:$J$649,'Well Cal.'!$E544)</f>
        <v>0</v>
      </c>
      <c r="Q544" s="726">
        <f>SUMIFS('Schedule 4'!$F$89:$F$649,'Schedule 4'!$I$89:$I$649,'Well Cal.'!Q$3,'Schedule 4'!$J$89:$J$649,'Well Cal.'!$E544)</f>
        <v>0</v>
      </c>
      <c r="R544" s="726">
        <f>SUMIFS('Schedule 4'!$F$89:$F$649,'Schedule 4'!$I$89:$I$649,'Well Cal.'!R$3,'Schedule 4'!$J$89:$J$649,'Well Cal.'!$E544)</f>
        <v>0</v>
      </c>
      <c r="S544" s="726">
        <f>SUMIFS('Schedule 4'!$F$89:$F$649,'Schedule 4'!$I$89:$I$649,'Well Cal.'!S$3,'Schedule 4'!$J$89:$J$649,'Well Cal.'!$E544)</f>
        <v>0</v>
      </c>
      <c r="T544" s="726">
        <f>SUMIFS('Schedule 4'!$F$89:$F$649,'Schedule 4'!$I$89:$I$649,'Well Cal.'!T$3,'Schedule 4'!$J$89:$J$649,'Well Cal.'!$E544)</f>
        <v>0</v>
      </c>
      <c r="U544" s="726">
        <f>SUMIFS('Schedule 4'!$F$89:$F$649,'Schedule 4'!$I$89:$I$649,'Well Cal.'!U$3,'Schedule 4'!$J$89:$J$649,'Well Cal.'!$E544)</f>
        <v>0</v>
      </c>
      <c r="V544" s="726">
        <f>SUMIFS('Schedule 4'!$F$89:$F$649,'Schedule 4'!$I$89:$I$649,'Well Cal.'!V$3,'Schedule 4'!$J$89:$J$649,'Well Cal.'!$E544)</f>
        <v>0</v>
      </c>
      <c r="W544" s="726">
        <f>SUMIFS('Schedule 4'!$F$89:$F$649,'Schedule 4'!$I$89:$I$649,'Well Cal.'!W$3,'Schedule 4'!$J$89:$J$649,'Well Cal.'!$E544)</f>
        <v>0</v>
      </c>
      <c r="X544" s="726">
        <f>SUMIFS('Schedule 4'!$F$89:$F$649,'Schedule 4'!$I$89:$I$649,'Well Cal.'!X$3,'Schedule 4'!$J$89:$J$649,'Well Cal.'!$E544)</f>
        <v>0</v>
      </c>
      <c r="Y544" s="726">
        <f>SUMIFS('Schedule 4'!$F$89:$F$649,'Schedule 4'!$I$89:$I$649,'Well Cal.'!Y$3,'Schedule 4'!$J$89:$J$649,'Well Cal.'!$E544)</f>
        <v>0</v>
      </c>
      <c r="Z544" s="726">
        <f>SUMIFS('Schedule 4'!$F$89:$F$649,'Schedule 4'!$I$89:$I$649,'Well Cal.'!Z$3,'Schedule 4'!$J$89:$J$649,'Well Cal.'!$E544)</f>
        <v>0</v>
      </c>
      <c r="AA544" s="726"/>
      <c r="AB544" s="1730"/>
      <c r="AC544" s="1730"/>
    </row>
    <row r="545" spans="2:29" x14ac:dyDescent="0.3">
      <c r="B545" s="1724"/>
      <c r="C545" s="1727"/>
      <c r="D545" s="1721"/>
      <c r="E545" s="761" t="s">
        <v>3302</v>
      </c>
      <c r="F545" s="726">
        <f>SUMIFS('Schedule 4'!$F$89:$F$649,'Schedule 4'!$I$89:$I$649,'Well Cal.'!F$3,'Schedule 4'!$J$89:$J$649,'Well Cal.'!$E545)</f>
        <v>0</v>
      </c>
      <c r="G545" s="726">
        <f>SUMIFS('Schedule 4'!$F$89:$F$649,'Schedule 4'!$I$89:$I$649,'Well Cal.'!G$3,'Schedule 4'!$J$89:$J$649,'Well Cal.'!$E545)</f>
        <v>0</v>
      </c>
      <c r="H545" s="726">
        <f>SUMIFS('Schedule 4'!$F$89:$F$649,'Schedule 4'!$I$89:$I$649,'Well Cal.'!H$3,'Schedule 4'!$J$89:$J$649,'Well Cal.'!$E545)</f>
        <v>0</v>
      </c>
      <c r="I545" s="726">
        <f>SUMIFS('Schedule 4'!$F$89:$F$649,'Schedule 4'!$I$89:$I$649,'Well Cal.'!I$3,'Schedule 4'!$J$89:$J$649,'Well Cal.'!$E545)</f>
        <v>0</v>
      </c>
      <c r="J545" s="726">
        <f>SUMIFS('Schedule 4'!$F$89:$F$649,'Schedule 4'!$I$89:$I$649,'Well Cal.'!J$3,'Schedule 4'!$J$89:$J$649,'Well Cal.'!$E545)</f>
        <v>0</v>
      </c>
      <c r="K545" s="726">
        <f>SUMIFS('Schedule 4'!$F$89:$F$649,'Schedule 4'!$I$89:$I$649,'Well Cal.'!K$3,'Schedule 4'!$J$89:$J$649,'Well Cal.'!$E545)</f>
        <v>0</v>
      </c>
      <c r="L545" s="726">
        <f>SUMIFS('Schedule 4'!$F$89:$F$649,'Schedule 4'!$I$89:$I$649,'Well Cal.'!L$3,'Schedule 4'!$J$89:$J$649,'Well Cal.'!$E545)</f>
        <v>0</v>
      </c>
      <c r="M545" s="726">
        <f>SUMIFS('Schedule 4'!$F$89:$F$649,'Schedule 4'!$I$89:$I$649,'Well Cal.'!M$3,'Schedule 4'!$J$89:$J$649,'Well Cal.'!$E545)</f>
        <v>0</v>
      </c>
      <c r="N545" s="726">
        <f>SUMIFS('Schedule 4'!$F$89:$F$649,'Schedule 4'!$I$89:$I$649,'Well Cal.'!N$3,'Schedule 4'!$J$89:$J$649,'Well Cal.'!$E545)</f>
        <v>0</v>
      </c>
      <c r="O545" s="726">
        <f>SUMIFS('Schedule 4'!$F$89:$F$649,'Schedule 4'!$I$89:$I$649,'Well Cal.'!O$3,'Schedule 4'!$J$89:$J$649,'Well Cal.'!$E545)</f>
        <v>0</v>
      </c>
      <c r="P545" s="726">
        <f>SUMIFS('Schedule 4'!$F$89:$F$649,'Schedule 4'!$I$89:$I$649,'Well Cal.'!P$3,'Schedule 4'!$J$89:$J$649,'Well Cal.'!$E545)</f>
        <v>0</v>
      </c>
      <c r="Q545" s="726">
        <f>SUMIFS('Schedule 4'!$F$89:$F$649,'Schedule 4'!$I$89:$I$649,'Well Cal.'!Q$3,'Schedule 4'!$J$89:$J$649,'Well Cal.'!$E545)</f>
        <v>0</v>
      </c>
      <c r="R545" s="726">
        <f>SUMIFS('Schedule 4'!$F$89:$F$649,'Schedule 4'!$I$89:$I$649,'Well Cal.'!R$3,'Schedule 4'!$J$89:$J$649,'Well Cal.'!$E545)</f>
        <v>0</v>
      </c>
      <c r="S545" s="726">
        <f>SUMIFS('Schedule 4'!$F$89:$F$649,'Schedule 4'!$I$89:$I$649,'Well Cal.'!S$3,'Schedule 4'!$J$89:$J$649,'Well Cal.'!$E545)</f>
        <v>0</v>
      </c>
      <c r="T545" s="726">
        <f>SUMIFS('Schedule 4'!$F$89:$F$649,'Schedule 4'!$I$89:$I$649,'Well Cal.'!T$3,'Schedule 4'!$J$89:$J$649,'Well Cal.'!$E545)</f>
        <v>0</v>
      </c>
      <c r="U545" s="726">
        <f>SUMIFS('Schedule 4'!$F$89:$F$649,'Schedule 4'!$I$89:$I$649,'Well Cal.'!U$3,'Schedule 4'!$J$89:$J$649,'Well Cal.'!$E545)</f>
        <v>0</v>
      </c>
      <c r="V545" s="726">
        <f>SUMIFS('Schedule 4'!$F$89:$F$649,'Schedule 4'!$I$89:$I$649,'Well Cal.'!V$3,'Schedule 4'!$J$89:$J$649,'Well Cal.'!$E545)</f>
        <v>0</v>
      </c>
      <c r="W545" s="726">
        <f>SUMIFS('Schedule 4'!$F$89:$F$649,'Schedule 4'!$I$89:$I$649,'Well Cal.'!W$3,'Schedule 4'!$J$89:$J$649,'Well Cal.'!$E545)</f>
        <v>0</v>
      </c>
      <c r="X545" s="726">
        <f>SUMIFS('Schedule 4'!$F$89:$F$649,'Schedule 4'!$I$89:$I$649,'Well Cal.'!X$3,'Schedule 4'!$J$89:$J$649,'Well Cal.'!$E545)</f>
        <v>0</v>
      </c>
      <c r="Y545" s="726">
        <f>SUMIFS('Schedule 4'!$F$89:$F$649,'Schedule 4'!$I$89:$I$649,'Well Cal.'!Y$3,'Schedule 4'!$J$89:$J$649,'Well Cal.'!$E545)</f>
        <v>0</v>
      </c>
      <c r="Z545" s="726">
        <f>SUMIFS('Schedule 4'!$F$89:$F$649,'Schedule 4'!$I$89:$I$649,'Well Cal.'!Z$3,'Schedule 4'!$J$89:$J$649,'Well Cal.'!$E545)</f>
        <v>0</v>
      </c>
      <c r="AA545" s="726"/>
      <c r="AB545" s="1730"/>
      <c r="AC545" s="1730"/>
    </row>
    <row r="546" spans="2:29" x14ac:dyDescent="0.3">
      <c r="B546" s="1724"/>
      <c r="C546" s="1727"/>
      <c r="D546" s="1721"/>
      <c r="E546" s="775" t="s">
        <v>3379</v>
      </c>
      <c r="F546" s="727">
        <f>SUMIFS('Schedule 4'!$F$89:$F$649,'Schedule 4'!$I$89:$I$649,'Well Cal.'!F$3,'Schedule 4'!$J$89:$J$649,'Well Cal.'!$E546)</f>
        <v>0</v>
      </c>
      <c r="G546" s="727">
        <f>SUMIFS('Schedule 4'!$F$89:$F$649,'Schedule 4'!$I$89:$I$649,'Well Cal.'!G$3,'Schedule 4'!$J$89:$J$649,'Well Cal.'!$E546)</f>
        <v>0</v>
      </c>
      <c r="H546" s="727">
        <f>SUMIFS('Schedule 4'!$F$89:$F$649,'Schedule 4'!$I$89:$I$649,'Well Cal.'!H$3,'Schedule 4'!$J$89:$J$649,'Well Cal.'!$E546)</f>
        <v>0</v>
      </c>
      <c r="I546" s="727">
        <f>SUMIFS('Schedule 4'!$F$89:$F$649,'Schedule 4'!$I$89:$I$649,'Well Cal.'!I$3,'Schedule 4'!$J$89:$J$649,'Well Cal.'!$E546)</f>
        <v>0</v>
      </c>
      <c r="J546" s="727">
        <f>SUMIFS('Schedule 4'!$F$89:$F$649,'Schedule 4'!$I$89:$I$649,'Well Cal.'!J$3,'Schedule 4'!$J$89:$J$649,'Well Cal.'!$E546)</f>
        <v>0</v>
      </c>
      <c r="K546" s="727">
        <f>SUMIFS('Schedule 4'!$F$89:$F$649,'Schedule 4'!$I$89:$I$649,'Well Cal.'!K$3,'Schedule 4'!$J$89:$J$649,'Well Cal.'!$E546)</f>
        <v>0</v>
      </c>
      <c r="L546" s="727">
        <f>SUMIFS('Schedule 4'!$F$89:$F$649,'Schedule 4'!$I$89:$I$649,'Well Cal.'!L$3,'Schedule 4'!$J$89:$J$649,'Well Cal.'!$E546)</f>
        <v>0</v>
      </c>
      <c r="M546" s="727">
        <f>SUMIFS('Schedule 4'!$F$89:$F$649,'Schedule 4'!$I$89:$I$649,'Well Cal.'!M$3,'Schedule 4'!$J$89:$J$649,'Well Cal.'!$E546)</f>
        <v>0</v>
      </c>
      <c r="N546" s="727">
        <f>SUMIFS('Schedule 4'!$F$89:$F$649,'Schedule 4'!$I$89:$I$649,'Well Cal.'!N$3,'Schedule 4'!$J$89:$J$649,'Well Cal.'!$E546)</f>
        <v>0</v>
      </c>
      <c r="O546" s="727">
        <f>SUMIFS('Schedule 4'!$F$89:$F$649,'Schedule 4'!$I$89:$I$649,'Well Cal.'!O$3,'Schedule 4'!$J$89:$J$649,'Well Cal.'!$E546)</f>
        <v>0</v>
      </c>
      <c r="P546" s="727">
        <f>SUMIFS('Schedule 4'!$F$89:$F$649,'Schedule 4'!$I$89:$I$649,'Well Cal.'!P$3,'Schedule 4'!$J$89:$J$649,'Well Cal.'!$E546)</f>
        <v>0</v>
      </c>
      <c r="Q546" s="727">
        <f>SUMIFS('Schedule 4'!$F$89:$F$649,'Schedule 4'!$I$89:$I$649,'Well Cal.'!Q$3,'Schedule 4'!$J$89:$J$649,'Well Cal.'!$E546)</f>
        <v>0</v>
      </c>
      <c r="R546" s="727">
        <f>SUMIFS('Schedule 4'!$F$89:$F$649,'Schedule 4'!$I$89:$I$649,'Well Cal.'!R$3,'Schedule 4'!$J$89:$J$649,'Well Cal.'!$E546)</f>
        <v>0</v>
      </c>
      <c r="S546" s="727">
        <f>SUMIFS('Schedule 4'!$F$89:$F$649,'Schedule 4'!$I$89:$I$649,'Well Cal.'!S$3,'Schedule 4'!$J$89:$J$649,'Well Cal.'!$E546)</f>
        <v>0</v>
      </c>
      <c r="T546" s="727">
        <f>SUMIFS('Schedule 4'!$F$89:$F$649,'Schedule 4'!$I$89:$I$649,'Well Cal.'!T$3,'Schedule 4'!$J$89:$J$649,'Well Cal.'!$E546)</f>
        <v>0</v>
      </c>
      <c r="U546" s="727">
        <f>SUMIFS('Schedule 4'!$F$89:$F$649,'Schedule 4'!$I$89:$I$649,'Well Cal.'!U$3,'Schedule 4'!$J$89:$J$649,'Well Cal.'!$E546)</f>
        <v>0</v>
      </c>
      <c r="V546" s="727">
        <f>SUMIFS('Schedule 4'!$F$89:$F$649,'Schedule 4'!$I$89:$I$649,'Well Cal.'!V$3,'Schedule 4'!$J$89:$J$649,'Well Cal.'!$E546)</f>
        <v>0</v>
      </c>
      <c r="W546" s="727">
        <f>SUMIFS('Schedule 4'!$F$89:$F$649,'Schedule 4'!$I$89:$I$649,'Well Cal.'!W$3,'Schedule 4'!$J$89:$J$649,'Well Cal.'!$E546)</f>
        <v>0</v>
      </c>
      <c r="X546" s="727">
        <f>SUMIFS('Schedule 4'!$F$89:$F$649,'Schedule 4'!$I$89:$I$649,'Well Cal.'!X$3,'Schedule 4'!$J$89:$J$649,'Well Cal.'!$E546)</f>
        <v>0</v>
      </c>
      <c r="Y546" s="727">
        <f>SUMIFS('Schedule 4'!$F$89:$F$649,'Schedule 4'!$I$89:$I$649,'Well Cal.'!Y$3,'Schedule 4'!$J$89:$J$649,'Well Cal.'!$E546)</f>
        <v>0</v>
      </c>
      <c r="Z546" s="727">
        <f>SUMIFS('Schedule 4'!$F$89:$F$649,'Schedule 4'!$I$89:$I$649,'Well Cal.'!Z$3,'Schedule 4'!$J$89:$J$649,'Well Cal.'!$E546)</f>
        <v>0</v>
      </c>
      <c r="AA546" s="727"/>
      <c r="AB546" s="1730"/>
      <c r="AC546" s="1730"/>
    </row>
    <row r="547" spans="2:29" x14ac:dyDescent="0.3">
      <c r="B547" s="1724"/>
      <c r="C547" s="1727"/>
      <c r="D547" s="1721"/>
      <c r="E547" s="775" t="s">
        <v>3442</v>
      </c>
      <c r="F547" s="727">
        <f>SUMIFS('Schedule 4'!$F$89:$F$649,'Schedule 4'!$I$89:$I$649,'Well Cal.'!F$3,'Schedule 4'!$J$89:$J$649,'Well Cal.'!$E547)</f>
        <v>0</v>
      </c>
      <c r="G547" s="727">
        <f>SUMIFS('Schedule 4'!$F$89:$F$649,'Schedule 4'!$I$89:$I$649,'Well Cal.'!G$3,'Schedule 4'!$J$89:$J$649,'Well Cal.'!$E547)</f>
        <v>0</v>
      </c>
      <c r="H547" s="727">
        <f>SUMIFS('Schedule 4'!$F$89:$F$649,'Schedule 4'!$I$89:$I$649,'Well Cal.'!H$3,'Schedule 4'!$J$89:$J$649,'Well Cal.'!$E547)</f>
        <v>0</v>
      </c>
      <c r="I547" s="727">
        <f>SUMIFS('Schedule 4'!$F$89:$F$649,'Schedule 4'!$I$89:$I$649,'Well Cal.'!I$3,'Schedule 4'!$J$89:$J$649,'Well Cal.'!$E547)</f>
        <v>0</v>
      </c>
      <c r="J547" s="727">
        <f>SUMIFS('Schedule 4'!$F$89:$F$649,'Schedule 4'!$I$89:$I$649,'Well Cal.'!J$3,'Schedule 4'!$J$89:$J$649,'Well Cal.'!$E547)</f>
        <v>0</v>
      </c>
      <c r="K547" s="727">
        <f>SUMIFS('Schedule 4'!$F$89:$F$649,'Schedule 4'!$I$89:$I$649,'Well Cal.'!K$3,'Schedule 4'!$J$89:$J$649,'Well Cal.'!$E547)</f>
        <v>0</v>
      </c>
      <c r="L547" s="727">
        <f>SUMIFS('Schedule 4'!$F$89:$F$649,'Schedule 4'!$I$89:$I$649,'Well Cal.'!L$3,'Schedule 4'!$J$89:$J$649,'Well Cal.'!$E547)</f>
        <v>0</v>
      </c>
      <c r="M547" s="727">
        <f>SUMIFS('Schedule 4'!$F$89:$F$649,'Schedule 4'!$I$89:$I$649,'Well Cal.'!M$3,'Schedule 4'!$J$89:$J$649,'Well Cal.'!$E547)</f>
        <v>0</v>
      </c>
      <c r="N547" s="727">
        <f>SUMIFS('Schedule 4'!$F$89:$F$649,'Schedule 4'!$I$89:$I$649,'Well Cal.'!N$3,'Schedule 4'!$J$89:$J$649,'Well Cal.'!$E547)</f>
        <v>0</v>
      </c>
      <c r="O547" s="727">
        <f>SUMIFS('Schedule 4'!$F$89:$F$649,'Schedule 4'!$I$89:$I$649,'Well Cal.'!O$3,'Schedule 4'!$J$89:$J$649,'Well Cal.'!$E547)</f>
        <v>0</v>
      </c>
      <c r="P547" s="727">
        <f>SUMIFS('Schedule 4'!$F$89:$F$649,'Schedule 4'!$I$89:$I$649,'Well Cal.'!P$3,'Schedule 4'!$J$89:$J$649,'Well Cal.'!$E547)</f>
        <v>0</v>
      </c>
      <c r="Q547" s="727">
        <f>SUMIFS('Schedule 4'!$F$89:$F$649,'Schedule 4'!$I$89:$I$649,'Well Cal.'!Q$3,'Schedule 4'!$J$89:$J$649,'Well Cal.'!$E547)</f>
        <v>0</v>
      </c>
      <c r="R547" s="727">
        <f>SUMIFS('Schedule 4'!$F$89:$F$649,'Schedule 4'!$I$89:$I$649,'Well Cal.'!R$3,'Schedule 4'!$J$89:$J$649,'Well Cal.'!$E547)</f>
        <v>0</v>
      </c>
      <c r="S547" s="727">
        <f>SUMIFS('Schedule 4'!$F$89:$F$649,'Schedule 4'!$I$89:$I$649,'Well Cal.'!S$3,'Schedule 4'!$J$89:$J$649,'Well Cal.'!$E547)</f>
        <v>0</v>
      </c>
      <c r="T547" s="727">
        <f>SUMIFS('Schedule 4'!$F$89:$F$649,'Schedule 4'!$I$89:$I$649,'Well Cal.'!T$3,'Schedule 4'!$J$89:$J$649,'Well Cal.'!$E547)</f>
        <v>0</v>
      </c>
      <c r="U547" s="727">
        <f>SUMIFS('Schedule 4'!$F$89:$F$649,'Schedule 4'!$I$89:$I$649,'Well Cal.'!U$3,'Schedule 4'!$J$89:$J$649,'Well Cal.'!$E547)</f>
        <v>0</v>
      </c>
      <c r="V547" s="727">
        <f>SUMIFS('Schedule 4'!$F$89:$F$649,'Schedule 4'!$I$89:$I$649,'Well Cal.'!V$3,'Schedule 4'!$J$89:$J$649,'Well Cal.'!$E547)</f>
        <v>0</v>
      </c>
      <c r="W547" s="727">
        <f>SUMIFS('Schedule 4'!$F$89:$F$649,'Schedule 4'!$I$89:$I$649,'Well Cal.'!W$3,'Schedule 4'!$J$89:$J$649,'Well Cal.'!$E547)</f>
        <v>0</v>
      </c>
      <c r="X547" s="727">
        <f>SUMIFS('Schedule 4'!$F$89:$F$649,'Schedule 4'!$I$89:$I$649,'Well Cal.'!X$3,'Schedule 4'!$J$89:$J$649,'Well Cal.'!$E547)</f>
        <v>0</v>
      </c>
      <c r="Y547" s="727">
        <f>SUMIFS('Schedule 4'!$F$89:$F$649,'Schedule 4'!$I$89:$I$649,'Well Cal.'!Y$3,'Schedule 4'!$J$89:$J$649,'Well Cal.'!$E547)</f>
        <v>0</v>
      </c>
      <c r="Z547" s="727">
        <f>SUMIFS('Schedule 4'!$F$89:$F$649,'Schedule 4'!$I$89:$I$649,'Well Cal.'!Z$3,'Schedule 4'!$J$89:$J$649,'Well Cal.'!$E547)</f>
        <v>0</v>
      </c>
      <c r="AA547" s="727"/>
      <c r="AB547" s="1730"/>
      <c r="AC547" s="1730"/>
    </row>
    <row r="548" spans="2:29" x14ac:dyDescent="0.3">
      <c r="B548" s="1724"/>
      <c r="C548" s="1727"/>
      <c r="D548" s="1721"/>
      <c r="E548" s="775" t="s">
        <v>3539</v>
      </c>
      <c r="F548" s="727">
        <f>SUMIFS('Schedule 4'!$F$89:$F$649,'Schedule 4'!$I$89:$I$649,'Well Cal.'!F$3,'Schedule 4'!$J$89:$J$649,'Well Cal.'!$E548)</f>
        <v>0</v>
      </c>
      <c r="G548" s="727">
        <f>SUMIFS('Schedule 4'!$F$89:$F$649,'Schedule 4'!$I$89:$I$649,'Well Cal.'!G$3,'Schedule 4'!$J$89:$J$649,'Well Cal.'!$E548)</f>
        <v>0</v>
      </c>
      <c r="H548" s="727">
        <f>SUMIFS('Schedule 4'!$F$89:$F$649,'Schedule 4'!$I$89:$I$649,'Well Cal.'!H$3,'Schedule 4'!$J$89:$J$649,'Well Cal.'!$E548)</f>
        <v>0</v>
      </c>
      <c r="I548" s="727">
        <f>SUMIFS('Schedule 4'!$F$89:$F$649,'Schedule 4'!$I$89:$I$649,'Well Cal.'!I$3,'Schedule 4'!$J$89:$J$649,'Well Cal.'!$E548)</f>
        <v>0</v>
      </c>
      <c r="J548" s="727">
        <f>SUMIFS('Schedule 4'!$F$89:$F$649,'Schedule 4'!$I$89:$I$649,'Well Cal.'!J$3,'Schedule 4'!$J$89:$J$649,'Well Cal.'!$E548)</f>
        <v>0</v>
      </c>
      <c r="K548" s="727">
        <f>SUMIFS('Schedule 4'!$F$89:$F$649,'Schedule 4'!$I$89:$I$649,'Well Cal.'!K$3,'Schedule 4'!$J$89:$J$649,'Well Cal.'!$E548)</f>
        <v>0</v>
      </c>
      <c r="L548" s="727">
        <f>SUMIFS('Schedule 4'!$F$89:$F$649,'Schedule 4'!$I$89:$I$649,'Well Cal.'!L$3,'Schedule 4'!$J$89:$J$649,'Well Cal.'!$E548)</f>
        <v>0</v>
      </c>
      <c r="M548" s="727">
        <f>SUMIFS('Schedule 4'!$F$89:$F$649,'Schedule 4'!$I$89:$I$649,'Well Cal.'!M$3,'Schedule 4'!$J$89:$J$649,'Well Cal.'!$E548)</f>
        <v>0</v>
      </c>
      <c r="N548" s="727">
        <f>SUMIFS('Schedule 4'!$F$89:$F$649,'Schedule 4'!$I$89:$I$649,'Well Cal.'!N$3,'Schedule 4'!$J$89:$J$649,'Well Cal.'!$E548)</f>
        <v>0</v>
      </c>
      <c r="O548" s="727">
        <f>SUMIFS('Schedule 4'!$F$89:$F$649,'Schedule 4'!$I$89:$I$649,'Well Cal.'!O$3,'Schedule 4'!$J$89:$J$649,'Well Cal.'!$E548)</f>
        <v>0</v>
      </c>
      <c r="P548" s="727">
        <f>SUMIFS('Schedule 4'!$F$89:$F$649,'Schedule 4'!$I$89:$I$649,'Well Cal.'!P$3,'Schedule 4'!$J$89:$J$649,'Well Cal.'!$E548)</f>
        <v>0</v>
      </c>
      <c r="Q548" s="727">
        <f>SUMIFS('Schedule 4'!$F$89:$F$649,'Schedule 4'!$I$89:$I$649,'Well Cal.'!Q$3,'Schedule 4'!$J$89:$J$649,'Well Cal.'!$E548)</f>
        <v>0</v>
      </c>
      <c r="R548" s="727">
        <f>SUMIFS('Schedule 4'!$F$89:$F$649,'Schedule 4'!$I$89:$I$649,'Well Cal.'!R$3,'Schedule 4'!$J$89:$J$649,'Well Cal.'!$E548)</f>
        <v>0</v>
      </c>
      <c r="S548" s="727">
        <f>SUMIFS('Schedule 4'!$F$89:$F$649,'Schedule 4'!$I$89:$I$649,'Well Cal.'!S$3,'Schedule 4'!$J$89:$J$649,'Well Cal.'!$E548)</f>
        <v>0</v>
      </c>
      <c r="T548" s="727">
        <f>SUMIFS('Schedule 4'!$F$89:$F$649,'Schedule 4'!$I$89:$I$649,'Well Cal.'!T$3,'Schedule 4'!$J$89:$J$649,'Well Cal.'!$E548)</f>
        <v>0</v>
      </c>
      <c r="U548" s="727">
        <f>SUMIFS('Schedule 4'!$F$89:$F$649,'Schedule 4'!$I$89:$I$649,'Well Cal.'!U$3,'Schedule 4'!$J$89:$J$649,'Well Cal.'!$E548)</f>
        <v>0</v>
      </c>
      <c r="V548" s="727">
        <f>SUMIFS('Schedule 4'!$F$89:$F$649,'Schedule 4'!$I$89:$I$649,'Well Cal.'!V$3,'Schedule 4'!$J$89:$J$649,'Well Cal.'!$E548)</f>
        <v>0</v>
      </c>
      <c r="W548" s="727">
        <f>SUMIFS('Schedule 4'!$F$89:$F$649,'Schedule 4'!$I$89:$I$649,'Well Cal.'!W$3,'Schedule 4'!$J$89:$J$649,'Well Cal.'!$E548)</f>
        <v>0</v>
      </c>
      <c r="X548" s="727">
        <f>SUMIFS('Schedule 4'!$F$89:$F$649,'Schedule 4'!$I$89:$I$649,'Well Cal.'!X$3,'Schedule 4'!$J$89:$J$649,'Well Cal.'!$E548)</f>
        <v>0</v>
      </c>
      <c r="Y548" s="727">
        <f>SUMIFS('Schedule 4'!$F$89:$F$649,'Schedule 4'!$I$89:$I$649,'Well Cal.'!Y$3,'Schedule 4'!$J$89:$J$649,'Well Cal.'!$E548)</f>
        <v>0</v>
      </c>
      <c r="Z548" s="727">
        <f>SUMIFS('Schedule 4'!$F$89:$F$649,'Schedule 4'!$I$89:$I$649,'Well Cal.'!Z$3,'Schedule 4'!$J$89:$J$649,'Well Cal.'!$E548)</f>
        <v>0</v>
      </c>
      <c r="AA548" s="727"/>
      <c r="AB548" s="1730"/>
      <c r="AC548" s="1730"/>
    </row>
    <row r="549" spans="2:29" x14ac:dyDescent="0.3">
      <c r="B549" s="1724"/>
      <c r="C549" s="1727"/>
      <c r="D549" s="1721"/>
      <c r="E549" s="775" t="s">
        <v>3609</v>
      </c>
      <c r="F549" s="727">
        <f>SUMIFS('Schedule 4'!$F$89:$F$649,'Schedule 4'!$I$89:$I$649,'Well Cal.'!F$3,'Schedule 4'!$J$89:$J$649,'Well Cal.'!$E549)</f>
        <v>0</v>
      </c>
      <c r="G549" s="727">
        <f>SUMIFS('Schedule 4'!$F$89:$F$649,'Schedule 4'!$I$89:$I$649,'Well Cal.'!G$3,'Schedule 4'!$J$89:$J$649,'Well Cal.'!$E549)</f>
        <v>0</v>
      </c>
      <c r="H549" s="727">
        <f>SUMIFS('Schedule 4'!$F$89:$F$649,'Schedule 4'!$I$89:$I$649,'Well Cal.'!H$3,'Schedule 4'!$J$89:$J$649,'Well Cal.'!$E549)</f>
        <v>0</v>
      </c>
      <c r="I549" s="727">
        <f>SUMIFS('Schedule 4'!$F$89:$F$649,'Schedule 4'!$I$89:$I$649,'Well Cal.'!I$3,'Schedule 4'!$J$89:$J$649,'Well Cal.'!$E549)</f>
        <v>0</v>
      </c>
      <c r="J549" s="727">
        <f>SUMIFS('Schedule 4'!$F$89:$F$649,'Schedule 4'!$I$89:$I$649,'Well Cal.'!J$3,'Schedule 4'!$J$89:$J$649,'Well Cal.'!$E549)</f>
        <v>0</v>
      </c>
      <c r="K549" s="727">
        <f>SUMIFS('Schedule 4'!$F$89:$F$649,'Schedule 4'!$I$89:$I$649,'Well Cal.'!K$3,'Schedule 4'!$J$89:$J$649,'Well Cal.'!$E549)</f>
        <v>0</v>
      </c>
      <c r="L549" s="727">
        <f>SUMIFS('Schedule 4'!$F$89:$F$649,'Schedule 4'!$I$89:$I$649,'Well Cal.'!L$3,'Schedule 4'!$J$89:$J$649,'Well Cal.'!$E549)</f>
        <v>0</v>
      </c>
      <c r="M549" s="727">
        <f>SUMIFS('Schedule 4'!$F$89:$F$649,'Schedule 4'!$I$89:$I$649,'Well Cal.'!M$3,'Schedule 4'!$J$89:$J$649,'Well Cal.'!$E549)</f>
        <v>0</v>
      </c>
      <c r="N549" s="727">
        <f>SUMIFS('Schedule 4'!$F$89:$F$649,'Schedule 4'!$I$89:$I$649,'Well Cal.'!N$3,'Schedule 4'!$J$89:$J$649,'Well Cal.'!$E549)</f>
        <v>0</v>
      </c>
      <c r="O549" s="727">
        <f>SUMIFS('Schedule 4'!$F$89:$F$649,'Schedule 4'!$I$89:$I$649,'Well Cal.'!O$3,'Schedule 4'!$J$89:$J$649,'Well Cal.'!$E549)</f>
        <v>0</v>
      </c>
      <c r="P549" s="727">
        <f>SUMIFS('Schedule 4'!$F$89:$F$649,'Schedule 4'!$I$89:$I$649,'Well Cal.'!P$3,'Schedule 4'!$J$89:$J$649,'Well Cal.'!$E549)</f>
        <v>0</v>
      </c>
      <c r="Q549" s="727">
        <f>SUMIFS('Schedule 4'!$F$89:$F$649,'Schedule 4'!$I$89:$I$649,'Well Cal.'!Q$3,'Schedule 4'!$J$89:$J$649,'Well Cal.'!$E549)</f>
        <v>0</v>
      </c>
      <c r="R549" s="727">
        <f>SUMIFS('Schedule 4'!$F$89:$F$649,'Schedule 4'!$I$89:$I$649,'Well Cal.'!R$3,'Schedule 4'!$J$89:$J$649,'Well Cal.'!$E549)</f>
        <v>0</v>
      </c>
      <c r="S549" s="727">
        <f>SUMIFS('Schedule 4'!$F$89:$F$649,'Schedule 4'!$I$89:$I$649,'Well Cal.'!S$3,'Schedule 4'!$J$89:$J$649,'Well Cal.'!$E549)</f>
        <v>0</v>
      </c>
      <c r="T549" s="727">
        <f>SUMIFS('Schedule 4'!$F$89:$F$649,'Schedule 4'!$I$89:$I$649,'Well Cal.'!T$3,'Schedule 4'!$J$89:$J$649,'Well Cal.'!$E549)</f>
        <v>0</v>
      </c>
      <c r="U549" s="727">
        <f>SUMIFS('Schedule 4'!$F$89:$F$649,'Schedule 4'!$I$89:$I$649,'Well Cal.'!U$3,'Schedule 4'!$J$89:$J$649,'Well Cal.'!$E549)</f>
        <v>0</v>
      </c>
      <c r="V549" s="727">
        <f>SUMIFS('Schedule 4'!$F$89:$F$649,'Schedule 4'!$I$89:$I$649,'Well Cal.'!V$3,'Schedule 4'!$J$89:$J$649,'Well Cal.'!$E549)</f>
        <v>0</v>
      </c>
      <c r="W549" s="727">
        <f>SUMIFS('Schedule 4'!$F$89:$F$649,'Schedule 4'!$I$89:$I$649,'Well Cal.'!W$3,'Schedule 4'!$J$89:$J$649,'Well Cal.'!$E549)</f>
        <v>0</v>
      </c>
      <c r="X549" s="727">
        <f>SUMIFS('Schedule 4'!$F$89:$F$649,'Schedule 4'!$I$89:$I$649,'Well Cal.'!X$3,'Schedule 4'!$J$89:$J$649,'Well Cal.'!$E549)</f>
        <v>0</v>
      </c>
      <c r="Y549" s="727">
        <f>SUMIFS('Schedule 4'!$F$89:$F$649,'Schedule 4'!$I$89:$I$649,'Well Cal.'!Y$3,'Schedule 4'!$J$89:$J$649,'Well Cal.'!$E549)</f>
        <v>0</v>
      </c>
      <c r="Z549" s="727">
        <f>SUMIFS('Schedule 4'!$F$89:$F$649,'Schedule 4'!$I$89:$I$649,'Well Cal.'!Z$3,'Schedule 4'!$J$89:$J$649,'Well Cal.'!$E549)</f>
        <v>0</v>
      </c>
      <c r="AA549" s="727"/>
      <c r="AB549" s="1730"/>
      <c r="AC549" s="1730"/>
    </row>
    <row r="550" spans="2:29" x14ac:dyDescent="0.3">
      <c r="B550" s="1724"/>
      <c r="C550" s="1727"/>
      <c r="D550" s="1721"/>
      <c r="E550" s="775" t="s">
        <v>3721</v>
      </c>
      <c r="F550" s="727">
        <f>SUMIFS('Schedule 4'!$F$89:$F$649,'Schedule 4'!$I$89:$I$649,'Well Cal.'!F$3,'Schedule 4'!$J$89:$J$649,'Well Cal.'!$E550)</f>
        <v>0</v>
      </c>
      <c r="G550" s="727">
        <f>SUMIFS('Schedule 4'!$F$89:$F$649,'Schedule 4'!$I$89:$I$649,'Well Cal.'!G$3,'Schedule 4'!$J$89:$J$649,'Well Cal.'!$E550)</f>
        <v>0</v>
      </c>
      <c r="H550" s="727">
        <f>SUMIFS('Schedule 4'!$F$89:$F$649,'Schedule 4'!$I$89:$I$649,'Well Cal.'!H$3,'Schedule 4'!$J$89:$J$649,'Well Cal.'!$E550)</f>
        <v>0</v>
      </c>
      <c r="I550" s="727">
        <f>SUMIFS('Schedule 4'!$F$89:$F$649,'Schedule 4'!$I$89:$I$649,'Well Cal.'!I$3,'Schedule 4'!$J$89:$J$649,'Well Cal.'!$E550)</f>
        <v>0</v>
      </c>
      <c r="J550" s="727">
        <f>SUMIFS('Schedule 4'!$F$89:$F$649,'Schedule 4'!$I$89:$I$649,'Well Cal.'!J$3,'Schedule 4'!$J$89:$J$649,'Well Cal.'!$E550)</f>
        <v>0</v>
      </c>
      <c r="K550" s="727">
        <f>SUMIFS('Schedule 4'!$F$89:$F$649,'Schedule 4'!$I$89:$I$649,'Well Cal.'!K$3,'Schedule 4'!$J$89:$J$649,'Well Cal.'!$E550)</f>
        <v>0</v>
      </c>
      <c r="L550" s="727">
        <f>SUMIFS('Schedule 4'!$F$89:$F$649,'Schedule 4'!$I$89:$I$649,'Well Cal.'!L$3,'Schedule 4'!$J$89:$J$649,'Well Cal.'!$E550)</f>
        <v>0</v>
      </c>
      <c r="M550" s="727">
        <f>SUMIFS('Schedule 4'!$F$89:$F$649,'Schedule 4'!$I$89:$I$649,'Well Cal.'!M$3,'Schedule 4'!$J$89:$J$649,'Well Cal.'!$E550)</f>
        <v>0</v>
      </c>
      <c r="N550" s="727">
        <f>SUMIFS('Schedule 4'!$F$89:$F$649,'Schedule 4'!$I$89:$I$649,'Well Cal.'!N$3,'Schedule 4'!$J$89:$J$649,'Well Cal.'!$E550)</f>
        <v>0</v>
      </c>
      <c r="O550" s="727">
        <f>SUMIFS('Schedule 4'!$F$89:$F$649,'Schedule 4'!$I$89:$I$649,'Well Cal.'!O$3,'Schedule 4'!$J$89:$J$649,'Well Cal.'!$E550)</f>
        <v>0</v>
      </c>
      <c r="P550" s="727">
        <f>SUMIFS('Schedule 4'!$F$89:$F$649,'Schedule 4'!$I$89:$I$649,'Well Cal.'!P$3,'Schedule 4'!$J$89:$J$649,'Well Cal.'!$E550)</f>
        <v>0</v>
      </c>
      <c r="Q550" s="727">
        <f>SUMIFS('Schedule 4'!$F$89:$F$649,'Schedule 4'!$I$89:$I$649,'Well Cal.'!Q$3,'Schedule 4'!$J$89:$J$649,'Well Cal.'!$E550)</f>
        <v>0</v>
      </c>
      <c r="R550" s="727">
        <f>SUMIFS('Schedule 4'!$F$89:$F$649,'Schedule 4'!$I$89:$I$649,'Well Cal.'!R$3,'Schedule 4'!$J$89:$J$649,'Well Cal.'!$E550)</f>
        <v>0</v>
      </c>
      <c r="S550" s="727">
        <f>SUMIFS('Schedule 4'!$F$89:$F$649,'Schedule 4'!$I$89:$I$649,'Well Cal.'!S$3,'Schedule 4'!$J$89:$J$649,'Well Cal.'!$E550)</f>
        <v>0</v>
      </c>
      <c r="T550" s="727">
        <f>SUMIFS('Schedule 4'!$F$89:$F$649,'Schedule 4'!$I$89:$I$649,'Well Cal.'!T$3,'Schedule 4'!$J$89:$J$649,'Well Cal.'!$E550)</f>
        <v>0</v>
      </c>
      <c r="U550" s="727">
        <f>SUMIFS('Schedule 4'!$F$89:$F$649,'Schedule 4'!$I$89:$I$649,'Well Cal.'!U$3,'Schedule 4'!$J$89:$J$649,'Well Cal.'!$E550)</f>
        <v>0</v>
      </c>
      <c r="V550" s="727">
        <f>SUMIFS('Schedule 4'!$F$89:$F$649,'Schedule 4'!$I$89:$I$649,'Well Cal.'!V$3,'Schedule 4'!$J$89:$J$649,'Well Cal.'!$E550)</f>
        <v>0</v>
      </c>
      <c r="W550" s="727">
        <f>SUMIFS('Schedule 4'!$F$89:$F$649,'Schedule 4'!$I$89:$I$649,'Well Cal.'!W$3,'Schedule 4'!$J$89:$J$649,'Well Cal.'!$E550)</f>
        <v>0</v>
      </c>
      <c r="X550" s="727">
        <f>SUMIFS('Schedule 4'!$F$89:$F$649,'Schedule 4'!$I$89:$I$649,'Well Cal.'!X$3,'Schedule 4'!$J$89:$J$649,'Well Cal.'!$E550)</f>
        <v>0</v>
      </c>
      <c r="Y550" s="727">
        <f>SUMIFS('Schedule 4'!$F$89:$F$649,'Schedule 4'!$I$89:$I$649,'Well Cal.'!Y$3,'Schedule 4'!$J$89:$J$649,'Well Cal.'!$E550)</f>
        <v>0</v>
      </c>
      <c r="Z550" s="727">
        <f>SUMIFS('Schedule 4'!$F$89:$F$649,'Schedule 4'!$I$89:$I$649,'Well Cal.'!Z$3,'Schedule 4'!$J$89:$J$649,'Well Cal.'!$E550)</f>
        <v>0</v>
      </c>
      <c r="AA550" s="727"/>
      <c r="AB550" s="1731"/>
      <c r="AC550" s="1731"/>
    </row>
    <row r="551" spans="2:29" x14ac:dyDescent="0.3">
      <c r="B551" s="1724"/>
      <c r="C551" s="1727"/>
      <c r="D551" s="1721"/>
      <c r="E551" s="775" t="s">
        <v>3759</v>
      </c>
      <c r="F551" s="727">
        <f>SUMIFS('Schedule 4'!$F$89:$F$649,'Schedule 4'!$I$89:$I$649,'Well Cal.'!F$3,'Schedule 4'!$J$89:$J$649,'Well Cal.'!$E551)</f>
        <v>0</v>
      </c>
      <c r="G551" s="727">
        <f>SUMIFS('Schedule 4'!$F$89:$F$649,'Schedule 4'!$I$89:$I$649,'Well Cal.'!G$3,'Schedule 4'!$J$89:$J$649,'Well Cal.'!$E551)</f>
        <v>0</v>
      </c>
      <c r="H551" s="727">
        <f>SUMIFS('Schedule 4'!$F$89:$F$649,'Schedule 4'!$I$89:$I$649,'Well Cal.'!H$3,'Schedule 4'!$J$89:$J$649,'Well Cal.'!$E551)</f>
        <v>0</v>
      </c>
      <c r="I551" s="727">
        <f>SUMIFS('Schedule 4'!$F$89:$F$649,'Schedule 4'!$I$89:$I$649,'Well Cal.'!I$3,'Schedule 4'!$J$89:$J$649,'Well Cal.'!$E551)</f>
        <v>0</v>
      </c>
      <c r="J551" s="727">
        <f>SUMIFS('Schedule 4'!$F$89:$F$649,'Schedule 4'!$I$89:$I$649,'Well Cal.'!J$3,'Schedule 4'!$J$89:$J$649,'Well Cal.'!$E551)</f>
        <v>0</v>
      </c>
      <c r="K551" s="727">
        <f>SUMIFS('Schedule 4'!$F$89:$F$649,'Schedule 4'!$I$89:$I$649,'Well Cal.'!K$3,'Schedule 4'!$J$89:$J$649,'Well Cal.'!$E551)</f>
        <v>0</v>
      </c>
      <c r="L551" s="727">
        <f>SUMIFS('Schedule 4'!$F$89:$F$649,'Schedule 4'!$I$89:$I$649,'Well Cal.'!L$3,'Schedule 4'!$J$89:$J$649,'Well Cal.'!$E551)</f>
        <v>0</v>
      </c>
      <c r="M551" s="727">
        <f>SUMIFS('Schedule 4'!$F$89:$F$649,'Schedule 4'!$I$89:$I$649,'Well Cal.'!M$3,'Schedule 4'!$J$89:$J$649,'Well Cal.'!$E551)</f>
        <v>0</v>
      </c>
      <c r="N551" s="727">
        <f>SUMIFS('Schedule 4'!$F$89:$F$649,'Schedule 4'!$I$89:$I$649,'Well Cal.'!N$3,'Schedule 4'!$J$89:$J$649,'Well Cal.'!$E551)</f>
        <v>0</v>
      </c>
      <c r="O551" s="727">
        <f>SUMIFS('Schedule 4'!$F$89:$F$649,'Schedule 4'!$I$89:$I$649,'Well Cal.'!O$3,'Schedule 4'!$J$89:$J$649,'Well Cal.'!$E551)</f>
        <v>0</v>
      </c>
      <c r="P551" s="727">
        <f>SUMIFS('Schedule 4'!$F$89:$F$649,'Schedule 4'!$I$89:$I$649,'Well Cal.'!P$3,'Schedule 4'!$J$89:$J$649,'Well Cal.'!$E551)</f>
        <v>0</v>
      </c>
      <c r="Q551" s="727">
        <f>SUMIFS('Schedule 4'!$F$89:$F$649,'Schedule 4'!$I$89:$I$649,'Well Cal.'!Q$3,'Schedule 4'!$J$89:$J$649,'Well Cal.'!$E551)</f>
        <v>0</v>
      </c>
      <c r="R551" s="727">
        <f>SUMIFS('Schedule 4'!$F$89:$F$649,'Schedule 4'!$I$89:$I$649,'Well Cal.'!R$3,'Schedule 4'!$J$89:$J$649,'Well Cal.'!$E551)</f>
        <v>0</v>
      </c>
      <c r="S551" s="727">
        <f>SUMIFS('Schedule 4'!$F$89:$F$649,'Schedule 4'!$I$89:$I$649,'Well Cal.'!S$3,'Schedule 4'!$J$89:$J$649,'Well Cal.'!$E551)</f>
        <v>0</v>
      </c>
      <c r="T551" s="727">
        <f>SUMIFS('Schedule 4'!$F$89:$F$649,'Schedule 4'!$I$89:$I$649,'Well Cal.'!T$3,'Schedule 4'!$J$89:$J$649,'Well Cal.'!$E551)</f>
        <v>0</v>
      </c>
      <c r="U551" s="727">
        <f>SUMIFS('Schedule 4'!$F$89:$F$649,'Schedule 4'!$I$89:$I$649,'Well Cal.'!U$3,'Schedule 4'!$J$89:$J$649,'Well Cal.'!$E551)</f>
        <v>0</v>
      </c>
      <c r="V551" s="727">
        <f>SUMIFS('Schedule 4'!$F$89:$F$649,'Schedule 4'!$I$89:$I$649,'Well Cal.'!V$3,'Schedule 4'!$J$89:$J$649,'Well Cal.'!$E551)</f>
        <v>0</v>
      </c>
      <c r="W551" s="727">
        <f>SUMIFS('Schedule 4'!$F$89:$F$649,'Schedule 4'!$I$89:$I$649,'Well Cal.'!W$3,'Schedule 4'!$J$89:$J$649,'Well Cal.'!$E551)</f>
        <v>0</v>
      </c>
      <c r="X551" s="727">
        <f>SUMIFS('Schedule 4'!$F$89:$F$649,'Schedule 4'!$I$89:$I$649,'Well Cal.'!X$3,'Schedule 4'!$J$89:$J$649,'Well Cal.'!$E551)</f>
        <v>0</v>
      </c>
      <c r="Y551" s="727">
        <f>SUMIFS('Schedule 4'!$F$89:$F$649,'Schedule 4'!$I$89:$I$649,'Well Cal.'!Y$3,'Schedule 4'!$J$89:$J$649,'Well Cal.'!$E551)</f>
        <v>0</v>
      </c>
      <c r="Z551" s="727">
        <f>SUMIFS('Schedule 4'!$F$89:$F$649,'Schedule 4'!$I$89:$I$649,'Well Cal.'!Z$3,'Schedule 4'!$J$89:$J$649,'Well Cal.'!$E551)</f>
        <v>0</v>
      </c>
      <c r="AA551" s="727"/>
      <c r="AB551" s="1731"/>
      <c r="AC551" s="1731"/>
    </row>
    <row r="552" spans="2:29" x14ac:dyDescent="0.3">
      <c r="B552" s="1724"/>
      <c r="C552" s="1727"/>
      <c r="D552" s="1721"/>
      <c r="E552" s="775" t="s">
        <v>3822</v>
      </c>
      <c r="F552" s="727">
        <f>SUMIFS('Schedule 4'!$F$89:$F$649,'Schedule 4'!$I$89:$I$649,'Well Cal.'!F$3,'Schedule 4'!$J$89:$J$649,'Well Cal.'!$E552)</f>
        <v>0</v>
      </c>
      <c r="G552" s="727">
        <f>SUMIFS('Schedule 4'!$F$89:$F$649,'Schedule 4'!$I$89:$I$649,'Well Cal.'!G$3,'Schedule 4'!$J$89:$J$649,'Well Cal.'!$E552)</f>
        <v>0</v>
      </c>
      <c r="H552" s="727">
        <f>SUMIFS('Schedule 4'!$F$89:$F$649,'Schedule 4'!$I$89:$I$649,'Well Cal.'!H$3,'Schedule 4'!$J$89:$J$649,'Well Cal.'!$E552)</f>
        <v>0</v>
      </c>
      <c r="I552" s="727">
        <f>SUMIFS('Schedule 4'!$F$89:$F$649,'Schedule 4'!$I$89:$I$649,'Well Cal.'!I$3,'Schedule 4'!$J$89:$J$649,'Well Cal.'!$E552)</f>
        <v>0</v>
      </c>
      <c r="J552" s="727">
        <f>SUMIFS('Schedule 4'!$F$89:$F$649,'Schedule 4'!$I$89:$I$649,'Well Cal.'!J$3,'Schedule 4'!$J$89:$J$649,'Well Cal.'!$E552)</f>
        <v>0</v>
      </c>
      <c r="K552" s="727">
        <f>SUMIFS('Schedule 4'!$F$89:$F$649,'Schedule 4'!$I$89:$I$649,'Well Cal.'!K$3,'Schedule 4'!$J$89:$J$649,'Well Cal.'!$E552)</f>
        <v>0</v>
      </c>
      <c r="L552" s="727">
        <f>SUMIFS('Schedule 4'!$F$89:$F$649,'Schedule 4'!$I$89:$I$649,'Well Cal.'!L$3,'Schedule 4'!$J$89:$J$649,'Well Cal.'!$E552)</f>
        <v>0</v>
      </c>
      <c r="M552" s="727">
        <f>SUMIFS('Schedule 4'!$F$89:$F$649,'Schedule 4'!$I$89:$I$649,'Well Cal.'!M$3,'Schedule 4'!$J$89:$J$649,'Well Cal.'!$E552)</f>
        <v>0</v>
      </c>
      <c r="N552" s="727">
        <f>SUMIFS('Schedule 4'!$F$89:$F$649,'Schedule 4'!$I$89:$I$649,'Well Cal.'!N$3,'Schedule 4'!$J$89:$J$649,'Well Cal.'!$E552)</f>
        <v>0</v>
      </c>
      <c r="O552" s="727">
        <f>SUMIFS('Schedule 4'!$F$89:$F$649,'Schedule 4'!$I$89:$I$649,'Well Cal.'!O$3,'Schedule 4'!$J$89:$J$649,'Well Cal.'!$E552)</f>
        <v>0</v>
      </c>
      <c r="P552" s="727">
        <f>SUMIFS('Schedule 4'!$F$89:$F$649,'Schedule 4'!$I$89:$I$649,'Well Cal.'!P$3,'Schedule 4'!$J$89:$J$649,'Well Cal.'!$E552)</f>
        <v>0</v>
      </c>
      <c r="Q552" s="727">
        <f>SUMIFS('Schedule 4'!$F$89:$F$649,'Schedule 4'!$I$89:$I$649,'Well Cal.'!Q$3,'Schedule 4'!$J$89:$J$649,'Well Cal.'!$E552)</f>
        <v>0</v>
      </c>
      <c r="R552" s="727">
        <f>SUMIFS('Schedule 4'!$F$89:$F$649,'Schedule 4'!$I$89:$I$649,'Well Cal.'!R$3,'Schedule 4'!$J$89:$J$649,'Well Cal.'!$E552)</f>
        <v>0</v>
      </c>
      <c r="S552" s="727">
        <f>SUMIFS('Schedule 4'!$F$89:$F$649,'Schedule 4'!$I$89:$I$649,'Well Cal.'!S$3,'Schedule 4'!$J$89:$J$649,'Well Cal.'!$E552)</f>
        <v>0</v>
      </c>
      <c r="T552" s="727">
        <f>SUMIFS('Schedule 4'!$F$89:$F$649,'Schedule 4'!$I$89:$I$649,'Well Cal.'!T$3,'Schedule 4'!$J$89:$J$649,'Well Cal.'!$E552)</f>
        <v>0</v>
      </c>
      <c r="U552" s="727">
        <f>SUMIFS('Schedule 4'!$F$89:$F$649,'Schedule 4'!$I$89:$I$649,'Well Cal.'!U$3,'Schedule 4'!$J$89:$J$649,'Well Cal.'!$E552)</f>
        <v>0</v>
      </c>
      <c r="V552" s="727">
        <f>SUMIFS('Schedule 4'!$F$89:$F$649,'Schedule 4'!$I$89:$I$649,'Well Cal.'!V$3,'Schedule 4'!$J$89:$J$649,'Well Cal.'!$E552)</f>
        <v>0</v>
      </c>
      <c r="W552" s="727">
        <f>SUMIFS('Schedule 4'!$F$89:$F$649,'Schedule 4'!$I$89:$I$649,'Well Cal.'!W$3,'Schedule 4'!$J$89:$J$649,'Well Cal.'!$E552)</f>
        <v>0</v>
      </c>
      <c r="X552" s="727">
        <f>SUMIFS('Schedule 4'!$F$89:$F$649,'Schedule 4'!$I$89:$I$649,'Well Cal.'!X$3,'Schedule 4'!$J$89:$J$649,'Well Cal.'!$E552)</f>
        <v>0</v>
      </c>
      <c r="Y552" s="727">
        <f>SUMIFS('Schedule 4'!$F$89:$F$649,'Schedule 4'!$I$89:$I$649,'Well Cal.'!Y$3,'Schedule 4'!$J$89:$J$649,'Well Cal.'!$E552)</f>
        <v>0</v>
      </c>
      <c r="Z552" s="727">
        <f>SUMIFS('Schedule 4'!$F$89:$F$649,'Schedule 4'!$I$89:$I$649,'Well Cal.'!Z$3,'Schedule 4'!$J$89:$J$649,'Well Cal.'!$E552)</f>
        <v>0</v>
      </c>
      <c r="AA552" s="727"/>
      <c r="AB552" s="1731"/>
      <c r="AC552" s="1731"/>
    </row>
    <row r="553" spans="2:29" x14ac:dyDescent="0.3">
      <c r="B553" s="1724"/>
      <c r="C553" s="1727"/>
      <c r="D553" s="1721"/>
      <c r="E553" s="775" t="s">
        <v>3895</v>
      </c>
      <c r="F553" s="727">
        <f>SUMIFS('Schedule 4'!$F$89:$F$649,'Schedule 4'!$I$89:$I$649,'Well Cal.'!F$3,'Schedule 4'!$J$89:$J$649,'Well Cal.'!$E553)</f>
        <v>0</v>
      </c>
      <c r="G553" s="727">
        <f>SUMIFS('Schedule 4'!$F$89:$F$649,'Schedule 4'!$I$89:$I$649,'Well Cal.'!G$3,'Schedule 4'!$J$89:$J$649,'Well Cal.'!$E553)</f>
        <v>0</v>
      </c>
      <c r="H553" s="727">
        <f>SUMIFS('Schedule 4'!$F$89:$F$649,'Schedule 4'!$I$89:$I$649,'Well Cal.'!H$3,'Schedule 4'!$J$89:$J$649,'Well Cal.'!$E553)</f>
        <v>0</v>
      </c>
      <c r="I553" s="727">
        <f>SUMIFS('Schedule 4'!$F$89:$F$649,'Schedule 4'!$I$89:$I$649,'Well Cal.'!I$3,'Schedule 4'!$J$89:$J$649,'Well Cal.'!$E553)</f>
        <v>0</v>
      </c>
      <c r="J553" s="727">
        <f>SUMIFS('Schedule 4'!$F$89:$F$649,'Schedule 4'!$I$89:$I$649,'Well Cal.'!J$3,'Schedule 4'!$J$89:$J$649,'Well Cal.'!$E553)</f>
        <v>0</v>
      </c>
      <c r="K553" s="727">
        <f>SUMIFS('Schedule 4'!$F$89:$F$649,'Schedule 4'!$I$89:$I$649,'Well Cal.'!K$3,'Schedule 4'!$J$89:$J$649,'Well Cal.'!$E553)</f>
        <v>0</v>
      </c>
      <c r="L553" s="727">
        <f>SUMIFS('Schedule 4'!$F$89:$F$649,'Schedule 4'!$I$89:$I$649,'Well Cal.'!L$3,'Schedule 4'!$J$89:$J$649,'Well Cal.'!$E553)</f>
        <v>0</v>
      </c>
      <c r="M553" s="727">
        <f>SUMIFS('Schedule 4'!$F$89:$F$649,'Schedule 4'!$I$89:$I$649,'Well Cal.'!M$3,'Schedule 4'!$J$89:$J$649,'Well Cal.'!$E553)</f>
        <v>0</v>
      </c>
      <c r="N553" s="727">
        <f>SUMIFS('Schedule 4'!$F$89:$F$649,'Schedule 4'!$I$89:$I$649,'Well Cal.'!N$3,'Schedule 4'!$J$89:$J$649,'Well Cal.'!$E553)</f>
        <v>0</v>
      </c>
      <c r="O553" s="727">
        <f>SUMIFS('Schedule 4'!$F$89:$F$649,'Schedule 4'!$I$89:$I$649,'Well Cal.'!O$3,'Schedule 4'!$J$89:$J$649,'Well Cal.'!$E553)</f>
        <v>0</v>
      </c>
      <c r="P553" s="727">
        <f>SUMIFS('Schedule 4'!$F$89:$F$649,'Schedule 4'!$I$89:$I$649,'Well Cal.'!P$3,'Schedule 4'!$J$89:$J$649,'Well Cal.'!$E553)</f>
        <v>0</v>
      </c>
      <c r="Q553" s="727">
        <f>SUMIFS('Schedule 4'!$F$89:$F$649,'Schedule 4'!$I$89:$I$649,'Well Cal.'!Q$3,'Schedule 4'!$J$89:$J$649,'Well Cal.'!$E553)</f>
        <v>0</v>
      </c>
      <c r="R553" s="727">
        <f>SUMIFS('Schedule 4'!$F$89:$F$649,'Schedule 4'!$I$89:$I$649,'Well Cal.'!R$3,'Schedule 4'!$J$89:$J$649,'Well Cal.'!$E553)</f>
        <v>0</v>
      </c>
      <c r="S553" s="727">
        <f>SUMIFS('Schedule 4'!$F$89:$F$649,'Schedule 4'!$I$89:$I$649,'Well Cal.'!S$3,'Schedule 4'!$J$89:$J$649,'Well Cal.'!$E553)</f>
        <v>0</v>
      </c>
      <c r="T553" s="727">
        <f>SUMIFS('Schedule 4'!$F$89:$F$649,'Schedule 4'!$I$89:$I$649,'Well Cal.'!T$3,'Schedule 4'!$J$89:$J$649,'Well Cal.'!$E553)</f>
        <v>0</v>
      </c>
      <c r="U553" s="727">
        <f>SUMIFS('Schedule 4'!$F$89:$F$649,'Schedule 4'!$I$89:$I$649,'Well Cal.'!U$3,'Schedule 4'!$J$89:$J$649,'Well Cal.'!$E553)</f>
        <v>0</v>
      </c>
      <c r="V553" s="727">
        <f>SUMIFS('Schedule 4'!$F$89:$F$649,'Schedule 4'!$I$89:$I$649,'Well Cal.'!V$3,'Schedule 4'!$J$89:$J$649,'Well Cal.'!$E553)</f>
        <v>0</v>
      </c>
      <c r="W553" s="727">
        <f>SUMIFS('Schedule 4'!$F$89:$F$649,'Schedule 4'!$I$89:$I$649,'Well Cal.'!W$3,'Schedule 4'!$J$89:$J$649,'Well Cal.'!$E553)</f>
        <v>0</v>
      </c>
      <c r="X553" s="727">
        <f>SUMIFS('Schedule 4'!$F$89:$F$649,'Schedule 4'!$I$89:$I$649,'Well Cal.'!X$3,'Schedule 4'!$J$89:$J$649,'Well Cal.'!$E553)</f>
        <v>0</v>
      </c>
      <c r="Y553" s="727">
        <f>SUMIFS('Schedule 4'!$F$89:$F$649,'Schedule 4'!$I$89:$I$649,'Well Cal.'!Y$3,'Schedule 4'!$J$89:$J$649,'Well Cal.'!$E553)</f>
        <v>0</v>
      </c>
      <c r="Z553" s="727">
        <f>SUMIFS('Schedule 4'!$F$89:$F$649,'Schedule 4'!$I$89:$I$649,'Well Cal.'!Z$3,'Schedule 4'!$J$89:$J$649,'Well Cal.'!$E553)</f>
        <v>0</v>
      </c>
      <c r="AA553" s="727"/>
      <c r="AB553" s="1731"/>
      <c r="AC553" s="1731"/>
    </row>
    <row r="554" spans="2:29" x14ac:dyDescent="0.3">
      <c r="B554" s="1724"/>
      <c r="C554" s="1727"/>
      <c r="D554" s="1721"/>
      <c r="E554" s="775" t="s">
        <v>3953</v>
      </c>
      <c r="F554" s="727">
        <f>SUMIFS('Schedule 4'!$F$89:$F$649,'Schedule 4'!$I$89:$I$649,'Well Cal.'!F$3,'Schedule 4'!$J$89:$J$649,'Well Cal.'!$E554)</f>
        <v>0</v>
      </c>
      <c r="G554" s="727">
        <f>SUMIFS('Schedule 4'!$F$89:$F$649,'Schedule 4'!$I$89:$I$649,'Well Cal.'!G$3,'Schedule 4'!$J$89:$J$649,'Well Cal.'!$E554)</f>
        <v>0</v>
      </c>
      <c r="H554" s="727">
        <f>SUMIFS('Schedule 4'!$F$89:$F$649,'Schedule 4'!$I$89:$I$649,'Well Cal.'!H$3,'Schedule 4'!$J$89:$J$649,'Well Cal.'!$E554)</f>
        <v>0</v>
      </c>
      <c r="I554" s="727">
        <f>SUMIFS('Schedule 4'!$F$89:$F$649,'Schedule 4'!$I$89:$I$649,'Well Cal.'!I$3,'Schedule 4'!$J$89:$J$649,'Well Cal.'!$E554)</f>
        <v>0</v>
      </c>
      <c r="J554" s="727">
        <f>SUMIFS('Schedule 4'!$F$89:$F$649,'Schedule 4'!$I$89:$I$649,'Well Cal.'!J$3,'Schedule 4'!$J$89:$J$649,'Well Cal.'!$E554)</f>
        <v>0</v>
      </c>
      <c r="K554" s="727">
        <f>SUMIFS('Schedule 4'!$F$89:$F$649,'Schedule 4'!$I$89:$I$649,'Well Cal.'!K$3,'Schedule 4'!$J$89:$J$649,'Well Cal.'!$E554)</f>
        <v>0</v>
      </c>
      <c r="L554" s="727">
        <f>SUMIFS('Schedule 4'!$F$89:$F$649,'Schedule 4'!$I$89:$I$649,'Well Cal.'!L$3,'Schedule 4'!$J$89:$J$649,'Well Cal.'!$E554)</f>
        <v>0</v>
      </c>
      <c r="M554" s="727">
        <f>SUMIFS('Schedule 4'!$F$89:$F$649,'Schedule 4'!$I$89:$I$649,'Well Cal.'!M$3,'Schedule 4'!$J$89:$J$649,'Well Cal.'!$E554)</f>
        <v>0</v>
      </c>
      <c r="N554" s="727">
        <f>SUMIFS('Schedule 4'!$F$89:$F$649,'Schedule 4'!$I$89:$I$649,'Well Cal.'!N$3,'Schedule 4'!$J$89:$J$649,'Well Cal.'!$E554)</f>
        <v>0</v>
      </c>
      <c r="O554" s="727">
        <f>SUMIFS('Schedule 4'!$F$89:$F$649,'Schedule 4'!$I$89:$I$649,'Well Cal.'!O$3,'Schedule 4'!$J$89:$J$649,'Well Cal.'!$E554)</f>
        <v>0</v>
      </c>
      <c r="P554" s="727">
        <f>SUMIFS('Schedule 4'!$F$89:$F$649,'Schedule 4'!$I$89:$I$649,'Well Cal.'!P$3,'Schedule 4'!$J$89:$J$649,'Well Cal.'!$E554)</f>
        <v>0</v>
      </c>
      <c r="Q554" s="727">
        <f>SUMIFS('Schedule 4'!$F$89:$F$649,'Schedule 4'!$I$89:$I$649,'Well Cal.'!Q$3,'Schedule 4'!$J$89:$J$649,'Well Cal.'!$E554)</f>
        <v>0</v>
      </c>
      <c r="R554" s="727">
        <f>SUMIFS('Schedule 4'!$F$89:$F$649,'Schedule 4'!$I$89:$I$649,'Well Cal.'!R$3,'Schedule 4'!$J$89:$J$649,'Well Cal.'!$E554)</f>
        <v>0</v>
      </c>
      <c r="S554" s="727">
        <f>SUMIFS('Schedule 4'!$F$89:$F$649,'Schedule 4'!$I$89:$I$649,'Well Cal.'!S$3,'Schedule 4'!$J$89:$J$649,'Well Cal.'!$E554)</f>
        <v>0</v>
      </c>
      <c r="T554" s="727">
        <f>SUMIFS('Schedule 4'!$F$89:$F$649,'Schedule 4'!$I$89:$I$649,'Well Cal.'!T$3,'Schedule 4'!$J$89:$J$649,'Well Cal.'!$E554)</f>
        <v>0</v>
      </c>
      <c r="U554" s="727">
        <f>SUMIFS('Schedule 4'!$F$89:$F$649,'Schedule 4'!$I$89:$I$649,'Well Cal.'!U$3,'Schedule 4'!$J$89:$J$649,'Well Cal.'!$E554)</f>
        <v>0</v>
      </c>
      <c r="V554" s="727">
        <f>SUMIFS('Schedule 4'!$F$89:$F$649,'Schedule 4'!$I$89:$I$649,'Well Cal.'!V$3,'Schedule 4'!$J$89:$J$649,'Well Cal.'!$E554)</f>
        <v>0</v>
      </c>
      <c r="W554" s="727">
        <f>SUMIFS('Schedule 4'!$F$89:$F$649,'Schedule 4'!$I$89:$I$649,'Well Cal.'!W$3,'Schedule 4'!$J$89:$J$649,'Well Cal.'!$E554)</f>
        <v>0</v>
      </c>
      <c r="X554" s="727">
        <f>SUMIFS('Schedule 4'!$F$89:$F$649,'Schedule 4'!$I$89:$I$649,'Well Cal.'!X$3,'Schedule 4'!$J$89:$J$649,'Well Cal.'!$E554)</f>
        <v>0</v>
      </c>
      <c r="Y554" s="727">
        <f>SUMIFS('Schedule 4'!$F$89:$F$649,'Schedule 4'!$I$89:$I$649,'Well Cal.'!Y$3,'Schedule 4'!$J$89:$J$649,'Well Cal.'!$E554)</f>
        <v>0</v>
      </c>
      <c r="Z554" s="727">
        <f>SUMIFS('Schedule 4'!$F$89:$F$649,'Schedule 4'!$I$89:$I$649,'Well Cal.'!Z$3,'Schedule 4'!$J$89:$J$649,'Well Cal.'!$E554)</f>
        <v>0</v>
      </c>
      <c r="AA554" s="727"/>
      <c r="AB554" s="1731"/>
      <c r="AC554" s="1731"/>
    </row>
    <row r="555" spans="2:29" x14ac:dyDescent="0.3">
      <c r="B555" s="1724"/>
      <c r="C555" s="1727"/>
      <c r="D555" s="1721"/>
      <c r="E555" s="775" t="s">
        <v>4031</v>
      </c>
      <c r="F555" s="727">
        <f>SUMIFS('Schedule 4'!$F$89:$F$649,'Schedule 4'!$I$89:$I$649,'Well Cal.'!F$3,'Schedule 4'!$J$89:$J$649,'Well Cal.'!$E555)</f>
        <v>0</v>
      </c>
      <c r="G555" s="727">
        <f>SUMIFS('Schedule 4'!$F$89:$F$649,'Schedule 4'!$I$89:$I$649,'Well Cal.'!G$3,'Schedule 4'!$J$89:$J$649,'Well Cal.'!$E555)</f>
        <v>0</v>
      </c>
      <c r="H555" s="727">
        <f>SUMIFS('Schedule 4'!$F$89:$F$649,'Schedule 4'!$I$89:$I$649,'Well Cal.'!H$3,'Schedule 4'!$J$89:$J$649,'Well Cal.'!$E555)</f>
        <v>0</v>
      </c>
      <c r="I555" s="727">
        <f>SUMIFS('Schedule 4'!$F$89:$F$649,'Schedule 4'!$I$89:$I$649,'Well Cal.'!I$3,'Schedule 4'!$J$89:$J$649,'Well Cal.'!$E555)</f>
        <v>0</v>
      </c>
      <c r="J555" s="727">
        <f>SUMIFS('Schedule 4'!$F$89:$F$649,'Schedule 4'!$I$89:$I$649,'Well Cal.'!J$3,'Schedule 4'!$J$89:$J$649,'Well Cal.'!$E555)</f>
        <v>0</v>
      </c>
      <c r="K555" s="727">
        <f>SUMIFS('Schedule 4'!$F$89:$F$649,'Schedule 4'!$I$89:$I$649,'Well Cal.'!K$3,'Schedule 4'!$J$89:$J$649,'Well Cal.'!$E555)</f>
        <v>0</v>
      </c>
      <c r="L555" s="727">
        <f>SUMIFS('Schedule 4'!$F$89:$F$649,'Schedule 4'!$I$89:$I$649,'Well Cal.'!L$3,'Schedule 4'!$J$89:$J$649,'Well Cal.'!$E555)</f>
        <v>0</v>
      </c>
      <c r="M555" s="727">
        <f>SUMIFS('Schedule 4'!$F$89:$F$649,'Schedule 4'!$I$89:$I$649,'Well Cal.'!M$3,'Schedule 4'!$J$89:$J$649,'Well Cal.'!$E555)</f>
        <v>0</v>
      </c>
      <c r="N555" s="727">
        <f>SUMIFS('Schedule 4'!$F$89:$F$649,'Schedule 4'!$I$89:$I$649,'Well Cal.'!N$3,'Schedule 4'!$J$89:$J$649,'Well Cal.'!$E555)</f>
        <v>0</v>
      </c>
      <c r="O555" s="727">
        <f>SUMIFS('Schedule 4'!$F$89:$F$649,'Schedule 4'!$I$89:$I$649,'Well Cal.'!O$3,'Schedule 4'!$J$89:$J$649,'Well Cal.'!$E555)</f>
        <v>0</v>
      </c>
      <c r="P555" s="727">
        <f>SUMIFS('Schedule 4'!$F$89:$F$649,'Schedule 4'!$I$89:$I$649,'Well Cal.'!P$3,'Schedule 4'!$J$89:$J$649,'Well Cal.'!$E555)</f>
        <v>0</v>
      </c>
      <c r="Q555" s="727">
        <f>SUMIFS('Schedule 4'!$F$89:$F$649,'Schedule 4'!$I$89:$I$649,'Well Cal.'!Q$3,'Schedule 4'!$J$89:$J$649,'Well Cal.'!$E555)</f>
        <v>0</v>
      </c>
      <c r="R555" s="727">
        <f>SUMIFS('Schedule 4'!$F$89:$F$649,'Schedule 4'!$I$89:$I$649,'Well Cal.'!R$3,'Schedule 4'!$J$89:$J$649,'Well Cal.'!$E555)</f>
        <v>0</v>
      </c>
      <c r="S555" s="727">
        <f>SUMIFS('Schedule 4'!$F$89:$F$649,'Schedule 4'!$I$89:$I$649,'Well Cal.'!S$3,'Schedule 4'!$J$89:$J$649,'Well Cal.'!$E555)</f>
        <v>0</v>
      </c>
      <c r="T555" s="727">
        <f>SUMIFS('Schedule 4'!$F$89:$F$649,'Schedule 4'!$I$89:$I$649,'Well Cal.'!T$3,'Schedule 4'!$J$89:$J$649,'Well Cal.'!$E555)</f>
        <v>0</v>
      </c>
      <c r="U555" s="727">
        <f>SUMIFS('Schedule 4'!$F$89:$F$649,'Schedule 4'!$I$89:$I$649,'Well Cal.'!U$3,'Schedule 4'!$J$89:$J$649,'Well Cal.'!$E555)</f>
        <v>0</v>
      </c>
      <c r="V555" s="727">
        <f>SUMIFS('Schedule 4'!$F$89:$F$649,'Schedule 4'!$I$89:$I$649,'Well Cal.'!V$3,'Schedule 4'!$J$89:$J$649,'Well Cal.'!$E555)</f>
        <v>0</v>
      </c>
      <c r="W555" s="727">
        <f>SUMIFS('Schedule 4'!$F$89:$F$649,'Schedule 4'!$I$89:$I$649,'Well Cal.'!W$3,'Schedule 4'!$J$89:$J$649,'Well Cal.'!$E555)</f>
        <v>0</v>
      </c>
      <c r="X555" s="727">
        <f>SUMIFS('Schedule 4'!$F$89:$F$649,'Schedule 4'!$I$89:$I$649,'Well Cal.'!X$3,'Schedule 4'!$J$89:$J$649,'Well Cal.'!$E555)</f>
        <v>0</v>
      </c>
      <c r="Y555" s="727">
        <f>SUMIFS('Schedule 4'!$F$89:$F$649,'Schedule 4'!$I$89:$I$649,'Well Cal.'!Y$3,'Schedule 4'!$J$89:$J$649,'Well Cal.'!$E555)</f>
        <v>0</v>
      </c>
      <c r="Z555" s="727">
        <f>SUMIFS('Schedule 4'!$F$89:$F$649,'Schedule 4'!$I$89:$I$649,'Well Cal.'!Z$3,'Schedule 4'!$J$89:$J$649,'Well Cal.'!$E555)</f>
        <v>0</v>
      </c>
      <c r="AA555" s="727"/>
      <c r="AB555" s="1731"/>
      <c r="AC555" s="1731"/>
    </row>
    <row r="556" spans="2:29" x14ac:dyDescent="0.3">
      <c r="B556" s="1724"/>
      <c r="C556" s="1727"/>
      <c r="D556" s="1721"/>
      <c r="E556" s="775" t="s">
        <v>4110</v>
      </c>
      <c r="F556" s="727">
        <f>SUMIFS('Schedule 4'!$F$89:$F$649,'Schedule 4'!$I$89:$I$649,'Well Cal.'!F$3,'Schedule 4'!$J$89:$J$649,'Well Cal.'!$E556)</f>
        <v>0</v>
      </c>
      <c r="G556" s="727">
        <f>SUMIFS('Schedule 4'!$F$89:$F$649,'Schedule 4'!$I$89:$I$649,'Well Cal.'!G$3,'Schedule 4'!$J$89:$J$649,'Well Cal.'!$E556)</f>
        <v>0</v>
      </c>
      <c r="H556" s="727">
        <f>SUMIFS('Schedule 4'!$F$89:$F$649,'Schedule 4'!$I$89:$I$649,'Well Cal.'!H$3,'Schedule 4'!$J$89:$J$649,'Well Cal.'!$E556)</f>
        <v>0</v>
      </c>
      <c r="I556" s="727">
        <f>SUMIFS('Schedule 4'!$F$89:$F$649,'Schedule 4'!$I$89:$I$649,'Well Cal.'!I$3,'Schedule 4'!$J$89:$J$649,'Well Cal.'!$E556)</f>
        <v>0</v>
      </c>
      <c r="J556" s="727">
        <f>SUMIFS('Schedule 4'!$F$89:$F$649,'Schedule 4'!$I$89:$I$649,'Well Cal.'!J$3,'Schedule 4'!$J$89:$J$649,'Well Cal.'!$E556)</f>
        <v>0</v>
      </c>
      <c r="K556" s="727">
        <f>SUMIFS('Schedule 4'!$F$89:$F$649,'Schedule 4'!$I$89:$I$649,'Well Cal.'!K$3,'Schedule 4'!$J$89:$J$649,'Well Cal.'!$E556)</f>
        <v>0</v>
      </c>
      <c r="L556" s="727">
        <f>SUMIFS('Schedule 4'!$F$89:$F$649,'Schedule 4'!$I$89:$I$649,'Well Cal.'!L$3,'Schedule 4'!$J$89:$J$649,'Well Cal.'!$E556)</f>
        <v>0</v>
      </c>
      <c r="M556" s="727">
        <f>SUMIFS('Schedule 4'!$F$89:$F$649,'Schedule 4'!$I$89:$I$649,'Well Cal.'!M$3,'Schedule 4'!$J$89:$J$649,'Well Cal.'!$E556)</f>
        <v>0</v>
      </c>
      <c r="N556" s="727">
        <f>SUMIFS('Schedule 4'!$F$89:$F$649,'Schedule 4'!$I$89:$I$649,'Well Cal.'!N$3,'Schedule 4'!$J$89:$J$649,'Well Cal.'!$E556)</f>
        <v>0</v>
      </c>
      <c r="O556" s="727">
        <f>SUMIFS('Schedule 4'!$F$89:$F$649,'Schedule 4'!$I$89:$I$649,'Well Cal.'!O$3,'Schedule 4'!$J$89:$J$649,'Well Cal.'!$E556)</f>
        <v>0</v>
      </c>
      <c r="P556" s="727">
        <f>SUMIFS('Schedule 4'!$F$89:$F$649,'Schedule 4'!$I$89:$I$649,'Well Cal.'!P$3,'Schedule 4'!$J$89:$J$649,'Well Cal.'!$E556)</f>
        <v>0</v>
      </c>
      <c r="Q556" s="727">
        <f>SUMIFS('Schedule 4'!$F$89:$F$649,'Schedule 4'!$I$89:$I$649,'Well Cal.'!Q$3,'Schedule 4'!$J$89:$J$649,'Well Cal.'!$E556)</f>
        <v>0</v>
      </c>
      <c r="R556" s="727">
        <f>SUMIFS('Schedule 4'!$F$89:$F$649,'Schedule 4'!$I$89:$I$649,'Well Cal.'!R$3,'Schedule 4'!$J$89:$J$649,'Well Cal.'!$E556)</f>
        <v>0</v>
      </c>
      <c r="S556" s="727">
        <f>SUMIFS('Schedule 4'!$F$89:$F$649,'Schedule 4'!$I$89:$I$649,'Well Cal.'!S$3,'Schedule 4'!$J$89:$J$649,'Well Cal.'!$E556)</f>
        <v>0</v>
      </c>
      <c r="T556" s="727">
        <f>SUMIFS('Schedule 4'!$F$89:$F$649,'Schedule 4'!$I$89:$I$649,'Well Cal.'!T$3,'Schedule 4'!$J$89:$J$649,'Well Cal.'!$E556)</f>
        <v>0</v>
      </c>
      <c r="U556" s="727">
        <f>SUMIFS('Schedule 4'!$F$89:$F$649,'Schedule 4'!$I$89:$I$649,'Well Cal.'!U$3,'Schedule 4'!$J$89:$J$649,'Well Cal.'!$E556)</f>
        <v>0</v>
      </c>
      <c r="V556" s="727">
        <f>SUMIFS('Schedule 4'!$F$89:$F$649,'Schedule 4'!$I$89:$I$649,'Well Cal.'!V$3,'Schedule 4'!$J$89:$J$649,'Well Cal.'!$E556)</f>
        <v>0</v>
      </c>
      <c r="W556" s="727">
        <f>SUMIFS('Schedule 4'!$F$89:$F$649,'Schedule 4'!$I$89:$I$649,'Well Cal.'!W$3,'Schedule 4'!$J$89:$J$649,'Well Cal.'!$E556)</f>
        <v>0</v>
      </c>
      <c r="X556" s="727">
        <f>SUMIFS('Schedule 4'!$F$89:$F$649,'Schedule 4'!$I$89:$I$649,'Well Cal.'!X$3,'Schedule 4'!$J$89:$J$649,'Well Cal.'!$E556)</f>
        <v>0</v>
      </c>
      <c r="Y556" s="727">
        <f>SUMIFS('Schedule 4'!$F$89:$F$649,'Schedule 4'!$I$89:$I$649,'Well Cal.'!Y$3,'Schedule 4'!$J$89:$J$649,'Well Cal.'!$E556)</f>
        <v>0</v>
      </c>
      <c r="Z556" s="727">
        <f>SUMIFS('Schedule 4'!$F$89:$F$649,'Schedule 4'!$I$89:$I$649,'Well Cal.'!Z$3,'Schedule 4'!$J$89:$J$649,'Well Cal.'!$E556)</f>
        <v>0</v>
      </c>
      <c r="AA556" s="727"/>
      <c r="AB556" s="1731"/>
      <c r="AC556" s="1731"/>
    </row>
    <row r="557" spans="2:29" x14ac:dyDescent="0.3">
      <c r="B557" s="1724"/>
      <c r="C557" s="1727"/>
      <c r="D557" s="1721"/>
      <c r="E557" s="775" t="s">
        <v>4181</v>
      </c>
      <c r="F557" s="727">
        <f>SUMIFS('Schedule 4'!$F$89:$F$649,'Schedule 4'!$I$89:$I$649,'Well Cal.'!F$3,'Schedule 4'!$J$89:$J$649,'Well Cal.'!$E557)</f>
        <v>0</v>
      </c>
      <c r="G557" s="727">
        <f>SUMIFS('Schedule 4'!$F$89:$F$649,'Schedule 4'!$I$89:$I$649,'Well Cal.'!G$3,'Schedule 4'!$J$89:$J$649,'Well Cal.'!$E557)</f>
        <v>0</v>
      </c>
      <c r="H557" s="727">
        <f>SUMIFS('Schedule 4'!$F$89:$F$649,'Schedule 4'!$I$89:$I$649,'Well Cal.'!H$3,'Schedule 4'!$J$89:$J$649,'Well Cal.'!$E557)</f>
        <v>0</v>
      </c>
      <c r="I557" s="727">
        <f>SUMIFS('Schedule 4'!$F$89:$F$649,'Schedule 4'!$I$89:$I$649,'Well Cal.'!I$3,'Schedule 4'!$J$89:$J$649,'Well Cal.'!$E557)</f>
        <v>0</v>
      </c>
      <c r="J557" s="727">
        <f>SUMIFS('Schedule 4'!$F$89:$F$649,'Schedule 4'!$I$89:$I$649,'Well Cal.'!J$3,'Schedule 4'!$J$89:$J$649,'Well Cal.'!$E557)</f>
        <v>0</v>
      </c>
      <c r="K557" s="727">
        <f>SUMIFS('Schedule 4'!$F$89:$F$649,'Schedule 4'!$I$89:$I$649,'Well Cal.'!K$3,'Schedule 4'!$J$89:$J$649,'Well Cal.'!$E557)</f>
        <v>0</v>
      </c>
      <c r="L557" s="727">
        <f>SUMIFS('Schedule 4'!$F$89:$F$649,'Schedule 4'!$I$89:$I$649,'Well Cal.'!L$3,'Schedule 4'!$J$89:$J$649,'Well Cal.'!$E557)</f>
        <v>0</v>
      </c>
      <c r="M557" s="727">
        <f>SUMIFS('Schedule 4'!$F$89:$F$649,'Schedule 4'!$I$89:$I$649,'Well Cal.'!M$3,'Schedule 4'!$J$89:$J$649,'Well Cal.'!$E557)</f>
        <v>0</v>
      </c>
      <c r="N557" s="727">
        <f>SUMIFS('Schedule 4'!$F$89:$F$649,'Schedule 4'!$I$89:$I$649,'Well Cal.'!N$3,'Schedule 4'!$J$89:$J$649,'Well Cal.'!$E557)</f>
        <v>0</v>
      </c>
      <c r="O557" s="727">
        <f>SUMIFS('Schedule 4'!$F$89:$F$649,'Schedule 4'!$I$89:$I$649,'Well Cal.'!O$3,'Schedule 4'!$J$89:$J$649,'Well Cal.'!$E557)</f>
        <v>0</v>
      </c>
      <c r="P557" s="727">
        <f>SUMIFS('Schedule 4'!$F$89:$F$649,'Schedule 4'!$I$89:$I$649,'Well Cal.'!P$3,'Schedule 4'!$J$89:$J$649,'Well Cal.'!$E557)</f>
        <v>0</v>
      </c>
      <c r="Q557" s="727">
        <f>SUMIFS('Schedule 4'!$F$89:$F$649,'Schedule 4'!$I$89:$I$649,'Well Cal.'!Q$3,'Schedule 4'!$J$89:$J$649,'Well Cal.'!$E557)</f>
        <v>0</v>
      </c>
      <c r="R557" s="727">
        <f>SUMIFS('Schedule 4'!$F$89:$F$649,'Schedule 4'!$I$89:$I$649,'Well Cal.'!R$3,'Schedule 4'!$J$89:$J$649,'Well Cal.'!$E557)</f>
        <v>0</v>
      </c>
      <c r="S557" s="727">
        <f>SUMIFS('Schedule 4'!$F$89:$F$649,'Schedule 4'!$I$89:$I$649,'Well Cal.'!S$3,'Schedule 4'!$J$89:$J$649,'Well Cal.'!$E557)</f>
        <v>0</v>
      </c>
      <c r="T557" s="727">
        <f>SUMIFS('Schedule 4'!$F$89:$F$649,'Schedule 4'!$I$89:$I$649,'Well Cal.'!T$3,'Schedule 4'!$J$89:$J$649,'Well Cal.'!$E557)</f>
        <v>0</v>
      </c>
      <c r="U557" s="727">
        <f>SUMIFS('Schedule 4'!$F$89:$F$649,'Schedule 4'!$I$89:$I$649,'Well Cal.'!U$3,'Schedule 4'!$J$89:$J$649,'Well Cal.'!$E557)</f>
        <v>0</v>
      </c>
      <c r="V557" s="727">
        <f>SUMIFS('Schedule 4'!$F$89:$F$649,'Schedule 4'!$I$89:$I$649,'Well Cal.'!V$3,'Schedule 4'!$J$89:$J$649,'Well Cal.'!$E557)</f>
        <v>0</v>
      </c>
      <c r="W557" s="727">
        <f>SUMIFS('Schedule 4'!$F$89:$F$649,'Schedule 4'!$I$89:$I$649,'Well Cal.'!W$3,'Schedule 4'!$J$89:$J$649,'Well Cal.'!$E557)</f>
        <v>0</v>
      </c>
      <c r="X557" s="727">
        <f>SUMIFS('Schedule 4'!$F$89:$F$649,'Schedule 4'!$I$89:$I$649,'Well Cal.'!X$3,'Schedule 4'!$J$89:$J$649,'Well Cal.'!$E557)</f>
        <v>0</v>
      </c>
      <c r="Y557" s="727">
        <f>SUMIFS('Schedule 4'!$F$89:$F$649,'Schedule 4'!$I$89:$I$649,'Well Cal.'!Y$3,'Schedule 4'!$J$89:$J$649,'Well Cal.'!$E557)</f>
        <v>0</v>
      </c>
      <c r="Z557" s="727">
        <f>SUMIFS('Schedule 4'!$F$89:$F$649,'Schedule 4'!$I$89:$I$649,'Well Cal.'!Z$3,'Schedule 4'!$J$89:$J$649,'Well Cal.'!$E557)</f>
        <v>0</v>
      </c>
      <c r="AA557" s="727"/>
      <c r="AB557" s="1731"/>
      <c r="AC557" s="1731"/>
    </row>
    <row r="558" spans="2:29" x14ac:dyDescent="0.3">
      <c r="B558" s="1724"/>
      <c r="C558" s="1727"/>
      <c r="D558" s="1721"/>
      <c r="E558" s="775" t="s">
        <v>4251</v>
      </c>
      <c r="F558" s="727">
        <f>SUMIFS('Schedule 4'!$F$89:$F$649,'Schedule 4'!$I$89:$I$649,'Well Cal.'!F$3,'Schedule 4'!$J$89:$J$649,'Well Cal.'!$E558)</f>
        <v>0</v>
      </c>
      <c r="G558" s="727">
        <f>SUMIFS('Schedule 4'!$F$89:$F$649,'Schedule 4'!$I$89:$I$649,'Well Cal.'!G$3,'Schedule 4'!$J$89:$J$649,'Well Cal.'!$E558)</f>
        <v>0</v>
      </c>
      <c r="H558" s="727">
        <f>SUMIFS('Schedule 4'!$F$89:$F$649,'Schedule 4'!$I$89:$I$649,'Well Cal.'!H$3,'Schedule 4'!$J$89:$J$649,'Well Cal.'!$E558)</f>
        <v>0</v>
      </c>
      <c r="I558" s="727">
        <f>SUMIFS('Schedule 4'!$F$89:$F$649,'Schedule 4'!$I$89:$I$649,'Well Cal.'!I$3,'Schedule 4'!$J$89:$J$649,'Well Cal.'!$E558)</f>
        <v>0</v>
      </c>
      <c r="J558" s="727">
        <f>SUMIFS('Schedule 4'!$F$89:$F$649,'Schedule 4'!$I$89:$I$649,'Well Cal.'!J$3,'Schedule 4'!$J$89:$J$649,'Well Cal.'!$E558)</f>
        <v>0</v>
      </c>
      <c r="K558" s="727">
        <f>SUMIFS('Schedule 4'!$F$89:$F$649,'Schedule 4'!$I$89:$I$649,'Well Cal.'!K$3,'Schedule 4'!$J$89:$J$649,'Well Cal.'!$E558)</f>
        <v>0</v>
      </c>
      <c r="L558" s="727">
        <f>SUMIFS('Schedule 4'!$F$89:$F$649,'Schedule 4'!$I$89:$I$649,'Well Cal.'!L$3,'Schedule 4'!$J$89:$J$649,'Well Cal.'!$E558)</f>
        <v>0</v>
      </c>
      <c r="M558" s="727">
        <f>SUMIFS('Schedule 4'!$F$89:$F$649,'Schedule 4'!$I$89:$I$649,'Well Cal.'!M$3,'Schedule 4'!$J$89:$J$649,'Well Cal.'!$E558)</f>
        <v>0</v>
      </c>
      <c r="N558" s="727">
        <f>SUMIFS('Schedule 4'!$F$89:$F$649,'Schedule 4'!$I$89:$I$649,'Well Cal.'!N$3,'Schedule 4'!$J$89:$J$649,'Well Cal.'!$E558)</f>
        <v>0</v>
      </c>
      <c r="O558" s="727">
        <f>SUMIFS('Schedule 4'!$F$89:$F$649,'Schedule 4'!$I$89:$I$649,'Well Cal.'!O$3,'Schedule 4'!$J$89:$J$649,'Well Cal.'!$E558)</f>
        <v>0</v>
      </c>
      <c r="P558" s="727">
        <f>SUMIFS('Schedule 4'!$F$89:$F$649,'Schedule 4'!$I$89:$I$649,'Well Cal.'!P$3,'Schedule 4'!$J$89:$J$649,'Well Cal.'!$E558)</f>
        <v>0</v>
      </c>
      <c r="Q558" s="727">
        <f>SUMIFS('Schedule 4'!$F$89:$F$649,'Schedule 4'!$I$89:$I$649,'Well Cal.'!Q$3,'Schedule 4'!$J$89:$J$649,'Well Cal.'!$E558)</f>
        <v>0</v>
      </c>
      <c r="R558" s="727">
        <f>SUMIFS('Schedule 4'!$F$89:$F$649,'Schedule 4'!$I$89:$I$649,'Well Cal.'!R$3,'Schedule 4'!$J$89:$J$649,'Well Cal.'!$E558)</f>
        <v>0</v>
      </c>
      <c r="S558" s="727">
        <f>SUMIFS('Schedule 4'!$F$89:$F$649,'Schedule 4'!$I$89:$I$649,'Well Cal.'!S$3,'Schedule 4'!$J$89:$J$649,'Well Cal.'!$E558)</f>
        <v>0</v>
      </c>
      <c r="T558" s="727">
        <f>SUMIFS('Schedule 4'!$F$89:$F$649,'Schedule 4'!$I$89:$I$649,'Well Cal.'!T$3,'Schedule 4'!$J$89:$J$649,'Well Cal.'!$E558)</f>
        <v>0</v>
      </c>
      <c r="U558" s="727">
        <f>SUMIFS('Schedule 4'!$F$89:$F$649,'Schedule 4'!$I$89:$I$649,'Well Cal.'!U$3,'Schedule 4'!$J$89:$J$649,'Well Cal.'!$E558)</f>
        <v>0</v>
      </c>
      <c r="V558" s="727">
        <f>SUMIFS('Schedule 4'!$F$89:$F$649,'Schedule 4'!$I$89:$I$649,'Well Cal.'!V$3,'Schedule 4'!$J$89:$J$649,'Well Cal.'!$E558)</f>
        <v>0</v>
      </c>
      <c r="W558" s="727">
        <f>SUMIFS('Schedule 4'!$F$89:$F$649,'Schedule 4'!$I$89:$I$649,'Well Cal.'!W$3,'Schedule 4'!$J$89:$J$649,'Well Cal.'!$E558)</f>
        <v>0</v>
      </c>
      <c r="X558" s="727">
        <f>SUMIFS('Schedule 4'!$F$89:$F$649,'Schedule 4'!$I$89:$I$649,'Well Cal.'!X$3,'Schedule 4'!$J$89:$J$649,'Well Cal.'!$E558)</f>
        <v>0</v>
      </c>
      <c r="Y558" s="727">
        <f>SUMIFS('Schedule 4'!$F$89:$F$649,'Schedule 4'!$I$89:$I$649,'Well Cal.'!Y$3,'Schedule 4'!$J$89:$J$649,'Well Cal.'!$E558)</f>
        <v>0</v>
      </c>
      <c r="Z558" s="727">
        <f>SUMIFS('Schedule 4'!$F$89:$F$649,'Schedule 4'!$I$89:$I$649,'Well Cal.'!Z$3,'Schedule 4'!$J$89:$J$649,'Well Cal.'!$E558)</f>
        <v>0</v>
      </c>
      <c r="AA558" s="727"/>
      <c r="AB558" s="1731"/>
      <c r="AC558" s="1731"/>
    </row>
    <row r="559" spans="2:29" x14ac:dyDescent="0.3">
      <c r="B559" s="1724"/>
      <c r="C559" s="1727"/>
      <c r="D559" s="1721"/>
      <c r="E559" s="775" t="s">
        <v>4318</v>
      </c>
      <c r="F559" s="727">
        <f>SUMIFS('Schedule 4'!$F$89:$F$649,'Schedule 4'!$I$89:$I$649,'Well Cal.'!F$3,'Schedule 4'!$J$89:$J$649,'Well Cal.'!$E559)</f>
        <v>0</v>
      </c>
      <c r="G559" s="727">
        <f>SUMIFS('Schedule 4'!$F$89:$F$649,'Schedule 4'!$I$89:$I$649,'Well Cal.'!G$3,'Schedule 4'!$J$89:$J$649,'Well Cal.'!$E559)</f>
        <v>0</v>
      </c>
      <c r="H559" s="727">
        <f>SUMIFS('Schedule 4'!$F$89:$F$649,'Schedule 4'!$I$89:$I$649,'Well Cal.'!H$3,'Schedule 4'!$J$89:$J$649,'Well Cal.'!$E559)</f>
        <v>0</v>
      </c>
      <c r="I559" s="727">
        <f>SUMIFS('Schedule 4'!$F$89:$F$649,'Schedule 4'!$I$89:$I$649,'Well Cal.'!I$3,'Schedule 4'!$J$89:$J$649,'Well Cal.'!$E559)</f>
        <v>0</v>
      </c>
      <c r="J559" s="727">
        <f>SUMIFS('Schedule 4'!$F$89:$F$649,'Schedule 4'!$I$89:$I$649,'Well Cal.'!J$3,'Schedule 4'!$J$89:$J$649,'Well Cal.'!$E559)</f>
        <v>0</v>
      </c>
      <c r="K559" s="727">
        <f>SUMIFS('Schedule 4'!$F$89:$F$649,'Schedule 4'!$I$89:$I$649,'Well Cal.'!K$3,'Schedule 4'!$J$89:$J$649,'Well Cal.'!$E559)</f>
        <v>0</v>
      </c>
      <c r="L559" s="727">
        <f>SUMIFS('Schedule 4'!$F$89:$F$649,'Schedule 4'!$I$89:$I$649,'Well Cal.'!L$3,'Schedule 4'!$J$89:$J$649,'Well Cal.'!$E559)</f>
        <v>0</v>
      </c>
      <c r="M559" s="727">
        <f>SUMIFS('Schedule 4'!$F$89:$F$649,'Schedule 4'!$I$89:$I$649,'Well Cal.'!M$3,'Schedule 4'!$J$89:$J$649,'Well Cal.'!$E559)</f>
        <v>0</v>
      </c>
      <c r="N559" s="727">
        <f>SUMIFS('Schedule 4'!$F$89:$F$649,'Schedule 4'!$I$89:$I$649,'Well Cal.'!N$3,'Schedule 4'!$J$89:$J$649,'Well Cal.'!$E559)</f>
        <v>0</v>
      </c>
      <c r="O559" s="727">
        <f>SUMIFS('Schedule 4'!$F$89:$F$649,'Schedule 4'!$I$89:$I$649,'Well Cal.'!O$3,'Schedule 4'!$J$89:$J$649,'Well Cal.'!$E559)</f>
        <v>0</v>
      </c>
      <c r="P559" s="727">
        <f>SUMIFS('Schedule 4'!$F$89:$F$649,'Schedule 4'!$I$89:$I$649,'Well Cal.'!P$3,'Schedule 4'!$J$89:$J$649,'Well Cal.'!$E559)</f>
        <v>0</v>
      </c>
      <c r="Q559" s="727">
        <f>SUMIFS('Schedule 4'!$F$89:$F$649,'Schedule 4'!$I$89:$I$649,'Well Cal.'!Q$3,'Schedule 4'!$J$89:$J$649,'Well Cal.'!$E559)</f>
        <v>0</v>
      </c>
      <c r="R559" s="727">
        <f>SUMIFS('Schedule 4'!$F$89:$F$649,'Schedule 4'!$I$89:$I$649,'Well Cal.'!R$3,'Schedule 4'!$J$89:$J$649,'Well Cal.'!$E559)</f>
        <v>0</v>
      </c>
      <c r="S559" s="727">
        <f>SUMIFS('Schedule 4'!$F$89:$F$649,'Schedule 4'!$I$89:$I$649,'Well Cal.'!S$3,'Schedule 4'!$J$89:$J$649,'Well Cal.'!$E559)</f>
        <v>0</v>
      </c>
      <c r="T559" s="727">
        <f>SUMIFS('Schedule 4'!$F$89:$F$649,'Schedule 4'!$I$89:$I$649,'Well Cal.'!T$3,'Schedule 4'!$J$89:$J$649,'Well Cal.'!$E559)</f>
        <v>0</v>
      </c>
      <c r="U559" s="727">
        <f>SUMIFS('Schedule 4'!$F$89:$F$649,'Schedule 4'!$I$89:$I$649,'Well Cal.'!U$3,'Schedule 4'!$J$89:$J$649,'Well Cal.'!$E559)</f>
        <v>0</v>
      </c>
      <c r="V559" s="727">
        <f>SUMIFS('Schedule 4'!$F$89:$F$649,'Schedule 4'!$I$89:$I$649,'Well Cal.'!V$3,'Schedule 4'!$J$89:$J$649,'Well Cal.'!$E559)</f>
        <v>0</v>
      </c>
      <c r="W559" s="727">
        <f>SUMIFS('Schedule 4'!$F$89:$F$649,'Schedule 4'!$I$89:$I$649,'Well Cal.'!W$3,'Schedule 4'!$J$89:$J$649,'Well Cal.'!$E559)</f>
        <v>0</v>
      </c>
      <c r="X559" s="727">
        <f>SUMIFS('Schedule 4'!$F$89:$F$649,'Schedule 4'!$I$89:$I$649,'Well Cal.'!X$3,'Schedule 4'!$J$89:$J$649,'Well Cal.'!$E559)</f>
        <v>0</v>
      </c>
      <c r="Y559" s="727">
        <f>SUMIFS('Schedule 4'!$F$89:$F$649,'Schedule 4'!$I$89:$I$649,'Well Cal.'!Y$3,'Schedule 4'!$J$89:$J$649,'Well Cal.'!$E559)</f>
        <v>0</v>
      </c>
      <c r="Z559" s="727">
        <f>SUMIFS('Schedule 4'!$F$89:$F$649,'Schedule 4'!$I$89:$I$649,'Well Cal.'!Z$3,'Schedule 4'!$J$89:$J$649,'Well Cal.'!$E559)</f>
        <v>0</v>
      </c>
      <c r="AA559" s="727"/>
      <c r="AB559" s="1731"/>
      <c r="AC559" s="1731"/>
    </row>
    <row r="560" spans="2:29" x14ac:dyDescent="0.3">
      <c r="B560" s="1724"/>
      <c r="C560" s="1727"/>
      <c r="D560" s="1721"/>
      <c r="E560" s="775" t="s">
        <v>4381</v>
      </c>
      <c r="F560" s="727">
        <f>SUMIFS('Schedule 4'!$F$89:$F$649,'Schedule 4'!$I$89:$I$649,'Well Cal.'!F$3,'Schedule 4'!$J$89:$J$649,'Well Cal.'!$E560)</f>
        <v>0</v>
      </c>
      <c r="G560" s="727">
        <f>SUMIFS('Schedule 4'!$F$89:$F$649,'Schedule 4'!$I$89:$I$649,'Well Cal.'!G$3,'Schedule 4'!$J$89:$J$649,'Well Cal.'!$E560)</f>
        <v>0</v>
      </c>
      <c r="H560" s="727">
        <f>SUMIFS('Schedule 4'!$F$89:$F$649,'Schedule 4'!$I$89:$I$649,'Well Cal.'!H$3,'Schedule 4'!$J$89:$J$649,'Well Cal.'!$E560)</f>
        <v>0</v>
      </c>
      <c r="I560" s="727">
        <f>SUMIFS('Schedule 4'!$F$89:$F$649,'Schedule 4'!$I$89:$I$649,'Well Cal.'!I$3,'Schedule 4'!$J$89:$J$649,'Well Cal.'!$E560)</f>
        <v>0</v>
      </c>
      <c r="J560" s="727">
        <f>SUMIFS('Schedule 4'!$F$89:$F$649,'Schedule 4'!$I$89:$I$649,'Well Cal.'!J$3,'Schedule 4'!$J$89:$J$649,'Well Cal.'!$E560)</f>
        <v>0</v>
      </c>
      <c r="K560" s="727">
        <f>SUMIFS('Schedule 4'!$F$89:$F$649,'Schedule 4'!$I$89:$I$649,'Well Cal.'!K$3,'Schedule 4'!$J$89:$J$649,'Well Cal.'!$E560)</f>
        <v>0</v>
      </c>
      <c r="L560" s="727">
        <f>SUMIFS('Schedule 4'!$F$89:$F$649,'Schedule 4'!$I$89:$I$649,'Well Cal.'!L$3,'Schedule 4'!$J$89:$J$649,'Well Cal.'!$E560)</f>
        <v>0</v>
      </c>
      <c r="M560" s="727">
        <f>SUMIFS('Schedule 4'!$F$89:$F$649,'Schedule 4'!$I$89:$I$649,'Well Cal.'!M$3,'Schedule 4'!$J$89:$J$649,'Well Cal.'!$E560)</f>
        <v>0</v>
      </c>
      <c r="N560" s="727">
        <f>SUMIFS('Schedule 4'!$F$89:$F$649,'Schedule 4'!$I$89:$I$649,'Well Cal.'!N$3,'Schedule 4'!$J$89:$J$649,'Well Cal.'!$E560)</f>
        <v>0</v>
      </c>
      <c r="O560" s="727">
        <f>SUMIFS('Schedule 4'!$F$89:$F$649,'Schedule 4'!$I$89:$I$649,'Well Cal.'!O$3,'Schedule 4'!$J$89:$J$649,'Well Cal.'!$E560)</f>
        <v>0</v>
      </c>
      <c r="P560" s="727">
        <f>SUMIFS('Schedule 4'!$F$89:$F$649,'Schedule 4'!$I$89:$I$649,'Well Cal.'!P$3,'Schedule 4'!$J$89:$J$649,'Well Cal.'!$E560)</f>
        <v>0</v>
      </c>
      <c r="Q560" s="727">
        <f>SUMIFS('Schedule 4'!$F$89:$F$649,'Schedule 4'!$I$89:$I$649,'Well Cal.'!Q$3,'Schedule 4'!$J$89:$J$649,'Well Cal.'!$E560)</f>
        <v>0</v>
      </c>
      <c r="R560" s="727">
        <f>SUMIFS('Schedule 4'!$F$89:$F$649,'Schedule 4'!$I$89:$I$649,'Well Cal.'!R$3,'Schedule 4'!$J$89:$J$649,'Well Cal.'!$E560)</f>
        <v>0</v>
      </c>
      <c r="S560" s="727">
        <f>SUMIFS('Schedule 4'!$F$89:$F$649,'Schedule 4'!$I$89:$I$649,'Well Cal.'!S$3,'Schedule 4'!$J$89:$J$649,'Well Cal.'!$E560)</f>
        <v>0</v>
      </c>
      <c r="T560" s="727">
        <f>SUMIFS('Schedule 4'!$F$89:$F$649,'Schedule 4'!$I$89:$I$649,'Well Cal.'!T$3,'Schedule 4'!$J$89:$J$649,'Well Cal.'!$E560)</f>
        <v>0</v>
      </c>
      <c r="U560" s="727">
        <f>SUMIFS('Schedule 4'!$F$89:$F$649,'Schedule 4'!$I$89:$I$649,'Well Cal.'!U$3,'Schedule 4'!$J$89:$J$649,'Well Cal.'!$E560)</f>
        <v>0</v>
      </c>
      <c r="V560" s="727">
        <f>SUMIFS('Schedule 4'!$F$89:$F$649,'Schedule 4'!$I$89:$I$649,'Well Cal.'!V$3,'Schedule 4'!$J$89:$J$649,'Well Cal.'!$E560)</f>
        <v>0</v>
      </c>
      <c r="W560" s="727">
        <f>SUMIFS('Schedule 4'!$F$89:$F$649,'Schedule 4'!$I$89:$I$649,'Well Cal.'!W$3,'Schedule 4'!$J$89:$J$649,'Well Cal.'!$E560)</f>
        <v>0</v>
      </c>
      <c r="X560" s="727">
        <f>SUMIFS('Schedule 4'!$F$89:$F$649,'Schedule 4'!$I$89:$I$649,'Well Cal.'!X$3,'Schedule 4'!$J$89:$J$649,'Well Cal.'!$E560)</f>
        <v>0</v>
      </c>
      <c r="Y560" s="727">
        <f>SUMIFS('Schedule 4'!$F$89:$F$649,'Schedule 4'!$I$89:$I$649,'Well Cal.'!Y$3,'Schedule 4'!$J$89:$J$649,'Well Cal.'!$E560)</f>
        <v>0</v>
      </c>
      <c r="Z560" s="727">
        <f>SUMIFS('Schedule 4'!$F$89:$F$649,'Schedule 4'!$I$89:$I$649,'Well Cal.'!Z$3,'Schedule 4'!$J$89:$J$649,'Well Cal.'!$E560)</f>
        <v>0</v>
      </c>
      <c r="AA560" s="727"/>
      <c r="AB560" s="1731"/>
      <c r="AC560" s="1731"/>
    </row>
    <row r="561" spans="2:29" x14ac:dyDescent="0.3">
      <c r="B561" s="1724"/>
      <c r="C561" s="1727"/>
      <c r="D561" s="1721"/>
      <c r="E561" s="775" t="s">
        <v>4436</v>
      </c>
      <c r="F561" s="727">
        <f>SUMIFS('Schedule 4'!$F$89:$F$649,'Schedule 4'!$I$89:$I$649,'Well Cal.'!F$3,'Schedule 4'!$J$89:$J$649,'Well Cal.'!$E561)</f>
        <v>0</v>
      </c>
      <c r="G561" s="727">
        <f>SUMIFS('Schedule 4'!$F$89:$F$649,'Schedule 4'!$I$89:$I$649,'Well Cal.'!G$3,'Schedule 4'!$J$89:$J$649,'Well Cal.'!$E561)</f>
        <v>0</v>
      </c>
      <c r="H561" s="727">
        <f>SUMIFS('Schedule 4'!$F$89:$F$649,'Schedule 4'!$I$89:$I$649,'Well Cal.'!H$3,'Schedule 4'!$J$89:$J$649,'Well Cal.'!$E561)</f>
        <v>0</v>
      </c>
      <c r="I561" s="727">
        <f>SUMIFS('Schedule 4'!$F$89:$F$649,'Schedule 4'!$I$89:$I$649,'Well Cal.'!I$3,'Schedule 4'!$J$89:$J$649,'Well Cal.'!$E561)</f>
        <v>0</v>
      </c>
      <c r="J561" s="727">
        <f>SUMIFS('Schedule 4'!$F$89:$F$649,'Schedule 4'!$I$89:$I$649,'Well Cal.'!J$3,'Schedule 4'!$J$89:$J$649,'Well Cal.'!$E561)</f>
        <v>0</v>
      </c>
      <c r="K561" s="727">
        <f>SUMIFS('Schedule 4'!$F$89:$F$649,'Schedule 4'!$I$89:$I$649,'Well Cal.'!K$3,'Schedule 4'!$J$89:$J$649,'Well Cal.'!$E561)</f>
        <v>0</v>
      </c>
      <c r="L561" s="727">
        <f>SUMIFS('Schedule 4'!$F$89:$F$649,'Schedule 4'!$I$89:$I$649,'Well Cal.'!L$3,'Schedule 4'!$J$89:$J$649,'Well Cal.'!$E561)</f>
        <v>0</v>
      </c>
      <c r="M561" s="727">
        <f>SUMIFS('Schedule 4'!$F$89:$F$649,'Schedule 4'!$I$89:$I$649,'Well Cal.'!M$3,'Schedule 4'!$J$89:$J$649,'Well Cal.'!$E561)</f>
        <v>0</v>
      </c>
      <c r="N561" s="727">
        <f>SUMIFS('Schedule 4'!$F$89:$F$649,'Schedule 4'!$I$89:$I$649,'Well Cal.'!N$3,'Schedule 4'!$J$89:$J$649,'Well Cal.'!$E561)</f>
        <v>0</v>
      </c>
      <c r="O561" s="727">
        <f>SUMIFS('Schedule 4'!$F$89:$F$649,'Schedule 4'!$I$89:$I$649,'Well Cal.'!O$3,'Schedule 4'!$J$89:$J$649,'Well Cal.'!$E561)</f>
        <v>0</v>
      </c>
      <c r="P561" s="727">
        <f>SUMIFS('Schedule 4'!$F$89:$F$649,'Schedule 4'!$I$89:$I$649,'Well Cal.'!P$3,'Schedule 4'!$J$89:$J$649,'Well Cal.'!$E561)</f>
        <v>0</v>
      </c>
      <c r="Q561" s="727">
        <f>SUMIFS('Schedule 4'!$F$89:$F$649,'Schedule 4'!$I$89:$I$649,'Well Cal.'!Q$3,'Schedule 4'!$J$89:$J$649,'Well Cal.'!$E561)</f>
        <v>0</v>
      </c>
      <c r="R561" s="727">
        <f>SUMIFS('Schedule 4'!$F$89:$F$649,'Schedule 4'!$I$89:$I$649,'Well Cal.'!R$3,'Schedule 4'!$J$89:$J$649,'Well Cal.'!$E561)</f>
        <v>0</v>
      </c>
      <c r="S561" s="727">
        <f>SUMIFS('Schedule 4'!$F$89:$F$649,'Schedule 4'!$I$89:$I$649,'Well Cal.'!S$3,'Schedule 4'!$J$89:$J$649,'Well Cal.'!$E561)</f>
        <v>0</v>
      </c>
      <c r="T561" s="727">
        <f>SUMIFS('Schedule 4'!$F$89:$F$649,'Schedule 4'!$I$89:$I$649,'Well Cal.'!T$3,'Schedule 4'!$J$89:$J$649,'Well Cal.'!$E561)</f>
        <v>0</v>
      </c>
      <c r="U561" s="727">
        <f>SUMIFS('Schedule 4'!$F$89:$F$649,'Schedule 4'!$I$89:$I$649,'Well Cal.'!U$3,'Schedule 4'!$J$89:$J$649,'Well Cal.'!$E561)</f>
        <v>0</v>
      </c>
      <c r="V561" s="727">
        <f>SUMIFS('Schedule 4'!$F$89:$F$649,'Schedule 4'!$I$89:$I$649,'Well Cal.'!V$3,'Schedule 4'!$J$89:$J$649,'Well Cal.'!$E561)</f>
        <v>0</v>
      </c>
      <c r="W561" s="727">
        <f>SUMIFS('Schedule 4'!$F$89:$F$649,'Schedule 4'!$I$89:$I$649,'Well Cal.'!W$3,'Schedule 4'!$J$89:$J$649,'Well Cal.'!$E561)</f>
        <v>0</v>
      </c>
      <c r="X561" s="727">
        <f>SUMIFS('Schedule 4'!$F$89:$F$649,'Schedule 4'!$I$89:$I$649,'Well Cal.'!X$3,'Schedule 4'!$J$89:$J$649,'Well Cal.'!$E561)</f>
        <v>0</v>
      </c>
      <c r="Y561" s="727">
        <f>SUMIFS('Schedule 4'!$F$89:$F$649,'Schedule 4'!$I$89:$I$649,'Well Cal.'!Y$3,'Schedule 4'!$J$89:$J$649,'Well Cal.'!$E561)</f>
        <v>0</v>
      </c>
      <c r="Z561" s="727">
        <f>SUMIFS('Schedule 4'!$F$89:$F$649,'Schedule 4'!$I$89:$I$649,'Well Cal.'!Z$3,'Schedule 4'!$J$89:$J$649,'Well Cal.'!$E561)</f>
        <v>0</v>
      </c>
      <c r="AA561" s="727"/>
      <c r="AB561" s="1731"/>
      <c r="AC561" s="1731"/>
    </row>
    <row r="562" spans="2:29" x14ac:dyDescent="0.3">
      <c r="B562" s="1724"/>
      <c r="C562" s="1727"/>
      <c r="D562" s="1721"/>
      <c r="E562" s="775" t="s">
        <v>4493</v>
      </c>
      <c r="F562" s="727">
        <f>SUMIFS('Schedule 4'!$F$89:$F$649,'Schedule 4'!$I$89:$I$649,'Well Cal.'!F$3,'Schedule 4'!$J$89:$J$649,'Well Cal.'!$E562)</f>
        <v>0</v>
      </c>
      <c r="G562" s="727">
        <f>SUMIFS('Schedule 4'!$F$89:$F$649,'Schedule 4'!$I$89:$I$649,'Well Cal.'!G$3,'Schedule 4'!$J$89:$J$649,'Well Cal.'!$E562)</f>
        <v>0</v>
      </c>
      <c r="H562" s="727">
        <f>SUMIFS('Schedule 4'!$F$89:$F$649,'Schedule 4'!$I$89:$I$649,'Well Cal.'!H$3,'Schedule 4'!$J$89:$J$649,'Well Cal.'!$E562)</f>
        <v>0</v>
      </c>
      <c r="I562" s="727">
        <f>SUMIFS('Schedule 4'!$F$89:$F$649,'Schedule 4'!$I$89:$I$649,'Well Cal.'!I$3,'Schedule 4'!$J$89:$J$649,'Well Cal.'!$E562)</f>
        <v>0</v>
      </c>
      <c r="J562" s="727">
        <f>SUMIFS('Schedule 4'!$F$89:$F$649,'Schedule 4'!$I$89:$I$649,'Well Cal.'!J$3,'Schedule 4'!$J$89:$J$649,'Well Cal.'!$E562)</f>
        <v>0</v>
      </c>
      <c r="K562" s="727">
        <f>SUMIFS('Schedule 4'!$F$89:$F$649,'Schedule 4'!$I$89:$I$649,'Well Cal.'!K$3,'Schedule 4'!$J$89:$J$649,'Well Cal.'!$E562)</f>
        <v>0</v>
      </c>
      <c r="L562" s="727">
        <f>SUMIFS('Schedule 4'!$F$89:$F$649,'Schedule 4'!$I$89:$I$649,'Well Cal.'!L$3,'Schedule 4'!$J$89:$J$649,'Well Cal.'!$E562)</f>
        <v>0</v>
      </c>
      <c r="M562" s="727">
        <f>SUMIFS('Schedule 4'!$F$89:$F$649,'Schedule 4'!$I$89:$I$649,'Well Cal.'!M$3,'Schedule 4'!$J$89:$J$649,'Well Cal.'!$E562)</f>
        <v>0</v>
      </c>
      <c r="N562" s="727">
        <f>SUMIFS('Schedule 4'!$F$89:$F$649,'Schedule 4'!$I$89:$I$649,'Well Cal.'!N$3,'Schedule 4'!$J$89:$J$649,'Well Cal.'!$E562)</f>
        <v>0</v>
      </c>
      <c r="O562" s="727">
        <f>SUMIFS('Schedule 4'!$F$89:$F$649,'Schedule 4'!$I$89:$I$649,'Well Cal.'!O$3,'Schedule 4'!$J$89:$J$649,'Well Cal.'!$E562)</f>
        <v>0</v>
      </c>
      <c r="P562" s="727">
        <f>SUMIFS('Schedule 4'!$F$89:$F$649,'Schedule 4'!$I$89:$I$649,'Well Cal.'!P$3,'Schedule 4'!$J$89:$J$649,'Well Cal.'!$E562)</f>
        <v>0</v>
      </c>
      <c r="Q562" s="727">
        <f>SUMIFS('Schedule 4'!$F$89:$F$649,'Schedule 4'!$I$89:$I$649,'Well Cal.'!Q$3,'Schedule 4'!$J$89:$J$649,'Well Cal.'!$E562)</f>
        <v>0</v>
      </c>
      <c r="R562" s="727">
        <f>SUMIFS('Schedule 4'!$F$89:$F$649,'Schedule 4'!$I$89:$I$649,'Well Cal.'!R$3,'Schedule 4'!$J$89:$J$649,'Well Cal.'!$E562)</f>
        <v>0</v>
      </c>
      <c r="S562" s="727">
        <f>SUMIFS('Schedule 4'!$F$89:$F$649,'Schedule 4'!$I$89:$I$649,'Well Cal.'!S$3,'Schedule 4'!$J$89:$J$649,'Well Cal.'!$E562)</f>
        <v>0</v>
      </c>
      <c r="T562" s="727">
        <f>SUMIFS('Schedule 4'!$F$89:$F$649,'Schedule 4'!$I$89:$I$649,'Well Cal.'!T$3,'Schedule 4'!$J$89:$J$649,'Well Cal.'!$E562)</f>
        <v>0</v>
      </c>
      <c r="U562" s="727">
        <f>SUMIFS('Schedule 4'!$F$89:$F$649,'Schedule 4'!$I$89:$I$649,'Well Cal.'!U$3,'Schedule 4'!$J$89:$J$649,'Well Cal.'!$E562)</f>
        <v>0</v>
      </c>
      <c r="V562" s="727">
        <f>SUMIFS('Schedule 4'!$F$89:$F$649,'Schedule 4'!$I$89:$I$649,'Well Cal.'!V$3,'Schedule 4'!$J$89:$J$649,'Well Cal.'!$E562)</f>
        <v>0</v>
      </c>
      <c r="W562" s="727">
        <f>SUMIFS('Schedule 4'!$F$89:$F$649,'Schedule 4'!$I$89:$I$649,'Well Cal.'!W$3,'Schedule 4'!$J$89:$J$649,'Well Cal.'!$E562)</f>
        <v>0</v>
      </c>
      <c r="X562" s="727">
        <f>SUMIFS('Schedule 4'!$F$89:$F$649,'Schedule 4'!$I$89:$I$649,'Well Cal.'!X$3,'Schedule 4'!$J$89:$J$649,'Well Cal.'!$E562)</f>
        <v>0</v>
      </c>
      <c r="Y562" s="727">
        <f>SUMIFS('Schedule 4'!$F$89:$F$649,'Schedule 4'!$I$89:$I$649,'Well Cal.'!Y$3,'Schedule 4'!$J$89:$J$649,'Well Cal.'!$E562)</f>
        <v>0</v>
      </c>
      <c r="Z562" s="727">
        <f>SUMIFS('Schedule 4'!$F$89:$F$649,'Schedule 4'!$I$89:$I$649,'Well Cal.'!Z$3,'Schedule 4'!$J$89:$J$649,'Well Cal.'!$E562)</f>
        <v>0</v>
      </c>
      <c r="AA562" s="727"/>
      <c r="AB562" s="1731"/>
      <c r="AC562" s="1731"/>
    </row>
    <row r="563" spans="2:29" x14ac:dyDescent="0.3">
      <c r="B563" s="1724"/>
      <c r="C563" s="1727"/>
      <c r="D563" s="1721"/>
      <c r="E563" s="775" t="s">
        <v>4539</v>
      </c>
      <c r="F563" s="727">
        <f>SUMIFS('Schedule 4'!$F$89:$F$649,'Schedule 4'!$I$89:$I$649,'Well Cal.'!F$3,'Schedule 4'!$J$89:$J$649,'Well Cal.'!$E563)</f>
        <v>0</v>
      </c>
      <c r="G563" s="727">
        <f>SUMIFS('Schedule 4'!$F$89:$F$649,'Schedule 4'!$I$89:$I$649,'Well Cal.'!G$3,'Schedule 4'!$J$89:$J$649,'Well Cal.'!$E563)</f>
        <v>0</v>
      </c>
      <c r="H563" s="727">
        <f>SUMIFS('Schedule 4'!$F$89:$F$649,'Schedule 4'!$I$89:$I$649,'Well Cal.'!H$3,'Schedule 4'!$J$89:$J$649,'Well Cal.'!$E563)</f>
        <v>0</v>
      </c>
      <c r="I563" s="727">
        <f>SUMIFS('Schedule 4'!$F$89:$F$649,'Schedule 4'!$I$89:$I$649,'Well Cal.'!I$3,'Schedule 4'!$J$89:$J$649,'Well Cal.'!$E563)</f>
        <v>0</v>
      </c>
      <c r="J563" s="727">
        <f>SUMIFS('Schedule 4'!$F$89:$F$649,'Schedule 4'!$I$89:$I$649,'Well Cal.'!J$3,'Schedule 4'!$J$89:$J$649,'Well Cal.'!$E563)</f>
        <v>0</v>
      </c>
      <c r="K563" s="727">
        <f>SUMIFS('Schedule 4'!$F$89:$F$649,'Schedule 4'!$I$89:$I$649,'Well Cal.'!K$3,'Schedule 4'!$J$89:$J$649,'Well Cal.'!$E563)</f>
        <v>0</v>
      </c>
      <c r="L563" s="727">
        <f>SUMIFS('Schedule 4'!$F$89:$F$649,'Schedule 4'!$I$89:$I$649,'Well Cal.'!L$3,'Schedule 4'!$J$89:$J$649,'Well Cal.'!$E563)</f>
        <v>0</v>
      </c>
      <c r="M563" s="727">
        <f>SUMIFS('Schedule 4'!$F$89:$F$649,'Schedule 4'!$I$89:$I$649,'Well Cal.'!M$3,'Schedule 4'!$J$89:$J$649,'Well Cal.'!$E563)</f>
        <v>0</v>
      </c>
      <c r="N563" s="727">
        <f>SUMIFS('Schedule 4'!$F$89:$F$649,'Schedule 4'!$I$89:$I$649,'Well Cal.'!N$3,'Schedule 4'!$J$89:$J$649,'Well Cal.'!$E563)</f>
        <v>0</v>
      </c>
      <c r="O563" s="727">
        <f>SUMIFS('Schedule 4'!$F$89:$F$649,'Schedule 4'!$I$89:$I$649,'Well Cal.'!O$3,'Schedule 4'!$J$89:$J$649,'Well Cal.'!$E563)</f>
        <v>0</v>
      </c>
      <c r="P563" s="727">
        <f>SUMIFS('Schedule 4'!$F$89:$F$649,'Schedule 4'!$I$89:$I$649,'Well Cal.'!P$3,'Schedule 4'!$J$89:$J$649,'Well Cal.'!$E563)</f>
        <v>0</v>
      </c>
      <c r="Q563" s="727">
        <f>SUMIFS('Schedule 4'!$F$89:$F$649,'Schedule 4'!$I$89:$I$649,'Well Cal.'!Q$3,'Schedule 4'!$J$89:$J$649,'Well Cal.'!$E563)</f>
        <v>0</v>
      </c>
      <c r="R563" s="727">
        <f>SUMIFS('Schedule 4'!$F$89:$F$649,'Schedule 4'!$I$89:$I$649,'Well Cal.'!R$3,'Schedule 4'!$J$89:$J$649,'Well Cal.'!$E563)</f>
        <v>0</v>
      </c>
      <c r="S563" s="727">
        <f>SUMIFS('Schedule 4'!$F$89:$F$649,'Schedule 4'!$I$89:$I$649,'Well Cal.'!S$3,'Schedule 4'!$J$89:$J$649,'Well Cal.'!$E563)</f>
        <v>0</v>
      </c>
      <c r="T563" s="727">
        <f>SUMIFS('Schedule 4'!$F$89:$F$649,'Schedule 4'!$I$89:$I$649,'Well Cal.'!T$3,'Schedule 4'!$J$89:$J$649,'Well Cal.'!$E563)</f>
        <v>0</v>
      </c>
      <c r="U563" s="727">
        <f>SUMIFS('Schedule 4'!$F$89:$F$649,'Schedule 4'!$I$89:$I$649,'Well Cal.'!U$3,'Schedule 4'!$J$89:$J$649,'Well Cal.'!$E563)</f>
        <v>0</v>
      </c>
      <c r="V563" s="727">
        <f>SUMIFS('Schedule 4'!$F$89:$F$649,'Schedule 4'!$I$89:$I$649,'Well Cal.'!V$3,'Schedule 4'!$J$89:$J$649,'Well Cal.'!$E563)</f>
        <v>0</v>
      </c>
      <c r="W563" s="727">
        <f>SUMIFS('Schedule 4'!$F$89:$F$649,'Schedule 4'!$I$89:$I$649,'Well Cal.'!W$3,'Schedule 4'!$J$89:$J$649,'Well Cal.'!$E563)</f>
        <v>0</v>
      </c>
      <c r="X563" s="727">
        <f>SUMIFS('Schedule 4'!$F$89:$F$649,'Schedule 4'!$I$89:$I$649,'Well Cal.'!X$3,'Schedule 4'!$J$89:$J$649,'Well Cal.'!$E563)</f>
        <v>0</v>
      </c>
      <c r="Y563" s="727">
        <f>SUMIFS('Schedule 4'!$F$89:$F$649,'Schedule 4'!$I$89:$I$649,'Well Cal.'!Y$3,'Schedule 4'!$J$89:$J$649,'Well Cal.'!$E563)</f>
        <v>0</v>
      </c>
      <c r="Z563" s="727">
        <f>SUMIFS('Schedule 4'!$F$89:$F$649,'Schedule 4'!$I$89:$I$649,'Well Cal.'!Z$3,'Schedule 4'!$J$89:$J$649,'Well Cal.'!$E563)</f>
        <v>0</v>
      </c>
      <c r="AA563" s="727"/>
      <c r="AB563" s="1731"/>
      <c r="AC563" s="1731"/>
    </row>
    <row r="564" spans="2:29" x14ac:dyDescent="0.3">
      <c r="B564" s="1724"/>
      <c r="C564" s="1727"/>
      <c r="D564" s="1721"/>
      <c r="E564" s="775" t="s">
        <v>4574</v>
      </c>
      <c r="F564" s="727">
        <f>SUMIFS('Schedule 4'!$F$89:$F$649,'Schedule 4'!$I$89:$I$649,'Well Cal.'!F$3,'Schedule 4'!$J$89:$J$649,'Well Cal.'!$E564)</f>
        <v>0</v>
      </c>
      <c r="G564" s="727">
        <f>SUMIFS('Schedule 4'!$F$89:$F$649,'Schedule 4'!$I$89:$I$649,'Well Cal.'!G$3,'Schedule 4'!$J$89:$J$649,'Well Cal.'!$E564)</f>
        <v>0</v>
      </c>
      <c r="H564" s="727">
        <f>SUMIFS('Schedule 4'!$F$89:$F$649,'Schedule 4'!$I$89:$I$649,'Well Cal.'!H$3,'Schedule 4'!$J$89:$J$649,'Well Cal.'!$E564)</f>
        <v>0</v>
      </c>
      <c r="I564" s="727">
        <f>SUMIFS('Schedule 4'!$F$89:$F$649,'Schedule 4'!$I$89:$I$649,'Well Cal.'!I$3,'Schedule 4'!$J$89:$J$649,'Well Cal.'!$E564)</f>
        <v>0</v>
      </c>
      <c r="J564" s="727">
        <f>SUMIFS('Schedule 4'!$F$89:$F$649,'Schedule 4'!$I$89:$I$649,'Well Cal.'!J$3,'Schedule 4'!$J$89:$J$649,'Well Cal.'!$E564)</f>
        <v>0</v>
      </c>
      <c r="K564" s="727">
        <f>SUMIFS('Schedule 4'!$F$89:$F$649,'Schedule 4'!$I$89:$I$649,'Well Cal.'!K$3,'Schedule 4'!$J$89:$J$649,'Well Cal.'!$E564)</f>
        <v>0</v>
      </c>
      <c r="L564" s="727">
        <f>SUMIFS('Schedule 4'!$F$89:$F$649,'Schedule 4'!$I$89:$I$649,'Well Cal.'!L$3,'Schedule 4'!$J$89:$J$649,'Well Cal.'!$E564)</f>
        <v>0</v>
      </c>
      <c r="M564" s="727">
        <f>SUMIFS('Schedule 4'!$F$89:$F$649,'Schedule 4'!$I$89:$I$649,'Well Cal.'!M$3,'Schedule 4'!$J$89:$J$649,'Well Cal.'!$E564)</f>
        <v>0</v>
      </c>
      <c r="N564" s="727">
        <f>SUMIFS('Schedule 4'!$F$89:$F$649,'Schedule 4'!$I$89:$I$649,'Well Cal.'!N$3,'Schedule 4'!$J$89:$J$649,'Well Cal.'!$E564)</f>
        <v>0</v>
      </c>
      <c r="O564" s="727">
        <f>SUMIFS('Schedule 4'!$F$89:$F$649,'Schedule 4'!$I$89:$I$649,'Well Cal.'!O$3,'Schedule 4'!$J$89:$J$649,'Well Cal.'!$E564)</f>
        <v>0</v>
      </c>
      <c r="P564" s="727">
        <f>SUMIFS('Schedule 4'!$F$89:$F$649,'Schedule 4'!$I$89:$I$649,'Well Cal.'!P$3,'Schedule 4'!$J$89:$J$649,'Well Cal.'!$E564)</f>
        <v>0</v>
      </c>
      <c r="Q564" s="727">
        <f>SUMIFS('Schedule 4'!$F$89:$F$649,'Schedule 4'!$I$89:$I$649,'Well Cal.'!Q$3,'Schedule 4'!$J$89:$J$649,'Well Cal.'!$E564)</f>
        <v>0</v>
      </c>
      <c r="R564" s="727">
        <f>SUMIFS('Schedule 4'!$F$89:$F$649,'Schedule 4'!$I$89:$I$649,'Well Cal.'!R$3,'Schedule 4'!$J$89:$J$649,'Well Cal.'!$E564)</f>
        <v>0</v>
      </c>
      <c r="S564" s="727">
        <f>SUMIFS('Schedule 4'!$F$89:$F$649,'Schedule 4'!$I$89:$I$649,'Well Cal.'!S$3,'Schedule 4'!$J$89:$J$649,'Well Cal.'!$E564)</f>
        <v>0</v>
      </c>
      <c r="T564" s="727">
        <f>SUMIFS('Schedule 4'!$F$89:$F$649,'Schedule 4'!$I$89:$I$649,'Well Cal.'!T$3,'Schedule 4'!$J$89:$J$649,'Well Cal.'!$E564)</f>
        <v>0</v>
      </c>
      <c r="U564" s="727">
        <f>SUMIFS('Schedule 4'!$F$89:$F$649,'Schedule 4'!$I$89:$I$649,'Well Cal.'!U$3,'Schedule 4'!$J$89:$J$649,'Well Cal.'!$E564)</f>
        <v>0</v>
      </c>
      <c r="V564" s="727">
        <f>SUMIFS('Schedule 4'!$F$89:$F$649,'Schedule 4'!$I$89:$I$649,'Well Cal.'!V$3,'Schedule 4'!$J$89:$J$649,'Well Cal.'!$E564)</f>
        <v>0</v>
      </c>
      <c r="W564" s="727">
        <f>SUMIFS('Schedule 4'!$F$89:$F$649,'Schedule 4'!$I$89:$I$649,'Well Cal.'!W$3,'Schedule 4'!$J$89:$J$649,'Well Cal.'!$E564)</f>
        <v>0</v>
      </c>
      <c r="X564" s="727">
        <f>SUMIFS('Schedule 4'!$F$89:$F$649,'Schedule 4'!$I$89:$I$649,'Well Cal.'!X$3,'Schedule 4'!$J$89:$J$649,'Well Cal.'!$E564)</f>
        <v>0</v>
      </c>
      <c r="Y564" s="727">
        <f>SUMIFS('Schedule 4'!$F$89:$F$649,'Schedule 4'!$I$89:$I$649,'Well Cal.'!Y$3,'Schedule 4'!$J$89:$J$649,'Well Cal.'!$E564)</f>
        <v>0</v>
      </c>
      <c r="Z564" s="727">
        <f>SUMIFS('Schedule 4'!$F$89:$F$649,'Schedule 4'!$I$89:$I$649,'Well Cal.'!Z$3,'Schedule 4'!$J$89:$J$649,'Well Cal.'!$E564)</f>
        <v>0</v>
      </c>
      <c r="AA564" s="727"/>
      <c r="AB564" s="1731"/>
      <c r="AC564" s="1731"/>
    </row>
    <row r="565" spans="2:29" x14ac:dyDescent="0.3">
      <c r="B565" s="1725"/>
      <c r="C565" s="1728"/>
      <c r="D565" s="1722"/>
      <c r="E565" s="776"/>
      <c r="F565" s="777"/>
      <c r="G565" s="777"/>
      <c r="H565" s="777"/>
      <c r="I565" s="777"/>
      <c r="J565" s="777"/>
      <c r="K565" s="777"/>
      <c r="L565" s="777"/>
      <c r="M565" s="777"/>
      <c r="N565" s="777"/>
      <c r="O565" s="777"/>
      <c r="P565" s="777"/>
      <c r="Q565" s="777"/>
      <c r="R565" s="777"/>
      <c r="S565" s="777"/>
      <c r="T565" s="777"/>
      <c r="U565" s="777"/>
      <c r="V565" s="777"/>
      <c r="W565" s="777"/>
      <c r="X565" s="777"/>
      <c r="Y565" s="777"/>
      <c r="Z565" s="777"/>
      <c r="AA565" s="777"/>
      <c r="AB565" s="1732"/>
      <c r="AC565" s="1732"/>
    </row>
    <row r="566" spans="2:29" x14ac:dyDescent="0.3">
      <c r="B566" s="1723" t="s">
        <v>2521</v>
      </c>
      <c r="C566" s="1726">
        <v>54.05</v>
      </c>
      <c r="D566" s="1720">
        <f>SUMIFS('Schedule 4'!$F$89:$F$649,'Schedule 4'!$K$89:$K$649,'Well Cal.'!$B566)</f>
        <v>0</v>
      </c>
      <c r="E566" s="754" t="s">
        <v>3180</v>
      </c>
      <c r="F566" s="728">
        <f>SUMIFS('Schedule 4'!$F$89:$F$649,'Schedule 4'!$I$89:$I$649,'Well Cal.'!F$3,'Schedule 4'!$J$89:$J$649,'Well Cal.'!$E566)</f>
        <v>0</v>
      </c>
      <c r="G566" s="728">
        <f>SUMIFS('Schedule 4'!$F$89:$F$649,'Schedule 4'!$I$89:$I$649,'Well Cal.'!G$3,'Schedule 4'!$J$89:$J$649,'Well Cal.'!$E566)</f>
        <v>0</v>
      </c>
      <c r="H566" s="728">
        <f>SUMIFS('Schedule 4'!$F$89:$F$649,'Schedule 4'!$I$89:$I$649,'Well Cal.'!H$3,'Schedule 4'!$J$89:$J$649,'Well Cal.'!$E566)</f>
        <v>0</v>
      </c>
      <c r="I566" s="728">
        <f>SUMIFS('Schedule 4'!$F$89:$F$649,'Schedule 4'!$I$89:$I$649,'Well Cal.'!I$3,'Schedule 4'!$J$89:$J$649,'Well Cal.'!$E566)</f>
        <v>0</v>
      </c>
      <c r="J566" s="728">
        <f>SUMIFS('Schedule 4'!$F$89:$F$649,'Schedule 4'!$I$89:$I$649,'Well Cal.'!J$3,'Schedule 4'!$J$89:$J$649,'Well Cal.'!$E566)</f>
        <v>0</v>
      </c>
      <c r="K566" s="728">
        <f>SUMIFS('Schedule 4'!$F$89:$F$649,'Schedule 4'!$I$89:$I$649,'Well Cal.'!K$3,'Schedule 4'!$J$89:$J$649,'Well Cal.'!$E566)</f>
        <v>0</v>
      </c>
      <c r="L566" s="728">
        <f>SUMIFS('Schedule 4'!$F$89:$F$649,'Schedule 4'!$I$89:$I$649,'Well Cal.'!L$3,'Schedule 4'!$J$89:$J$649,'Well Cal.'!$E566)</f>
        <v>0</v>
      </c>
      <c r="M566" s="728">
        <f>SUMIFS('Schedule 4'!$F$89:$F$649,'Schedule 4'!$I$89:$I$649,'Well Cal.'!M$3,'Schedule 4'!$J$89:$J$649,'Well Cal.'!$E566)</f>
        <v>0</v>
      </c>
      <c r="N566" s="728">
        <f>SUMIFS('Schedule 4'!$F$89:$F$649,'Schedule 4'!$I$89:$I$649,'Well Cal.'!N$3,'Schedule 4'!$J$89:$J$649,'Well Cal.'!$E566)</f>
        <v>0</v>
      </c>
      <c r="O566" s="728">
        <f>SUMIFS('Schedule 4'!$F$89:$F$649,'Schedule 4'!$I$89:$I$649,'Well Cal.'!O$3,'Schedule 4'!$J$89:$J$649,'Well Cal.'!$E566)</f>
        <v>0</v>
      </c>
      <c r="P566" s="728">
        <f>SUMIFS('Schedule 4'!$F$89:$F$649,'Schedule 4'!$I$89:$I$649,'Well Cal.'!P$3,'Schedule 4'!$J$89:$J$649,'Well Cal.'!$E566)</f>
        <v>0</v>
      </c>
      <c r="Q566" s="728">
        <f>SUMIFS('Schedule 4'!$F$89:$F$649,'Schedule 4'!$I$89:$I$649,'Well Cal.'!Q$3,'Schedule 4'!$J$89:$J$649,'Well Cal.'!$E566)</f>
        <v>0</v>
      </c>
      <c r="R566" s="728">
        <f>SUMIFS('Schedule 4'!$F$89:$F$649,'Schedule 4'!$I$89:$I$649,'Well Cal.'!R$3,'Schedule 4'!$J$89:$J$649,'Well Cal.'!$E566)</f>
        <v>0</v>
      </c>
      <c r="S566" s="728">
        <f>SUMIFS('Schedule 4'!$F$89:$F$649,'Schedule 4'!$I$89:$I$649,'Well Cal.'!S$3,'Schedule 4'!$J$89:$J$649,'Well Cal.'!$E566)</f>
        <v>0</v>
      </c>
      <c r="T566" s="728">
        <f>SUMIFS('Schedule 4'!$F$89:$F$649,'Schedule 4'!$I$89:$I$649,'Well Cal.'!T$3,'Schedule 4'!$J$89:$J$649,'Well Cal.'!$E566)</f>
        <v>0</v>
      </c>
      <c r="U566" s="728">
        <f>SUMIFS('Schedule 4'!$F$89:$F$649,'Schedule 4'!$I$89:$I$649,'Well Cal.'!U$3,'Schedule 4'!$J$89:$J$649,'Well Cal.'!$E566)</f>
        <v>0</v>
      </c>
      <c r="V566" s="728">
        <f>SUMIFS('Schedule 4'!$F$89:$F$649,'Schedule 4'!$I$89:$I$649,'Well Cal.'!V$3,'Schedule 4'!$J$89:$J$649,'Well Cal.'!$E566)</f>
        <v>0</v>
      </c>
      <c r="W566" s="728">
        <f>SUMIFS('Schedule 4'!$F$89:$F$649,'Schedule 4'!$I$89:$I$649,'Well Cal.'!W$3,'Schedule 4'!$J$89:$J$649,'Well Cal.'!$E566)</f>
        <v>0</v>
      </c>
      <c r="X566" s="728">
        <f>SUMIFS('Schedule 4'!$F$89:$F$649,'Schedule 4'!$I$89:$I$649,'Well Cal.'!X$3,'Schedule 4'!$J$89:$J$649,'Well Cal.'!$E566)</f>
        <v>0</v>
      </c>
      <c r="Y566" s="728">
        <f>SUMIFS('Schedule 4'!$F$89:$F$649,'Schedule 4'!$I$89:$I$649,'Well Cal.'!Y$3,'Schedule 4'!$J$89:$J$649,'Well Cal.'!$E566)</f>
        <v>0</v>
      </c>
      <c r="Z566" s="728">
        <f>SUMIFS('Schedule 4'!$F$89:$F$649,'Schedule 4'!$I$89:$I$649,'Well Cal.'!Z$3,'Schedule 4'!$J$89:$J$649,'Well Cal.'!$E566)</f>
        <v>0</v>
      </c>
      <c r="AA566" s="728"/>
      <c r="AB566" s="1729">
        <f>SUM(F566:AA587)</f>
        <v>0</v>
      </c>
      <c r="AC566" s="1729">
        <f>D566-AB566</f>
        <v>0</v>
      </c>
    </row>
    <row r="567" spans="2:29" x14ac:dyDescent="0.3">
      <c r="B567" s="1724"/>
      <c r="C567" s="1727"/>
      <c r="D567" s="1721"/>
      <c r="E567" s="761" t="s">
        <v>3252</v>
      </c>
      <c r="F567" s="726">
        <f>SUMIFS('Schedule 4'!$F$89:$F$649,'Schedule 4'!$I$89:$I$649,'Well Cal.'!F$3,'Schedule 4'!$J$89:$J$649,'Well Cal.'!$E567)</f>
        <v>0</v>
      </c>
      <c r="G567" s="726">
        <f>SUMIFS('Schedule 4'!$F$89:$F$649,'Schedule 4'!$I$89:$I$649,'Well Cal.'!G$3,'Schedule 4'!$J$89:$J$649,'Well Cal.'!$E567)</f>
        <v>0</v>
      </c>
      <c r="H567" s="726">
        <f>SUMIFS('Schedule 4'!$F$89:$F$649,'Schedule 4'!$I$89:$I$649,'Well Cal.'!H$3,'Schedule 4'!$J$89:$J$649,'Well Cal.'!$E567)</f>
        <v>0</v>
      </c>
      <c r="I567" s="726">
        <f>SUMIFS('Schedule 4'!$F$89:$F$649,'Schedule 4'!$I$89:$I$649,'Well Cal.'!I$3,'Schedule 4'!$J$89:$J$649,'Well Cal.'!$E567)</f>
        <v>0</v>
      </c>
      <c r="J567" s="726">
        <f>SUMIFS('Schedule 4'!$F$89:$F$649,'Schedule 4'!$I$89:$I$649,'Well Cal.'!J$3,'Schedule 4'!$J$89:$J$649,'Well Cal.'!$E567)</f>
        <v>0</v>
      </c>
      <c r="K567" s="726">
        <f>SUMIFS('Schedule 4'!$F$89:$F$649,'Schedule 4'!$I$89:$I$649,'Well Cal.'!K$3,'Schedule 4'!$J$89:$J$649,'Well Cal.'!$E567)</f>
        <v>0</v>
      </c>
      <c r="L567" s="726">
        <f>SUMIFS('Schedule 4'!$F$89:$F$649,'Schedule 4'!$I$89:$I$649,'Well Cal.'!L$3,'Schedule 4'!$J$89:$J$649,'Well Cal.'!$E567)</f>
        <v>0</v>
      </c>
      <c r="M567" s="726">
        <f>SUMIFS('Schedule 4'!$F$89:$F$649,'Schedule 4'!$I$89:$I$649,'Well Cal.'!M$3,'Schedule 4'!$J$89:$J$649,'Well Cal.'!$E567)</f>
        <v>0</v>
      </c>
      <c r="N567" s="726">
        <f>SUMIFS('Schedule 4'!$F$89:$F$649,'Schedule 4'!$I$89:$I$649,'Well Cal.'!N$3,'Schedule 4'!$J$89:$J$649,'Well Cal.'!$E567)</f>
        <v>0</v>
      </c>
      <c r="O567" s="726">
        <f>SUMIFS('Schedule 4'!$F$89:$F$649,'Schedule 4'!$I$89:$I$649,'Well Cal.'!O$3,'Schedule 4'!$J$89:$J$649,'Well Cal.'!$E567)</f>
        <v>0</v>
      </c>
      <c r="P567" s="726">
        <f>SUMIFS('Schedule 4'!$F$89:$F$649,'Schedule 4'!$I$89:$I$649,'Well Cal.'!P$3,'Schedule 4'!$J$89:$J$649,'Well Cal.'!$E567)</f>
        <v>0</v>
      </c>
      <c r="Q567" s="726">
        <f>SUMIFS('Schedule 4'!$F$89:$F$649,'Schedule 4'!$I$89:$I$649,'Well Cal.'!Q$3,'Schedule 4'!$J$89:$J$649,'Well Cal.'!$E567)</f>
        <v>0</v>
      </c>
      <c r="R567" s="726">
        <f>SUMIFS('Schedule 4'!$F$89:$F$649,'Schedule 4'!$I$89:$I$649,'Well Cal.'!R$3,'Schedule 4'!$J$89:$J$649,'Well Cal.'!$E567)</f>
        <v>0</v>
      </c>
      <c r="S567" s="726">
        <f>SUMIFS('Schedule 4'!$F$89:$F$649,'Schedule 4'!$I$89:$I$649,'Well Cal.'!S$3,'Schedule 4'!$J$89:$J$649,'Well Cal.'!$E567)</f>
        <v>0</v>
      </c>
      <c r="T567" s="726">
        <f>SUMIFS('Schedule 4'!$F$89:$F$649,'Schedule 4'!$I$89:$I$649,'Well Cal.'!T$3,'Schedule 4'!$J$89:$J$649,'Well Cal.'!$E567)</f>
        <v>0</v>
      </c>
      <c r="U567" s="726">
        <f>SUMIFS('Schedule 4'!$F$89:$F$649,'Schedule 4'!$I$89:$I$649,'Well Cal.'!U$3,'Schedule 4'!$J$89:$J$649,'Well Cal.'!$E567)</f>
        <v>0</v>
      </c>
      <c r="V567" s="726">
        <f>SUMIFS('Schedule 4'!$F$89:$F$649,'Schedule 4'!$I$89:$I$649,'Well Cal.'!V$3,'Schedule 4'!$J$89:$J$649,'Well Cal.'!$E567)</f>
        <v>0</v>
      </c>
      <c r="W567" s="726">
        <f>SUMIFS('Schedule 4'!$F$89:$F$649,'Schedule 4'!$I$89:$I$649,'Well Cal.'!W$3,'Schedule 4'!$J$89:$J$649,'Well Cal.'!$E567)</f>
        <v>0</v>
      </c>
      <c r="X567" s="726">
        <f>SUMIFS('Schedule 4'!$F$89:$F$649,'Schedule 4'!$I$89:$I$649,'Well Cal.'!X$3,'Schedule 4'!$J$89:$J$649,'Well Cal.'!$E567)</f>
        <v>0</v>
      </c>
      <c r="Y567" s="726">
        <f>SUMIFS('Schedule 4'!$F$89:$F$649,'Schedule 4'!$I$89:$I$649,'Well Cal.'!Y$3,'Schedule 4'!$J$89:$J$649,'Well Cal.'!$E567)</f>
        <v>0</v>
      </c>
      <c r="Z567" s="726">
        <f>SUMIFS('Schedule 4'!$F$89:$F$649,'Schedule 4'!$I$89:$I$649,'Well Cal.'!Z$3,'Schedule 4'!$J$89:$J$649,'Well Cal.'!$E567)</f>
        <v>0</v>
      </c>
      <c r="AA567" s="726"/>
      <c r="AB567" s="1730"/>
      <c r="AC567" s="1730"/>
    </row>
    <row r="568" spans="2:29" x14ac:dyDescent="0.3">
      <c r="B568" s="1724"/>
      <c r="C568" s="1727"/>
      <c r="D568" s="1721"/>
      <c r="E568" s="761" t="s">
        <v>3323</v>
      </c>
      <c r="F568" s="726">
        <f>SUMIFS('Schedule 4'!$F$89:$F$649,'Schedule 4'!$I$89:$I$649,'Well Cal.'!F$3,'Schedule 4'!$J$89:$J$649,'Well Cal.'!$E568)</f>
        <v>0</v>
      </c>
      <c r="G568" s="726">
        <f>SUMIFS('Schedule 4'!$F$89:$F$649,'Schedule 4'!$I$89:$I$649,'Well Cal.'!G$3,'Schedule 4'!$J$89:$J$649,'Well Cal.'!$E568)</f>
        <v>0</v>
      </c>
      <c r="H568" s="726">
        <f>SUMIFS('Schedule 4'!$F$89:$F$649,'Schedule 4'!$I$89:$I$649,'Well Cal.'!H$3,'Schedule 4'!$J$89:$J$649,'Well Cal.'!$E568)</f>
        <v>0</v>
      </c>
      <c r="I568" s="726">
        <f>SUMIFS('Schedule 4'!$F$89:$F$649,'Schedule 4'!$I$89:$I$649,'Well Cal.'!I$3,'Schedule 4'!$J$89:$J$649,'Well Cal.'!$E568)</f>
        <v>0</v>
      </c>
      <c r="J568" s="726">
        <f>SUMIFS('Schedule 4'!$F$89:$F$649,'Schedule 4'!$I$89:$I$649,'Well Cal.'!J$3,'Schedule 4'!$J$89:$J$649,'Well Cal.'!$E568)</f>
        <v>0</v>
      </c>
      <c r="K568" s="726">
        <f>SUMIFS('Schedule 4'!$F$89:$F$649,'Schedule 4'!$I$89:$I$649,'Well Cal.'!K$3,'Schedule 4'!$J$89:$J$649,'Well Cal.'!$E568)</f>
        <v>0</v>
      </c>
      <c r="L568" s="726">
        <f>SUMIFS('Schedule 4'!$F$89:$F$649,'Schedule 4'!$I$89:$I$649,'Well Cal.'!L$3,'Schedule 4'!$J$89:$J$649,'Well Cal.'!$E568)</f>
        <v>0</v>
      </c>
      <c r="M568" s="726">
        <f>SUMIFS('Schedule 4'!$F$89:$F$649,'Schedule 4'!$I$89:$I$649,'Well Cal.'!M$3,'Schedule 4'!$J$89:$J$649,'Well Cal.'!$E568)</f>
        <v>0</v>
      </c>
      <c r="N568" s="726">
        <f>SUMIFS('Schedule 4'!$F$89:$F$649,'Schedule 4'!$I$89:$I$649,'Well Cal.'!N$3,'Schedule 4'!$J$89:$J$649,'Well Cal.'!$E568)</f>
        <v>0</v>
      </c>
      <c r="O568" s="726">
        <f>SUMIFS('Schedule 4'!$F$89:$F$649,'Schedule 4'!$I$89:$I$649,'Well Cal.'!O$3,'Schedule 4'!$J$89:$J$649,'Well Cal.'!$E568)</f>
        <v>0</v>
      </c>
      <c r="P568" s="726">
        <f>SUMIFS('Schedule 4'!$F$89:$F$649,'Schedule 4'!$I$89:$I$649,'Well Cal.'!P$3,'Schedule 4'!$J$89:$J$649,'Well Cal.'!$E568)</f>
        <v>0</v>
      </c>
      <c r="Q568" s="726">
        <f>SUMIFS('Schedule 4'!$F$89:$F$649,'Schedule 4'!$I$89:$I$649,'Well Cal.'!Q$3,'Schedule 4'!$J$89:$J$649,'Well Cal.'!$E568)</f>
        <v>0</v>
      </c>
      <c r="R568" s="726">
        <f>SUMIFS('Schedule 4'!$F$89:$F$649,'Schedule 4'!$I$89:$I$649,'Well Cal.'!R$3,'Schedule 4'!$J$89:$J$649,'Well Cal.'!$E568)</f>
        <v>0</v>
      </c>
      <c r="S568" s="726">
        <f>SUMIFS('Schedule 4'!$F$89:$F$649,'Schedule 4'!$I$89:$I$649,'Well Cal.'!S$3,'Schedule 4'!$J$89:$J$649,'Well Cal.'!$E568)</f>
        <v>0</v>
      </c>
      <c r="T568" s="726">
        <f>SUMIFS('Schedule 4'!$F$89:$F$649,'Schedule 4'!$I$89:$I$649,'Well Cal.'!T$3,'Schedule 4'!$J$89:$J$649,'Well Cal.'!$E568)</f>
        <v>0</v>
      </c>
      <c r="U568" s="726">
        <f>SUMIFS('Schedule 4'!$F$89:$F$649,'Schedule 4'!$I$89:$I$649,'Well Cal.'!U$3,'Schedule 4'!$J$89:$J$649,'Well Cal.'!$E568)</f>
        <v>0</v>
      </c>
      <c r="V568" s="726">
        <f>SUMIFS('Schedule 4'!$F$89:$F$649,'Schedule 4'!$I$89:$I$649,'Well Cal.'!V$3,'Schedule 4'!$J$89:$J$649,'Well Cal.'!$E568)</f>
        <v>0</v>
      </c>
      <c r="W568" s="726">
        <f>SUMIFS('Schedule 4'!$F$89:$F$649,'Schedule 4'!$I$89:$I$649,'Well Cal.'!W$3,'Schedule 4'!$J$89:$J$649,'Well Cal.'!$E568)</f>
        <v>0</v>
      </c>
      <c r="X568" s="726">
        <f>SUMIFS('Schedule 4'!$F$89:$F$649,'Schedule 4'!$I$89:$I$649,'Well Cal.'!X$3,'Schedule 4'!$J$89:$J$649,'Well Cal.'!$E568)</f>
        <v>0</v>
      </c>
      <c r="Y568" s="726">
        <f>SUMIFS('Schedule 4'!$F$89:$F$649,'Schedule 4'!$I$89:$I$649,'Well Cal.'!Y$3,'Schedule 4'!$J$89:$J$649,'Well Cal.'!$E568)</f>
        <v>0</v>
      </c>
      <c r="Z568" s="726">
        <f>SUMIFS('Schedule 4'!$F$89:$F$649,'Schedule 4'!$I$89:$I$649,'Well Cal.'!Z$3,'Schedule 4'!$J$89:$J$649,'Well Cal.'!$E568)</f>
        <v>0</v>
      </c>
      <c r="AA568" s="726"/>
      <c r="AB568" s="1730"/>
      <c r="AC568" s="1730"/>
    </row>
    <row r="569" spans="2:29" x14ac:dyDescent="0.3">
      <c r="B569" s="1724"/>
      <c r="C569" s="1727"/>
      <c r="D569" s="1721"/>
      <c r="E569" s="761" t="s">
        <v>3412</v>
      </c>
      <c r="F569" s="727">
        <f>SUMIFS('Schedule 4'!$F$89:$F$649,'Schedule 4'!$I$89:$I$649,'Well Cal.'!F$3,'Schedule 4'!$J$89:$J$649,'Well Cal.'!$E569)</f>
        <v>0</v>
      </c>
      <c r="G569" s="727">
        <f>SUMIFS('Schedule 4'!$F$89:$F$649,'Schedule 4'!$I$89:$I$649,'Well Cal.'!G$3,'Schedule 4'!$J$89:$J$649,'Well Cal.'!$E569)</f>
        <v>0</v>
      </c>
      <c r="H569" s="727">
        <f>SUMIFS('Schedule 4'!$F$89:$F$649,'Schedule 4'!$I$89:$I$649,'Well Cal.'!H$3,'Schedule 4'!$J$89:$J$649,'Well Cal.'!$E569)</f>
        <v>0</v>
      </c>
      <c r="I569" s="727">
        <f>SUMIFS('Schedule 4'!$F$89:$F$649,'Schedule 4'!$I$89:$I$649,'Well Cal.'!I$3,'Schedule 4'!$J$89:$J$649,'Well Cal.'!$E569)</f>
        <v>0</v>
      </c>
      <c r="J569" s="727">
        <f>SUMIFS('Schedule 4'!$F$89:$F$649,'Schedule 4'!$I$89:$I$649,'Well Cal.'!J$3,'Schedule 4'!$J$89:$J$649,'Well Cal.'!$E569)</f>
        <v>0</v>
      </c>
      <c r="K569" s="727">
        <f>SUMIFS('Schedule 4'!$F$89:$F$649,'Schedule 4'!$I$89:$I$649,'Well Cal.'!K$3,'Schedule 4'!$J$89:$J$649,'Well Cal.'!$E569)</f>
        <v>0</v>
      </c>
      <c r="L569" s="727">
        <f>SUMIFS('Schedule 4'!$F$89:$F$649,'Schedule 4'!$I$89:$I$649,'Well Cal.'!L$3,'Schedule 4'!$J$89:$J$649,'Well Cal.'!$E569)</f>
        <v>0</v>
      </c>
      <c r="M569" s="727">
        <f>SUMIFS('Schedule 4'!$F$89:$F$649,'Schedule 4'!$I$89:$I$649,'Well Cal.'!M$3,'Schedule 4'!$J$89:$J$649,'Well Cal.'!$E569)</f>
        <v>0</v>
      </c>
      <c r="N569" s="727">
        <f>SUMIFS('Schedule 4'!$F$89:$F$649,'Schedule 4'!$I$89:$I$649,'Well Cal.'!N$3,'Schedule 4'!$J$89:$J$649,'Well Cal.'!$E569)</f>
        <v>0</v>
      </c>
      <c r="O569" s="727">
        <f>SUMIFS('Schedule 4'!$F$89:$F$649,'Schedule 4'!$I$89:$I$649,'Well Cal.'!O$3,'Schedule 4'!$J$89:$J$649,'Well Cal.'!$E569)</f>
        <v>0</v>
      </c>
      <c r="P569" s="727">
        <f>SUMIFS('Schedule 4'!$F$89:$F$649,'Schedule 4'!$I$89:$I$649,'Well Cal.'!P$3,'Schedule 4'!$J$89:$J$649,'Well Cal.'!$E569)</f>
        <v>0</v>
      </c>
      <c r="Q569" s="727">
        <f>SUMIFS('Schedule 4'!$F$89:$F$649,'Schedule 4'!$I$89:$I$649,'Well Cal.'!Q$3,'Schedule 4'!$J$89:$J$649,'Well Cal.'!$E569)</f>
        <v>0</v>
      </c>
      <c r="R569" s="727">
        <f>SUMIFS('Schedule 4'!$F$89:$F$649,'Schedule 4'!$I$89:$I$649,'Well Cal.'!R$3,'Schedule 4'!$J$89:$J$649,'Well Cal.'!$E569)</f>
        <v>0</v>
      </c>
      <c r="S569" s="727">
        <f>SUMIFS('Schedule 4'!$F$89:$F$649,'Schedule 4'!$I$89:$I$649,'Well Cal.'!S$3,'Schedule 4'!$J$89:$J$649,'Well Cal.'!$E569)</f>
        <v>0</v>
      </c>
      <c r="T569" s="727">
        <f>SUMIFS('Schedule 4'!$F$89:$F$649,'Schedule 4'!$I$89:$I$649,'Well Cal.'!T$3,'Schedule 4'!$J$89:$J$649,'Well Cal.'!$E569)</f>
        <v>0</v>
      </c>
      <c r="U569" s="727">
        <f>SUMIFS('Schedule 4'!$F$89:$F$649,'Schedule 4'!$I$89:$I$649,'Well Cal.'!U$3,'Schedule 4'!$J$89:$J$649,'Well Cal.'!$E569)</f>
        <v>0</v>
      </c>
      <c r="V569" s="727">
        <f>SUMIFS('Schedule 4'!$F$89:$F$649,'Schedule 4'!$I$89:$I$649,'Well Cal.'!V$3,'Schedule 4'!$J$89:$J$649,'Well Cal.'!$E569)</f>
        <v>0</v>
      </c>
      <c r="W569" s="727">
        <f>SUMIFS('Schedule 4'!$F$89:$F$649,'Schedule 4'!$I$89:$I$649,'Well Cal.'!W$3,'Schedule 4'!$J$89:$J$649,'Well Cal.'!$E569)</f>
        <v>0</v>
      </c>
      <c r="X569" s="727">
        <f>SUMIFS('Schedule 4'!$F$89:$F$649,'Schedule 4'!$I$89:$I$649,'Well Cal.'!X$3,'Schedule 4'!$J$89:$J$649,'Well Cal.'!$E569)</f>
        <v>0</v>
      </c>
      <c r="Y569" s="727">
        <f>SUMIFS('Schedule 4'!$F$89:$F$649,'Schedule 4'!$I$89:$I$649,'Well Cal.'!Y$3,'Schedule 4'!$J$89:$J$649,'Well Cal.'!$E569)</f>
        <v>0</v>
      </c>
      <c r="Z569" s="727">
        <f>SUMIFS('Schedule 4'!$F$89:$F$649,'Schedule 4'!$I$89:$I$649,'Well Cal.'!Z$3,'Schedule 4'!$J$89:$J$649,'Well Cal.'!$E569)</f>
        <v>0</v>
      </c>
      <c r="AA569" s="727"/>
      <c r="AB569" s="1730"/>
      <c r="AC569" s="1730"/>
    </row>
    <row r="570" spans="2:29" x14ac:dyDescent="0.3">
      <c r="B570" s="1724"/>
      <c r="C570" s="1727"/>
      <c r="D570" s="1721"/>
      <c r="E570" s="775" t="s">
        <v>3487</v>
      </c>
      <c r="F570" s="727">
        <f>SUMIFS('Schedule 4'!$F$89:$F$649,'Schedule 4'!$I$89:$I$649,'Well Cal.'!F$3,'Schedule 4'!$J$89:$J$649,'Well Cal.'!$E570)</f>
        <v>0</v>
      </c>
      <c r="G570" s="727">
        <f>SUMIFS('Schedule 4'!$F$89:$F$649,'Schedule 4'!$I$89:$I$649,'Well Cal.'!G$3,'Schedule 4'!$J$89:$J$649,'Well Cal.'!$E570)</f>
        <v>0</v>
      </c>
      <c r="H570" s="727">
        <f>SUMIFS('Schedule 4'!$F$89:$F$649,'Schedule 4'!$I$89:$I$649,'Well Cal.'!H$3,'Schedule 4'!$J$89:$J$649,'Well Cal.'!$E570)</f>
        <v>0</v>
      </c>
      <c r="I570" s="727">
        <f>SUMIFS('Schedule 4'!$F$89:$F$649,'Schedule 4'!$I$89:$I$649,'Well Cal.'!I$3,'Schedule 4'!$J$89:$J$649,'Well Cal.'!$E570)</f>
        <v>0</v>
      </c>
      <c r="J570" s="727">
        <f>SUMIFS('Schedule 4'!$F$89:$F$649,'Schedule 4'!$I$89:$I$649,'Well Cal.'!J$3,'Schedule 4'!$J$89:$J$649,'Well Cal.'!$E570)</f>
        <v>0</v>
      </c>
      <c r="K570" s="727">
        <f>SUMIFS('Schedule 4'!$F$89:$F$649,'Schedule 4'!$I$89:$I$649,'Well Cal.'!K$3,'Schedule 4'!$J$89:$J$649,'Well Cal.'!$E570)</f>
        <v>0</v>
      </c>
      <c r="L570" s="727">
        <f>SUMIFS('Schedule 4'!$F$89:$F$649,'Schedule 4'!$I$89:$I$649,'Well Cal.'!L$3,'Schedule 4'!$J$89:$J$649,'Well Cal.'!$E570)</f>
        <v>0</v>
      </c>
      <c r="M570" s="727">
        <f>SUMIFS('Schedule 4'!$F$89:$F$649,'Schedule 4'!$I$89:$I$649,'Well Cal.'!M$3,'Schedule 4'!$J$89:$J$649,'Well Cal.'!$E570)</f>
        <v>0</v>
      </c>
      <c r="N570" s="727">
        <f>SUMIFS('Schedule 4'!$F$89:$F$649,'Schedule 4'!$I$89:$I$649,'Well Cal.'!N$3,'Schedule 4'!$J$89:$J$649,'Well Cal.'!$E570)</f>
        <v>0</v>
      </c>
      <c r="O570" s="727">
        <f>SUMIFS('Schedule 4'!$F$89:$F$649,'Schedule 4'!$I$89:$I$649,'Well Cal.'!O$3,'Schedule 4'!$J$89:$J$649,'Well Cal.'!$E570)</f>
        <v>0</v>
      </c>
      <c r="P570" s="727">
        <f>SUMIFS('Schedule 4'!$F$89:$F$649,'Schedule 4'!$I$89:$I$649,'Well Cal.'!P$3,'Schedule 4'!$J$89:$J$649,'Well Cal.'!$E570)</f>
        <v>0</v>
      </c>
      <c r="Q570" s="727">
        <f>SUMIFS('Schedule 4'!$F$89:$F$649,'Schedule 4'!$I$89:$I$649,'Well Cal.'!Q$3,'Schedule 4'!$J$89:$J$649,'Well Cal.'!$E570)</f>
        <v>0</v>
      </c>
      <c r="R570" s="727">
        <f>SUMIFS('Schedule 4'!$F$89:$F$649,'Schedule 4'!$I$89:$I$649,'Well Cal.'!R$3,'Schedule 4'!$J$89:$J$649,'Well Cal.'!$E570)</f>
        <v>0</v>
      </c>
      <c r="S570" s="727">
        <f>SUMIFS('Schedule 4'!$F$89:$F$649,'Schedule 4'!$I$89:$I$649,'Well Cal.'!S$3,'Schedule 4'!$J$89:$J$649,'Well Cal.'!$E570)</f>
        <v>0</v>
      </c>
      <c r="T570" s="727">
        <f>SUMIFS('Schedule 4'!$F$89:$F$649,'Schedule 4'!$I$89:$I$649,'Well Cal.'!T$3,'Schedule 4'!$J$89:$J$649,'Well Cal.'!$E570)</f>
        <v>0</v>
      </c>
      <c r="U570" s="727">
        <f>SUMIFS('Schedule 4'!$F$89:$F$649,'Schedule 4'!$I$89:$I$649,'Well Cal.'!U$3,'Schedule 4'!$J$89:$J$649,'Well Cal.'!$E570)</f>
        <v>0</v>
      </c>
      <c r="V570" s="727">
        <f>SUMIFS('Schedule 4'!$F$89:$F$649,'Schedule 4'!$I$89:$I$649,'Well Cal.'!V$3,'Schedule 4'!$J$89:$J$649,'Well Cal.'!$E570)</f>
        <v>0</v>
      </c>
      <c r="W570" s="727">
        <f>SUMIFS('Schedule 4'!$F$89:$F$649,'Schedule 4'!$I$89:$I$649,'Well Cal.'!W$3,'Schedule 4'!$J$89:$J$649,'Well Cal.'!$E570)</f>
        <v>0</v>
      </c>
      <c r="X570" s="727">
        <f>SUMIFS('Schedule 4'!$F$89:$F$649,'Schedule 4'!$I$89:$I$649,'Well Cal.'!X$3,'Schedule 4'!$J$89:$J$649,'Well Cal.'!$E570)</f>
        <v>0</v>
      </c>
      <c r="Y570" s="727">
        <f>SUMIFS('Schedule 4'!$F$89:$F$649,'Schedule 4'!$I$89:$I$649,'Well Cal.'!Y$3,'Schedule 4'!$J$89:$J$649,'Well Cal.'!$E570)</f>
        <v>0</v>
      </c>
      <c r="Z570" s="727">
        <f>SUMIFS('Schedule 4'!$F$89:$F$649,'Schedule 4'!$I$89:$I$649,'Well Cal.'!Z$3,'Schedule 4'!$J$89:$J$649,'Well Cal.'!$E570)</f>
        <v>0</v>
      </c>
      <c r="AA570" s="727"/>
      <c r="AB570" s="1730"/>
      <c r="AC570" s="1730"/>
    </row>
    <row r="571" spans="2:29" x14ac:dyDescent="0.3">
      <c r="B571" s="1724"/>
      <c r="C571" s="1727"/>
      <c r="D571" s="1721"/>
      <c r="E571" s="775" t="s">
        <v>3551</v>
      </c>
      <c r="F571" s="727">
        <f>SUMIFS('Schedule 4'!$F$89:$F$649,'Schedule 4'!$I$89:$I$649,'Well Cal.'!F$3,'Schedule 4'!$J$89:$J$649,'Well Cal.'!$E571)</f>
        <v>0</v>
      </c>
      <c r="G571" s="727">
        <f>SUMIFS('Schedule 4'!$F$89:$F$649,'Schedule 4'!$I$89:$I$649,'Well Cal.'!G$3,'Schedule 4'!$J$89:$J$649,'Well Cal.'!$E571)</f>
        <v>0</v>
      </c>
      <c r="H571" s="727">
        <f>SUMIFS('Schedule 4'!$F$89:$F$649,'Schedule 4'!$I$89:$I$649,'Well Cal.'!H$3,'Schedule 4'!$J$89:$J$649,'Well Cal.'!$E571)</f>
        <v>0</v>
      </c>
      <c r="I571" s="727">
        <f>SUMIFS('Schedule 4'!$F$89:$F$649,'Schedule 4'!$I$89:$I$649,'Well Cal.'!I$3,'Schedule 4'!$J$89:$J$649,'Well Cal.'!$E571)</f>
        <v>0</v>
      </c>
      <c r="J571" s="727">
        <f>SUMIFS('Schedule 4'!$F$89:$F$649,'Schedule 4'!$I$89:$I$649,'Well Cal.'!J$3,'Schedule 4'!$J$89:$J$649,'Well Cal.'!$E571)</f>
        <v>0</v>
      </c>
      <c r="K571" s="727">
        <f>SUMIFS('Schedule 4'!$F$89:$F$649,'Schedule 4'!$I$89:$I$649,'Well Cal.'!K$3,'Schedule 4'!$J$89:$J$649,'Well Cal.'!$E571)</f>
        <v>0</v>
      </c>
      <c r="L571" s="727">
        <f>SUMIFS('Schedule 4'!$F$89:$F$649,'Schedule 4'!$I$89:$I$649,'Well Cal.'!L$3,'Schedule 4'!$J$89:$J$649,'Well Cal.'!$E571)</f>
        <v>0</v>
      </c>
      <c r="M571" s="727">
        <f>SUMIFS('Schedule 4'!$F$89:$F$649,'Schedule 4'!$I$89:$I$649,'Well Cal.'!M$3,'Schedule 4'!$J$89:$J$649,'Well Cal.'!$E571)</f>
        <v>0</v>
      </c>
      <c r="N571" s="727">
        <f>SUMIFS('Schedule 4'!$F$89:$F$649,'Schedule 4'!$I$89:$I$649,'Well Cal.'!N$3,'Schedule 4'!$J$89:$J$649,'Well Cal.'!$E571)</f>
        <v>0</v>
      </c>
      <c r="O571" s="727">
        <f>SUMIFS('Schedule 4'!$F$89:$F$649,'Schedule 4'!$I$89:$I$649,'Well Cal.'!O$3,'Schedule 4'!$J$89:$J$649,'Well Cal.'!$E571)</f>
        <v>0</v>
      </c>
      <c r="P571" s="727">
        <f>SUMIFS('Schedule 4'!$F$89:$F$649,'Schedule 4'!$I$89:$I$649,'Well Cal.'!P$3,'Schedule 4'!$J$89:$J$649,'Well Cal.'!$E571)</f>
        <v>0</v>
      </c>
      <c r="Q571" s="727">
        <f>SUMIFS('Schedule 4'!$F$89:$F$649,'Schedule 4'!$I$89:$I$649,'Well Cal.'!Q$3,'Schedule 4'!$J$89:$J$649,'Well Cal.'!$E571)</f>
        <v>0</v>
      </c>
      <c r="R571" s="727">
        <f>SUMIFS('Schedule 4'!$F$89:$F$649,'Schedule 4'!$I$89:$I$649,'Well Cal.'!R$3,'Schedule 4'!$J$89:$J$649,'Well Cal.'!$E571)</f>
        <v>0</v>
      </c>
      <c r="S571" s="727">
        <f>SUMIFS('Schedule 4'!$F$89:$F$649,'Schedule 4'!$I$89:$I$649,'Well Cal.'!S$3,'Schedule 4'!$J$89:$J$649,'Well Cal.'!$E571)</f>
        <v>0</v>
      </c>
      <c r="T571" s="727">
        <f>SUMIFS('Schedule 4'!$F$89:$F$649,'Schedule 4'!$I$89:$I$649,'Well Cal.'!T$3,'Schedule 4'!$J$89:$J$649,'Well Cal.'!$E571)</f>
        <v>0</v>
      </c>
      <c r="U571" s="727">
        <f>SUMIFS('Schedule 4'!$F$89:$F$649,'Schedule 4'!$I$89:$I$649,'Well Cal.'!U$3,'Schedule 4'!$J$89:$J$649,'Well Cal.'!$E571)</f>
        <v>0</v>
      </c>
      <c r="V571" s="727">
        <f>SUMIFS('Schedule 4'!$F$89:$F$649,'Schedule 4'!$I$89:$I$649,'Well Cal.'!V$3,'Schedule 4'!$J$89:$J$649,'Well Cal.'!$E571)</f>
        <v>0</v>
      </c>
      <c r="W571" s="727">
        <f>SUMIFS('Schedule 4'!$F$89:$F$649,'Schedule 4'!$I$89:$I$649,'Well Cal.'!W$3,'Schedule 4'!$J$89:$J$649,'Well Cal.'!$E571)</f>
        <v>0</v>
      </c>
      <c r="X571" s="727">
        <f>SUMIFS('Schedule 4'!$F$89:$F$649,'Schedule 4'!$I$89:$I$649,'Well Cal.'!X$3,'Schedule 4'!$J$89:$J$649,'Well Cal.'!$E571)</f>
        <v>0</v>
      </c>
      <c r="Y571" s="727">
        <f>SUMIFS('Schedule 4'!$F$89:$F$649,'Schedule 4'!$I$89:$I$649,'Well Cal.'!Y$3,'Schedule 4'!$J$89:$J$649,'Well Cal.'!$E571)</f>
        <v>0</v>
      </c>
      <c r="Z571" s="727">
        <f>SUMIFS('Schedule 4'!$F$89:$F$649,'Schedule 4'!$I$89:$I$649,'Well Cal.'!Z$3,'Schedule 4'!$J$89:$J$649,'Well Cal.'!$E571)</f>
        <v>0</v>
      </c>
      <c r="AA571" s="727"/>
      <c r="AB571" s="1730"/>
      <c r="AC571" s="1730"/>
    </row>
    <row r="572" spans="2:29" x14ac:dyDescent="0.3">
      <c r="B572" s="1724"/>
      <c r="C572" s="1727"/>
      <c r="D572" s="1721"/>
      <c r="E572" s="775" t="s">
        <v>3640</v>
      </c>
      <c r="F572" s="727">
        <f>SUMIFS('Schedule 4'!$F$89:$F$649,'Schedule 4'!$I$89:$I$649,'Well Cal.'!F$3,'Schedule 4'!$J$89:$J$649,'Well Cal.'!$E572)</f>
        <v>0</v>
      </c>
      <c r="G572" s="727">
        <f>SUMIFS('Schedule 4'!$F$89:$F$649,'Schedule 4'!$I$89:$I$649,'Well Cal.'!G$3,'Schedule 4'!$J$89:$J$649,'Well Cal.'!$E572)</f>
        <v>0</v>
      </c>
      <c r="H572" s="727">
        <f>SUMIFS('Schedule 4'!$F$89:$F$649,'Schedule 4'!$I$89:$I$649,'Well Cal.'!H$3,'Schedule 4'!$J$89:$J$649,'Well Cal.'!$E572)</f>
        <v>0</v>
      </c>
      <c r="I572" s="727">
        <f>SUMIFS('Schedule 4'!$F$89:$F$649,'Schedule 4'!$I$89:$I$649,'Well Cal.'!I$3,'Schedule 4'!$J$89:$J$649,'Well Cal.'!$E572)</f>
        <v>0</v>
      </c>
      <c r="J572" s="727">
        <f>SUMIFS('Schedule 4'!$F$89:$F$649,'Schedule 4'!$I$89:$I$649,'Well Cal.'!J$3,'Schedule 4'!$J$89:$J$649,'Well Cal.'!$E572)</f>
        <v>0</v>
      </c>
      <c r="K572" s="727">
        <f>SUMIFS('Schedule 4'!$F$89:$F$649,'Schedule 4'!$I$89:$I$649,'Well Cal.'!K$3,'Schedule 4'!$J$89:$J$649,'Well Cal.'!$E572)</f>
        <v>0</v>
      </c>
      <c r="L572" s="727">
        <f>SUMIFS('Schedule 4'!$F$89:$F$649,'Schedule 4'!$I$89:$I$649,'Well Cal.'!L$3,'Schedule 4'!$J$89:$J$649,'Well Cal.'!$E572)</f>
        <v>0</v>
      </c>
      <c r="M572" s="727">
        <f>SUMIFS('Schedule 4'!$F$89:$F$649,'Schedule 4'!$I$89:$I$649,'Well Cal.'!M$3,'Schedule 4'!$J$89:$J$649,'Well Cal.'!$E572)</f>
        <v>0</v>
      </c>
      <c r="N572" s="727">
        <f>SUMIFS('Schedule 4'!$F$89:$F$649,'Schedule 4'!$I$89:$I$649,'Well Cal.'!N$3,'Schedule 4'!$J$89:$J$649,'Well Cal.'!$E572)</f>
        <v>0</v>
      </c>
      <c r="O572" s="727">
        <f>SUMIFS('Schedule 4'!$F$89:$F$649,'Schedule 4'!$I$89:$I$649,'Well Cal.'!O$3,'Schedule 4'!$J$89:$J$649,'Well Cal.'!$E572)</f>
        <v>0</v>
      </c>
      <c r="P572" s="727">
        <f>SUMIFS('Schedule 4'!$F$89:$F$649,'Schedule 4'!$I$89:$I$649,'Well Cal.'!P$3,'Schedule 4'!$J$89:$J$649,'Well Cal.'!$E572)</f>
        <v>0</v>
      </c>
      <c r="Q572" s="727">
        <f>SUMIFS('Schedule 4'!$F$89:$F$649,'Schedule 4'!$I$89:$I$649,'Well Cal.'!Q$3,'Schedule 4'!$J$89:$J$649,'Well Cal.'!$E572)</f>
        <v>0</v>
      </c>
      <c r="R572" s="727">
        <f>SUMIFS('Schedule 4'!$F$89:$F$649,'Schedule 4'!$I$89:$I$649,'Well Cal.'!R$3,'Schedule 4'!$J$89:$J$649,'Well Cal.'!$E572)</f>
        <v>0</v>
      </c>
      <c r="S572" s="727">
        <f>SUMIFS('Schedule 4'!$F$89:$F$649,'Schedule 4'!$I$89:$I$649,'Well Cal.'!S$3,'Schedule 4'!$J$89:$J$649,'Well Cal.'!$E572)</f>
        <v>0</v>
      </c>
      <c r="T572" s="727">
        <f>SUMIFS('Schedule 4'!$F$89:$F$649,'Schedule 4'!$I$89:$I$649,'Well Cal.'!T$3,'Schedule 4'!$J$89:$J$649,'Well Cal.'!$E572)</f>
        <v>0</v>
      </c>
      <c r="U572" s="727">
        <f>SUMIFS('Schedule 4'!$F$89:$F$649,'Schedule 4'!$I$89:$I$649,'Well Cal.'!U$3,'Schedule 4'!$J$89:$J$649,'Well Cal.'!$E572)</f>
        <v>0</v>
      </c>
      <c r="V572" s="727">
        <f>SUMIFS('Schedule 4'!$F$89:$F$649,'Schedule 4'!$I$89:$I$649,'Well Cal.'!V$3,'Schedule 4'!$J$89:$J$649,'Well Cal.'!$E572)</f>
        <v>0</v>
      </c>
      <c r="W572" s="727">
        <f>SUMIFS('Schedule 4'!$F$89:$F$649,'Schedule 4'!$I$89:$I$649,'Well Cal.'!W$3,'Schedule 4'!$J$89:$J$649,'Well Cal.'!$E572)</f>
        <v>0</v>
      </c>
      <c r="X572" s="727">
        <f>SUMIFS('Schedule 4'!$F$89:$F$649,'Schedule 4'!$I$89:$I$649,'Well Cal.'!X$3,'Schedule 4'!$J$89:$J$649,'Well Cal.'!$E572)</f>
        <v>0</v>
      </c>
      <c r="Y572" s="727">
        <f>SUMIFS('Schedule 4'!$F$89:$F$649,'Schedule 4'!$I$89:$I$649,'Well Cal.'!Y$3,'Schedule 4'!$J$89:$J$649,'Well Cal.'!$E572)</f>
        <v>0</v>
      </c>
      <c r="Z572" s="727">
        <f>SUMIFS('Schedule 4'!$F$89:$F$649,'Schedule 4'!$I$89:$I$649,'Well Cal.'!Z$3,'Schedule 4'!$J$89:$J$649,'Well Cal.'!$E572)</f>
        <v>0</v>
      </c>
      <c r="AA572" s="727"/>
      <c r="AB572" s="1730"/>
      <c r="AC572" s="1730"/>
    </row>
    <row r="573" spans="2:29" x14ac:dyDescent="0.3">
      <c r="B573" s="1724"/>
      <c r="C573" s="1727"/>
      <c r="D573" s="1721"/>
      <c r="E573" s="775" t="s">
        <v>3723</v>
      </c>
      <c r="F573" s="727">
        <f>SUMIFS('Schedule 4'!$F$89:$F$649,'Schedule 4'!$I$89:$I$649,'Well Cal.'!F$3,'Schedule 4'!$J$89:$J$649,'Well Cal.'!$E573)</f>
        <v>0</v>
      </c>
      <c r="G573" s="727">
        <f>SUMIFS('Schedule 4'!$F$89:$F$649,'Schedule 4'!$I$89:$I$649,'Well Cal.'!G$3,'Schedule 4'!$J$89:$J$649,'Well Cal.'!$E573)</f>
        <v>0</v>
      </c>
      <c r="H573" s="727">
        <f>SUMIFS('Schedule 4'!$F$89:$F$649,'Schedule 4'!$I$89:$I$649,'Well Cal.'!H$3,'Schedule 4'!$J$89:$J$649,'Well Cal.'!$E573)</f>
        <v>0</v>
      </c>
      <c r="I573" s="727">
        <f>SUMIFS('Schedule 4'!$F$89:$F$649,'Schedule 4'!$I$89:$I$649,'Well Cal.'!I$3,'Schedule 4'!$J$89:$J$649,'Well Cal.'!$E573)</f>
        <v>0</v>
      </c>
      <c r="J573" s="727">
        <f>SUMIFS('Schedule 4'!$F$89:$F$649,'Schedule 4'!$I$89:$I$649,'Well Cal.'!J$3,'Schedule 4'!$J$89:$J$649,'Well Cal.'!$E573)</f>
        <v>0</v>
      </c>
      <c r="K573" s="727">
        <f>SUMIFS('Schedule 4'!$F$89:$F$649,'Schedule 4'!$I$89:$I$649,'Well Cal.'!K$3,'Schedule 4'!$J$89:$J$649,'Well Cal.'!$E573)</f>
        <v>0</v>
      </c>
      <c r="L573" s="727">
        <f>SUMIFS('Schedule 4'!$F$89:$F$649,'Schedule 4'!$I$89:$I$649,'Well Cal.'!L$3,'Schedule 4'!$J$89:$J$649,'Well Cal.'!$E573)</f>
        <v>0</v>
      </c>
      <c r="M573" s="727">
        <f>SUMIFS('Schedule 4'!$F$89:$F$649,'Schedule 4'!$I$89:$I$649,'Well Cal.'!M$3,'Schedule 4'!$J$89:$J$649,'Well Cal.'!$E573)</f>
        <v>0</v>
      </c>
      <c r="N573" s="727">
        <f>SUMIFS('Schedule 4'!$F$89:$F$649,'Schedule 4'!$I$89:$I$649,'Well Cal.'!N$3,'Schedule 4'!$J$89:$J$649,'Well Cal.'!$E573)</f>
        <v>0</v>
      </c>
      <c r="O573" s="727">
        <f>SUMIFS('Schedule 4'!$F$89:$F$649,'Schedule 4'!$I$89:$I$649,'Well Cal.'!O$3,'Schedule 4'!$J$89:$J$649,'Well Cal.'!$E573)</f>
        <v>0</v>
      </c>
      <c r="P573" s="727">
        <f>SUMIFS('Schedule 4'!$F$89:$F$649,'Schedule 4'!$I$89:$I$649,'Well Cal.'!P$3,'Schedule 4'!$J$89:$J$649,'Well Cal.'!$E573)</f>
        <v>0</v>
      </c>
      <c r="Q573" s="727">
        <f>SUMIFS('Schedule 4'!$F$89:$F$649,'Schedule 4'!$I$89:$I$649,'Well Cal.'!Q$3,'Schedule 4'!$J$89:$J$649,'Well Cal.'!$E573)</f>
        <v>0</v>
      </c>
      <c r="R573" s="727">
        <f>SUMIFS('Schedule 4'!$F$89:$F$649,'Schedule 4'!$I$89:$I$649,'Well Cal.'!R$3,'Schedule 4'!$J$89:$J$649,'Well Cal.'!$E573)</f>
        <v>0</v>
      </c>
      <c r="S573" s="727">
        <f>SUMIFS('Schedule 4'!$F$89:$F$649,'Schedule 4'!$I$89:$I$649,'Well Cal.'!S$3,'Schedule 4'!$J$89:$J$649,'Well Cal.'!$E573)</f>
        <v>0</v>
      </c>
      <c r="T573" s="727">
        <f>SUMIFS('Schedule 4'!$F$89:$F$649,'Schedule 4'!$I$89:$I$649,'Well Cal.'!T$3,'Schedule 4'!$J$89:$J$649,'Well Cal.'!$E573)</f>
        <v>0</v>
      </c>
      <c r="U573" s="727">
        <f>SUMIFS('Schedule 4'!$F$89:$F$649,'Schedule 4'!$I$89:$I$649,'Well Cal.'!U$3,'Schedule 4'!$J$89:$J$649,'Well Cal.'!$E573)</f>
        <v>0</v>
      </c>
      <c r="V573" s="727">
        <f>SUMIFS('Schedule 4'!$F$89:$F$649,'Schedule 4'!$I$89:$I$649,'Well Cal.'!V$3,'Schedule 4'!$J$89:$J$649,'Well Cal.'!$E573)</f>
        <v>0</v>
      </c>
      <c r="W573" s="727">
        <f>SUMIFS('Schedule 4'!$F$89:$F$649,'Schedule 4'!$I$89:$I$649,'Well Cal.'!W$3,'Schedule 4'!$J$89:$J$649,'Well Cal.'!$E573)</f>
        <v>0</v>
      </c>
      <c r="X573" s="727">
        <f>SUMIFS('Schedule 4'!$F$89:$F$649,'Schedule 4'!$I$89:$I$649,'Well Cal.'!X$3,'Schedule 4'!$J$89:$J$649,'Well Cal.'!$E573)</f>
        <v>0</v>
      </c>
      <c r="Y573" s="727">
        <f>SUMIFS('Schedule 4'!$F$89:$F$649,'Schedule 4'!$I$89:$I$649,'Well Cal.'!Y$3,'Schedule 4'!$J$89:$J$649,'Well Cal.'!$E573)</f>
        <v>0</v>
      </c>
      <c r="Z573" s="727">
        <f>SUMIFS('Schedule 4'!$F$89:$F$649,'Schedule 4'!$I$89:$I$649,'Well Cal.'!Z$3,'Schedule 4'!$J$89:$J$649,'Well Cal.'!$E573)</f>
        <v>0</v>
      </c>
      <c r="AA573" s="727"/>
      <c r="AB573" s="1731"/>
      <c r="AC573" s="1731"/>
    </row>
    <row r="574" spans="2:29" x14ac:dyDescent="0.3">
      <c r="B574" s="1724"/>
      <c r="C574" s="1727"/>
      <c r="D574" s="1721"/>
      <c r="E574" s="775" t="s">
        <v>3777</v>
      </c>
      <c r="F574" s="727">
        <f>SUMIFS('Schedule 4'!$F$89:$F$649,'Schedule 4'!$I$89:$I$649,'Well Cal.'!F$3,'Schedule 4'!$J$89:$J$649,'Well Cal.'!$E574)</f>
        <v>0</v>
      </c>
      <c r="G574" s="727">
        <f>SUMIFS('Schedule 4'!$F$89:$F$649,'Schedule 4'!$I$89:$I$649,'Well Cal.'!G$3,'Schedule 4'!$J$89:$J$649,'Well Cal.'!$E574)</f>
        <v>0</v>
      </c>
      <c r="H574" s="727">
        <f>SUMIFS('Schedule 4'!$F$89:$F$649,'Schedule 4'!$I$89:$I$649,'Well Cal.'!H$3,'Schedule 4'!$J$89:$J$649,'Well Cal.'!$E574)</f>
        <v>0</v>
      </c>
      <c r="I574" s="727">
        <f>SUMIFS('Schedule 4'!$F$89:$F$649,'Schedule 4'!$I$89:$I$649,'Well Cal.'!I$3,'Schedule 4'!$J$89:$J$649,'Well Cal.'!$E574)</f>
        <v>0</v>
      </c>
      <c r="J574" s="727">
        <f>SUMIFS('Schedule 4'!$F$89:$F$649,'Schedule 4'!$I$89:$I$649,'Well Cal.'!J$3,'Schedule 4'!$J$89:$J$649,'Well Cal.'!$E574)</f>
        <v>0</v>
      </c>
      <c r="K574" s="727">
        <f>SUMIFS('Schedule 4'!$F$89:$F$649,'Schedule 4'!$I$89:$I$649,'Well Cal.'!K$3,'Schedule 4'!$J$89:$J$649,'Well Cal.'!$E574)</f>
        <v>0</v>
      </c>
      <c r="L574" s="727">
        <f>SUMIFS('Schedule 4'!$F$89:$F$649,'Schedule 4'!$I$89:$I$649,'Well Cal.'!L$3,'Schedule 4'!$J$89:$J$649,'Well Cal.'!$E574)</f>
        <v>0</v>
      </c>
      <c r="M574" s="727">
        <f>SUMIFS('Schedule 4'!$F$89:$F$649,'Schedule 4'!$I$89:$I$649,'Well Cal.'!M$3,'Schedule 4'!$J$89:$J$649,'Well Cal.'!$E574)</f>
        <v>0</v>
      </c>
      <c r="N574" s="727">
        <f>SUMIFS('Schedule 4'!$F$89:$F$649,'Schedule 4'!$I$89:$I$649,'Well Cal.'!N$3,'Schedule 4'!$J$89:$J$649,'Well Cal.'!$E574)</f>
        <v>0</v>
      </c>
      <c r="O574" s="727">
        <f>SUMIFS('Schedule 4'!$F$89:$F$649,'Schedule 4'!$I$89:$I$649,'Well Cal.'!O$3,'Schedule 4'!$J$89:$J$649,'Well Cal.'!$E574)</f>
        <v>0</v>
      </c>
      <c r="P574" s="727">
        <f>SUMIFS('Schedule 4'!$F$89:$F$649,'Schedule 4'!$I$89:$I$649,'Well Cal.'!P$3,'Schedule 4'!$J$89:$J$649,'Well Cal.'!$E574)</f>
        <v>0</v>
      </c>
      <c r="Q574" s="727">
        <f>SUMIFS('Schedule 4'!$F$89:$F$649,'Schedule 4'!$I$89:$I$649,'Well Cal.'!Q$3,'Schedule 4'!$J$89:$J$649,'Well Cal.'!$E574)</f>
        <v>0</v>
      </c>
      <c r="R574" s="727">
        <f>SUMIFS('Schedule 4'!$F$89:$F$649,'Schedule 4'!$I$89:$I$649,'Well Cal.'!R$3,'Schedule 4'!$J$89:$J$649,'Well Cal.'!$E574)</f>
        <v>0</v>
      </c>
      <c r="S574" s="727">
        <f>SUMIFS('Schedule 4'!$F$89:$F$649,'Schedule 4'!$I$89:$I$649,'Well Cal.'!S$3,'Schedule 4'!$J$89:$J$649,'Well Cal.'!$E574)</f>
        <v>0</v>
      </c>
      <c r="T574" s="727">
        <f>SUMIFS('Schedule 4'!$F$89:$F$649,'Schedule 4'!$I$89:$I$649,'Well Cal.'!T$3,'Schedule 4'!$J$89:$J$649,'Well Cal.'!$E574)</f>
        <v>0</v>
      </c>
      <c r="U574" s="727">
        <f>SUMIFS('Schedule 4'!$F$89:$F$649,'Schedule 4'!$I$89:$I$649,'Well Cal.'!U$3,'Schedule 4'!$J$89:$J$649,'Well Cal.'!$E574)</f>
        <v>0</v>
      </c>
      <c r="V574" s="727">
        <f>SUMIFS('Schedule 4'!$F$89:$F$649,'Schedule 4'!$I$89:$I$649,'Well Cal.'!V$3,'Schedule 4'!$J$89:$J$649,'Well Cal.'!$E574)</f>
        <v>0</v>
      </c>
      <c r="W574" s="727">
        <f>SUMIFS('Schedule 4'!$F$89:$F$649,'Schedule 4'!$I$89:$I$649,'Well Cal.'!W$3,'Schedule 4'!$J$89:$J$649,'Well Cal.'!$E574)</f>
        <v>0</v>
      </c>
      <c r="X574" s="727">
        <f>SUMIFS('Schedule 4'!$F$89:$F$649,'Schedule 4'!$I$89:$I$649,'Well Cal.'!X$3,'Schedule 4'!$J$89:$J$649,'Well Cal.'!$E574)</f>
        <v>0</v>
      </c>
      <c r="Y574" s="727">
        <f>SUMIFS('Schedule 4'!$F$89:$F$649,'Schedule 4'!$I$89:$I$649,'Well Cal.'!Y$3,'Schedule 4'!$J$89:$J$649,'Well Cal.'!$E574)</f>
        <v>0</v>
      </c>
      <c r="Z574" s="727">
        <f>SUMIFS('Schedule 4'!$F$89:$F$649,'Schedule 4'!$I$89:$I$649,'Well Cal.'!Z$3,'Schedule 4'!$J$89:$J$649,'Well Cal.'!$E574)</f>
        <v>0</v>
      </c>
      <c r="AA574" s="727"/>
      <c r="AB574" s="1731"/>
      <c r="AC574" s="1731"/>
    </row>
    <row r="575" spans="2:29" x14ac:dyDescent="0.3">
      <c r="B575" s="1724"/>
      <c r="C575" s="1727"/>
      <c r="D575" s="1721"/>
      <c r="E575" s="775" t="s">
        <v>3843</v>
      </c>
      <c r="F575" s="727">
        <f>SUMIFS('Schedule 4'!$F$89:$F$649,'Schedule 4'!$I$89:$I$649,'Well Cal.'!F$3,'Schedule 4'!$J$89:$J$649,'Well Cal.'!$E575)</f>
        <v>0</v>
      </c>
      <c r="G575" s="727">
        <f>SUMIFS('Schedule 4'!$F$89:$F$649,'Schedule 4'!$I$89:$I$649,'Well Cal.'!G$3,'Schedule 4'!$J$89:$J$649,'Well Cal.'!$E575)</f>
        <v>0</v>
      </c>
      <c r="H575" s="727">
        <f>SUMIFS('Schedule 4'!$F$89:$F$649,'Schedule 4'!$I$89:$I$649,'Well Cal.'!H$3,'Schedule 4'!$J$89:$J$649,'Well Cal.'!$E575)</f>
        <v>0</v>
      </c>
      <c r="I575" s="727">
        <f>SUMIFS('Schedule 4'!$F$89:$F$649,'Schedule 4'!$I$89:$I$649,'Well Cal.'!I$3,'Schedule 4'!$J$89:$J$649,'Well Cal.'!$E575)</f>
        <v>0</v>
      </c>
      <c r="J575" s="727">
        <f>SUMIFS('Schedule 4'!$F$89:$F$649,'Schedule 4'!$I$89:$I$649,'Well Cal.'!J$3,'Schedule 4'!$J$89:$J$649,'Well Cal.'!$E575)</f>
        <v>0</v>
      </c>
      <c r="K575" s="727">
        <f>SUMIFS('Schedule 4'!$F$89:$F$649,'Schedule 4'!$I$89:$I$649,'Well Cal.'!K$3,'Schedule 4'!$J$89:$J$649,'Well Cal.'!$E575)</f>
        <v>0</v>
      </c>
      <c r="L575" s="727">
        <f>SUMIFS('Schedule 4'!$F$89:$F$649,'Schedule 4'!$I$89:$I$649,'Well Cal.'!L$3,'Schedule 4'!$J$89:$J$649,'Well Cal.'!$E575)</f>
        <v>0</v>
      </c>
      <c r="M575" s="727">
        <f>SUMIFS('Schedule 4'!$F$89:$F$649,'Schedule 4'!$I$89:$I$649,'Well Cal.'!M$3,'Schedule 4'!$J$89:$J$649,'Well Cal.'!$E575)</f>
        <v>0</v>
      </c>
      <c r="N575" s="727">
        <f>SUMIFS('Schedule 4'!$F$89:$F$649,'Schedule 4'!$I$89:$I$649,'Well Cal.'!N$3,'Schedule 4'!$J$89:$J$649,'Well Cal.'!$E575)</f>
        <v>0</v>
      </c>
      <c r="O575" s="727">
        <f>SUMIFS('Schedule 4'!$F$89:$F$649,'Schedule 4'!$I$89:$I$649,'Well Cal.'!O$3,'Schedule 4'!$J$89:$J$649,'Well Cal.'!$E575)</f>
        <v>0</v>
      </c>
      <c r="P575" s="727">
        <f>SUMIFS('Schedule 4'!$F$89:$F$649,'Schedule 4'!$I$89:$I$649,'Well Cal.'!P$3,'Schedule 4'!$J$89:$J$649,'Well Cal.'!$E575)</f>
        <v>0</v>
      </c>
      <c r="Q575" s="727">
        <f>SUMIFS('Schedule 4'!$F$89:$F$649,'Schedule 4'!$I$89:$I$649,'Well Cal.'!Q$3,'Schedule 4'!$J$89:$J$649,'Well Cal.'!$E575)</f>
        <v>0</v>
      </c>
      <c r="R575" s="727">
        <f>SUMIFS('Schedule 4'!$F$89:$F$649,'Schedule 4'!$I$89:$I$649,'Well Cal.'!R$3,'Schedule 4'!$J$89:$J$649,'Well Cal.'!$E575)</f>
        <v>0</v>
      </c>
      <c r="S575" s="727">
        <f>SUMIFS('Schedule 4'!$F$89:$F$649,'Schedule 4'!$I$89:$I$649,'Well Cal.'!S$3,'Schedule 4'!$J$89:$J$649,'Well Cal.'!$E575)</f>
        <v>0</v>
      </c>
      <c r="T575" s="727">
        <f>SUMIFS('Schedule 4'!$F$89:$F$649,'Schedule 4'!$I$89:$I$649,'Well Cal.'!T$3,'Schedule 4'!$J$89:$J$649,'Well Cal.'!$E575)</f>
        <v>0</v>
      </c>
      <c r="U575" s="727">
        <f>SUMIFS('Schedule 4'!$F$89:$F$649,'Schedule 4'!$I$89:$I$649,'Well Cal.'!U$3,'Schedule 4'!$J$89:$J$649,'Well Cal.'!$E575)</f>
        <v>0</v>
      </c>
      <c r="V575" s="727">
        <f>SUMIFS('Schedule 4'!$F$89:$F$649,'Schedule 4'!$I$89:$I$649,'Well Cal.'!V$3,'Schedule 4'!$J$89:$J$649,'Well Cal.'!$E575)</f>
        <v>0</v>
      </c>
      <c r="W575" s="727">
        <f>SUMIFS('Schedule 4'!$F$89:$F$649,'Schedule 4'!$I$89:$I$649,'Well Cal.'!W$3,'Schedule 4'!$J$89:$J$649,'Well Cal.'!$E575)</f>
        <v>0</v>
      </c>
      <c r="X575" s="727">
        <f>SUMIFS('Schedule 4'!$F$89:$F$649,'Schedule 4'!$I$89:$I$649,'Well Cal.'!X$3,'Schedule 4'!$J$89:$J$649,'Well Cal.'!$E575)</f>
        <v>0</v>
      </c>
      <c r="Y575" s="727">
        <f>SUMIFS('Schedule 4'!$F$89:$F$649,'Schedule 4'!$I$89:$I$649,'Well Cal.'!Y$3,'Schedule 4'!$J$89:$J$649,'Well Cal.'!$E575)</f>
        <v>0</v>
      </c>
      <c r="Z575" s="727">
        <f>SUMIFS('Schedule 4'!$F$89:$F$649,'Schedule 4'!$I$89:$I$649,'Well Cal.'!Z$3,'Schedule 4'!$J$89:$J$649,'Well Cal.'!$E575)</f>
        <v>0</v>
      </c>
      <c r="AA575" s="727"/>
      <c r="AB575" s="1731"/>
      <c r="AC575" s="1731"/>
    </row>
    <row r="576" spans="2:29" x14ac:dyDescent="0.3">
      <c r="B576" s="1724"/>
      <c r="C576" s="1727"/>
      <c r="D576" s="1721"/>
      <c r="E576" s="775" t="s">
        <v>3911</v>
      </c>
      <c r="F576" s="727">
        <f>SUMIFS('Schedule 4'!$F$89:$F$649,'Schedule 4'!$I$89:$I$649,'Well Cal.'!F$3,'Schedule 4'!$J$89:$J$649,'Well Cal.'!$E576)</f>
        <v>0</v>
      </c>
      <c r="G576" s="727">
        <f>SUMIFS('Schedule 4'!$F$89:$F$649,'Schedule 4'!$I$89:$I$649,'Well Cal.'!G$3,'Schedule 4'!$J$89:$J$649,'Well Cal.'!$E576)</f>
        <v>0</v>
      </c>
      <c r="H576" s="727">
        <f>SUMIFS('Schedule 4'!$F$89:$F$649,'Schedule 4'!$I$89:$I$649,'Well Cal.'!H$3,'Schedule 4'!$J$89:$J$649,'Well Cal.'!$E576)</f>
        <v>0</v>
      </c>
      <c r="I576" s="727">
        <f>SUMIFS('Schedule 4'!$F$89:$F$649,'Schedule 4'!$I$89:$I$649,'Well Cal.'!I$3,'Schedule 4'!$J$89:$J$649,'Well Cal.'!$E576)</f>
        <v>0</v>
      </c>
      <c r="J576" s="727">
        <f>SUMIFS('Schedule 4'!$F$89:$F$649,'Schedule 4'!$I$89:$I$649,'Well Cal.'!J$3,'Schedule 4'!$J$89:$J$649,'Well Cal.'!$E576)</f>
        <v>0</v>
      </c>
      <c r="K576" s="727">
        <f>SUMIFS('Schedule 4'!$F$89:$F$649,'Schedule 4'!$I$89:$I$649,'Well Cal.'!K$3,'Schedule 4'!$J$89:$J$649,'Well Cal.'!$E576)</f>
        <v>0</v>
      </c>
      <c r="L576" s="727">
        <f>SUMIFS('Schedule 4'!$F$89:$F$649,'Schedule 4'!$I$89:$I$649,'Well Cal.'!L$3,'Schedule 4'!$J$89:$J$649,'Well Cal.'!$E576)</f>
        <v>0</v>
      </c>
      <c r="M576" s="727">
        <f>SUMIFS('Schedule 4'!$F$89:$F$649,'Schedule 4'!$I$89:$I$649,'Well Cal.'!M$3,'Schedule 4'!$J$89:$J$649,'Well Cal.'!$E576)</f>
        <v>0</v>
      </c>
      <c r="N576" s="727">
        <f>SUMIFS('Schedule 4'!$F$89:$F$649,'Schedule 4'!$I$89:$I$649,'Well Cal.'!N$3,'Schedule 4'!$J$89:$J$649,'Well Cal.'!$E576)</f>
        <v>0</v>
      </c>
      <c r="O576" s="727">
        <f>SUMIFS('Schedule 4'!$F$89:$F$649,'Schedule 4'!$I$89:$I$649,'Well Cal.'!O$3,'Schedule 4'!$J$89:$J$649,'Well Cal.'!$E576)</f>
        <v>0</v>
      </c>
      <c r="P576" s="727">
        <f>SUMIFS('Schedule 4'!$F$89:$F$649,'Schedule 4'!$I$89:$I$649,'Well Cal.'!P$3,'Schedule 4'!$J$89:$J$649,'Well Cal.'!$E576)</f>
        <v>0</v>
      </c>
      <c r="Q576" s="727">
        <f>SUMIFS('Schedule 4'!$F$89:$F$649,'Schedule 4'!$I$89:$I$649,'Well Cal.'!Q$3,'Schedule 4'!$J$89:$J$649,'Well Cal.'!$E576)</f>
        <v>0</v>
      </c>
      <c r="R576" s="727">
        <f>SUMIFS('Schedule 4'!$F$89:$F$649,'Schedule 4'!$I$89:$I$649,'Well Cal.'!R$3,'Schedule 4'!$J$89:$J$649,'Well Cal.'!$E576)</f>
        <v>0</v>
      </c>
      <c r="S576" s="727">
        <f>SUMIFS('Schedule 4'!$F$89:$F$649,'Schedule 4'!$I$89:$I$649,'Well Cal.'!S$3,'Schedule 4'!$J$89:$J$649,'Well Cal.'!$E576)</f>
        <v>0</v>
      </c>
      <c r="T576" s="727">
        <f>SUMIFS('Schedule 4'!$F$89:$F$649,'Schedule 4'!$I$89:$I$649,'Well Cal.'!T$3,'Schedule 4'!$J$89:$J$649,'Well Cal.'!$E576)</f>
        <v>0</v>
      </c>
      <c r="U576" s="727">
        <f>SUMIFS('Schedule 4'!$F$89:$F$649,'Schedule 4'!$I$89:$I$649,'Well Cal.'!U$3,'Schedule 4'!$J$89:$J$649,'Well Cal.'!$E576)</f>
        <v>0</v>
      </c>
      <c r="V576" s="727">
        <f>SUMIFS('Schedule 4'!$F$89:$F$649,'Schedule 4'!$I$89:$I$649,'Well Cal.'!V$3,'Schedule 4'!$J$89:$J$649,'Well Cal.'!$E576)</f>
        <v>0</v>
      </c>
      <c r="W576" s="727">
        <f>SUMIFS('Schedule 4'!$F$89:$F$649,'Schedule 4'!$I$89:$I$649,'Well Cal.'!W$3,'Schedule 4'!$J$89:$J$649,'Well Cal.'!$E576)</f>
        <v>0</v>
      </c>
      <c r="X576" s="727">
        <f>SUMIFS('Schedule 4'!$F$89:$F$649,'Schedule 4'!$I$89:$I$649,'Well Cal.'!X$3,'Schedule 4'!$J$89:$J$649,'Well Cal.'!$E576)</f>
        <v>0</v>
      </c>
      <c r="Y576" s="727">
        <f>SUMIFS('Schedule 4'!$F$89:$F$649,'Schedule 4'!$I$89:$I$649,'Well Cal.'!Y$3,'Schedule 4'!$J$89:$J$649,'Well Cal.'!$E576)</f>
        <v>0</v>
      </c>
      <c r="Z576" s="727">
        <f>SUMIFS('Schedule 4'!$F$89:$F$649,'Schedule 4'!$I$89:$I$649,'Well Cal.'!Z$3,'Schedule 4'!$J$89:$J$649,'Well Cal.'!$E576)</f>
        <v>0</v>
      </c>
      <c r="AA576" s="727"/>
      <c r="AB576" s="1731"/>
      <c r="AC576" s="1731"/>
    </row>
    <row r="577" spans="2:29" x14ac:dyDescent="0.3">
      <c r="B577" s="1724"/>
      <c r="C577" s="1727"/>
      <c r="D577" s="1721"/>
      <c r="E577" s="775" t="s">
        <v>3977</v>
      </c>
      <c r="F577" s="727">
        <f>SUMIFS('Schedule 4'!$F$89:$F$649,'Schedule 4'!$I$89:$I$649,'Well Cal.'!F$3,'Schedule 4'!$J$89:$J$649,'Well Cal.'!$E577)</f>
        <v>0</v>
      </c>
      <c r="G577" s="727">
        <f>SUMIFS('Schedule 4'!$F$89:$F$649,'Schedule 4'!$I$89:$I$649,'Well Cal.'!G$3,'Schedule 4'!$J$89:$J$649,'Well Cal.'!$E577)</f>
        <v>0</v>
      </c>
      <c r="H577" s="727">
        <f>SUMIFS('Schedule 4'!$F$89:$F$649,'Schedule 4'!$I$89:$I$649,'Well Cal.'!H$3,'Schedule 4'!$J$89:$J$649,'Well Cal.'!$E577)</f>
        <v>0</v>
      </c>
      <c r="I577" s="727">
        <f>SUMIFS('Schedule 4'!$F$89:$F$649,'Schedule 4'!$I$89:$I$649,'Well Cal.'!I$3,'Schedule 4'!$J$89:$J$649,'Well Cal.'!$E577)</f>
        <v>0</v>
      </c>
      <c r="J577" s="727">
        <f>SUMIFS('Schedule 4'!$F$89:$F$649,'Schedule 4'!$I$89:$I$649,'Well Cal.'!J$3,'Schedule 4'!$J$89:$J$649,'Well Cal.'!$E577)</f>
        <v>0</v>
      </c>
      <c r="K577" s="727">
        <f>SUMIFS('Schedule 4'!$F$89:$F$649,'Schedule 4'!$I$89:$I$649,'Well Cal.'!K$3,'Schedule 4'!$J$89:$J$649,'Well Cal.'!$E577)</f>
        <v>0</v>
      </c>
      <c r="L577" s="727">
        <f>SUMIFS('Schedule 4'!$F$89:$F$649,'Schedule 4'!$I$89:$I$649,'Well Cal.'!L$3,'Schedule 4'!$J$89:$J$649,'Well Cal.'!$E577)</f>
        <v>0</v>
      </c>
      <c r="M577" s="727">
        <f>SUMIFS('Schedule 4'!$F$89:$F$649,'Schedule 4'!$I$89:$I$649,'Well Cal.'!M$3,'Schedule 4'!$J$89:$J$649,'Well Cal.'!$E577)</f>
        <v>0</v>
      </c>
      <c r="N577" s="727">
        <f>SUMIFS('Schedule 4'!$F$89:$F$649,'Schedule 4'!$I$89:$I$649,'Well Cal.'!N$3,'Schedule 4'!$J$89:$J$649,'Well Cal.'!$E577)</f>
        <v>0</v>
      </c>
      <c r="O577" s="727">
        <f>SUMIFS('Schedule 4'!$F$89:$F$649,'Schedule 4'!$I$89:$I$649,'Well Cal.'!O$3,'Schedule 4'!$J$89:$J$649,'Well Cal.'!$E577)</f>
        <v>0</v>
      </c>
      <c r="P577" s="727">
        <f>SUMIFS('Schedule 4'!$F$89:$F$649,'Schedule 4'!$I$89:$I$649,'Well Cal.'!P$3,'Schedule 4'!$J$89:$J$649,'Well Cal.'!$E577)</f>
        <v>0</v>
      </c>
      <c r="Q577" s="727">
        <f>SUMIFS('Schedule 4'!$F$89:$F$649,'Schedule 4'!$I$89:$I$649,'Well Cal.'!Q$3,'Schedule 4'!$J$89:$J$649,'Well Cal.'!$E577)</f>
        <v>0</v>
      </c>
      <c r="R577" s="727">
        <f>SUMIFS('Schedule 4'!$F$89:$F$649,'Schedule 4'!$I$89:$I$649,'Well Cal.'!R$3,'Schedule 4'!$J$89:$J$649,'Well Cal.'!$E577)</f>
        <v>0</v>
      </c>
      <c r="S577" s="727">
        <f>SUMIFS('Schedule 4'!$F$89:$F$649,'Schedule 4'!$I$89:$I$649,'Well Cal.'!S$3,'Schedule 4'!$J$89:$J$649,'Well Cal.'!$E577)</f>
        <v>0</v>
      </c>
      <c r="T577" s="727">
        <f>SUMIFS('Schedule 4'!$F$89:$F$649,'Schedule 4'!$I$89:$I$649,'Well Cal.'!T$3,'Schedule 4'!$J$89:$J$649,'Well Cal.'!$E577)</f>
        <v>0</v>
      </c>
      <c r="U577" s="727">
        <f>SUMIFS('Schedule 4'!$F$89:$F$649,'Schedule 4'!$I$89:$I$649,'Well Cal.'!U$3,'Schedule 4'!$J$89:$J$649,'Well Cal.'!$E577)</f>
        <v>0</v>
      </c>
      <c r="V577" s="727">
        <f>SUMIFS('Schedule 4'!$F$89:$F$649,'Schedule 4'!$I$89:$I$649,'Well Cal.'!V$3,'Schedule 4'!$J$89:$J$649,'Well Cal.'!$E577)</f>
        <v>0</v>
      </c>
      <c r="W577" s="727">
        <f>SUMIFS('Schedule 4'!$F$89:$F$649,'Schedule 4'!$I$89:$I$649,'Well Cal.'!W$3,'Schedule 4'!$J$89:$J$649,'Well Cal.'!$E577)</f>
        <v>0</v>
      </c>
      <c r="X577" s="727">
        <f>SUMIFS('Schedule 4'!$F$89:$F$649,'Schedule 4'!$I$89:$I$649,'Well Cal.'!X$3,'Schedule 4'!$J$89:$J$649,'Well Cal.'!$E577)</f>
        <v>0</v>
      </c>
      <c r="Y577" s="727">
        <f>SUMIFS('Schedule 4'!$F$89:$F$649,'Schedule 4'!$I$89:$I$649,'Well Cal.'!Y$3,'Schedule 4'!$J$89:$J$649,'Well Cal.'!$E577)</f>
        <v>0</v>
      </c>
      <c r="Z577" s="727">
        <f>SUMIFS('Schedule 4'!$F$89:$F$649,'Schedule 4'!$I$89:$I$649,'Well Cal.'!Z$3,'Schedule 4'!$J$89:$J$649,'Well Cal.'!$E577)</f>
        <v>0</v>
      </c>
      <c r="AA577" s="727"/>
      <c r="AB577" s="1731"/>
      <c r="AC577" s="1731"/>
    </row>
    <row r="578" spans="2:29" x14ac:dyDescent="0.3">
      <c r="B578" s="1724"/>
      <c r="C578" s="1727"/>
      <c r="D578" s="1721"/>
      <c r="E578" s="775" t="s">
        <v>4042</v>
      </c>
      <c r="F578" s="727">
        <f>SUMIFS('Schedule 4'!$F$89:$F$649,'Schedule 4'!$I$89:$I$649,'Well Cal.'!F$3,'Schedule 4'!$J$89:$J$649,'Well Cal.'!$E578)</f>
        <v>0</v>
      </c>
      <c r="G578" s="727">
        <f>SUMIFS('Schedule 4'!$F$89:$F$649,'Schedule 4'!$I$89:$I$649,'Well Cal.'!G$3,'Schedule 4'!$J$89:$J$649,'Well Cal.'!$E578)</f>
        <v>0</v>
      </c>
      <c r="H578" s="727">
        <f>SUMIFS('Schedule 4'!$F$89:$F$649,'Schedule 4'!$I$89:$I$649,'Well Cal.'!H$3,'Schedule 4'!$J$89:$J$649,'Well Cal.'!$E578)</f>
        <v>0</v>
      </c>
      <c r="I578" s="727">
        <f>SUMIFS('Schedule 4'!$F$89:$F$649,'Schedule 4'!$I$89:$I$649,'Well Cal.'!I$3,'Schedule 4'!$J$89:$J$649,'Well Cal.'!$E578)</f>
        <v>0</v>
      </c>
      <c r="J578" s="727">
        <f>SUMIFS('Schedule 4'!$F$89:$F$649,'Schedule 4'!$I$89:$I$649,'Well Cal.'!J$3,'Schedule 4'!$J$89:$J$649,'Well Cal.'!$E578)</f>
        <v>0</v>
      </c>
      <c r="K578" s="727">
        <f>SUMIFS('Schedule 4'!$F$89:$F$649,'Schedule 4'!$I$89:$I$649,'Well Cal.'!K$3,'Schedule 4'!$J$89:$J$649,'Well Cal.'!$E578)</f>
        <v>0</v>
      </c>
      <c r="L578" s="727">
        <f>SUMIFS('Schedule 4'!$F$89:$F$649,'Schedule 4'!$I$89:$I$649,'Well Cal.'!L$3,'Schedule 4'!$J$89:$J$649,'Well Cal.'!$E578)</f>
        <v>0</v>
      </c>
      <c r="M578" s="727">
        <f>SUMIFS('Schedule 4'!$F$89:$F$649,'Schedule 4'!$I$89:$I$649,'Well Cal.'!M$3,'Schedule 4'!$J$89:$J$649,'Well Cal.'!$E578)</f>
        <v>0</v>
      </c>
      <c r="N578" s="727">
        <f>SUMIFS('Schedule 4'!$F$89:$F$649,'Schedule 4'!$I$89:$I$649,'Well Cal.'!N$3,'Schedule 4'!$J$89:$J$649,'Well Cal.'!$E578)</f>
        <v>0</v>
      </c>
      <c r="O578" s="727">
        <f>SUMIFS('Schedule 4'!$F$89:$F$649,'Schedule 4'!$I$89:$I$649,'Well Cal.'!O$3,'Schedule 4'!$J$89:$J$649,'Well Cal.'!$E578)</f>
        <v>0</v>
      </c>
      <c r="P578" s="727">
        <f>SUMIFS('Schedule 4'!$F$89:$F$649,'Schedule 4'!$I$89:$I$649,'Well Cal.'!P$3,'Schedule 4'!$J$89:$J$649,'Well Cal.'!$E578)</f>
        <v>0</v>
      </c>
      <c r="Q578" s="727">
        <f>SUMIFS('Schedule 4'!$F$89:$F$649,'Schedule 4'!$I$89:$I$649,'Well Cal.'!Q$3,'Schedule 4'!$J$89:$J$649,'Well Cal.'!$E578)</f>
        <v>0</v>
      </c>
      <c r="R578" s="727">
        <f>SUMIFS('Schedule 4'!$F$89:$F$649,'Schedule 4'!$I$89:$I$649,'Well Cal.'!R$3,'Schedule 4'!$J$89:$J$649,'Well Cal.'!$E578)</f>
        <v>0</v>
      </c>
      <c r="S578" s="727">
        <f>SUMIFS('Schedule 4'!$F$89:$F$649,'Schedule 4'!$I$89:$I$649,'Well Cal.'!S$3,'Schedule 4'!$J$89:$J$649,'Well Cal.'!$E578)</f>
        <v>0</v>
      </c>
      <c r="T578" s="727">
        <f>SUMIFS('Schedule 4'!$F$89:$F$649,'Schedule 4'!$I$89:$I$649,'Well Cal.'!T$3,'Schedule 4'!$J$89:$J$649,'Well Cal.'!$E578)</f>
        <v>0</v>
      </c>
      <c r="U578" s="727">
        <f>SUMIFS('Schedule 4'!$F$89:$F$649,'Schedule 4'!$I$89:$I$649,'Well Cal.'!U$3,'Schedule 4'!$J$89:$J$649,'Well Cal.'!$E578)</f>
        <v>0</v>
      </c>
      <c r="V578" s="727">
        <f>SUMIFS('Schedule 4'!$F$89:$F$649,'Schedule 4'!$I$89:$I$649,'Well Cal.'!V$3,'Schedule 4'!$J$89:$J$649,'Well Cal.'!$E578)</f>
        <v>0</v>
      </c>
      <c r="W578" s="727">
        <f>SUMIFS('Schedule 4'!$F$89:$F$649,'Schedule 4'!$I$89:$I$649,'Well Cal.'!W$3,'Schedule 4'!$J$89:$J$649,'Well Cal.'!$E578)</f>
        <v>0</v>
      </c>
      <c r="X578" s="727">
        <f>SUMIFS('Schedule 4'!$F$89:$F$649,'Schedule 4'!$I$89:$I$649,'Well Cal.'!X$3,'Schedule 4'!$J$89:$J$649,'Well Cal.'!$E578)</f>
        <v>0</v>
      </c>
      <c r="Y578" s="727">
        <f>SUMIFS('Schedule 4'!$F$89:$F$649,'Schedule 4'!$I$89:$I$649,'Well Cal.'!Y$3,'Schedule 4'!$J$89:$J$649,'Well Cal.'!$E578)</f>
        <v>0</v>
      </c>
      <c r="Z578" s="727">
        <f>SUMIFS('Schedule 4'!$F$89:$F$649,'Schedule 4'!$I$89:$I$649,'Well Cal.'!Z$3,'Schedule 4'!$J$89:$J$649,'Well Cal.'!$E578)</f>
        <v>0</v>
      </c>
      <c r="AA578" s="727"/>
      <c r="AB578" s="1731"/>
      <c r="AC578" s="1731"/>
    </row>
    <row r="579" spans="2:29" x14ac:dyDescent="0.3">
      <c r="B579" s="1724"/>
      <c r="C579" s="1727"/>
      <c r="D579" s="1721"/>
      <c r="E579" s="775" t="s">
        <v>4113</v>
      </c>
      <c r="F579" s="727">
        <f>SUMIFS('Schedule 4'!$F$89:$F$649,'Schedule 4'!$I$89:$I$649,'Well Cal.'!F$3,'Schedule 4'!$J$89:$J$649,'Well Cal.'!$E579)</f>
        <v>0</v>
      </c>
      <c r="G579" s="727">
        <f>SUMIFS('Schedule 4'!$F$89:$F$649,'Schedule 4'!$I$89:$I$649,'Well Cal.'!G$3,'Schedule 4'!$J$89:$J$649,'Well Cal.'!$E579)</f>
        <v>0</v>
      </c>
      <c r="H579" s="727">
        <f>SUMIFS('Schedule 4'!$F$89:$F$649,'Schedule 4'!$I$89:$I$649,'Well Cal.'!H$3,'Schedule 4'!$J$89:$J$649,'Well Cal.'!$E579)</f>
        <v>0</v>
      </c>
      <c r="I579" s="727">
        <f>SUMIFS('Schedule 4'!$F$89:$F$649,'Schedule 4'!$I$89:$I$649,'Well Cal.'!I$3,'Schedule 4'!$J$89:$J$649,'Well Cal.'!$E579)</f>
        <v>0</v>
      </c>
      <c r="J579" s="727">
        <f>SUMIFS('Schedule 4'!$F$89:$F$649,'Schedule 4'!$I$89:$I$649,'Well Cal.'!J$3,'Schedule 4'!$J$89:$J$649,'Well Cal.'!$E579)</f>
        <v>0</v>
      </c>
      <c r="K579" s="727">
        <f>SUMIFS('Schedule 4'!$F$89:$F$649,'Schedule 4'!$I$89:$I$649,'Well Cal.'!K$3,'Schedule 4'!$J$89:$J$649,'Well Cal.'!$E579)</f>
        <v>0</v>
      </c>
      <c r="L579" s="727">
        <f>SUMIFS('Schedule 4'!$F$89:$F$649,'Schedule 4'!$I$89:$I$649,'Well Cal.'!L$3,'Schedule 4'!$J$89:$J$649,'Well Cal.'!$E579)</f>
        <v>0</v>
      </c>
      <c r="M579" s="727">
        <f>SUMIFS('Schedule 4'!$F$89:$F$649,'Schedule 4'!$I$89:$I$649,'Well Cal.'!M$3,'Schedule 4'!$J$89:$J$649,'Well Cal.'!$E579)</f>
        <v>0</v>
      </c>
      <c r="N579" s="727">
        <f>SUMIFS('Schedule 4'!$F$89:$F$649,'Schedule 4'!$I$89:$I$649,'Well Cal.'!N$3,'Schedule 4'!$J$89:$J$649,'Well Cal.'!$E579)</f>
        <v>0</v>
      </c>
      <c r="O579" s="727">
        <f>SUMIFS('Schedule 4'!$F$89:$F$649,'Schedule 4'!$I$89:$I$649,'Well Cal.'!O$3,'Schedule 4'!$J$89:$J$649,'Well Cal.'!$E579)</f>
        <v>0</v>
      </c>
      <c r="P579" s="727">
        <f>SUMIFS('Schedule 4'!$F$89:$F$649,'Schedule 4'!$I$89:$I$649,'Well Cal.'!P$3,'Schedule 4'!$J$89:$J$649,'Well Cal.'!$E579)</f>
        <v>0</v>
      </c>
      <c r="Q579" s="727">
        <f>SUMIFS('Schedule 4'!$F$89:$F$649,'Schedule 4'!$I$89:$I$649,'Well Cal.'!Q$3,'Schedule 4'!$J$89:$J$649,'Well Cal.'!$E579)</f>
        <v>0</v>
      </c>
      <c r="R579" s="727">
        <f>SUMIFS('Schedule 4'!$F$89:$F$649,'Schedule 4'!$I$89:$I$649,'Well Cal.'!R$3,'Schedule 4'!$J$89:$J$649,'Well Cal.'!$E579)</f>
        <v>0</v>
      </c>
      <c r="S579" s="727">
        <f>SUMIFS('Schedule 4'!$F$89:$F$649,'Schedule 4'!$I$89:$I$649,'Well Cal.'!S$3,'Schedule 4'!$J$89:$J$649,'Well Cal.'!$E579)</f>
        <v>0</v>
      </c>
      <c r="T579" s="727">
        <f>SUMIFS('Schedule 4'!$F$89:$F$649,'Schedule 4'!$I$89:$I$649,'Well Cal.'!T$3,'Schedule 4'!$J$89:$J$649,'Well Cal.'!$E579)</f>
        <v>0</v>
      </c>
      <c r="U579" s="727">
        <f>SUMIFS('Schedule 4'!$F$89:$F$649,'Schedule 4'!$I$89:$I$649,'Well Cal.'!U$3,'Schedule 4'!$J$89:$J$649,'Well Cal.'!$E579)</f>
        <v>0</v>
      </c>
      <c r="V579" s="727">
        <f>SUMIFS('Schedule 4'!$F$89:$F$649,'Schedule 4'!$I$89:$I$649,'Well Cal.'!V$3,'Schedule 4'!$J$89:$J$649,'Well Cal.'!$E579)</f>
        <v>0</v>
      </c>
      <c r="W579" s="727">
        <f>SUMIFS('Schedule 4'!$F$89:$F$649,'Schedule 4'!$I$89:$I$649,'Well Cal.'!W$3,'Schedule 4'!$J$89:$J$649,'Well Cal.'!$E579)</f>
        <v>0</v>
      </c>
      <c r="X579" s="727">
        <f>SUMIFS('Schedule 4'!$F$89:$F$649,'Schedule 4'!$I$89:$I$649,'Well Cal.'!X$3,'Schedule 4'!$J$89:$J$649,'Well Cal.'!$E579)</f>
        <v>0</v>
      </c>
      <c r="Y579" s="727">
        <f>SUMIFS('Schedule 4'!$F$89:$F$649,'Schedule 4'!$I$89:$I$649,'Well Cal.'!Y$3,'Schedule 4'!$J$89:$J$649,'Well Cal.'!$E579)</f>
        <v>0</v>
      </c>
      <c r="Z579" s="727">
        <f>SUMIFS('Schedule 4'!$F$89:$F$649,'Schedule 4'!$I$89:$I$649,'Well Cal.'!Z$3,'Schedule 4'!$J$89:$J$649,'Well Cal.'!$E579)</f>
        <v>0</v>
      </c>
      <c r="AA579" s="727"/>
      <c r="AB579" s="1731"/>
      <c r="AC579" s="1731"/>
    </row>
    <row r="580" spans="2:29" x14ac:dyDescent="0.3">
      <c r="B580" s="1724"/>
      <c r="C580" s="1727"/>
      <c r="D580" s="1721"/>
      <c r="E580" s="775" t="s">
        <v>4191</v>
      </c>
      <c r="F580" s="727">
        <f>SUMIFS('Schedule 4'!$F$89:$F$649,'Schedule 4'!$I$89:$I$649,'Well Cal.'!F$3,'Schedule 4'!$J$89:$J$649,'Well Cal.'!$E580)</f>
        <v>0</v>
      </c>
      <c r="G580" s="727">
        <f>SUMIFS('Schedule 4'!$F$89:$F$649,'Schedule 4'!$I$89:$I$649,'Well Cal.'!G$3,'Schedule 4'!$J$89:$J$649,'Well Cal.'!$E580)</f>
        <v>0</v>
      </c>
      <c r="H580" s="727">
        <f>SUMIFS('Schedule 4'!$F$89:$F$649,'Schedule 4'!$I$89:$I$649,'Well Cal.'!H$3,'Schedule 4'!$J$89:$J$649,'Well Cal.'!$E580)</f>
        <v>0</v>
      </c>
      <c r="I580" s="727">
        <f>SUMIFS('Schedule 4'!$F$89:$F$649,'Schedule 4'!$I$89:$I$649,'Well Cal.'!I$3,'Schedule 4'!$J$89:$J$649,'Well Cal.'!$E580)</f>
        <v>0</v>
      </c>
      <c r="J580" s="727">
        <f>SUMIFS('Schedule 4'!$F$89:$F$649,'Schedule 4'!$I$89:$I$649,'Well Cal.'!J$3,'Schedule 4'!$J$89:$J$649,'Well Cal.'!$E580)</f>
        <v>0</v>
      </c>
      <c r="K580" s="727">
        <f>SUMIFS('Schedule 4'!$F$89:$F$649,'Schedule 4'!$I$89:$I$649,'Well Cal.'!K$3,'Schedule 4'!$J$89:$J$649,'Well Cal.'!$E580)</f>
        <v>0</v>
      </c>
      <c r="L580" s="727">
        <f>SUMIFS('Schedule 4'!$F$89:$F$649,'Schedule 4'!$I$89:$I$649,'Well Cal.'!L$3,'Schedule 4'!$J$89:$J$649,'Well Cal.'!$E580)</f>
        <v>0</v>
      </c>
      <c r="M580" s="727">
        <f>SUMIFS('Schedule 4'!$F$89:$F$649,'Schedule 4'!$I$89:$I$649,'Well Cal.'!M$3,'Schedule 4'!$J$89:$J$649,'Well Cal.'!$E580)</f>
        <v>0</v>
      </c>
      <c r="N580" s="727">
        <f>SUMIFS('Schedule 4'!$F$89:$F$649,'Schedule 4'!$I$89:$I$649,'Well Cal.'!N$3,'Schedule 4'!$J$89:$J$649,'Well Cal.'!$E580)</f>
        <v>0</v>
      </c>
      <c r="O580" s="727">
        <f>SUMIFS('Schedule 4'!$F$89:$F$649,'Schedule 4'!$I$89:$I$649,'Well Cal.'!O$3,'Schedule 4'!$J$89:$J$649,'Well Cal.'!$E580)</f>
        <v>0</v>
      </c>
      <c r="P580" s="727">
        <f>SUMIFS('Schedule 4'!$F$89:$F$649,'Schedule 4'!$I$89:$I$649,'Well Cal.'!P$3,'Schedule 4'!$J$89:$J$649,'Well Cal.'!$E580)</f>
        <v>0</v>
      </c>
      <c r="Q580" s="727">
        <f>SUMIFS('Schedule 4'!$F$89:$F$649,'Schedule 4'!$I$89:$I$649,'Well Cal.'!Q$3,'Schedule 4'!$J$89:$J$649,'Well Cal.'!$E580)</f>
        <v>0</v>
      </c>
      <c r="R580" s="727">
        <f>SUMIFS('Schedule 4'!$F$89:$F$649,'Schedule 4'!$I$89:$I$649,'Well Cal.'!R$3,'Schedule 4'!$J$89:$J$649,'Well Cal.'!$E580)</f>
        <v>0</v>
      </c>
      <c r="S580" s="727">
        <f>SUMIFS('Schedule 4'!$F$89:$F$649,'Schedule 4'!$I$89:$I$649,'Well Cal.'!S$3,'Schedule 4'!$J$89:$J$649,'Well Cal.'!$E580)</f>
        <v>0</v>
      </c>
      <c r="T580" s="727">
        <f>SUMIFS('Schedule 4'!$F$89:$F$649,'Schedule 4'!$I$89:$I$649,'Well Cal.'!T$3,'Schedule 4'!$J$89:$J$649,'Well Cal.'!$E580)</f>
        <v>0</v>
      </c>
      <c r="U580" s="727">
        <f>SUMIFS('Schedule 4'!$F$89:$F$649,'Schedule 4'!$I$89:$I$649,'Well Cal.'!U$3,'Schedule 4'!$J$89:$J$649,'Well Cal.'!$E580)</f>
        <v>0</v>
      </c>
      <c r="V580" s="727">
        <f>SUMIFS('Schedule 4'!$F$89:$F$649,'Schedule 4'!$I$89:$I$649,'Well Cal.'!V$3,'Schedule 4'!$J$89:$J$649,'Well Cal.'!$E580)</f>
        <v>0</v>
      </c>
      <c r="W580" s="727">
        <f>SUMIFS('Schedule 4'!$F$89:$F$649,'Schedule 4'!$I$89:$I$649,'Well Cal.'!W$3,'Schedule 4'!$J$89:$J$649,'Well Cal.'!$E580)</f>
        <v>0</v>
      </c>
      <c r="X580" s="727">
        <f>SUMIFS('Schedule 4'!$F$89:$F$649,'Schedule 4'!$I$89:$I$649,'Well Cal.'!X$3,'Schedule 4'!$J$89:$J$649,'Well Cal.'!$E580)</f>
        <v>0</v>
      </c>
      <c r="Y580" s="727">
        <f>SUMIFS('Schedule 4'!$F$89:$F$649,'Schedule 4'!$I$89:$I$649,'Well Cal.'!Y$3,'Schedule 4'!$J$89:$J$649,'Well Cal.'!$E580)</f>
        <v>0</v>
      </c>
      <c r="Z580" s="727">
        <f>SUMIFS('Schedule 4'!$F$89:$F$649,'Schedule 4'!$I$89:$I$649,'Well Cal.'!Z$3,'Schedule 4'!$J$89:$J$649,'Well Cal.'!$E580)</f>
        <v>0</v>
      </c>
      <c r="AA580" s="727"/>
      <c r="AB580" s="1731"/>
      <c r="AC580" s="1731"/>
    </row>
    <row r="581" spans="2:29" x14ac:dyDescent="0.3">
      <c r="B581" s="1724"/>
      <c r="C581" s="1727"/>
      <c r="D581" s="1721"/>
      <c r="E581" s="775" t="s">
        <v>4268</v>
      </c>
      <c r="F581" s="727">
        <f>SUMIFS('Schedule 4'!$F$89:$F$649,'Schedule 4'!$I$89:$I$649,'Well Cal.'!F$3,'Schedule 4'!$J$89:$J$649,'Well Cal.'!$E581)</f>
        <v>0</v>
      </c>
      <c r="G581" s="727">
        <f>SUMIFS('Schedule 4'!$F$89:$F$649,'Schedule 4'!$I$89:$I$649,'Well Cal.'!G$3,'Schedule 4'!$J$89:$J$649,'Well Cal.'!$E581)</f>
        <v>0</v>
      </c>
      <c r="H581" s="727">
        <f>SUMIFS('Schedule 4'!$F$89:$F$649,'Schedule 4'!$I$89:$I$649,'Well Cal.'!H$3,'Schedule 4'!$J$89:$J$649,'Well Cal.'!$E581)</f>
        <v>0</v>
      </c>
      <c r="I581" s="727">
        <f>SUMIFS('Schedule 4'!$F$89:$F$649,'Schedule 4'!$I$89:$I$649,'Well Cal.'!I$3,'Schedule 4'!$J$89:$J$649,'Well Cal.'!$E581)</f>
        <v>0</v>
      </c>
      <c r="J581" s="727">
        <f>SUMIFS('Schedule 4'!$F$89:$F$649,'Schedule 4'!$I$89:$I$649,'Well Cal.'!J$3,'Schedule 4'!$J$89:$J$649,'Well Cal.'!$E581)</f>
        <v>0</v>
      </c>
      <c r="K581" s="727">
        <f>SUMIFS('Schedule 4'!$F$89:$F$649,'Schedule 4'!$I$89:$I$649,'Well Cal.'!K$3,'Schedule 4'!$J$89:$J$649,'Well Cal.'!$E581)</f>
        <v>0</v>
      </c>
      <c r="L581" s="727">
        <f>SUMIFS('Schedule 4'!$F$89:$F$649,'Schedule 4'!$I$89:$I$649,'Well Cal.'!L$3,'Schedule 4'!$J$89:$J$649,'Well Cal.'!$E581)</f>
        <v>0</v>
      </c>
      <c r="M581" s="727">
        <f>SUMIFS('Schedule 4'!$F$89:$F$649,'Schedule 4'!$I$89:$I$649,'Well Cal.'!M$3,'Schedule 4'!$J$89:$J$649,'Well Cal.'!$E581)</f>
        <v>0</v>
      </c>
      <c r="N581" s="727">
        <f>SUMIFS('Schedule 4'!$F$89:$F$649,'Schedule 4'!$I$89:$I$649,'Well Cal.'!N$3,'Schedule 4'!$J$89:$J$649,'Well Cal.'!$E581)</f>
        <v>0</v>
      </c>
      <c r="O581" s="727">
        <f>SUMIFS('Schedule 4'!$F$89:$F$649,'Schedule 4'!$I$89:$I$649,'Well Cal.'!O$3,'Schedule 4'!$J$89:$J$649,'Well Cal.'!$E581)</f>
        <v>0</v>
      </c>
      <c r="P581" s="727">
        <f>SUMIFS('Schedule 4'!$F$89:$F$649,'Schedule 4'!$I$89:$I$649,'Well Cal.'!P$3,'Schedule 4'!$J$89:$J$649,'Well Cal.'!$E581)</f>
        <v>0</v>
      </c>
      <c r="Q581" s="727">
        <f>SUMIFS('Schedule 4'!$F$89:$F$649,'Schedule 4'!$I$89:$I$649,'Well Cal.'!Q$3,'Schedule 4'!$J$89:$J$649,'Well Cal.'!$E581)</f>
        <v>0</v>
      </c>
      <c r="R581" s="727">
        <f>SUMIFS('Schedule 4'!$F$89:$F$649,'Schedule 4'!$I$89:$I$649,'Well Cal.'!R$3,'Schedule 4'!$J$89:$J$649,'Well Cal.'!$E581)</f>
        <v>0</v>
      </c>
      <c r="S581" s="727">
        <f>SUMIFS('Schedule 4'!$F$89:$F$649,'Schedule 4'!$I$89:$I$649,'Well Cal.'!S$3,'Schedule 4'!$J$89:$J$649,'Well Cal.'!$E581)</f>
        <v>0</v>
      </c>
      <c r="T581" s="727">
        <f>SUMIFS('Schedule 4'!$F$89:$F$649,'Schedule 4'!$I$89:$I$649,'Well Cal.'!T$3,'Schedule 4'!$J$89:$J$649,'Well Cal.'!$E581)</f>
        <v>0</v>
      </c>
      <c r="U581" s="727">
        <f>SUMIFS('Schedule 4'!$F$89:$F$649,'Schedule 4'!$I$89:$I$649,'Well Cal.'!U$3,'Schedule 4'!$J$89:$J$649,'Well Cal.'!$E581)</f>
        <v>0</v>
      </c>
      <c r="V581" s="727">
        <f>SUMIFS('Schedule 4'!$F$89:$F$649,'Schedule 4'!$I$89:$I$649,'Well Cal.'!V$3,'Schedule 4'!$J$89:$J$649,'Well Cal.'!$E581)</f>
        <v>0</v>
      </c>
      <c r="W581" s="727">
        <f>SUMIFS('Schedule 4'!$F$89:$F$649,'Schedule 4'!$I$89:$I$649,'Well Cal.'!W$3,'Schedule 4'!$J$89:$J$649,'Well Cal.'!$E581)</f>
        <v>0</v>
      </c>
      <c r="X581" s="727">
        <f>SUMIFS('Schedule 4'!$F$89:$F$649,'Schedule 4'!$I$89:$I$649,'Well Cal.'!X$3,'Schedule 4'!$J$89:$J$649,'Well Cal.'!$E581)</f>
        <v>0</v>
      </c>
      <c r="Y581" s="727">
        <f>SUMIFS('Schedule 4'!$F$89:$F$649,'Schedule 4'!$I$89:$I$649,'Well Cal.'!Y$3,'Schedule 4'!$J$89:$J$649,'Well Cal.'!$E581)</f>
        <v>0</v>
      </c>
      <c r="Z581" s="727">
        <f>SUMIFS('Schedule 4'!$F$89:$F$649,'Schedule 4'!$I$89:$I$649,'Well Cal.'!Z$3,'Schedule 4'!$J$89:$J$649,'Well Cal.'!$E581)</f>
        <v>0</v>
      </c>
      <c r="AA581" s="727"/>
      <c r="AB581" s="1731"/>
      <c r="AC581" s="1731"/>
    </row>
    <row r="582" spans="2:29" x14ac:dyDescent="0.3">
      <c r="B582" s="1724"/>
      <c r="C582" s="1727"/>
      <c r="D582" s="1721"/>
      <c r="E582" s="775" t="s">
        <v>4330</v>
      </c>
      <c r="F582" s="727">
        <f>SUMIFS('Schedule 4'!$F$89:$F$649,'Schedule 4'!$I$89:$I$649,'Well Cal.'!F$3,'Schedule 4'!$J$89:$J$649,'Well Cal.'!$E582)</f>
        <v>0</v>
      </c>
      <c r="G582" s="727">
        <f>SUMIFS('Schedule 4'!$F$89:$F$649,'Schedule 4'!$I$89:$I$649,'Well Cal.'!G$3,'Schedule 4'!$J$89:$J$649,'Well Cal.'!$E582)</f>
        <v>0</v>
      </c>
      <c r="H582" s="727">
        <f>SUMIFS('Schedule 4'!$F$89:$F$649,'Schedule 4'!$I$89:$I$649,'Well Cal.'!H$3,'Schedule 4'!$J$89:$J$649,'Well Cal.'!$E582)</f>
        <v>0</v>
      </c>
      <c r="I582" s="727">
        <f>SUMIFS('Schedule 4'!$F$89:$F$649,'Schedule 4'!$I$89:$I$649,'Well Cal.'!I$3,'Schedule 4'!$J$89:$J$649,'Well Cal.'!$E582)</f>
        <v>0</v>
      </c>
      <c r="J582" s="727">
        <f>SUMIFS('Schedule 4'!$F$89:$F$649,'Schedule 4'!$I$89:$I$649,'Well Cal.'!J$3,'Schedule 4'!$J$89:$J$649,'Well Cal.'!$E582)</f>
        <v>0</v>
      </c>
      <c r="K582" s="727">
        <f>SUMIFS('Schedule 4'!$F$89:$F$649,'Schedule 4'!$I$89:$I$649,'Well Cal.'!K$3,'Schedule 4'!$J$89:$J$649,'Well Cal.'!$E582)</f>
        <v>0</v>
      </c>
      <c r="L582" s="727">
        <f>SUMIFS('Schedule 4'!$F$89:$F$649,'Schedule 4'!$I$89:$I$649,'Well Cal.'!L$3,'Schedule 4'!$J$89:$J$649,'Well Cal.'!$E582)</f>
        <v>0</v>
      </c>
      <c r="M582" s="727">
        <f>SUMIFS('Schedule 4'!$F$89:$F$649,'Schedule 4'!$I$89:$I$649,'Well Cal.'!M$3,'Schedule 4'!$J$89:$J$649,'Well Cal.'!$E582)</f>
        <v>0</v>
      </c>
      <c r="N582" s="727">
        <f>SUMIFS('Schedule 4'!$F$89:$F$649,'Schedule 4'!$I$89:$I$649,'Well Cal.'!N$3,'Schedule 4'!$J$89:$J$649,'Well Cal.'!$E582)</f>
        <v>0</v>
      </c>
      <c r="O582" s="727">
        <f>SUMIFS('Schedule 4'!$F$89:$F$649,'Schedule 4'!$I$89:$I$649,'Well Cal.'!O$3,'Schedule 4'!$J$89:$J$649,'Well Cal.'!$E582)</f>
        <v>0</v>
      </c>
      <c r="P582" s="727">
        <f>SUMIFS('Schedule 4'!$F$89:$F$649,'Schedule 4'!$I$89:$I$649,'Well Cal.'!P$3,'Schedule 4'!$J$89:$J$649,'Well Cal.'!$E582)</f>
        <v>0</v>
      </c>
      <c r="Q582" s="727">
        <f>SUMIFS('Schedule 4'!$F$89:$F$649,'Schedule 4'!$I$89:$I$649,'Well Cal.'!Q$3,'Schedule 4'!$J$89:$J$649,'Well Cal.'!$E582)</f>
        <v>0</v>
      </c>
      <c r="R582" s="727">
        <f>SUMIFS('Schedule 4'!$F$89:$F$649,'Schedule 4'!$I$89:$I$649,'Well Cal.'!R$3,'Schedule 4'!$J$89:$J$649,'Well Cal.'!$E582)</f>
        <v>0</v>
      </c>
      <c r="S582" s="727">
        <f>SUMIFS('Schedule 4'!$F$89:$F$649,'Schedule 4'!$I$89:$I$649,'Well Cal.'!S$3,'Schedule 4'!$J$89:$J$649,'Well Cal.'!$E582)</f>
        <v>0</v>
      </c>
      <c r="T582" s="727">
        <f>SUMIFS('Schedule 4'!$F$89:$F$649,'Schedule 4'!$I$89:$I$649,'Well Cal.'!T$3,'Schedule 4'!$J$89:$J$649,'Well Cal.'!$E582)</f>
        <v>0</v>
      </c>
      <c r="U582" s="727">
        <f>SUMIFS('Schedule 4'!$F$89:$F$649,'Schedule 4'!$I$89:$I$649,'Well Cal.'!U$3,'Schedule 4'!$J$89:$J$649,'Well Cal.'!$E582)</f>
        <v>0</v>
      </c>
      <c r="V582" s="727">
        <f>SUMIFS('Schedule 4'!$F$89:$F$649,'Schedule 4'!$I$89:$I$649,'Well Cal.'!V$3,'Schedule 4'!$J$89:$J$649,'Well Cal.'!$E582)</f>
        <v>0</v>
      </c>
      <c r="W582" s="727">
        <f>SUMIFS('Schedule 4'!$F$89:$F$649,'Schedule 4'!$I$89:$I$649,'Well Cal.'!W$3,'Schedule 4'!$J$89:$J$649,'Well Cal.'!$E582)</f>
        <v>0</v>
      </c>
      <c r="X582" s="727">
        <f>SUMIFS('Schedule 4'!$F$89:$F$649,'Schedule 4'!$I$89:$I$649,'Well Cal.'!X$3,'Schedule 4'!$J$89:$J$649,'Well Cal.'!$E582)</f>
        <v>0</v>
      </c>
      <c r="Y582" s="727">
        <f>SUMIFS('Schedule 4'!$F$89:$F$649,'Schedule 4'!$I$89:$I$649,'Well Cal.'!Y$3,'Schedule 4'!$J$89:$J$649,'Well Cal.'!$E582)</f>
        <v>0</v>
      </c>
      <c r="Z582" s="727">
        <f>SUMIFS('Schedule 4'!$F$89:$F$649,'Schedule 4'!$I$89:$I$649,'Well Cal.'!Z$3,'Schedule 4'!$J$89:$J$649,'Well Cal.'!$E582)</f>
        <v>0</v>
      </c>
      <c r="AA582" s="727"/>
      <c r="AB582" s="1731"/>
      <c r="AC582" s="1731"/>
    </row>
    <row r="583" spans="2:29" x14ac:dyDescent="0.3">
      <c r="B583" s="1724"/>
      <c r="C583" s="1727"/>
      <c r="D583" s="1721"/>
      <c r="E583" s="775" t="s">
        <v>4383</v>
      </c>
      <c r="F583" s="727">
        <f>SUMIFS('Schedule 4'!$F$89:$F$649,'Schedule 4'!$I$89:$I$649,'Well Cal.'!F$3,'Schedule 4'!$J$89:$J$649,'Well Cal.'!$E583)</f>
        <v>0</v>
      </c>
      <c r="G583" s="727">
        <f>SUMIFS('Schedule 4'!$F$89:$F$649,'Schedule 4'!$I$89:$I$649,'Well Cal.'!G$3,'Schedule 4'!$J$89:$J$649,'Well Cal.'!$E583)</f>
        <v>0</v>
      </c>
      <c r="H583" s="727">
        <f>SUMIFS('Schedule 4'!$F$89:$F$649,'Schedule 4'!$I$89:$I$649,'Well Cal.'!H$3,'Schedule 4'!$J$89:$J$649,'Well Cal.'!$E583)</f>
        <v>0</v>
      </c>
      <c r="I583" s="727">
        <f>SUMIFS('Schedule 4'!$F$89:$F$649,'Schedule 4'!$I$89:$I$649,'Well Cal.'!I$3,'Schedule 4'!$J$89:$J$649,'Well Cal.'!$E583)</f>
        <v>0</v>
      </c>
      <c r="J583" s="727">
        <f>SUMIFS('Schedule 4'!$F$89:$F$649,'Schedule 4'!$I$89:$I$649,'Well Cal.'!J$3,'Schedule 4'!$J$89:$J$649,'Well Cal.'!$E583)</f>
        <v>0</v>
      </c>
      <c r="K583" s="727">
        <f>SUMIFS('Schedule 4'!$F$89:$F$649,'Schedule 4'!$I$89:$I$649,'Well Cal.'!K$3,'Schedule 4'!$J$89:$J$649,'Well Cal.'!$E583)</f>
        <v>0</v>
      </c>
      <c r="L583" s="727">
        <f>SUMIFS('Schedule 4'!$F$89:$F$649,'Schedule 4'!$I$89:$I$649,'Well Cal.'!L$3,'Schedule 4'!$J$89:$J$649,'Well Cal.'!$E583)</f>
        <v>0</v>
      </c>
      <c r="M583" s="727">
        <f>SUMIFS('Schedule 4'!$F$89:$F$649,'Schedule 4'!$I$89:$I$649,'Well Cal.'!M$3,'Schedule 4'!$J$89:$J$649,'Well Cal.'!$E583)</f>
        <v>0</v>
      </c>
      <c r="N583" s="727">
        <f>SUMIFS('Schedule 4'!$F$89:$F$649,'Schedule 4'!$I$89:$I$649,'Well Cal.'!N$3,'Schedule 4'!$J$89:$J$649,'Well Cal.'!$E583)</f>
        <v>0</v>
      </c>
      <c r="O583" s="727">
        <f>SUMIFS('Schedule 4'!$F$89:$F$649,'Schedule 4'!$I$89:$I$649,'Well Cal.'!O$3,'Schedule 4'!$J$89:$J$649,'Well Cal.'!$E583)</f>
        <v>0</v>
      </c>
      <c r="P583" s="727">
        <f>SUMIFS('Schedule 4'!$F$89:$F$649,'Schedule 4'!$I$89:$I$649,'Well Cal.'!P$3,'Schedule 4'!$J$89:$J$649,'Well Cal.'!$E583)</f>
        <v>0</v>
      </c>
      <c r="Q583" s="727">
        <f>SUMIFS('Schedule 4'!$F$89:$F$649,'Schedule 4'!$I$89:$I$649,'Well Cal.'!Q$3,'Schedule 4'!$J$89:$J$649,'Well Cal.'!$E583)</f>
        <v>0</v>
      </c>
      <c r="R583" s="727">
        <f>SUMIFS('Schedule 4'!$F$89:$F$649,'Schedule 4'!$I$89:$I$649,'Well Cal.'!R$3,'Schedule 4'!$J$89:$J$649,'Well Cal.'!$E583)</f>
        <v>0</v>
      </c>
      <c r="S583" s="727">
        <f>SUMIFS('Schedule 4'!$F$89:$F$649,'Schedule 4'!$I$89:$I$649,'Well Cal.'!S$3,'Schedule 4'!$J$89:$J$649,'Well Cal.'!$E583)</f>
        <v>0</v>
      </c>
      <c r="T583" s="727">
        <f>SUMIFS('Schedule 4'!$F$89:$F$649,'Schedule 4'!$I$89:$I$649,'Well Cal.'!T$3,'Schedule 4'!$J$89:$J$649,'Well Cal.'!$E583)</f>
        <v>0</v>
      </c>
      <c r="U583" s="727">
        <f>SUMIFS('Schedule 4'!$F$89:$F$649,'Schedule 4'!$I$89:$I$649,'Well Cal.'!U$3,'Schedule 4'!$J$89:$J$649,'Well Cal.'!$E583)</f>
        <v>0</v>
      </c>
      <c r="V583" s="727">
        <f>SUMIFS('Schedule 4'!$F$89:$F$649,'Schedule 4'!$I$89:$I$649,'Well Cal.'!V$3,'Schedule 4'!$J$89:$J$649,'Well Cal.'!$E583)</f>
        <v>0</v>
      </c>
      <c r="W583" s="727">
        <f>SUMIFS('Schedule 4'!$F$89:$F$649,'Schedule 4'!$I$89:$I$649,'Well Cal.'!W$3,'Schedule 4'!$J$89:$J$649,'Well Cal.'!$E583)</f>
        <v>0</v>
      </c>
      <c r="X583" s="727">
        <f>SUMIFS('Schedule 4'!$F$89:$F$649,'Schedule 4'!$I$89:$I$649,'Well Cal.'!X$3,'Schedule 4'!$J$89:$J$649,'Well Cal.'!$E583)</f>
        <v>0</v>
      </c>
      <c r="Y583" s="727">
        <f>SUMIFS('Schedule 4'!$F$89:$F$649,'Schedule 4'!$I$89:$I$649,'Well Cal.'!Y$3,'Schedule 4'!$J$89:$J$649,'Well Cal.'!$E583)</f>
        <v>0</v>
      </c>
      <c r="Z583" s="727">
        <f>SUMIFS('Schedule 4'!$F$89:$F$649,'Schedule 4'!$I$89:$I$649,'Well Cal.'!Z$3,'Schedule 4'!$J$89:$J$649,'Well Cal.'!$E583)</f>
        <v>0</v>
      </c>
      <c r="AA583" s="727"/>
      <c r="AB583" s="1731"/>
      <c r="AC583" s="1731"/>
    </row>
    <row r="584" spans="2:29" x14ac:dyDescent="0.3">
      <c r="B584" s="1724"/>
      <c r="C584" s="1727"/>
      <c r="D584" s="1721"/>
      <c r="E584" s="775" t="s">
        <v>4446</v>
      </c>
      <c r="F584" s="727">
        <f>SUMIFS('Schedule 4'!$F$89:$F$649,'Schedule 4'!$I$89:$I$649,'Well Cal.'!F$3,'Schedule 4'!$J$89:$J$649,'Well Cal.'!$E584)</f>
        <v>0</v>
      </c>
      <c r="G584" s="727">
        <f>SUMIFS('Schedule 4'!$F$89:$F$649,'Schedule 4'!$I$89:$I$649,'Well Cal.'!G$3,'Schedule 4'!$J$89:$J$649,'Well Cal.'!$E584)</f>
        <v>0</v>
      </c>
      <c r="H584" s="727">
        <f>SUMIFS('Schedule 4'!$F$89:$F$649,'Schedule 4'!$I$89:$I$649,'Well Cal.'!H$3,'Schedule 4'!$J$89:$J$649,'Well Cal.'!$E584)</f>
        <v>0</v>
      </c>
      <c r="I584" s="727">
        <f>SUMIFS('Schedule 4'!$F$89:$F$649,'Schedule 4'!$I$89:$I$649,'Well Cal.'!I$3,'Schedule 4'!$J$89:$J$649,'Well Cal.'!$E584)</f>
        <v>0</v>
      </c>
      <c r="J584" s="727">
        <f>SUMIFS('Schedule 4'!$F$89:$F$649,'Schedule 4'!$I$89:$I$649,'Well Cal.'!J$3,'Schedule 4'!$J$89:$J$649,'Well Cal.'!$E584)</f>
        <v>0</v>
      </c>
      <c r="K584" s="727">
        <f>SUMIFS('Schedule 4'!$F$89:$F$649,'Schedule 4'!$I$89:$I$649,'Well Cal.'!K$3,'Schedule 4'!$J$89:$J$649,'Well Cal.'!$E584)</f>
        <v>0</v>
      </c>
      <c r="L584" s="727">
        <f>SUMIFS('Schedule 4'!$F$89:$F$649,'Schedule 4'!$I$89:$I$649,'Well Cal.'!L$3,'Schedule 4'!$J$89:$J$649,'Well Cal.'!$E584)</f>
        <v>0</v>
      </c>
      <c r="M584" s="727">
        <f>SUMIFS('Schedule 4'!$F$89:$F$649,'Schedule 4'!$I$89:$I$649,'Well Cal.'!M$3,'Schedule 4'!$J$89:$J$649,'Well Cal.'!$E584)</f>
        <v>0</v>
      </c>
      <c r="N584" s="727">
        <f>SUMIFS('Schedule 4'!$F$89:$F$649,'Schedule 4'!$I$89:$I$649,'Well Cal.'!N$3,'Schedule 4'!$J$89:$J$649,'Well Cal.'!$E584)</f>
        <v>0</v>
      </c>
      <c r="O584" s="727">
        <f>SUMIFS('Schedule 4'!$F$89:$F$649,'Schedule 4'!$I$89:$I$649,'Well Cal.'!O$3,'Schedule 4'!$J$89:$J$649,'Well Cal.'!$E584)</f>
        <v>0</v>
      </c>
      <c r="P584" s="727">
        <f>SUMIFS('Schedule 4'!$F$89:$F$649,'Schedule 4'!$I$89:$I$649,'Well Cal.'!P$3,'Schedule 4'!$J$89:$J$649,'Well Cal.'!$E584)</f>
        <v>0</v>
      </c>
      <c r="Q584" s="727">
        <f>SUMIFS('Schedule 4'!$F$89:$F$649,'Schedule 4'!$I$89:$I$649,'Well Cal.'!Q$3,'Schedule 4'!$J$89:$J$649,'Well Cal.'!$E584)</f>
        <v>0</v>
      </c>
      <c r="R584" s="727">
        <f>SUMIFS('Schedule 4'!$F$89:$F$649,'Schedule 4'!$I$89:$I$649,'Well Cal.'!R$3,'Schedule 4'!$J$89:$J$649,'Well Cal.'!$E584)</f>
        <v>0</v>
      </c>
      <c r="S584" s="727">
        <f>SUMIFS('Schedule 4'!$F$89:$F$649,'Schedule 4'!$I$89:$I$649,'Well Cal.'!S$3,'Schedule 4'!$J$89:$J$649,'Well Cal.'!$E584)</f>
        <v>0</v>
      </c>
      <c r="T584" s="727">
        <f>SUMIFS('Schedule 4'!$F$89:$F$649,'Schedule 4'!$I$89:$I$649,'Well Cal.'!T$3,'Schedule 4'!$J$89:$J$649,'Well Cal.'!$E584)</f>
        <v>0</v>
      </c>
      <c r="U584" s="727">
        <f>SUMIFS('Schedule 4'!$F$89:$F$649,'Schedule 4'!$I$89:$I$649,'Well Cal.'!U$3,'Schedule 4'!$J$89:$J$649,'Well Cal.'!$E584)</f>
        <v>0</v>
      </c>
      <c r="V584" s="727">
        <f>SUMIFS('Schedule 4'!$F$89:$F$649,'Schedule 4'!$I$89:$I$649,'Well Cal.'!V$3,'Schedule 4'!$J$89:$J$649,'Well Cal.'!$E584)</f>
        <v>0</v>
      </c>
      <c r="W584" s="727">
        <f>SUMIFS('Schedule 4'!$F$89:$F$649,'Schedule 4'!$I$89:$I$649,'Well Cal.'!W$3,'Schedule 4'!$J$89:$J$649,'Well Cal.'!$E584)</f>
        <v>0</v>
      </c>
      <c r="X584" s="727">
        <f>SUMIFS('Schedule 4'!$F$89:$F$649,'Schedule 4'!$I$89:$I$649,'Well Cal.'!X$3,'Schedule 4'!$J$89:$J$649,'Well Cal.'!$E584)</f>
        <v>0</v>
      </c>
      <c r="Y584" s="727">
        <f>SUMIFS('Schedule 4'!$F$89:$F$649,'Schedule 4'!$I$89:$I$649,'Well Cal.'!Y$3,'Schedule 4'!$J$89:$J$649,'Well Cal.'!$E584)</f>
        <v>0</v>
      </c>
      <c r="Z584" s="727">
        <f>SUMIFS('Schedule 4'!$F$89:$F$649,'Schedule 4'!$I$89:$I$649,'Well Cal.'!Z$3,'Schedule 4'!$J$89:$J$649,'Well Cal.'!$E584)</f>
        <v>0</v>
      </c>
      <c r="AA584" s="727"/>
      <c r="AB584" s="1731"/>
      <c r="AC584" s="1731"/>
    </row>
    <row r="585" spans="2:29" x14ac:dyDescent="0.3">
      <c r="B585" s="1724"/>
      <c r="C585" s="1727"/>
      <c r="D585" s="1721"/>
      <c r="E585" s="775" t="s">
        <v>4501</v>
      </c>
      <c r="F585" s="727">
        <f>SUMIFS('Schedule 4'!$F$89:$F$649,'Schedule 4'!$I$89:$I$649,'Well Cal.'!F$3,'Schedule 4'!$J$89:$J$649,'Well Cal.'!$E585)</f>
        <v>0</v>
      </c>
      <c r="G585" s="727">
        <f>SUMIFS('Schedule 4'!$F$89:$F$649,'Schedule 4'!$I$89:$I$649,'Well Cal.'!G$3,'Schedule 4'!$J$89:$J$649,'Well Cal.'!$E585)</f>
        <v>0</v>
      </c>
      <c r="H585" s="727">
        <f>SUMIFS('Schedule 4'!$F$89:$F$649,'Schedule 4'!$I$89:$I$649,'Well Cal.'!H$3,'Schedule 4'!$J$89:$J$649,'Well Cal.'!$E585)</f>
        <v>0</v>
      </c>
      <c r="I585" s="727">
        <f>SUMIFS('Schedule 4'!$F$89:$F$649,'Schedule 4'!$I$89:$I$649,'Well Cal.'!I$3,'Schedule 4'!$J$89:$J$649,'Well Cal.'!$E585)</f>
        <v>0</v>
      </c>
      <c r="J585" s="727">
        <f>SUMIFS('Schedule 4'!$F$89:$F$649,'Schedule 4'!$I$89:$I$649,'Well Cal.'!J$3,'Schedule 4'!$J$89:$J$649,'Well Cal.'!$E585)</f>
        <v>0</v>
      </c>
      <c r="K585" s="727">
        <f>SUMIFS('Schedule 4'!$F$89:$F$649,'Schedule 4'!$I$89:$I$649,'Well Cal.'!K$3,'Schedule 4'!$J$89:$J$649,'Well Cal.'!$E585)</f>
        <v>0</v>
      </c>
      <c r="L585" s="727">
        <f>SUMIFS('Schedule 4'!$F$89:$F$649,'Schedule 4'!$I$89:$I$649,'Well Cal.'!L$3,'Schedule 4'!$J$89:$J$649,'Well Cal.'!$E585)</f>
        <v>0</v>
      </c>
      <c r="M585" s="727">
        <f>SUMIFS('Schedule 4'!$F$89:$F$649,'Schedule 4'!$I$89:$I$649,'Well Cal.'!M$3,'Schedule 4'!$J$89:$J$649,'Well Cal.'!$E585)</f>
        <v>0</v>
      </c>
      <c r="N585" s="727">
        <f>SUMIFS('Schedule 4'!$F$89:$F$649,'Schedule 4'!$I$89:$I$649,'Well Cal.'!N$3,'Schedule 4'!$J$89:$J$649,'Well Cal.'!$E585)</f>
        <v>0</v>
      </c>
      <c r="O585" s="727">
        <f>SUMIFS('Schedule 4'!$F$89:$F$649,'Schedule 4'!$I$89:$I$649,'Well Cal.'!O$3,'Schedule 4'!$J$89:$J$649,'Well Cal.'!$E585)</f>
        <v>0</v>
      </c>
      <c r="P585" s="727">
        <f>SUMIFS('Schedule 4'!$F$89:$F$649,'Schedule 4'!$I$89:$I$649,'Well Cal.'!P$3,'Schedule 4'!$J$89:$J$649,'Well Cal.'!$E585)</f>
        <v>0</v>
      </c>
      <c r="Q585" s="727">
        <f>SUMIFS('Schedule 4'!$F$89:$F$649,'Schedule 4'!$I$89:$I$649,'Well Cal.'!Q$3,'Schedule 4'!$J$89:$J$649,'Well Cal.'!$E585)</f>
        <v>0</v>
      </c>
      <c r="R585" s="727">
        <f>SUMIFS('Schedule 4'!$F$89:$F$649,'Schedule 4'!$I$89:$I$649,'Well Cal.'!R$3,'Schedule 4'!$J$89:$J$649,'Well Cal.'!$E585)</f>
        <v>0</v>
      </c>
      <c r="S585" s="727">
        <f>SUMIFS('Schedule 4'!$F$89:$F$649,'Schedule 4'!$I$89:$I$649,'Well Cal.'!S$3,'Schedule 4'!$J$89:$J$649,'Well Cal.'!$E585)</f>
        <v>0</v>
      </c>
      <c r="T585" s="727">
        <f>SUMIFS('Schedule 4'!$F$89:$F$649,'Schedule 4'!$I$89:$I$649,'Well Cal.'!T$3,'Schedule 4'!$J$89:$J$649,'Well Cal.'!$E585)</f>
        <v>0</v>
      </c>
      <c r="U585" s="727">
        <f>SUMIFS('Schedule 4'!$F$89:$F$649,'Schedule 4'!$I$89:$I$649,'Well Cal.'!U$3,'Schedule 4'!$J$89:$J$649,'Well Cal.'!$E585)</f>
        <v>0</v>
      </c>
      <c r="V585" s="727">
        <f>SUMIFS('Schedule 4'!$F$89:$F$649,'Schedule 4'!$I$89:$I$649,'Well Cal.'!V$3,'Schedule 4'!$J$89:$J$649,'Well Cal.'!$E585)</f>
        <v>0</v>
      </c>
      <c r="W585" s="727">
        <f>SUMIFS('Schedule 4'!$F$89:$F$649,'Schedule 4'!$I$89:$I$649,'Well Cal.'!W$3,'Schedule 4'!$J$89:$J$649,'Well Cal.'!$E585)</f>
        <v>0</v>
      </c>
      <c r="X585" s="727">
        <f>SUMIFS('Schedule 4'!$F$89:$F$649,'Schedule 4'!$I$89:$I$649,'Well Cal.'!X$3,'Schedule 4'!$J$89:$J$649,'Well Cal.'!$E585)</f>
        <v>0</v>
      </c>
      <c r="Y585" s="727">
        <f>SUMIFS('Schedule 4'!$F$89:$F$649,'Schedule 4'!$I$89:$I$649,'Well Cal.'!Y$3,'Schedule 4'!$J$89:$J$649,'Well Cal.'!$E585)</f>
        <v>0</v>
      </c>
      <c r="Z585" s="727">
        <f>SUMIFS('Schedule 4'!$F$89:$F$649,'Schedule 4'!$I$89:$I$649,'Well Cal.'!Z$3,'Schedule 4'!$J$89:$J$649,'Well Cal.'!$E585)</f>
        <v>0</v>
      </c>
      <c r="AA585" s="727"/>
      <c r="AB585" s="1731"/>
      <c r="AC585" s="1731"/>
    </row>
    <row r="586" spans="2:29" x14ac:dyDescent="0.3">
      <c r="B586" s="1724"/>
      <c r="C586" s="1727"/>
      <c r="D586" s="1721"/>
      <c r="E586" s="775" t="s">
        <v>4555</v>
      </c>
      <c r="F586" s="727">
        <f>SUMIFS('Schedule 4'!$F$89:$F$649,'Schedule 4'!$I$89:$I$649,'Well Cal.'!F$3,'Schedule 4'!$J$89:$J$649,'Well Cal.'!$E586)</f>
        <v>0</v>
      </c>
      <c r="G586" s="727">
        <f>SUMIFS('Schedule 4'!$F$89:$F$649,'Schedule 4'!$I$89:$I$649,'Well Cal.'!G$3,'Schedule 4'!$J$89:$J$649,'Well Cal.'!$E586)</f>
        <v>0</v>
      </c>
      <c r="H586" s="727">
        <f>SUMIFS('Schedule 4'!$F$89:$F$649,'Schedule 4'!$I$89:$I$649,'Well Cal.'!H$3,'Schedule 4'!$J$89:$J$649,'Well Cal.'!$E586)</f>
        <v>0</v>
      </c>
      <c r="I586" s="727">
        <f>SUMIFS('Schedule 4'!$F$89:$F$649,'Schedule 4'!$I$89:$I$649,'Well Cal.'!I$3,'Schedule 4'!$J$89:$J$649,'Well Cal.'!$E586)</f>
        <v>0</v>
      </c>
      <c r="J586" s="727">
        <f>SUMIFS('Schedule 4'!$F$89:$F$649,'Schedule 4'!$I$89:$I$649,'Well Cal.'!J$3,'Schedule 4'!$J$89:$J$649,'Well Cal.'!$E586)</f>
        <v>0</v>
      </c>
      <c r="K586" s="727">
        <f>SUMIFS('Schedule 4'!$F$89:$F$649,'Schedule 4'!$I$89:$I$649,'Well Cal.'!K$3,'Schedule 4'!$J$89:$J$649,'Well Cal.'!$E586)</f>
        <v>0</v>
      </c>
      <c r="L586" s="727">
        <f>SUMIFS('Schedule 4'!$F$89:$F$649,'Schedule 4'!$I$89:$I$649,'Well Cal.'!L$3,'Schedule 4'!$J$89:$J$649,'Well Cal.'!$E586)</f>
        <v>0</v>
      </c>
      <c r="M586" s="727">
        <f>SUMIFS('Schedule 4'!$F$89:$F$649,'Schedule 4'!$I$89:$I$649,'Well Cal.'!M$3,'Schedule 4'!$J$89:$J$649,'Well Cal.'!$E586)</f>
        <v>0</v>
      </c>
      <c r="N586" s="727">
        <f>SUMIFS('Schedule 4'!$F$89:$F$649,'Schedule 4'!$I$89:$I$649,'Well Cal.'!N$3,'Schedule 4'!$J$89:$J$649,'Well Cal.'!$E586)</f>
        <v>0</v>
      </c>
      <c r="O586" s="727">
        <f>SUMIFS('Schedule 4'!$F$89:$F$649,'Schedule 4'!$I$89:$I$649,'Well Cal.'!O$3,'Schedule 4'!$J$89:$J$649,'Well Cal.'!$E586)</f>
        <v>0</v>
      </c>
      <c r="P586" s="727">
        <f>SUMIFS('Schedule 4'!$F$89:$F$649,'Schedule 4'!$I$89:$I$649,'Well Cal.'!P$3,'Schedule 4'!$J$89:$J$649,'Well Cal.'!$E586)</f>
        <v>0</v>
      </c>
      <c r="Q586" s="727">
        <f>SUMIFS('Schedule 4'!$F$89:$F$649,'Schedule 4'!$I$89:$I$649,'Well Cal.'!Q$3,'Schedule 4'!$J$89:$J$649,'Well Cal.'!$E586)</f>
        <v>0</v>
      </c>
      <c r="R586" s="727">
        <f>SUMIFS('Schedule 4'!$F$89:$F$649,'Schedule 4'!$I$89:$I$649,'Well Cal.'!R$3,'Schedule 4'!$J$89:$J$649,'Well Cal.'!$E586)</f>
        <v>0</v>
      </c>
      <c r="S586" s="727">
        <f>SUMIFS('Schedule 4'!$F$89:$F$649,'Schedule 4'!$I$89:$I$649,'Well Cal.'!S$3,'Schedule 4'!$J$89:$J$649,'Well Cal.'!$E586)</f>
        <v>0</v>
      </c>
      <c r="T586" s="727">
        <f>SUMIFS('Schedule 4'!$F$89:$F$649,'Schedule 4'!$I$89:$I$649,'Well Cal.'!T$3,'Schedule 4'!$J$89:$J$649,'Well Cal.'!$E586)</f>
        <v>0</v>
      </c>
      <c r="U586" s="727">
        <f>SUMIFS('Schedule 4'!$F$89:$F$649,'Schedule 4'!$I$89:$I$649,'Well Cal.'!U$3,'Schedule 4'!$J$89:$J$649,'Well Cal.'!$E586)</f>
        <v>0</v>
      </c>
      <c r="V586" s="727">
        <f>SUMIFS('Schedule 4'!$F$89:$F$649,'Schedule 4'!$I$89:$I$649,'Well Cal.'!V$3,'Schedule 4'!$J$89:$J$649,'Well Cal.'!$E586)</f>
        <v>0</v>
      </c>
      <c r="W586" s="727">
        <f>SUMIFS('Schedule 4'!$F$89:$F$649,'Schedule 4'!$I$89:$I$649,'Well Cal.'!W$3,'Schedule 4'!$J$89:$J$649,'Well Cal.'!$E586)</f>
        <v>0</v>
      </c>
      <c r="X586" s="727">
        <f>SUMIFS('Schedule 4'!$F$89:$F$649,'Schedule 4'!$I$89:$I$649,'Well Cal.'!X$3,'Schedule 4'!$J$89:$J$649,'Well Cal.'!$E586)</f>
        <v>0</v>
      </c>
      <c r="Y586" s="727">
        <f>SUMIFS('Schedule 4'!$F$89:$F$649,'Schedule 4'!$I$89:$I$649,'Well Cal.'!Y$3,'Schedule 4'!$J$89:$J$649,'Well Cal.'!$E586)</f>
        <v>0</v>
      </c>
      <c r="Z586" s="727">
        <f>SUMIFS('Schedule 4'!$F$89:$F$649,'Schedule 4'!$I$89:$I$649,'Well Cal.'!Z$3,'Schedule 4'!$J$89:$J$649,'Well Cal.'!$E586)</f>
        <v>0</v>
      </c>
      <c r="AA586" s="727"/>
      <c r="AB586" s="1731"/>
      <c r="AC586" s="1731"/>
    </row>
    <row r="587" spans="2:29" x14ac:dyDescent="0.3">
      <c r="B587" s="1725"/>
      <c r="C587" s="1728"/>
      <c r="D587" s="1722"/>
      <c r="E587" s="776"/>
      <c r="F587" s="777"/>
      <c r="G587" s="777"/>
      <c r="H587" s="777"/>
      <c r="I587" s="777"/>
      <c r="J587" s="777"/>
      <c r="K587" s="777"/>
      <c r="L587" s="777"/>
      <c r="M587" s="777"/>
      <c r="N587" s="777"/>
      <c r="O587" s="777"/>
      <c r="P587" s="777"/>
      <c r="Q587" s="777"/>
      <c r="R587" s="777"/>
      <c r="S587" s="777"/>
      <c r="T587" s="777"/>
      <c r="U587" s="777"/>
      <c r="V587" s="777"/>
      <c r="W587" s="777"/>
      <c r="X587" s="777"/>
      <c r="Y587" s="777"/>
      <c r="Z587" s="777"/>
      <c r="AA587" s="777"/>
      <c r="AB587" s="1732"/>
      <c r="AC587" s="1732"/>
    </row>
    <row r="588" spans="2:29" x14ac:dyDescent="0.3">
      <c r="B588" s="1723" t="s">
        <v>3082</v>
      </c>
      <c r="C588" s="1726">
        <v>50.55</v>
      </c>
      <c r="D588" s="1720">
        <f>SUMIFS('Schedule 4'!$F$89:$F$649,'Schedule 4'!$K$89:$K$649,'Well Cal.'!$B588)</f>
        <v>0</v>
      </c>
      <c r="E588" s="754" t="s">
        <v>3186</v>
      </c>
      <c r="F588" s="728">
        <f>SUMIFS('Schedule 4'!$F$89:$F$649,'Schedule 4'!$I$89:$I$649,'Well Cal.'!F$3,'Schedule 4'!$J$89:$J$649,'Well Cal.'!$E588)</f>
        <v>0</v>
      </c>
      <c r="G588" s="728">
        <f>SUMIFS('Schedule 4'!$F$89:$F$649,'Schedule 4'!$I$89:$I$649,'Well Cal.'!G$3,'Schedule 4'!$J$89:$J$649,'Well Cal.'!$E588)</f>
        <v>0</v>
      </c>
      <c r="H588" s="728">
        <f>SUMIFS('Schedule 4'!$F$89:$F$649,'Schedule 4'!$I$89:$I$649,'Well Cal.'!H$3,'Schedule 4'!$J$89:$J$649,'Well Cal.'!$E588)</f>
        <v>0</v>
      </c>
      <c r="I588" s="728">
        <f>SUMIFS('Schedule 4'!$F$89:$F$649,'Schedule 4'!$I$89:$I$649,'Well Cal.'!I$3,'Schedule 4'!$J$89:$J$649,'Well Cal.'!$E588)</f>
        <v>0</v>
      </c>
      <c r="J588" s="728">
        <f>SUMIFS('Schedule 4'!$F$89:$F$649,'Schedule 4'!$I$89:$I$649,'Well Cal.'!J$3,'Schedule 4'!$J$89:$J$649,'Well Cal.'!$E588)</f>
        <v>0</v>
      </c>
      <c r="K588" s="728">
        <f>SUMIFS('Schedule 4'!$F$89:$F$649,'Schedule 4'!$I$89:$I$649,'Well Cal.'!K$3,'Schedule 4'!$J$89:$J$649,'Well Cal.'!$E588)</f>
        <v>0</v>
      </c>
      <c r="L588" s="728">
        <f>SUMIFS('Schedule 4'!$F$89:$F$649,'Schedule 4'!$I$89:$I$649,'Well Cal.'!L$3,'Schedule 4'!$J$89:$J$649,'Well Cal.'!$E588)</f>
        <v>0</v>
      </c>
      <c r="M588" s="728">
        <f>SUMIFS('Schedule 4'!$F$89:$F$649,'Schedule 4'!$I$89:$I$649,'Well Cal.'!M$3,'Schedule 4'!$J$89:$J$649,'Well Cal.'!$E588)</f>
        <v>0</v>
      </c>
      <c r="N588" s="728">
        <f>SUMIFS('Schedule 4'!$F$89:$F$649,'Schedule 4'!$I$89:$I$649,'Well Cal.'!N$3,'Schedule 4'!$J$89:$J$649,'Well Cal.'!$E588)</f>
        <v>0</v>
      </c>
      <c r="O588" s="728">
        <f>SUMIFS('Schedule 4'!$F$89:$F$649,'Schedule 4'!$I$89:$I$649,'Well Cal.'!O$3,'Schedule 4'!$J$89:$J$649,'Well Cal.'!$E588)</f>
        <v>0</v>
      </c>
      <c r="P588" s="728">
        <f>SUMIFS('Schedule 4'!$F$89:$F$649,'Schedule 4'!$I$89:$I$649,'Well Cal.'!P$3,'Schedule 4'!$J$89:$J$649,'Well Cal.'!$E588)</f>
        <v>0</v>
      </c>
      <c r="Q588" s="728">
        <f>SUMIFS('Schedule 4'!$F$89:$F$649,'Schedule 4'!$I$89:$I$649,'Well Cal.'!Q$3,'Schedule 4'!$J$89:$J$649,'Well Cal.'!$E588)</f>
        <v>0</v>
      </c>
      <c r="R588" s="728">
        <f>SUMIFS('Schedule 4'!$F$89:$F$649,'Schedule 4'!$I$89:$I$649,'Well Cal.'!R$3,'Schedule 4'!$J$89:$J$649,'Well Cal.'!$E588)</f>
        <v>0</v>
      </c>
      <c r="S588" s="728">
        <f>SUMIFS('Schedule 4'!$F$89:$F$649,'Schedule 4'!$I$89:$I$649,'Well Cal.'!S$3,'Schedule 4'!$J$89:$J$649,'Well Cal.'!$E588)</f>
        <v>0</v>
      </c>
      <c r="T588" s="728">
        <f>SUMIFS('Schedule 4'!$F$89:$F$649,'Schedule 4'!$I$89:$I$649,'Well Cal.'!T$3,'Schedule 4'!$J$89:$J$649,'Well Cal.'!$E588)</f>
        <v>0</v>
      </c>
      <c r="U588" s="728">
        <f>SUMIFS('Schedule 4'!$F$89:$F$649,'Schedule 4'!$I$89:$I$649,'Well Cal.'!U$3,'Schedule 4'!$J$89:$J$649,'Well Cal.'!$E588)</f>
        <v>0</v>
      </c>
      <c r="V588" s="728">
        <f>SUMIFS('Schedule 4'!$F$89:$F$649,'Schedule 4'!$I$89:$I$649,'Well Cal.'!V$3,'Schedule 4'!$J$89:$J$649,'Well Cal.'!$E588)</f>
        <v>0</v>
      </c>
      <c r="W588" s="728">
        <f>SUMIFS('Schedule 4'!$F$89:$F$649,'Schedule 4'!$I$89:$I$649,'Well Cal.'!W$3,'Schedule 4'!$J$89:$J$649,'Well Cal.'!$E588)</f>
        <v>0</v>
      </c>
      <c r="X588" s="728">
        <f>SUMIFS('Schedule 4'!$F$89:$F$649,'Schedule 4'!$I$89:$I$649,'Well Cal.'!X$3,'Schedule 4'!$J$89:$J$649,'Well Cal.'!$E588)</f>
        <v>0</v>
      </c>
      <c r="Y588" s="728">
        <f>SUMIFS('Schedule 4'!$F$89:$F$649,'Schedule 4'!$I$89:$I$649,'Well Cal.'!Y$3,'Schedule 4'!$J$89:$J$649,'Well Cal.'!$E588)</f>
        <v>0</v>
      </c>
      <c r="Z588" s="728">
        <f>SUMIFS('Schedule 4'!$F$89:$F$649,'Schedule 4'!$I$89:$I$649,'Well Cal.'!Z$3,'Schedule 4'!$J$89:$J$649,'Well Cal.'!$E588)</f>
        <v>0</v>
      </c>
      <c r="AA588" s="728"/>
      <c r="AB588" s="1741">
        <f>SUM(F588:AA608)</f>
        <v>0</v>
      </c>
      <c r="AC588" s="1741">
        <f>D588-AB588</f>
        <v>0</v>
      </c>
    </row>
    <row r="589" spans="2:29" x14ac:dyDescent="0.3">
      <c r="B589" s="1724"/>
      <c r="C589" s="1727"/>
      <c r="D589" s="1721"/>
      <c r="E589" s="761" t="s">
        <v>3267</v>
      </c>
      <c r="F589" s="726">
        <f>SUMIFS('Schedule 4'!$F$89:$F$649,'Schedule 4'!$I$89:$I$649,'Well Cal.'!F$3,'Schedule 4'!$J$89:$J$649,'Well Cal.'!$E589)</f>
        <v>0</v>
      </c>
      <c r="G589" s="726">
        <f>SUMIFS('Schedule 4'!$F$89:$F$649,'Schedule 4'!$I$89:$I$649,'Well Cal.'!G$3,'Schedule 4'!$J$89:$J$649,'Well Cal.'!$E589)</f>
        <v>0</v>
      </c>
      <c r="H589" s="726">
        <f>SUMIFS('Schedule 4'!$F$89:$F$649,'Schedule 4'!$I$89:$I$649,'Well Cal.'!H$3,'Schedule 4'!$J$89:$J$649,'Well Cal.'!$E589)</f>
        <v>0</v>
      </c>
      <c r="I589" s="726">
        <f>SUMIFS('Schedule 4'!$F$89:$F$649,'Schedule 4'!$I$89:$I$649,'Well Cal.'!I$3,'Schedule 4'!$J$89:$J$649,'Well Cal.'!$E589)</f>
        <v>0</v>
      </c>
      <c r="J589" s="726">
        <f>SUMIFS('Schedule 4'!$F$89:$F$649,'Schedule 4'!$I$89:$I$649,'Well Cal.'!J$3,'Schedule 4'!$J$89:$J$649,'Well Cal.'!$E589)</f>
        <v>0</v>
      </c>
      <c r="K589" s="726">
        <f>SUMIFS('Schedule 4'!$F$89:$F$649,'Schedule 4'!$I$89:$I$649,'Well Cal.'!K$3,'Schedule 4'!$J$89:$J$649,'Well Cal.'!$E589)</f>
        <v>0</v>
      </c>
      <c r="L589" s="726">
        <f>SUMIFS('Schedule 4'!$F$89:$F$649,'Schedule 4'!$I$89:$I$649,'Well Cal.'!L$3,'Schedule 4'!$J$89:$J$649,'Well Cal.'!$E589)</f>
        <v>0</v>
      </c>
      <c r="M589" s="726">
        <f>SUMIFS('Schedule 4'!$F$89:$F$649,'Schedule 4'!$I$89:$I$649,'Well Cal.'!M$3,'Schedule 4'!$J$89:$J$649,'Well Cal.'!$E589)</f>
        <v>0</v>
      </c>
      <c r="N589" s="726">
        <f>SUMIFS('Schedule 4'!$F$89:$F$649,'Schedule 4'!$I$89:$I$649,'Well Cal.'!N$3,'Schedule 4'!$J$89:$J$649,'Well Cal.'!$E589)</f>
        <v>0</v>
      </c>
      <c r="O589" s="726">
        <f>SUMIFS('Schedule 4'!$F$89:$F$649,'Schedule 4'!$I$89:$I$649,'Well Cal.'!O$3,'Schedule 4'!$J$89:$J$649,'Well Cal.'!$E589)</f>
        <v>0</v>
      </c>
      <c r="P589" s="726">
        <f>SUMIFS('Schedule 4'!$F$89:$F$649,'Schedule 4'!$I$89:$I$649,'Well Cal.'!P$3,'Schedule 4'!$J$89:$J$649,'Well Cal.'!$E589)</f>
        <v>0</v>
      </c>
      <c r="Q589" s="726">
        <f>SUMIFS('Schedule 4'!$F$89:$F$649,'Schedule 4'!$I$89:$I$649,'Well Cal.'!Q$3,'Schedule 4'!$J$89:$J$649,'Well Cal.'!$E589)</f>
        <v>0</v>
      </c>
      <c r="R589" s="726">
        <f>SUMIFS('Schedule 4'!$F$89:$F$649,'Schedule 4'!$I$89:$I$649,'Well Cal.'!R$3,'Schedule 4'!$J$89:$J$649,'Well Cal.'!$E589)</f>
        <v>0</v>
      </c>
      <c r="S589" s="726">
        <f>SUMIFS('Schedule 4'!$F$89:$F$649,'Schedule 4'!$I$89:$I$649,'Well Cal.'!S$3,'Schedule 4'!$J$89:$J$649,'Well Cal.'!$E589)</f>
        <v>0</v>
      </c>
      <c r="T589" s="726">
        <f>SUMIFS('Schedule 4'!$F$89:$F$649,'Schedule 4'!$I$89:$I$649,'Well Cal.'!T$3,'Schedule 4'!$J$89:$J$649,'Well Cal.'!$E589)</f>
        <v>0</v>
      </c>
      <c r="U589" s="726">
        <f>SUMIFS('Schedule 4'!$F$89:$F$649,'Schedule 4'!$I$89:$I$649,'Well Cal.'!U$3,'Schedule 4'!$J$89:$J$649,'Well Cal.'!$E589)</f>
        <v>0</v>
      </c>
      <c r="V589" s="726">
        <f>SUMIFS('Schedule 4'!$F$89:$F$649,'Schedule 4'!$I$89:$I$649,'Well Cal.'!V$3,'Schedule 4'!$J$89:$J$649,'Well Cal.'!$E589)</f>
        <v>0</v>
      </c>
      <c r="W589" s="726">
        <f>SUMIFS('Schedule 4'!$F$89:$F$649,'Schedule 4'!$I$89:$I$649,'Well Cal.'!W$3,'Schedule 4'!$J$89:$J$649,'Well Cal.'!$E589)</f>
        <v>0</v>
      </c>
      <c r="X589" s="726">
        <f>SUMIFS('Schedule 4'!$F$89:$F$649,'Schedule 4'!$I$89:$I$649,'Well Cal.'!X$3,'Schedule 4'!$J$89:$J$649,'Well Cal.'!$E589)</f>
        <v>0</v>
      </c>
      <c r="Y589" s="726">
        <f>SUMIFS('Schedule 4'!$F$89:$F$649,'Schedule 4'!$I$89:$I$649,'Well Cal.'!Y$3,'Schedule 4'!$J$89:$J$649,'Well Cal.'!$E589)</f>
        <v>0</v>
      </c>
      <c r="Z589" s="726">
        <f>SUMIFS('Schedule 4'!$F$89:$F$649,'Schedule 4'!$I$89:$I$649,'Well Cal.'!Z$3,'Schedule 4'!$J$89:$J$649,'Well Cal.'!$E589)</f>
        <v>0</v>
      </c>
      <c r="AA589" s="726"/>
      <c r="AB589" s="1741"/>
      <c r="AC589" s="1741"/>
    </row>
    <row r="590" spans="2:29" x14ac:dyDescent="0.3">
      <c r="B590" s="1724"/>
      <c r="C590" s="1727"/>
      <c r="D590" s="1721"/>
      <c r="E590" s="761" t="s">
        <v>3343</v>
      </c>
      <c r="F590" s="726">
        <f>SUMIFS('Schedule 4'!$F$89:$F$649,'Schedule 4'!$I$89:$I$649,'Well Cal.'!F$3,'Schedule 4'!$J$89:$J$649,'Well Cal.'!$E590)</f>
        <v>0</v>
      </c>
      <c r="G590" s="726">
        <f>SUMIFS('Schedule 4'!$F$89:$F$649,'Schedule 4'!$I$89:$I$649,'Well Cal.'!G$3,'Schedule 4'!$J$89:$J$649,'Well Cal.'!$E590)</f>
        <v>0</v>
      </c>
      <c r="H590" s="726">
        <f>SUMIFS('Schedule 4'!$F$89:$F$649,'Schedule 4'!$I$89:$I$649,'Well Cal.'!H$3,'Schedule 4'!$J$89:$J$649,'Well Cal.'!$E590)</f>
        <v>0</v>
      </c>
      <c r="I590" s="726">
        <f>SUMIFS('Schedule 4'!$F$89:$F$649,'Schedule 4'!$I$89:$I$649,'Well Cal.'!I$3,'Schedule 4'!$J$89:$J$649,'Well Cal.'!$E590)</f>
        <v>0</v>
      </c>
      <c r="J590" s="726">
        <f>SUMIFS('Schedule 4'!$F$89:$F$649,'Schedule 4'!$I$89:$I$649,'Well Cal.'!J$3,'Schedule 4'!$J$89:$J$649,'Well Cal.'!$E590)</f>
        <v>0</v>
      </c>
      <c r="K590" s="726">
        <f>SUMIFS('Schedule 4'!$F$89:$F$649,'Schedule 4'!$I$89:$I$649,'Well Cal.'!K$3,'Schedule 4'!$J$89:$J$649,'Well Cal.'!$E590)</f>
        <v>0</v>
      </c>
      <c r="L590" s="726">
        <f>SUMIFS('Schedule 4'!$F$89:$F$649,'Schedule 4'!$I$89:$I$649,'Well Cal.'!L$3,'Schedule 4'!$J$89:$J$649,'Well Cal.'!$E590)</f>
        <v>0</v>
      </c>
      <c r="M590" s="726">
        <f>SUMIFS('Schedule 4'!$F$89:$F$649,'Schedule 4'!$I$89:$I$649,'Well Cal.'!M$3,'Schedule 4'!$J$89:$J$649,'Well Cal.'!$E590)</f>
        <v>0</v>
      </c>
      <c r="N590" s="726">
        <f>SUMIFS('Schedule 4'!$F$89:$F$649,'Schedule 4'!$I$89:$I$649,'Well Cal.'!N$3,'Schedule 4'!$J$89:$J$649,'Well Cal.'!$E590)</f>
        <v>0</v>
      </c>
      <c r="O590" s="726">
        <f>SUMIFS('Schedule 4'!$F$89:$F$649,'Schedule 4'!$I$89:$I$649,'Well Cal.'!O$3,'Schedule 4'!$J$89:$J$649,'Well Cal.'!$E590)</f>
        <v>0</v>
      </c>
      <c r="P590" s="726">
        <f>SUMIFS('Schedule 4'!$F$89:$F$649,'Schedule 4'!$I$89:$I$649,'Well Cal.'!P$3,'Schedule 4'!$J$89:$J$649,'Well Cal.'!$E590)</f>
        <v>0</v>
      </c>
      <c r="Q590" s="726">
        <f>SUMIFS('Schedule 4'!$F$89:$F$649,'Schedule 4'!$I$89:$I$649,'Well Cal.'!Q$3,'Schedule 4'!$J$89:$J$649,'Well Cal.'!$E590)</f>
        <v>0</v>
      </c>
      <c r="R590" s="726">
        <f>SUMIFS('Schedule 4'!$F$89:$F$649,'Schedule 4'!$I$89:$I$649,'Well Cal.'!R$3,'Schedule 4'!$J$89:$J$649,'Well Cal.'!$E590)</f>
        <v>0</v>
      </c>
      <c r="S590" s="726">
        <f>SUMIFS('Schedule 4'!$F$89:$F$649,'Schedule 4'!$I$89:$I$649,'Well Cal.'!S$3,'Schedule 4'!$J$89:$J$649,'Well Cal.'!$E590)</f>
        <v>0</v>
      </c>
      <c r="T590" s="726">
        <f>SUMIFS('Schedule 4'!$F$89:$F$649,'Schedule 4'!$I$89:$I$649,'Well Cal.'!T$3,'Schedule 4'!$J$89:$J$649,'Well Cal.'!$E590)</f>
        <v>0</v>
      </c>
      <c r="U590" s="726">
        <f>SUMIFS('Schedule 4'!$F$89:$F$649,'Schedule 4'!$I$89:$I$649,'Well Cal.'!U$3,'Schedule 4'!$J$89:$J$649,'Well Cal.'!$E590)</f>
        <v>0</v>
      </c>
      <c r="V590" s="726">
        <f>SUMIFS('Schedule 4'!$F$89:$F$649,'Schedule 4'!$I$89:$I$649,'Well Cal.'!V$3,'Schedule 4'!$J$89:$J$649,'Well Cal.'!$E590)</f>
        <v>0</v>
      </c>
      <c r="W590" s="726">
        <f>SUMIFS('Schedule 4'!$F$89:$F$649,'Schedule 4'!$I$89:$I$649,'Well Cal.'!W$3,'Schedule 4'!$J$89:$J$649,'Well Cal.'!$E590)</f>
        <v>0</v>
      </c>
      <c r="X590" s="726">
        <f>SUMIFS('Schedule 4'!$F$89:$F$649,'Schedule 4'!$I$89:$I$649,'Well Cal.'!X$3,'Schedule 4'!$J$89:$J$649,'Well Cal.'!$E590)</f>
        <v>0</v>
      </c>
      <c r="Y590" s="726">
        <f>SUMIFS('Schedule 4'!$F$89:$F$649,'Schedule 4'!$I$89:$I$649,'Well Cal.'!Y$3,'Schedule 4'!$J$89:$J$649,'Well Cal.'!$E590)</f>
        <v>0</v>
      </c>
      <c r="Z590" s="726">
        <f>SUMIFS('Schedule 4'!$F$89:$F$649,'Schedule 4'!$I$89:$I$649,'Well Cal.'!Z$3,'Schedule 4'!$J$89:$J$649,'Well Cal.'!$E590)</f>
        <v>0</v>
      </c>
      <c r="AA590" s="726"/>
      <c r="AB590" s="1741"/>
      <c r="AC590" s="1741"/>
    </row>
    <row r="591" spans="2:29" x14ac:dyDescent="0.3">
      <c r="B591" s="1724"/>
      <c r="C591" s="1727"/>
      <c r="D591" s="1721"/>
      <c r="E591" s="761" t="s">
        <v>3421</v>
      </c>
      <c r="F591" s="727">
        <f>SUMIFS('Schedule 4'!$F$89:$F$649,'Schedule 4'!$I$89:$I$649,'Well Cal.'!F$3,'Schedule 4'!$J$89:$J$649,'Well Cal.'!$E591)</f>
        <v>0</v>
      </c>
      <c r="G591" s="727">
        <f>SUMIFS('Schedule 4'!$F$89:$F$649,'Schedule 4'!$I$89:$I$649,'Well Cal.'!G$3,'Schedule 4'!$J$89:$J$649,'Well Cal.'!$E591)</f>
        <v>0</v>
      </c>
      <c r="H591" s="727">
        <f>SUMIFS('Schedule 4'!$F$89:$F$649,'Schedule 4'!$I$89:$I$649,'Well Cal.'!H$3,'Schedule 4'!$J$89:$J$649,'Well Cal.'!$E591)</f>
        <v>0</v>
      </c>
      <c r="I591" s="727">
        <f>SUMIFS('Schedule 4'!$F$89:$F$649,'Schedule 4'!$I$89:$I$649,'Well Cal.'!I$3,'Schedule 4'!$J$89:$J$649,'Well Cal.'!$E591)</f>
        <v>0</v>
      </c>
      <c r="J591" s="727">
        <f>SUMIFS('Schedule 4'!$F$89:$F$649,'Schedule 4'!$I$89:$I$649,'Well Cal.'!J$3,'Schedule 4'!$J$89:$J$649,'Well Cal.'!$E591)</f>
        <v>0</v>
      </c>
      <c r="K591" s="727">
        <f>SUMIFS('Schedule 4'!$F$89:$F$649,'Schedule 4'!$I$89:$I$649,'Well Cal.'!K$3,'Schedule 4'!$J$89:$J$649,'Well Cal.'!$E591)</f>
        <v>0</v>
      </c>
      <c r="L591" s="727">
        <f>SUMIFS('Schedule 4'!$F$89:$F$649,'Schedule 4'!$I$89:$I$649,'Well Cal.'!L$3,'Schedule 4'!$J$89:$J$649,'Well Cal.'!$E591)</f>
        <v>0</v>
      </c>
      <c r="M591" s="727">
        <f>SUMIFS('Schedule 4'!$F$89:$F$649,'Schedule 4'!$I$89:$I$649,'Well Cal.'!M$3,'Schedule 4'!$J$89:$J$649,'Well Cal.'!$E591)</f>
        <v>0</v>
      </c>
      <c r="N591" s="727">
        <f>SUMIFS('Schedule 4'!$F$89:$F$649,'Schedule 4'!$I$89:$I$649,'Well Cal.'!N$3,'Schedule 4'!$J$89:$J$649,'Well Cal.'!$E591)</f>
        <v>0</v>
      </c>
      <c r="O591" s="727">
        <f>SUMIFS('Schedule 4'!$F$89:$F$649,'Schedule 4'!$I$89:$I$649,'Well Cal.'!O$3,'Schedule 4'!$J$89:$J$649,'Well Cal.'!$E591)</f>
        <v>0</v>
      </c>
      <c r="P591" s="727">
        <f>SUMIFS('Schedule 4'!$F$89:$F$649,'Schedule 4'!$I$89:$I$649,'Well Cal.'!P$3,'Schedule 4'!$J$89:$J$649,'Well Cal.'!$E591)</f>
        <v>0</v>
      </c>
      <c r="Q591" s="727">
        <f>SUMIFS('Schedule 4'!$F$89:$F$649,'Schedule 4'!$I$89:$I$649,'Well Cal.'!Q$3,'Schedule 4'!$J$89:$J$649,'Well Cal.'!$E591)</f>
        <v>0</v>
      </c>
      <c r="R591" s="727">
        <f>SUMIFS('Schedule 4'!$F$89:$F$649,'Schedule 4'!$I$89:$I$649,'Well Cal.'!R$3,'Schedule 4'!$J$89:$J$649,'Well Cal.'!$E591)</f>
        <v>0</v>
      </c>
      <c r="S591" s="727">
        <f>SUMIFS('Schedule 4'!$F$89:$F$649,'Schedule 4'!$I$89:$I$649,'Well Cal.'!S$3,'Schedule 4'!$J$89:$J$649,'Well Cal.'!$E591)</f>
        <v>0</v>
      </c>
      <c r="T591" s="727">
        <f>SUMIFS('Schedule 4'!$F$89:$F$649,'Schedule 4'!$I$89:$I$649,'Well Cal.'!T$3,'Schedule 4'!$J$89:$J$649,'Well Cal.'!$E591)</f>
        <v>0</v>
      </c>
      <c r="U591" s="727">
        <f>SUMIFS('Schedule 4'!$F$89:$F$649,'Schedule 4'!$I$89:$I$649,'Well Cal.'!U$3,'Schedule 4'!$J$89:$J$649,'Well Cal.'!$E591)</f>
        <v>0</v>
      </c>
      <c r="V591" s="727">
        <f>SUMIFS('Schedule 4'!$F$89:$F$649,'Schedule 4'!$I$89:$I$649,'Well Cal.'!V$3,'Schedule 4'!$J$89:$J$649,'Well Cal.'!$E591)</f>
        <v>0</v>
      </c>
      <c r="W591" s="727">
        <f>SUMIFS('Schedule 4'!$F$89:$F$649,'Schedule 4'!$I$89:$I$649,'Well Cal.'!W$3,'Schedule 4'!$J$89:$J$649,'Well Cal.'!$E591)</f>
        <v>0</v>
      </c>
      <c r="X591" s="727">
        <f>SUMIFS('Schedule 4'!$F$89:$F$649,'Schedule 4'!$I$89:$I$649,'Well Cal.'!X$3,'Schedule 4'!$J$89:$J$649,'Well Cal.'!$E591)</f>
        <v>0</v>
      </c>
      <c r="Y591" s="727">
        <f>SUMIFS('Schedule 4'!$F$89:$F$649,'Schedule 4'!$I$89:$I$649,'Well Cal.'!Y$3,'Schedule 4'!$J$89:$J$649,'Well Cal.'!$E591)</f>
        <v>0</v>
      </c>
      <c r="Z591" s="727">
        <f>SUMIFS('Schedule 4'!$F$89:$F$649,'Schedule 4'!$I$89:$I$649,'Well Cal.'!Z$3,'Schedule 4'!$J$89:$J$649,'Well Cal.'!$E591)</f>
        <v>0</v>
      </c>
      <c r="AA591" s="727"/>
      <c r="AB591" s="1741"/>
      <c r="AC591" s="1741"/>
    </row>
    <row r="592" spans="2:29" x14ac:dyDescent="0.3">
      <c r="B592" s="1724"/>
      <c r="C592" s="1727"/>
      <c r="D592" s="1721"/>
      <c r="E592" s="775" t="s">
        <v>3499</v>
      </c>
      <c r="F592" s="727">
        <f>SUMIFS('Schedule 4'!$F$89:$F$649,'Schedule 4'!$I$89:$I$649,'Well Cal.'!F$3,'Schedule 4'!$J$89:$J$649,'Well Cal.'!$E592)</f>
        <v>0</v>
      </c>
      <c r="G592" s="727">
        <f>SUMIFS('Schedule 4'!$F$89:$F$649,'Schedule 4'!$I$89:$I$649,'Well Cal.'!G$3,'Schedule 4'!$J$89:$J$649,'Well Cal.'!$E592)</f>
        <v>0</v>
      </c>
      <c r="H592" s="727">
        <f>SUMIFS('Schedule 4'!$F$89:$F$649,'Schedule 4'!$I$89:$I$649,'Well Cal.'!H$3,'Schedule 4'!$J$89:$J$649,'Well Cal.'!$E592)</f>
        <v>0</v>
      </c>
      <c r="I592" s="727">
        <f>SUMIFS('Schedule 4'!$F$89:$F$649,'Schedule 4'!$I$89:$I$649,'Well Cal.'!I$3,'Schedule 4'!$J$89:$J$649,'Well Cal.'!$E592)</f>
        <v>0</v>
      </c>
      <c r="J592" s="727">
        <f>SUMIFS('Schedule 4'!$F$89:$F$649,'Schedule 4'!$I$89:$I$649,'Well Cal.'!J$3,'Schedule 4'!$J$89:$J$649,'Well Cal.'!$E592)</f>
        <v>0</v>
      </c>
      <c r="K592" s="727">
        <f>SUMIFS('Schedule 4'!$F$89:$F$649,'Schedule 4'!$I$89:$I$649,'Well Cal.'!K$3,'Schedule 4'!$J$89:$J$649,'Well Cal.'!$E592)</f>
        <v>0</v>
      </c>
      <c r="L592" s="727">
        <f>SUMIFS('Schedule 4'!$F$89:$F$649,'Schedule 4'!$I$89:$I$649,'Well Cal.'!L$3,'Schedule 4'!$J$89:$J$649,'Well Cal.'!$E592)</f>
        <v>0</v>
      </c>
      <c r="M592" s="727">
        <f>SUMIFS('Schedule 4'!$F$89:$F$649,'Schedule 4'!$I$89:$I$649,'Well Cal.'!M$3,'Schedule 4'!$J$89:$J$649,'Well Cal.'!$E592)</f>
        <v>0</v>
      </c>
      <c r="N592" s="727">
        <f>SUMIFS('Schedule 4'!$F$89:$F$649,'Schedule 4'!$I$89:$I$649,'Well Cal.'!N$3,'Schedule 4'!$J$89:$J$649,'Well Cal.'!$E592)</f>
        <v>0</v>
      </c>
      <c r="O592" s="727">
        <f>SUMIFS('Schedule 4'!$F$89:$F$649,'Schedule 4'!$I$89:$I$649,'Well Cal.'!O$3,'Schedule 4'!$J$89:$J$649,'Well Cal.'!$E592)</f>
        <v>0</v>
      </c>
      <c r="P592" s="727">
        <f>SUMIFS('Schedule 4'!$F$89:$F$649,'Schedule 4'!$I$89:$I$649,'Well Cal.'!P$3,'Schedule 4'!$J$89:$J$649,'Well Cal.'!$E592)</f>
        <v>0</v>
      </c>
      <c r="Q592" s="727">
        <f>SUMIFS('Schedule 4'!$F$89:$F$649,'Schedule 4'!$I$89:$I$649,'Well Cal.'!Q$3,'Schedule 4'!$J$89:$J$649,'Well Cal.'!$E592)</f>
        <v>0</v>
      </c>
      <c r="R592" s="727">
        <f>SUMIFS('Schedule 4'!$F$89:$F$649,'Schedule 4'!$I$89:$I$649,'Well Cal.'!R$3,'Schedule 4'!$J$89:$J$649,'Well Cal.'!$E592)</f>
        <v>0</v>
      </c>
      <c r="S592" s="727">
        <f>SUMIFS('Schedule 4'!$F$89:$F$649,'Schedule 4'!$I$89:$I$649,'Well Cal.'!S$3,'Schedule 4'!$J$89:$J$649,'Well Cal.'!$E592)</f>
        <v>0</v>
      </c>
      <c r="T592" s="727">
        <f>SUMIFS('Schedule 4'!$F$89:$F$649,'Schedule 4'!$I$89:$I$649,'Well Cal.'!T$3,'Schedule 4'!$J$89:$J$649,'Well Cal.'!$E592)</f>
        <v>0</v>
      </c>
      <c r="U592" s="727">
        <f>SUMIFS('Schedule 4'!$F$89:$F$649,'Schedule 4'!$I$89:$I$649,'Well Cal.'!U$3,'Schedule 4'!$J$89:$J$649,'Well Cal.'!$E592)</f>
        <v>0</v>
      </c>
      <c r="V592" s="727">
        <f>SUMIFS('Schedule 4'!$F$89:$F$649,'Schedule 4'!$I$89:$I$649,'Well Cal.'!V$3,'Schedule 4'!$J$89:$J$649,'Well Cal.'!$E592)</f>
        <v>0</v>
      </c>
      <c r="W592" s="727">
        <f>SUMIFS('Schedule 4'!$F$89:$F$649,'Schedule 4'!$I$89:$I$649,'Well Cal.'!W$3,'Schedule 4'!$J$89:$J$649,'Well Cal.'!$E592)</f>
        <v>0</v>
      </c>
      <c r="X592" s="727">
        <f>SUMIFS('Schedule 4'!$F$89:$F$649,'Schedule 4'!$I$89:$I$649,'Well Cal.'!X$3,'Schedule 4'!$J$89:$J$649,'Well Cal.'!$E592)</f>
        <v>0</v>
      </c>
      <c r="Y592" s="727">
        <f>SUMIFS('Schedule 4'!$F$89:$F$649,'Schedule 4'!$I$89:$I$649,'Well Cal.'!Y$3,'Schedule 4'!$J$89:$J$649,'Well Cal.'!$E592)</f>
        <v>0</v>
      </c>
      <c r="Z592" s="727">
        <f>SUMIFS('Schedule 4'!$F$89:$F$649,'Schedule 4'!$I$89:$I$649,'Well Cal.'!Z$3,'Schedule 4'!$J$89:$J$649,'Well Cal.'!$E592)</f>
        <v>0</v>
      </c>
      <c r="AA592" s="727"/>
      <c r="AB592" s="1741"/>
      <c r="AC592" s="1741"/>
    </row>
    <row r="593" spans="2:29" x14ac:dyDescent="0.3">
      <c r="B593" s="1724"/>
      <c r="C593" s="1727"/>
      <c r="D593" s="1721"/>
      <c r="E593" s="775" t="s">
        <v>3574</v>
      </c>
      <c r="F593" s="727">
        <f>SUMIFS('Schedule 4'!$F$89:$F$649,'Schedule 4'!$I$89:$I$649,'Well Cal.'!F$3,'Schedule 4'!$J$89:$J$649,'Well Cal.'!$E593)</f>
        <v>0</v>
      </c>
      <c r="G593" s="727">
        <f>SUMIFS('Schedule 4'!$F$89:$F$649,'Schedule 4'!$I$89:$I$649,'Well Cal.'!G$3,'Schedule 4'!$J$89:$J$649,'Well Cal.'!$E593)</f>
        <v>0</v>
      </c>
      <c r="H593" s="727">
        <f>SUMIFS('Schedule 4'!$F$89:$F$649,'Schedule 4'!$I$89:$I$649,'Well Cal.'!H$3,'Schedule 4'!$J$89:$J$649,'Well Cal.'!$E593)</f>
        <v>0</v>
      </c>
      <c r="I593" s="727">
        <f>SUMIFS('Schedule 4'!$F$89:$F$649,'Schedule 4'!$I$89:$I$649,'Well Cal.'!I$3,'Schedule 4'!$J$89:$J$649,'Well Cal.'!$E593)</f>
        <v>0</v>
      </c>
      <c r="J593" s="727">
        <f>SUMIFS('Schedule 4'!$F$89:$F$649,'Schedule 4'!$I$89:$I$649,'Well Cal.'!J$3,'Schedule 4'!$J$89:$J$649,'Well Cal.'!$E593)</f>
        <v>0</v>
      </c>
      <c r="K593" s="727">
        <f>SUMIFS('Schedule 4'!$F$89:$F$649,'Schedule 4'!$I$89:$I$649,'Well Cal.'!K$3,'Schedule 4'!$J$89:$J$649,'Well Cal.'!$E593)</f>
        <v>0</v>
      </c>
      <c r="L593" s="727">
        <f>SUMIFS('Schedule 4'!$F$89:$F$649,'Schedule 4'!$I$89:$I$649,'Well Cal.'!L$3,'Schedule 4'!$J$89:$J$649,'Well Cal.'!$E593)</f>
        <v>0</v>
      </c>
      <c r="M593" s="727">
        <f>SUMIFS('Schedule 4'!$F$89:$F$649,'Schedule 4'!$I$89:$I$649,'Well Cal.'!M$3,'Schedule 4'!$J$89:$J$649,'Well Cal.'!$E593)</f>
        <v>0</v>
      </c>
      <c r="N593" s="727">
        <f>SUMIFS('Schedule 4'!$F$89:$F$649,'Schedule 4'!$I$89:$I$649,'Well Cal.'!N$3,'Schedule 4'!$J$89:$J$649,'Well Cal.'!$E593)</f>
        <v>0</v>
      </c>
      <c r="O593" s="727">
        <f>SUMIFS('Schedule 4'!$F$89:$F$649,'Schedule 4'!$I$89:$I$649,'Well Cal.'!O$3,'Schedule 4'!$J$89:$J$649,'Well Cal.'!$E593)</f>
        <v>0</v>
      </c>
      <c r="P593" s="727">
        <f>SUMIFS('Schedule 4'!$F$89:$F$649,'Schedule 4'!$I$89:$I$649,'Well Cal.'!P$3,'Schedule 4'!$J$89:$J$649,'Well Cal.'!$E593)</f>
        <v>0</v>
      </c>
      <c r="Q593" s="727">
        <f>SUMIFS('Schedule 4'!$F$89:$F$649,'Schedule 4'!$I$89:$I$649,'Well Cal.'!Q$3,'Schedule 4'!$J$89:$J$649,'Well Cal.'!$E593)</f>
        <v>0</v>
      </c>
      <c r="R593" s="727">
        <f>SUMIFS('Schedule 4'!$F$89:$F$649,'Schedule 4'!$I$89:$I$649,'Well Cal.'!R$3,'Schedule 4'!$J$89:$J$649,'Well Cal.'!$E593)</f>
        <v>0</v>
      </c>
      <c r="S593" s="727">
        <f>SUMIFS('Schedule 4'!$F$89:$F$649,'Schedule 4'!$I$89:$I$649,'Well Cal.'!S$3,'Schedule 4'!$J$89:$J$649,'Well Cal.'!$E593)</f>
        <v>0</v>
      </c>
      <c r="T593" s="727">
        <f>SUMIFS('Schedule 4'!$F$89:$F$649,'Schedule 4'!$I$89:$I$649,'Well Cal.'!T$3,'Schedule 4'!$J$89:$J$649,'Well Cal.'!$E593)</f>
        <v>0</v>
      </c>
      <c r="U593" s="727">
        <f>SUMIFS('Schedule 4'!$F$89:$F$649,'Schedule 4'!$I$89:$I$649,'Well Cal.'!U$3,'Schedule 4'!$J$89:$J$649,'Well Cal.'!$E593)</f>
        <v>0</v>
      </c>
      <c r="V593" s="727">
        <f>SUMIFS('Schedule 4'!$F$89:$F$649,'Schedule 4'!$I$89:$I$649,'Well Cal.'!V$3,'Schedule 4'!$J$89:$J$649,'Well Cal.'!$E593)</f>
        <v>0</v>
      </c>
      <c r="W593" s="727">
        <f>SUMIFS('Schedule 4'!$F$89:$F$649,'Schedule 4'!$I$89:$I$649,'Well Cal.'!W$3,'Schedule 4'!$J$89:$J$649,'Well Cal.'!$E593)</f>
        <v>0</v>
      </c>
      <c r="X593" s="727">
        <f>SUMIFS('Schedule 4'!$F$89:$F$649,'Schedule 4'!$I$89:$I$649,'Well Cal.'!X$3,'Schedule 4'!$J$89:$J$649,'Well Cal.'!$E593)</f>
        <v>0</v>
      </c>
      <c r="Y593" s="727">
        <f>SUMIFS('Schedule 4'!$F$89:$F$649,'Schedule 4'!$I$89:$I$649,'Well Cal.'!Y$3,'Schedule 4'!$J$89:$J$649,'Well Cal.'!$E593)</f>
        <v>0</v>
      </c>
      <c r="Z593" s="727">
        <f>SUMIFS('Schedule 4'!$F$89:$F$649,'Schedule 4'!$I$89:$I$649,'Well Cal.'!Z$3,'Schedule 4'!$J$89:$J$649,'Well Cal.'!$E593)</f>
        <v>0</v>
      </c>
      <c r="AA593" s="727"/>
      <c r="AB593" s="1741"/>
      <c r="AC593" s="1741"/>
    </row>
    <row r="594" spans="2:29" x14ac:dyDescent="0.3">
      <c r="B594" s="1724"/>
      <c r="C594" s="1727"/>
      <c r="D594" s="1721"/>
      <c r="E594" s="775" t="s">
        <v>3649</v>
      </c>
      <c r="F594" s="727">
        <f>SUMIFS('Schedule 4'!$F$89:$F$649,'Schedule 4'!$I$89:$I$649,'Well Cal.'!F$3,'Schedule 4'!$J$89:$J$649,'Well Cal.'!$E594)</f>
        <v>0</v>
      </c>
      <c r="G594" s="727">
        <f>SUMIFS('Schedule 4'!$F$89:$F$649,'Schedule 4'!$I$89:$I$649,'Well Cal.'!G$3,'Schedule 4'!$J$89:$J$649,'Well Cal.'!$E594)</f>
        <v>0</v>
      </c>
      <c r="H594" s="727">
        <f>SUMIFS('Schedule 4'!$F$89:$F$649,'Schedule 4'!$I$89:$I$649,'Well Cal.'!H$3,'Schedule 4'!$J$89:$J$649,'Well Cal.'!$E594)</f>
        <v>0</v>
      </c>
      <c r="I594" s="727">
        <f>SUMIFS('Schedule 4'!$F$89:$F$649,'Schedule 4'!$I$89:$I$649,'Well Cal.'!I$3,'Schedule 4'!$J$89:$J$649,'Well Cal.'!$E594)</f>
        <v>0</v>
      </c>
      <c r="J594" s="727">
        <f>SUMIFS('Schedule 4'!$F$89:$F$649,'Schedule 4'!$I$89:$I$649,'Well Cal.'!J$3,'Schedule 4'!$J$89:$J$649,'Well Cal.'!$E594)</f>
        <v>0</v>
      </c>
      <c r="K594" s="727">
        <f>SUMIFS('Schedule 4'!$F$89:$F$649,'Schedule 4'!$I$89:$I$649,'Well Cal.'!K$3,'Schedule 4'!$J$89:$J$649,'Well Cal.'!$E594)</f>
        <v>0</v>
      </c>
      <c r="L594" s="727">
        <f>SUMIFS('Schedule 4'!$F$89:$F$649,'Schedule 4'!$I$89:$I$649,'Well Cal.'!L$3,'Schedule 4'!$J$89:$J$649,'Well Cal.'!$E594)</f>
        <v>0</v>
      </c>
      <c r="M594" s="727">
        <f>SUMIFS('Schedule 4'!$F$89:$F$649,'Schedule 4'!$I$89:$I$649,'Well Cal.'!M$3,'Schedule 4'!$J$89:$J$649,'Well Cal.'!$E594)</f>
        <v>0</v>
      </c>
      <c r="N594" s="727">
        <f>SUMIFS('Schedule 4'!$F$89:$F$649,'Schedule 4'!$I$89:$I$649,'Well Cal.'!N$3,'Schedule 4'!$J$89:$J$649,'Well Cal.'!$E594)</f>
        <v>0</v>
      </c>
      <c r="O594" s="727">
        <f>SUMIFS('Schedule 4'!$F$89:$F$649,'Schedule 4'!$I$89:$I$649,'Well Cal.'!O$3,'Schedule 4'!$J$89:$J$649,'Well Cal.'!$E594)</f>
        <v>0</v>
      </c>
      <c r="P594" s="727">
        <f>SUMIFS('Schedule 4'!$F$89:$F$649,'Schedule 4'!$I$89:$I$649,'Well Cal.'!P$3,'Schedule 4'!$J$89:$J$649,'Well Cal.'!$E594)</f>
        <v>0</v>
      </c>
      <c r="Q594" s="727">
        <f>SUMIFS('Schedule 4'!$F$89:$F$649,'Schedule 4'!$I$89:$I$649,'Well Cal.'!Q$3,'Schedule 4'!$J$89:$J$649,'Well Cal.'!$E594)</f>
        <v>0</v>
      </c>
      <c r="R594" s="727">
        <f>SUMIFS('Schedule 4'!$F$89:$F$649,'Schedule 4'!$I$89:$I$649,'Well Cal.'!R$3,'Schedule 4'!$J$89:$J$649,'Well Cal.'!$E594)</f>
        <v>0</v>
      </c>
      <c r="S594" s="727">
        <f>SUMIFS('Schedule 4'!$F$89:$F$649,'Schedule 4'!$I$89:$I$649,'Well Cal.'!S$3,'Schedule 4'!$J$89:$J$649,'Well Cal.'!$E594)</f>
        <v>0</v>
      </c>
      <c r="T594" s="727">
        <f>SUMIFS('Schedule 4'!$F$89:$F$649,'Schedule 4'!$I$89:$I$649,'Well Cal.'!T$3,'Schedule 4'!$J$89:$J$649,'Well Cal.'!$E594)</f>
        <v>0</v>
      </c>
      <c r="U594" s="727">
        <f>SUMIFS('Schedule 4'!$F$89:$F$649,'Schedule 4'!$I$89:$I$649,'Well Cal.'!U$3,'Schedule 4'!$J$89:$J$649,'Well Cal.'!$E594)</f>
        <v>0</v>
      </c>
      <c r="V594" s="727">
        <f>SUMIFS('Schedule 4'!$F$89:$F$649,'Schedule 4'!$I$89:$I$649,'Well Cal.'!V$3,'Schedule 4'!$J$89:$J$649,'Well Cal.'!$E594)</f>
        <v>0</v>
      </c>
      <c r="W594" s="727">
        <f>SUMIFS('Schedule 4'!$F$89:$F$649,'Schedule 4'!$I$89:$I$649,'Well Cal.'!W$3,'Schedule 4'!$J$89:$J$649,'Well Cal.'!$E594)</f>
        <v>0</v>
      </c>
      <c r="X594" s="727">
        <f>SUMIFS('Schedule 4'!$F$89:$F$649,'Schedule 4'!$I$89:$I$649,'Well Cal.'!X$3,'Schedule 4'!$J$89:$J$649,'Well Cal.'!$E594)</f>
        <v>0</v>
      </c>
      <c r="Y594" s="727">
        <f>SUMIFS('Schedule 4'!$F$89:$F$649,'Schedule 4'!$I$89:$I$649,'Well Cal.'!Y$3,'Schedule 4'!$J$89:$J$649,'Well Cal.'!$E594)</f>
        <v>0</v>
      </c>
      <c r="Z594" s="727">
        <f>SUMIFS('Schedule 4'!$F$89:$F$649,'Schedule 4'!$I$89:$I$649,'Well Cal.'!Z$3,'Schedule 4'!$J$89:$J$649,'Well Cal.'!$E594)</f>
        <v>0</v>
      </c>
      <c r="AA594" s="727"/>
      <c r="AB594" s="1741"/>
      <c r="AC594" s="1741"/>
    </row>
    <row r="595" spans="2:29" x14ac:dyDescent="0.3">
      <c r="B595" s="1724"/>
      <c r="C595" s="1727"/>
      <c r="D595" s="1721"/>
      <c r="E595" s="775" t="s">
        <v>3726</v>
      </c>
      <c r="F595" s="727">
        <f>SUMIFS('Schedule 4'!$F$89:$F$649,'Schedule 4'!$I$89:$I$649,'Well Cal.'!F$3,'Schedule 4'!$J$89:$J$649,'Well Cal.'!$E595)</f>
        <v>0</v>
      </c>
      <c r="G595" s="727">
        <f>SUMIFS('Schedule 4'!$F$89:$F$649,'Schedule 4'!$I$89:$I$649,'Well Cal.'!G$3,'Schedule 4'!$J$89:$J$649,'Well Cal.'!$E595)</f>
        <v>0</v>
      </c>
      <c r="H595" s="727">
        <f>SUMIFS('Schedule 4'!$F$89:$F$649,'Schedule 4'!$I$89:$I$649,'Well Cal.'!H$3,'Schedule 4'!$J$89:$J$649,'Well Cal.'!$E595)</f>
        <v>0</v>
      </c>
      <c r="I595" s="727">
        <f>SUMIFS('Schedule 4'!$F$89:$F$649,'Schedule 4'!$I$89:$I$649,'Well Cal.'!I$3,'Schedule 4'!$J$89:$J$649,'Well Cal.'!$E595)</f>
        <v>0</v>
      </c>
      <c r="J595" s="727">
        <f>SUMIFS('Schedule 4'!$F$89:$F$649,'Schedule 4'!$I$89:$I$649,'Well Cal.'!J$3,'Schedule 4'!$J$89:$J$649,'Well Cal.'!$E595)</f>
        <v>0</v>
      </c>
      <c r="K595" s="727">
        <f>SUMIFS('Schedule 4'!$F$89:$F$649,'Schedule 4'!$I$89:$I$649,'Well Cal.'!K$3,'Schedule 4'!$J$89:$J$649,'Well Cal.'!$E595)</f>
        <v>0</v>
      </c>
      <c r="L595" s="727">
        <f>SUMIFS('Schedule 4'!$F$89:$F$649,'Schedule 4'!$I$89:$I$649,'Well Cal.'!L$3,'Schedule 4'!$J$89:$J$649,'Well Cal.'!$E595)</f>
        <v>0</v>
      </c>
      <c r="M595" s="727">
        <f>SUMIFS('Schedule 4'!$F$89:$F$649,'Schedule 4'!$I$89:$I$649,'Well Cal.'!M$3,'Schedule 4'!$J$89:$J$649,'Well Cal.'!$E595)</f>
        <v>0</v>
      </c>
      <c r="N595" s="727">
        <f>SUMIFS('Schedule 4'!$F$89:$F$649,'Schedule 4'!$I$89:$I$649,'Well Cal.'!N$3,'Schedule 4'!$J$89:$J$649,'Well Cal.'!$E595)</f>
        <v>0</v>
      </c>
      <c r="O595" s="727">
        <f>SUMIFS('Schedule 4'!$F$89:$F$649,'Schedule 4'!$I$89:$I$649,'Well Cal.'!O$3,'Schedule 4'!$J$89:$J$649,'Well Cal.'!$E595)</f>
        <v>0</v>
      </c>
      <c r="P595" s="727">
        <f>SUMIFS('Schedule 4'!$F$89:$F$649,'Schedule 4'!$I$89:$I$649,'Well Cal.'!P$3,'Schedule 4'!$J$89:$J$649,'Well Cal.'!$E595)</f>
        <v>0</v>
      </c>
      <c r="Q595" s="727">
        <f>SUMIFS('Schedule 4'!$F$89:$F$649,'Schedule 4'!$I$89:$I$649,'Well Cal.'!Q$3,'Schedule 4'!$J$89:$J$649,'Well Cal.'!$E595)</f>
        <v>0</v>
      </c>
      <c r="R595" s="727">
        <f>SUMIFS('Schedule 4'!$F$89:$F$649,'Schedule 4'!$I$89:$I$649,'Well Cal.'!R$3,'Schedule 4'!$J$89:$J$649,'Well Cal.'!$E595)</f>
        <v>0</v>
      </c>
      <c r="S595" s="727">
        <f>SUMIFS('Schedule 4'!$F$89:$F$649,'Schedule 4'!$I$89:$I$649,'Well Cal.'!S$3,'Schedule 4'!$J$89:$J$649,'Well Cal.'!$E595)</f>
        <v>0</v>
      </c>
      <c r="T595" s="727">
        <f>SUMIFS('Schedule 4'!$F$89:$F$649,'Schedule 4'!$I$89:$I$649,'Well Cal.'!T$3,'Schedule 4'!$J$89:$J$649,'Well Cal.'!$E595)</f>
        <v>0</v>
      </c>
      <c r="U595" s="727">
        <f>SUMIFS('Schedule 4'!$F$89:$F$649,'Schedule 4'!$I$89:$I$649,'Well Cal.'!U$3,'Schedule 4'!$J$89:$J$649,'Well Cal.'!$E595)</f>
        <v>0</v>
      </c>
      <c r="V595" s="727">
        <f>SUMIFS('Schedule 4'!$F$89:$F$649,'Schedule 4'!$I$89:$I$649,'Well Cal.'!V$3,'Schedule 4'!$J$89:$J$649,'Well Cal.'!$E595)</f>
        <v>0</v>
      </c>
      <c r="W595" s="727">
        <f>SUMIFS('Schedule 4'!$F$89:$F$649,'Schedule 4'!$I$89:$I$649,'Well Cal.'!W$3,'Schedule 4'!$J$89:$J$649,'Well Cal.'!$E595)</f>
        <v>0</v>
      </c>
      <c r="X595" s="727">
        <f>SUMIFS('Schedule 4'!$F$89:$F$649,'Schedule 4'!$I$89:$I$649,'Well Cal.'!X$3,'Schedule 4'!$J$89:$J$649,'Well Cal.'!$E595)</f>
        <v>0</v>
      </c>
      <c r="Y595" s="727">
        <f>SUMIFS('Schedule 4'!$F$89:$F$649,'Schedule 4'!$I$89:$I$649,'Well Cal.'!Y$3,'Schedule 4'!$J$89:$J$649,'Well Cal.'!$E595)</f>
        <v>0</v>
      </c>
      <c r="Z595" s="727">
        <f>SUMIFS('Schedule 4'!$F$89:$F$649,'Schedule 4'!$I$89:$I$649,'Well Cal.'!Z$3,'Schedule 4'!$J$89:$J$649,'Well Cal.'!$E595)</f>
        <v>0</v>
      </c>
      <c r="AA595" s="727"/>
      <c r="AB595" s="1741"/>
      <c r="AC595" s="1741"/>
    </row>
    <row r="596" spans="2:29" x14ac:dyDescent="0.3">
      <c r="B596" s="1724"/>
      <c r="C596" s="1727"/>
      <c r="D596" s="1721"/>
      <c r="E596" s="775" t="s">
        <v>3792</v>
      </c>
      <c r="F596" s="727">
        <f>SUMIFS('Schedule 4'!$F$89:$F$649,'Schedule 4'!$I$89:$I$649,'Well Cal.'!F$3,'Schedule 4'!$J$89:$J$649,'Well Cal.'!$E596)</f>
        <v>0</v>
      </c>
      <c r="G596" s="727">
        <f>SUMIFS('Schedule 4'!$F$89:$F$649,'Schedule 4'!$I$89:$I$649,'Well Cal.'!G$3,'Schedule 4'!$J$89:$J$649,'Well Cal.'!$E596)</f>
        <v>0</v>
      </c>
      <c r="H596" s="727">
        <f>SUMIFS('Schedule 4'!$F$89:$F$649,'Schedule 4'!$I$89:$I$649,'Well Cal.'!H$3,'Schedule 4'!$J$89:$J$649,'Well Cal.'!$E596)</f>
        <v>0</v>
      </c>
      <c r="I596" s="727">
        <f>SUMIFS('Schedule 4'!$F$89:$F$649,'Schedule 4'!$I$89:$I$649,'Well Cal.'!I$3,'Schedule 4'!$J$89:$J$649,'Well Cal.'!$E596)</f>
        <v>0</v>
      </c>
      <c r="J596" s="727">
        <f>SUMIFS('Schedule 4'!$F$89:$F$649,'Schedule 4'!$I$89:$I$649,'Well Cal.'!J$3,'Schedule 4'!$J$89:$J$649,'Well Cal.'!$E596)</f>
        <v>0</v>
      </c>
      <c r="K596" s="727">
        <f>SUMIFS('Schedule 4'!$F$89:$F$649,'Schedule 4'!$I$89:$I$649,'Well Cal.'!K$3,'Schedule 4'!$J$89:$J$649,'Well Cal.'!$E596)</f>
        <v>0</v>
      </c>
      <c r="L596" s="727">
        <f>SUMIFS('Schedule 4'!$F$89:$F$649,'Schedule 4'!$I$89:$I$649,'Well Cal.'!L$3,'Schedule 4'!$J$89:$J$649,'Well Cal.'!$E596)</f>
        <v>0</v>
      </c>
      <c r="M596" s="727">
        <f>SUMIFS('Schedule 4'!$F$89:$F$649,'Schedule 4'!$I$89:$I$649,'Well Cal.'!M$3,'Schedule 4'!$J$89:$J$649,'Well Cal.'!$E596)</f>
        <v>0</v>
      </c>
      <c r="N596" s="727">
        <f>SUMIFS('Schedule 4'!$F$89:$F$649,'Schedule 4'!$I$89:$I$649,'Well Cal.'!N$3,'Schedule 4'!$J$89:$J$649,'Well Cal.'!$E596)</f>
        <v>0</v>
      </c>
      <c r="O596" s="727">
        <f>SUMIFS('Schedule 4'!$F$89:$F$649,'Schedule 4'!$I$89:$I$649,'Well Cal.'!O$3,'Schedule 4'!$J$89:$J$649,'Well Cal.'!$E596)</f>
        <v>0</v>
      </c>
      <c r="P596" s="727">
        <f>SUMIFS('Schedule 4'!$F$89:$F$649,'Schedule 4'!$I$89:$I$649,'Well Cal.'!P$3,'Schedule 4'!$J$89:$J$649,'Well Cal.'!$E596)</f>
        <v>0</v>
      </c>
      <c r="Q596" s="727">
        <f>SUMIFS('Schedule 4'!$F$89:$F$649,'Schedule 4'!$I$89:$I$649,'Well Cal.'!Q$3,'Schedule 4'!$J$89:$J$649,'Well Cal.'!$E596)</f>
        <v>0</v>
      </c>
      <c r="R596" s="727">
        <f>SUMIFS('Schedule 4'!$F$89:$F$649,'Schedule 4'!$I$89:$I$649,'Well Cal.'!R$3,'Schedule 4'!$J$89:$J$649,'Well Cal.'!$E596)</f>
        <v>0</v>
      </c>
      <c r="S596" s="727">
        <f>SUMIFS('Schedule 4'!$F$89:$F$649,'Schedule 4'!$I$89:$I$649,'Well Cal.'!S$3,'Schedule 4'!$J$89:$J$649,'Well Cal.'!$E596)</f>
        <v>0</v>
      </c>
      <c r="T596" s="727">
        <f>SUMIFS('Schedule 4'!$F$89:$F$649,'Schedule 4'!$I$89:$I$649,'Well Cal.'!T$3,'Schedule 4'!$J$89:$J$649,'Well Cal.'!$E596)</f>
        <v>0</v>
      </c>
      <c r="U596" s="727">
        <f>SUMIFS('Schedule 4'!$F$89:$F$649,'Schedule 4'!$I$89:$I$649,'Well Cal.'!U$3,'Schedule 4'!$J$89:$J$649,'Well Cal.'!$E596)</f>
        <v>0</v>
      </c>
      <c r="V596" s="727">
        <f>SUMIFS('Schedule 4'!$F$89:$F$649,'Schedule 4'!$I$89:$I$649,'Well Cal.'!V$3,'Schedule 4'!$J$89:$J$649,'Well Cal.'!$E596)</f>
        <v>0</v>
      </c>
      <c r="W596" s="727">
        <f>SUMIFS('Schedule 4'!$F$89:$F$649,'Schedule 4'!$I$89:$I$649,'Well Cal.'!W$3,'Schedule 4'!$J$89:$J$649,'Well Cal.'!$E596)</f>
        <v>0</v>
      </c>
      <c r="X596" s="727">
        <f>SUMIFS('Schedule 4'!$F$89:$F$649,'Schedule 4'!$I$89:$I$649,'Well Cal.'!X$3,'Schedule 4'!$J$89:$J$649,'Well Cal.'!$E596)</f>
        <v>0</v>
      </c>
      <c r="Y596" s="727">
        <f>SUMIFS('Schedule 4'!$F$89:$F$649,'Schedule 4'!$I$89:$I$649,'Well Cal.'!Y$3,'Schedule 4'!$J$89:$J$649,'Well Cal.'!$E596)</f>
        <v>0</v>
      </c>
      <c r="Z596" s="727">
        <f>SUMIFS('Schedule 4'!$F$89:$F$649,'Schedule 4'!$I$89:$I$649,'Well Cal.'!Z$3,'Schedule 4'!$J$89:$J$649,'Well Cal.'!$E596)</f>
        <v>0</v>
      </c>
      <c r="AA596" s="727"/>
      <c r="AB596" s="1741"/>
      <c r="AC596" s="1741"/>
    </row>
    <row r="597" spans="2:29" x14ac:dyDescent="0.3">
      <c r="B597" s="1724"/>
      <c r="C597" s="1727"/>
      <c r="D597" s="1721"/>
      <c r="E597" s="775" t="s">
        <v>3861</v>
      </c>
      <c r="F597" s="727">
        <f>SUMIFS('Schedule 4'!$F$89:$F$649,'Schedule 4'!$I$89:$I$649,'Well Cal.'!F$3,'Schedule 4'!$J$89:$J$649,'Well Cal.'!$E597)</f>
        <v>0</v>
      </c>
      <c r="G597" s="727">
        <f>SUMIFS('Schedule 4'!$F$89:$F$649,'Schedule 4'!$I$89:$I$649,'Well Cal.'!G$3,'Schedule 4'!$J$89:$J$649,'Well Cal.'!$E597)</f>
        <v>0</v>
      </c>
      <c r="H597" s="727">
        <f>SUMIFS('Schedule 4'!$F$89:$F$649,'Schedule 4'!$I$89:$I$649,'Well Cal.'!H$3,'Schedule 4'!$J$89:$J$649,'Well Cal.'!$E597)</f>
        <v>0</v>
      </c>
      <c r="I597" s="727">
        <f>SUMIFS('Schedule 4'!$F$89:$F$649,'Schedule 4'!$I$89:$I$649,'Well Cal.'!I$3,'Schedule 4'!$J$89:$J$649,'Well Cal.'!$E597)</f>
        <v>0</v>
      </c>
      <c r="J597" s="727">
        <f>SUMIFS('Schedule 4'!$F$89:$F$649,'Schedule 4'!$I$89:$I$649,'Well Cal.'!J$3,'Schedule 4'!$J$89:$J$649,'Well Cal.'!$E597)</f>
        <v>0</v>
      </c>
      <c r="K597" s="727">
        <f>SUMIFS('Schedule 4'!$F$89:$F$649,'Schedule 4'!$I$89:$I$649,'Well Cal.'!K$3,'Schedule 4'!$J$89:$J$649,'Well Cal.'!$E597)</f>
        <v>0</v>
      </c>
      <c r="L597" s="727">
        <f>SUMIFS('Schedule 4'!$F$89:$F$649,'Schedule 4'!$I$89:$I$649,'Well Cal.'!L$3,'Schedule 4'!$J$89:$J$649,'Well Cal.'!$E597)</f>
        <v>0</v>
      </c>
      <c r="M597" s="727">
        <f>SUMIFS('Schedule 4'!$F$89:$F$649,'Schedule 4'!$I$89:$I$649,'Well Cal.'!M$3,'Schedule 4'!$J$89:$J$649,'Well Cal.'!$E597)</f>
        <v>0</v>
      </c>
      <c r="N597" s="727">
        <f>SUMIFS('Schedule 4'!$F$89:$F$649,'Schedule 4'!$I$89:$I$649,'Well Cal.'!N$3,'Schedule 4'!$J$89:$J$649,'Well Cal.'!$E597)</f>
        <v>0</v>
      </c>
      <c r="O597" s="727">
        <f>SUMIFS('Schedule 4'!$F$89:$F$649,'Schedule 4'!$I$89:$I$649,'Well Cal.'!O$3,'Schedule 4'!$J$89:$J$649,'Well Cal.'!$E597)</f>
        <v>0</v>
      </c>
      <c r="P597" s="727">
        <f>SUMIFS('Schedule 4'!$F$89:$F$649,'Schedule 4'!$I$89:$I$649,'Well Cal.'!P$3,'Schedule 4'!$J$89:$J$649,'Well Cal.'!$E597)</f>
        <v>0</v>
      </c>
      <c r="Q597" s="727">
        <f>SUMIFS('Schedule 4'!$F$89:$F$649,'Schedule 4'!$I$89:$I$649,'Well Cal.'!Q$3,'Schedule 4'!$J$89:$J$649,'Well Cal.'!$E597)</f>
        <v>0</v>
      </c>
      <c r="R597" s="727">
        <f>SUMIFS('Schedule 4'!$F$89:$F$649,'Schedule 4'!$I$89:$I$649,'Well Cal.'!R$3,'Schedule 4'!$J$89:$J$649,'Well Cal.'!$E597)</f>
        <v>0</v>
      </c>
      <c r="S597" s="727">
        <f>SUMIFS('Schedule 4'!$F$89:$F$649,'Schedule 4'!$I$89:$I$649,'Well Cal.'!S$3,'Schedule 4'!$J$89:$J$649,'Well Cal.'!$E597)</f>
        <v>0</v>
      </c>
      <c r="T597" s="727">
        <f>SUMIFS('Schedule 4'!$F$89:$F$649,'Schedule 4'!$I$89:$I$649,'Well Cal.'!T$3,'Schedule 4'!$J$89:$J$649,'Well Cal.'!$E597)</f>
        <v>0</v>
      </c>
      <c r="U597" s="727">
        <f>SUMIFS('Schedule 4'!$F$89:$F$649,'Schedule 4'!$I$89:$I$649,'Well Cal.'!U$3,'Schedule 4'!$J$89:$J$649,'Well Cal.'!$E597)</f>
        <v>0</v>
      </c>
      <c r="V597" s="727">
        <f>SUMIFS('Schedule 4'!$F$89:$F$649,'Schedule 4'!$I$89:$I$649,'Well Cal.'!V$3,'Schedule 4'!$J$89:$J$649,'Well Cal.'!$E597)</f>
        <v>0</v>
      </c>
      <c r="W597" s="727">
        <f>SUMIFS('Schedule 4'!$F$89:$F$649,'Schedule 4'!$I$89:$I$649,'Well Cal.'!W$3,'Schedule 4'!$J$89:$J$649,'Well Cal.'!$E597)</f>
        <v>0</v>
      </c>
      <c r="X597" s="727">
        <f>SUMIFS('Schedule 4'!$F$89:$F$649,'Schedule 4'!$I$89:$I$649,'Well Cal.'!X$3,'Schedule 4'!$J$89:$J$649,'Well Cal.'!$E597)</f>
        <v>0</v>
      </c>
      <c r="Y597" s="727">
        <f>SUMIFS('Schedule 4'!$F$89:$F$649,'Schedule 4'!$I$89:$I$649,'Well Cal.'!Y$3,'Schedule 4'!$J$89:$J$649,'Well Cal.'!$E597)</f>
        <v>0</v>
      </c>
      <c r="Z597" s="727">
        <f>SUMIFS('Schedule 4'!$F$89:$F$649,'Schedule 4'!$I$89:$I$649,'Well Cal.'!Z$3,'Schedule 4'!$J$89:$J$649,'Well Cal.'!$E597)</f>
        <v>0</v>
      </c>
      <c r="AA597" s="727"/>
      <c r="AB597" s="1741"/>
      <c r="AC597" s="1741"/>
    </row>
    <row r="598" spans="2:29" x14ac:dyDescent="0.3">
      <c r="B598" s="1724"/>
      <c r="C598" s="1727"/>
      <c r="D598" s="1721"/>
      <c r="E598" s="775" t="s">
        <v>3929</v>
      </c>
      <c r="F598" s="727">
        <f>SUMIFS('Schedule 4'!$F$89:$F$649,'Schedule 4'!$I$89:$I$649,'Well Cal.'!F$3,'Schedule 4'!$J$89:$J$649,'Well Cal.'!$E598)</f>
        <v>0</v>
      </c>
      <c r="G598" s="727">
        <f>SUMIFS('Schedule 4'!$F$89:$F$649,'Schedule 4'!$I$89:$I$649,'Well Cal.'!G$3,'Schedule 4'!$J$89:$J$649,'Well Cal.'!$E598)</f>
        <v>0</v>
      </c>
      <c r="H598" s="727">
        <f>SUMIFS('Schedule 4'!$F$89:$F$649,'Schedule 4'!$I$89:$I$649,'Well Cal.'!H$3,'Schedule 4'!$J$89:$J$649,'Well Cal.'!$E598)</f>
        <v>0</v>
      </c>
      <c r="I598" s="727">
        <f>SUMIFS('Schedule 4'!$F$89:$F$649,'Schedule 4'!$I$89:$I$649,'Well Cal.'!I$3,'Schedule 4'!$J$89:$J$649,'Well Cal.'!$E598)</f>
        <v>0</v>
      </c>
      <c r="J598" s="727">
        <f>SUMIFS('Schedule 4'!$F$89:$F$649,'Schedule 4'!$I$89:$I$649,'Well Cal.'!J$3,'Schedule 4'!$J$89:$J$649,'Well Cal.'!$E598)</f>
        <v>0</v>
      </c>
      <c r="K598" s="727">
        <f>SUMIFS('Schedule 4'!$F$89:$F$649,'Schedule 4'!$I$89:$I$649,'Well Cal.'!K$3,'Schedule 4'!$J$89:$J$649,'Well Cal.'!$E598)</f>
        <v>0</v>
      </c>
      <c r="L598" s="727">
        <f>SUMIFS('Schedule 4'!$F$89:$F$649,'Schedule 4'!$I$89:$I$649,'Well Cal.'!L$3,'Schedule 4'!$J$89:$J$649,'Well Cal.'!$E598)</f>
        <v>0</v>
      </c>
      <c r="M598" s="727">
        <f>SUMIFS('Schedule 4'!$F$89:$F$649,'Schedule 4'!$I$89:$I$649,'Well Cal.'!M$3,'Schedule 4'!$J$89:$J$649,'Well Cal.'!$E598)</f>
        <v>0</v>
      </c>
      <c r="N598" s="727">
        <f>SUMIFS('Schedule 4'!$F$89:$F$649,'Schedule 4'!$I$89:$I$649,'Well Cal.'!N$3,'Schedule 4'!$J$89:$J$649,'Well Cal.'!$E598)</f>
        <v>0</v>
      </c>
      <c r="O598" s="727">
        <f>SUMIFS('Schedule 4'!$F$89:$F$649,'Schedule 4'!$I$89:$I$649,'Well Cal.'!O$3,'Schedule 4'!$J$89:$J$649,'Well Cal.'!$E598)</f>
        <v>0</v>
      </c>
      <c r="P598" s="727">
        <f>SUMIFS('Schedule 4'!$F$89:$F$649,'Schedule 4'!$I$89:$I$649,'Well Cal.'!P$3,'Schedule 4'!$J$89:$J$649,'Well Cal.'!$E598)</f>
        <v>0</v>
      </c>
      <c r="Q598" s="727">
        <f>SUMIFS('Schedule 4'!$F$89:$F$649,'Schedule 4'!$I$89:$I$649,'Well Cal.'!Q$3,'Schedule 4'!$J$89:$J$649,'Well Cal.'!$E598)</f>
        <v>0</v>
      </c>
      <c r="R598" s="727">
        <f>SUMIFS('Schedule 4'!$F$89:$F$649,'Schedule 4'!$I$89:$I$649,'Well Cal.'!R$3,'Schedule 4'!$J$89:$J$649,'Well Cal.'!$E598)</f>
        <v>0</v>
      </c>
      <c r="S598" s="727">
        <f>SUMIFS('Schedule 4'!$F$89:$F$649,'Schedule 4'!$I$89:$I$649,'Well Cal.'!S$3,'Schedule 4'!$J$89:$J$649,'Well Cal.'!$E598)</f>
        <v>0</v>
      </c>
      <c r="T598" s="727">
        <f>SUMIFS('Schedule 4'!$F$89:$F$649,'Schedule 4'!$I$89:$I$649,'Well Cal.'!T$3,'Schedule 4'!$J$89:$J$649,'Well Cal.'!$E598)</f>
        <v>0</v>
      </c>
      <c r="U598" s="727">
        <f>SUMIFS('Schedule 4'!$F$89:$F$649,'Schedule 4'!$I$89:$I$649,'Well Cal.'!U$3,'Schedule 4'!$J$89:$J$649,'Well Cal.'!$E598)</f>
        <v>0</v>
      </c>
      <c r="V598" s="727">
        <f>SUMIFS('Schedule 4'!$F$89:$F$649,'Schedule 4'!$I$89:$I$649,'Well Cal.'!V$3,'Schedule 4'!$J$89:$J$649,'Well Cal.'!$E598)</f>
        <v>0</v>
      </c>
      <c r="W598" s="727">
        <f>SUMIFS('Schedule 4'!$F$89:$F$649,'Schedule 4'!$I$89:$I$649,'Well Cal.'!W$3,'Schedule 4'!$J$89:$J$649,'Well Cal.'!$E598)</f>
        <v>0</v>
      </c>
      <c r="X598" s="727">
        <f>SUMIFS('Schedule 4'!$F$89:$F$649,'Schedule 4'!$I$89:$I$649,'Well Cal.'!X$3,'Schedule 4'!$J$89:$J$649,'Well Cal.'!$E598)</f>
        <v>0</v>
      </c>
      <c r="Y598" s="727">
        <f>SUMIFS('Schedule 4'!$F$89:$F$649,'Schedule 4'!$I$89:$I$649,'Well Cal.'!Y$3,'Schedule 4'!$J$89:$J$649,'Well Cal.'!$E598)</f>
        <v>0</v>
      </c>
      <c r="Z598" s="727">
        <f>SUMIFS('Schedule 4'!$F$89:$F$649,'Schedule 4'!$I$89:$I$649,'Well Cal.'!Z$3,'Schedule 4'!$J$89:$J$649,'Well Cal.'!$E598)</f>
        <v>0</v>
      </c>
      <c r="AA598" s="727"/>
      <c r="AB598" s="1741"/>
      <c r="AC598" s="1741"/>
    </row>
    <row r="599" spans="2:29" x14ac:dyDescent="0.3">
      <c r="B599" s="1724"/>
      <c r="C599" s="1727"/>
      <c r="D599" s="1721"/>
      <c r="E599" s="775" t="s">
        <v>3999</v>
      </c>
      <c r="F599" s="727">
        <f>SUMIFS('Schedule 4'!$F$89:$F$649,'Schedule 4'!$I$89:$I$649,'Well Cal.'!F$3,'Schedule 4'!$J$89:$J$649,'Well Cal.'!$E599)</f>
        <v>0</v>
      </c>
      <c r="G599" s="727">
        <f>SUMIFS('Schedule 4'!$F$89:$F$649,'Schedule 4'!$I$89:$I$649,'Well Cal.'!G$3,'Schedule 4'!$J$89:$J$649,'Well Cal.'!$E599)</f>
        <v>0</v>
      </c>
      <c r="H599" s="727">
        <f>SUMIFS('Schedule 4'!$F$89:$F$649,'Schedule 4'!$I$89:$I$649,'Well Cal.'!H$3,'Schedule 4'!$J$89:$J$649,'Well Cal.'!$E599)</f>
        <v>0</v>
      </c>
      <c r="I599" s="727">
        <f>SUMIFS('Schedule 4'!$F$89:$F$649,'Schedule 4'!$I$89:$I$649,'Well Cal.'!I$3,'Schedule 4'!$J$89:$J$649,'Well Cal.'!$E599)</f>
        <v>0</v>
      </c>
      <c r="J599" s="727">
        <f>SUMIFS('Schedule 4'!$F$89:$F$649,'Schedule 4'!$I$89:$I$649,'Well Cal.'!J$3,'Schedule 4'!$J$89:$J$649,'Well Cal.'!$E599)</f>
        <v>0</v>
      </c>
      <c r="K599" s="727">
        <f>SUMIFS('Schedule 4'!$F$89:$F$649,'Schedule 4'!$I$89:$I$649,'Well Cal.'!K$3,'Schedule 4'!$J$89:$J$649,'Well Cal.'!$E599)</f>
        <v>0</v>
      </c>
      <c r="L599" s="727">
        <f>SUMIFS('Schedule 4'!$F$89:$F$649,'Schedule 4'!$I$89:$I$649,'Well Cal.'!L$3,'Schedule 4'!$J$89:$J$649,'Well Cal.'!$E599)</f>
        <v>0</v>
      </c>
      <c r="M599" s="727">
        <f>SUMIFS('Schedule 4'!$F$89:$F$649,'Schedule 4'!$I$89:$I$649,'Well Cal.'!M$3,'Schedule 4'!$J$89:$J$649,'Well Cal.'!$E599)</f>
        <v>0</v>
      </c>
      <c r="N599" s="727">
        <f>SUMIFS('Schedule 4'!$F$89:$F$649,'Schedule 4'!$I$89:$I$649,'Well Cal.'!N$3,'Schedule 4'!$J$89:$J$649,'Well Cal.'!$E599)</f>
        <v>0</v>
      </c>
      <c r="O599" s="727">
        <f>SUMIFS('Schedule 4'!$F$89:$F$649,'Schedule 4'!$I$89:$I$649,'Well Cal.'!O$3,'Schedule 4'!$J$89:$J$649,'Well Cal.'!$E599)</f>
        <v>0</v>
      </c>
      <c r="P599" s="727">
        <f>SUMIFS('Schedule 4'!$F$89:$F$649,'Schedule 4'!$I$89:$I$649,'Well Cal.'!P$3,'Schedule 4'!$J$89:$J$649,'Well Cal.'!$E599)</f>
        <v>0</v>
      </c>
      <c r="Q599" s="727">
        <f>SUMIFS('Schedule 4'!$F$89:$F$649,'Schedule 4'!$I$89:$I$649,'Well Cal.'!Q$3,'Schedule 4'!$J$89:$J$649,'Well Cal.'!$E599)</f>
        <v>0</v>
      </c>
      <c r="R599" s="727">
        <f>SUMIFS('Schedule 4'!$F$89:$F$649,'Schedule 4'!$I$89:$I$649,'Well Cal.'!R$3,'Schedule 4'!$J$89:$J$649,'Well Cal.'!$E599)</f>
        <v>0</v>
      </c>
      <c r="S599" s="727">
        <f>SUMIFS('Schedule 4'!$F$89:$F$649,'Schedule 4'!$I$89:$I$649,'Well Cal.'!S$3,'Schedule 4'!$J$89:$J$649,'Well Cal.'!$E599)</f>
        <v>0</v>
      </c>
      <c r="T599" s="727">
        <f>SUMIFS('Schedule 4'!$F$89:$F$649,'Schedule 4'!$I$89:$I$649,'Well Cal.'!T$3,'Schedule 4'!$J$89:$J$649,'Well Cal.'!$E599)</f>
        <v>0</v>
      </c>
      <c r="U599" s="727">
        <f>SUMIFS('Schedule 4'!$F$89:$F$649,'Schedule 4'!$I$89:$I$649,'Well Cal.'!U$3,'Schedule 4'!$J$89:$J$649,'Well Cal.'!$E599)</f>
        <v>0</v>
      </c>
      <c r="V599" s="727">
        <f>SUMIFS('Schedule 4'!$F$89:$F$649,'Schedule 4'!$I$89:$I$649,'Well Cal.'!V$3,'Schedule 4'!$J$89:$J$649,'Well Cal.'!$E599)</f>
        <v>0</v>
      </c>
      <c r="W599" s="727">
        <f>SUMIFS('Schedule 4'!$F$89:$F$649,'Schedule 4'!$I$89:$I$649,'Well Cal.'!W$3,'Schedule 4'!$J$89:$J$649,'Well Cal.'!$E599)</f>
        <v>0</v>
      </c>
      <c r="X599" s="727">
        <f>SUMIFS('Schedule 4'!$F$89:$F$649,'Schedule 4'!$I$89:$I$649,'Well Cal.'!X$3,'Schedule 4'!$J$89:$J$649,'Well Cal.'!$E599)</f>
        <v>0</v>
      </c>
      <c r="Y599" s="727">
        <f>SUMIFS('Schedule 4'!$F$89:$F$649,'Schedule 4'!$I$89:$I$649,'Well Cal.'!Y$3,'Schedule 4'!$J$89:$J$649,'Well Cal.'!$E599)</f>
        <v>0</v>
      </c>
      <c r="Z599" s="727">
        <f>SUMIFS('Schedule 4'!$F$89:$F$649,'Schedule 4'!$I$89:$I$649,'Well Cal.'!Z$3,'Schedule 4'!$J$89:$J$649,'Well Cal.'!$E599)</f>
        <v>0</v>
      </c>
      <c r="AA599" s="727"/>
      <c r="AB599" s="1741"/>
      <c r="AC599" s="1741"/>
    </row>
    <row r="600" spans="2:29" x14ac:dyDescent="0.3">
      <c r="B600" s="1724"/>
      <c r="C600" s="1727"/>
      <c r="D600" s="1721"/>
      <c r="E600" s="775" t="s">
        <v>4072</v>
      </c>
      <c r="F600" s="727">
        <f>SUMIFS('Schedule 4'!$F$89:$F$649,'Schedule 4'!$I$89:$I$649,'Well Cal.'!F$3,'Schedule 4'!$J$89:$J$649,'Well Cal.'!$E600)</f>
        <v>0</v>
      </c>
      <c r="G600" s="727">
        <f>SUMIFS('Schedule 4'!$F$89:$F$649,'Schedule 4'!$I$89:$I$649,'Well Cal.'!G$3,'Schedule 4'!$J$89:$J$649,'Well Cal.'!$E600)</f>
        <v>0</v>
      </c>
      <c r="H600" s="727">
        <f>SUMIFS('Schedule 4'!$F$89:$F$649,'Schedule 4'!$I$89:$I$649,'Well Cal.'!H$3,'Schedule 4'!$J$89:$J$649,'Well Cal.'!$E600)</f>
        <v>0</v>
      </c>
      <c r="I600" s="727">
        <f>SUMIFS('Schedule 4'!$F$89:$F$649,'Schedule 4'!$I$89:$I$649,'Well Cal.'!I$3,'Schedule 4'!$J$89:$J$649,'Well Cal.'!$E600)</f>
        <v>0</v>
      </c>
      <c r="J600" s="727">
        <f>SUMIFS('Schedule 4'!$F$89:$F$649,'Schedule 4'!$I$89:$I$649,'Well Cal.'!J$3,'Schedule 4'!$J$89:$J$649,'Well Cal.'!$E600)</f>
        <v>0</v>
      </c>
      <c r="K600" s="727">
        <f>SUMIFS('Schedule 4'!$F$89:$F$649,'Schedule 4'!$I$89:$I$649,'Well Cal.'!K$3,'Schedule 4'!$J$89:$J$649,'Well Cal.'!$E600)</f>
        <v>0</v>
      </c>
      <c r="L600" s="727">
        <f>SUMIFS('Schedule 4'!$F$89:$F$649,'Schedule 4'!$I$89:$I$649,'Well Cal.'!L$3,'Schedule 4'!$J$89:$J$649,'Well Cal.'!$E600)</f>
        <v>0</v>
      </c>
      <c r="M600" s="727">
        <f>SUMIFS('Schedule 4'!$F$89:$F$649,'Schedule 4'!$I$89:$I$649,'Well Cal.'!M$3,'Schedule 4'!$J$89:$J$649,'Well Cal.'!$E600)</f>
        <v>0</v>
      </c>
      <c r="N600" s="727">
        <f>SUMIFS('Schedule 4'!$F$89:$F$649,'Schedule 4'!$I$89:$I$649,'Well Cal.'!N$3,'Schedule 4'!$J$89:$J$649,'Well Cal.'!$E600)</f>
        <v>0</v>
      </c>
      <c r="O600" s="727">
        <f>SUMIFS('Schedule 4'!$F$89:$F$649,'Schedule 4'!$I$89:$I$649,'Well Cal.'!O$3,'Schedule 4'!$J$89:$J$649,'Well Cal.'!$E600)</f>
        <v>0</v>
      </c>
      <c r="P600" s="727">
        <f>SUMIFS('Schedule 4'!$F$89:$F$649,'Schedule 4'!$I$89:$I$649,'Well Cal.'!P$3,'Schedule 4'!$J$89:$J$649,'Well Cal.'!$E600)</f>
        <v>0</v>
      </c>
      <c r="Q600" s="727">
        <f>SUMIFS('Schedule 4'!$F$89:$F$649,'Schedule 4'!$I$89:$I$649,'Well Cal.'!Q$3,'Schedule 4'!$J$89:$J$649,'Well Cal.'!$E600)</f>
        <v>0</v>
      </c>
      <c r="R600" s="727">
        <f>SUMIFS('Schedule 4'!$F$89:$F$649,'Schedule 4'!$I$89:$I$649,'Well Cal.'!R$3,'Schedule 4'!$J$89:$J$649,'Well Cal.'!$E600)</f>
        <v>0</v>
      </c>
      <c r="S600" s="727">
        <f>SUMIFS('Schedule 4'!$F$89:$F$649,'Schedule 4'!$I$89:$I$649,'Well Cal.'!S$3,'Schedule 4'!$J$89:$J$649,'Well Cal.'!$E600)</f>
        <v>0</v>
      </c>
      <c r="T600" s="727">
        <f>SUMIFS('Schedule 4'!$F$89:$F$649,'Schedule 4'!$I$89:$I$649,'Well Cal.'!T$3,'Schedule 4'!$J$89:$J$649,'Well Cal.'!$E600)</f>
        <v>0</v>
      </c>
      <c r="U600" s="727">
        <f>SUMIFS('Schedule 4'!$F$89:$F$649,'Schedule 4'!$I$89:$I$649,'Well Cal.'!U$3,'Schedule 4'!$J$89:$J$649,'Well Cal.'!$E600)</f>
        <v>0</v>
      </c>
      <c r="V600" s="727">
        <f>SUMIFS('Schedule 4'!$F$89:$F$649,'Schedule 4'!$I$89:$I$649,'Well Cal.'!V$3,'Schedule 4'!$J$89:$J$649,'Well Cal.'!$E600)</f>
        <v>0</v>
      </c>
      <c r="W600" s="727">
        <f>SUMIFS('Schedule 4'!$F$89:$F$649,'Schedule 4'!$I$89:$I$649,'Well Cal.'!W$3,'Schedule 4'!$J$89:$J$649,'Well Cal.'!$E600)</f>
        <v>0</v>
      </c>
      <c r="X600" s="727">
        <f>SUMIFS('Schedule 4'!$F$89:$F$649,'Schedule 4'!$I$89:$I$649,'Well Cal.'!X$3,'Schedule 4'!$J$89:$J$649,'Well Cal.'!$E600)</f>
        <v>0</v>
      </c>
      <c r="Y600" s="727">
        <f>SUMIFS('Schedule 4'!$F$89:$F$649,'Schedule 4'!$I$89:$I$649,'Well Cal.'!Y$3,'Schedule 4'!$J$89:$J$649,'Well Cal.'!$E600)</f>
        <v>0</v>
      </c>
      <c r="Z600" s="727">
        <f>SUMIFS('Schedule 4'!$F$89:$F$649,'Schedule 4'!$I$89:$I$649,'Well Cal.'!Z$3,'Schedule 4'!$J$89:$J$649,'Well Cal.'!$E600)</f>
        <v>0</v>
      </c>
      <c r="AA600" s="727"/>
      <c r="AB600" s="1741"/>
      <c r="AC600" s="1741"/>
    </row>
    <row r="601" spans="2:29" x14ac:dyDescent="0.3">
      <c r="B601" s="1724"/>
      <c r="C601" s="1727"/>
      <c r="D601" s="1721"/>
      <c r="E601" s="775" t="s">
        <v>4145</v>
      </c>
      <c r="F601" s="727">
        <f>SUMIFS('Schedule 4'!$F$89:$F$649,'Schedule 4'!$I$89:$I$649,'Well Cal.'!F$3,'Schedule 4'!$J$89:$J$649,'Well Cal.'!$E601)</f>
        <v>0</v>
      </c>
      <c r="G601" s="727">
        <f>SUMIFS('Schedule 4'!$F$89:$F$649,'Schedule 4'!$I$89:$I$649,'Well Cal.'!G$3,'Schedule 4'!$J$89:$J$649,'Well Cal.'!$E601)</f>
        <v>0</v>
      </c>
      <c r="H601" s="727">
        <f>SUMIFS('Schedule 4'!$F$89:$F$649,'Schedule 4'!$I$89:$I$649,'Well Cal.'!H$3,'Schedule 4'!$J$89:$J$649,'Well Cal.'!$E601)</f>
        <v>0</v>
      </c>
      <c r="I601" s="727">
        <f>SUMIFS('Schedule 4'!$F$89:$F$649,'Schedule 4'!$I$89:$I$649,'Well Cal.'!I$3,'Schedule 4'!$J$89:$J$649,'Well Cal.'!$E601)</f>
        <v>0</v>
      </c>
      <c r="J601" s="727">
        <f>SUMIFS('Schedule 4'!$F$89:$F$649,'Schedule 4'!$I$89:$I$649,'Well Cal.'!J$3,'Schedule 4'!$J$89:$J$649,'Well Cal.'!$E601)</f>
        <v>0</v>
      </c>
      <c r="K601" s="727">
        <f>SUMIFS('Schedule 4'!$F$89:$F$649,'Schedule 4'!$I$89:$I$649,'Well Cal.'!K$3,'Schedule 4'!$J$89:$J$649,'Well Cal.'!$E601)</f>
        <v>0</v>
      </c>
      <c r="L601" s="727">
        <f>SUMIFS('Schedule 4'!$F$89:$F$649,'Schedule 4'!$I$89:$I$649,'Well Cal.'!L$3,'Schedule 4'!$J$89:$J$649,'Well Cal.'!$E601)</f>
        <v>0</v>
      </c>
      <c r="M601" s="727">
        <f>SUMIFS('Schedule 4'!$F$89:$F$649,'Schedule 4'!$I$89:$I$649,'Well Cal.'!M$3,'Schedule 4'!$J$89:$J$649,'Well Cal.'!$E601)</f>
        <v>0</v>
      </c>
      <c r="N601" s="727">
        <f>SUMIFS('Schedule 4'!$F$89:$F$649,'Schedule 4'!$I$89:$I$649,'Well Cal.'!N$3,'Schedule 4'!$J$89:$J$649,'Well Cal.'!$E601)</f>
        <v>0</v>
      </c>
      <c r="O601" s="727">
        <f>SUMIFS('Schedule 4'!$F$89:$F$649,'Schedule 4'!$I$89:$I$649,'Well Cal.'!O$3,'Schedule 4'!$J$89:$J$649,'Well Cal.'!$E601)</f>
        <v>0</v>
      </c>
      <c r="P601" s="727">
        <f>SUMIFS('Schedule 4'!$F$89:$F$649,'Schedule 4'!$I$89:$I$649,'Well Cal.'!P$3,'Schedule 4'!$J$89:$J$649,'Well Cal.'!$E601)</f>
        <v>0</v>
      </c>
      <c r="Q601" s="727">
        <f>SUMIFS('Schedule 4'!$F$89:$F$649,'Schedule 4'!$I$89:$I$649,'Well Cal.'!Q$3,'Schedule 4'!$J$89:$J$649,'Well Cal.'!$E601)</f>
        <v>0</v>
      </c>
      <c r="R601" s="727">
        <f>SUMIFS('Schedule 4'!$F$89:$F$649,'Schedule 4'!$I$89:$I$649,'Well Cal.'!R$3,'Schedule 4'!$J$89:$J$649,'Well Cal.'!$E601)</f>
        <v>0</v>
      </c>
      <c r="S601" s="727">
        <f>SUMIFS('Schedule 4'!$F$89:$F$649,'Schedule 4'!$I$89:$I$649,'Well Cal.'!S$3,'Schedule 4'!$J$89:$J$649,'Well Cal.'!$E601)</f>
        <v>0</v>
      </c>
      <c r="T601" s="727">
        <f>SUMIFS('Schedule 4'!$F$89:$F$649,'Schedule 4'!$I$89:$I$649,'Well Cal.'!T$3,'Schedule 4'!$J$89:$J$649,'Well Cal.'!$E601)</f>
        <v>0</v>
      </c>
      <c r="U601" s="727">
        <f>SUMIFS('Schedule 4'!$F$89:$F$649,'Schedule 4'!$I$89:$I$649,'Well Cal.'!U$3,'Schedule 4'!$J$89:$J$649,'Well Cal.'!$E601)</f>
        <v>0</v>
      </c>
      <c r="V601" s="727">
        <f>SUMIFS('Schedule 4'!$F$89:$F$649,'Schedule 4'!$I$89:$I$649,'Well Cal.'!V$3,'Schedule 4'!$J$89:$J$649,'Well Cal.'!$E601)</f>
        <v>0</v>
      </c>
      <c r="W601" s="727">
        <f>SUMIFS('Schedule 4'!$F$89:$F$649,'Schedule 4'!$I$89:$I$649,'Well Cal.'!W$3,'Schedule 4'!$J$89:$J$649,'Well Cal.'!$E601)</f>
        <v>0</v>
      </c>
      <c r="X601" s="727">
        <f>SUMIFS('Schedule 4'!$F$89:$F$649,'Schedule 4'!$I$89:$I$649,'Well Cal.'!X$3,'Schedule 4'!$J$89:$J$649,'Well Cal.'!$E601)</f>
        <v>0</v>
      </c>
      <c r="Y601" s="727">
        <f>SUMIFS('Schedule 4'!$F$89:$F$649,'Schedule 4'!$I$89:$I$649,'Well Cal.'!Y$3,'Schedule 4'!$J$89:$J$649,'Well Cal.'!$E601)</f>
        <v>0</v>
      </c>
      <c r="Z601" s="727">
        <f>SUMIFS('Schedule 4'!$F$89:$F$649,'Schedule 4'!$I$89:$I$649,'Well Cal.'!Z$3,'Schedule 4'!$J$89:$J$649,'Well Cal.'!$E601)</f>
        <v>0</v>
      </c>
      <c r="AA601" s="727"/>
      <c r="AB601" s="1741"/>
      <c r="AC601" s="1741"/>
    </row>
    <row r="602" spans="2:29" x14ac:dyDescent="0.3">
      <c r="B602" s="1724"/>
      <c r="C602" s="1727"/>
      <c r="D602" s="1721"/>
      <c r="E602" s="775" t="s">
        <v>4217</v>
      </c>
      <c r="F602" s="727">
        <f>SUMIFS('Schedule 4'!$F$89:$F$649,'Schedule 4'!$I$89:$I$649,'Well Cal.'!F$3,'Schedule 4'!$J$89:$J$649,'Well Cal.'!$E602)</f>
        <v>0</v>
      </c>
      <c r="G602" s="727">
        <f>SUMIFS('Schedule 4'!$F$89:$F$649,'Schedule 4'!$I$89:$I$649,'Well Cal.'!G$3,'Schedule 4'!$J$89:$J$649,'Well Cal.'!$E602)</f>
        <v>0</v>
      </c>
      <c r="H602" s="727">
        <f>SUMIFS('Schedule 4'!$F$89:$F$649,'Schedule 4'!$I$89:$I$649,'Well Cal.'!H$3,'Schedule 4'!$J$89:$J$649,'Well Cal.'!$E602)</f>
        <v>0</v>
      </c>
      <c r="I602" s="727">
        <f>SUMIFS('Schedule 4'!$F$89:$F$649,'Schedule 4'!$I$89:$I$649,'Well Cal.'!I$3,'Schedule 4'!$J$89:$J$649,'Well Cal.'!$E602)</f>
        <v>0</v>
      </c>
      <c r="J602" s="727">
        <f>SUMIFS('Schedule 4'!$F$89:$F$649,'Schedule 4'!$I$89:$I$649,'Well Cal.'!J$3,'Schedule 4'!$J$89:$J$649,'Well Cal.'!$E602)</f>
        <v>0</v>
      </c>
      <c r="K602" s="727">
        <f>SUMIFS('Schedule 4'!$F$89:$F$649,'Schedule 4'!$I$89:$I$649,'Well Cal.'!K$3,'Schedule 4'!$J$89:$J$649,'Well Cal.'!$E602)</f>
        <v>0</v>
      </c>
      <c r="L602" s="727">
        <f>SUMIFS('Schedule 4'!$F$89:$F$649,'Schedule 4'!$I$89:$I$649,'Well Cal.'!L$3,'Schedule 4'!$J$89:$J$649,'Well Cal.'!$E602)</f>
        <v>0</v>
      </c>
      <c r="M602" s="727">
        <f>SUMIFS('Schedule 4'!$F$89:$F$649,'Schedule 4'!$I$89:$I$649,'Well Cal.'!M$3,'Schedule 4'!$J$89:$J$649,'Well Cal.'!$E602)</f>
        <v>0</v>
      </c>
      <c r="N602" s="727">
        <f>SUMIFS('Schedule 4'!$F$89:$F$649,'Schedule 4'!$I$89:$I$649,'Well Cal.'!N$3,'Schedule 4'!$J$89:$J$649,'Well Cal.'!$E602)</f>
        <v>0</v>
      </c>
      <c r="O602" s="727">
        <f>SUMIFS('Schedule 4'!$F$89:$F$649,'Schedule 4'!$I$89:$I$649,'Well Cal.'!O$3,'Schedule 4'!$J$89:$J$649,'Well Cal.'!$E602)</f>
        <v>0</v>
      </c>
      <c r="P602" s="727">
        <f>SUMIFS('Schedule 4'!$F$89:$F$649,'Schedule 4'!$I$89:$I$649,'Well Cal.'!P$3,'Schedule 4'!$J$89:$J$649,'Well Cal.'!$E602)</f>
        <v>0</v>
      </c>
      <c r="Q602" s="727">
        <f>SUMIFS('Schedule 4'!$F$89:$F$649,'Schedule 4'!$I$89:$I$649,'Well Cal.'!Q$3,'Schedule 4'!$J$89:$J$649,'Well Cal.'!$E602)</f>
        <v>0</v>
      </c>
      <c r="R602" s="727">
        <f>SUMIFS('Schedule 4'!$F$89:$F$649,'Schedule 4'!$I$89:$I$649,'Well Cal.'!R$3,'Schedule 4'!$J$89:$J$649,'Well Cal.'!$E602)</f>
        <v>0</v>
      </c>
      <c r="S602" s="727">
        <f>SUMIFS('Schedule 4'!$F$89:$F$649,'Schedule 4'!$I$89:$I$649,'Well Cal.'!S$3,'Schedule 4'!$J$89:$J$649,'Well Cal.'!$E602)</f>
        <v>0</v>
      </c>
      <c r="T602" s="727">
        <f>SUMIFS('Schedule 4'!$F$89:$F$649,'Schedule 4'!$I$89:$I$649,'Well Cal.'!T$3,'Schedule 4'!$J$89:$J$649,'Well Cal.'!$E602)</f>
        <v>0</v>
      </c>
      <c r="U602" s="727">
        <f>SUMIFS('Schedule 4'!$F$89:$F$649,'Schedule 4'!$I$89:$I$649,'Well Cal.'!U$3,'Schedule 4'!$J$89:$J$649,'Well Cal.'!$E602)</f>
        <v>0</v>
      </c>
      <c r="V602" s="727">
        <f>SUMIFS('Schedule 4'!$F$89:$F$649,'Schedule 4'!$I$89:$I$649,'Well Cal.'!V$3,'Schedule 4'!$J$89:$J$649,'Well Cal.'!$E602)</f>
        <v>0</v>
      </c>
      <c r="W602" s="727">
        <f>SUMIFS('Schedule 4'!$F$89:$F$649,'Schedule 4'!$I$89:$I$649,'Well Cal.'!W$3,'Schedule 4'!$J$89:$J$649,'Well Cal.'!$E602)</f>
        <v>0</v>
      </c>
      <c r="X602" s="727">
        <f>SUMIFS('Schedule 4'!$F$89:$F$649,'Schedule 4'!$I$89:$I$649,'Well Cal.'!X$3,'Schedule 4'!$J$89:$J$649,'Well Cal.'!$E602)</f>
        <v>0</v>
      </c>
      <c r="Y602" s="727">
        <f>SUMIFS('Schedule 4'!$F$89:$F$649,'Schedule 4'!$I$89:$I$649,'Well Cal.'!Y$3,'Schedule 4'!$J$89:$J$649,'Well Cal.'!$E602)</f>
        <v>0</v>
      </c>
      <c r="Z602" s="727">
        <f>SUMIFS('Schedule 4'!$F$89:$F$649,'Schedule 4'!$I$89:$I$649,'Well Cal.'!Z$3,'Schedule 4'!$J$89:$J$649,'Well Cal.'!$E602)</f>
        <v>0</v>
      </c>
      <c r="AA602" s="727"/>
      <c r="AB602" s="1741"/>
      <c r="AC602" s="1741"/>
    </row>
    <row r="603" spans="2:29" x14ac:dyDescent="0.3">
      <c r="B603" s="1724"/>
      <c r="C603" s="1727"/>
      <c r="D603" s="1721"/>
      <c r="E603" s="775" t="s">
        <v>4287</v>
      </c>
      <c r="F603" s="727">
        <f>SUMIFS('Schedule 4'!$F$89:$F$649,'Schedule 4'!$I$89:$I$649,'Well Cal.'!F$3,'Schedule 4'!$J$89:$J$649,'Well Cal.'!$E603)</f>
        <v>0</v>
      </c>
      <c r="G603" s="727">
        <f>SUMIFS('Schedule 4'!$F$89:$F$649,'Schedule 4'!$I$89:$I$649,'Well Cal.'!G$3,'Schedule 4'!$J$89:$J$649,'Well Cal.'!$E603)</f>
        <v>0</v>
      </c>
      <c r="H603" s="727">
        <f>SUMIFS('Schedule 4'!$F$89:$F$649,'Schedule 4'!$I$89:$I$649,'Well Cal.'!H$3,'Schedule 4'!$J$89:$J$649,'Well Cal.'!$E603)</f>
        <v>0</v>
      </c>
      <c r="I603" s="727">
        <f>SUMIFS('Schedule 4'!$F$89:$F$649,'Schedule 4'!$I$89:$I$649,'Well Cal.'!I$3,'Schedule 4'!$J$89:$J$649,'Well Cal.'!$E603)</f>
        <v>0</v>
      </c>
      <c r="J603" s="727">
        <f>SUMIFS('Schedule 4'!$F$89:$F$649,'Schedule 4'!$I$89:$I$649,'Well Cal.'!J$3,'Schedule 4'!$J$89:$J$649,'Well Cal.'!$E603)</f>
        <v>0</v>
      </c>
      <c r="K603" s="727">
        <f>SUMIFS('Schedule 4'!$F$89:$F$649,'Schedule 4'!$I$89:$I$649,'Well Cal.'!K$3,'Schedule 4'!$J$89:$J$649,'Well Cal.'!$E603)</f>
        <v>0</v>
      </c>
      <c r="L603" s="727">
        <f>SUMIFS('Schedule 4'!$F$89:$F$649,'Schedule 4'!$I$89:$I$649,'Well Cal.'!L$3,'Schedule 4'!$J$89:$J$649,'Well Cal.'!$E603)</f>
        <v>0</v>
      </c>
      <c r="M603" s="727">
        <f>SUMIFS('Schedule 4'!$F$89:$F$649,'Schedule 4'!$I$89:$I$649,'Well Cal.'!M$3,'Schedule 4'!$J$89:$J$649,'Well Cal.'!$E603)</f>
        <v>0</v>
      </c>
      <c r="N603" s="727">
        <f>SUMIFS('Schedule 4'!$F$89:$F$649,'Schedule 4'!$I$89:$I$649,'Well Cal.'!N$3,'Schedule 4'!$J$89:$J$649,'Well Cal.'!$E603)</f>
        <v>0</v>
      </c>
      <c r="O603" s="727">
        <f>SUMIFS('Schedule 4'!$F$89:$F$649,'Schedule 4'!$I$89:$I$649,'Well Cal.'!O$3,'Schedule 4'!$J$89:$J$649,'Well Cal.'!$E603)</f>
        <v>0</v>
      </c>
      <c r="P603" s="727">
        <f>SUMIFS('Schedule 4'!$F$89:$F$649,'Schedule 4'!$I$89:$I$649,'Well Cal.'!P$3,'Schedule 4'!$J$89:$J$649,'Well Cal.'!$E603)</f>
        <v>0</v>
      </c>
      <c r="Q603" s="727">
        <f>SUMIFS('Schedule 4'!$F$89:$F$649,'Schedule 4'!$I$89:$I$649,'Well Cal.'!Q$3,'Schedule 4'!$J$89:$J$649,'Well Cal.'!$E603)</f>
        <v>0</v>
      </c>
      <c r="R603" s="727">
        <f>SUMIFS('Schedule 4'!$F$89:$F$649,'Schedule 4'!$I$89:$I$649,'Well Cal.'!R$3,'Schedule 4'!$J$89:$J$649,'Well Cal.'!$E603)</f>
        <v>0</v>
      </c>
      <c r="S603" s="727">
        <f>SUMIFS('Schedule 4'!$F$89:$F$649,'Schedule 4'!$I$89:$I$649,'Well Cal.'!S$3,'Schedule 4'!$J$89:$J$649,'Well Cal.'!$E603)</f>
        <v>0</v>
      </c>
      <c r="T603" s="727">
        <f>SUMIFS('Schedule 4'!$F$89:$F$649,'Schedule 4'!$I$89:$I$649,'Well Cal.'!T$3,'Schedule 4'!$J$89:$J$649,'Well Cal.'!$E603)</f>
        <v>0</v>
      </c>
      <c r="U603" s="727">
        <f>SUMIFS('Schedule 4'!$F$89:$F$649,'Schedule 4'!$I$89:$I$649,'Well Cal.'!U$3,'Schedule 4'!$J$89:$J$649,'Well Cal.'!$E603)</f>
        <v>0</v>
      </c>
      <c r="V603" s="727">
        <f>SUMIFS('Schedule 4'!$F$89:$F$649,'Schedule 4'!$I$89:$I$649,'Well Cal.'!V$3,'Schedule 4'!$J$89:$J$649,'Well Cal.'!$E603)</f>
        <v>0</v>
      </c>
      <c r="W603" s="727">
        <f>SUMIFS('Schedule 4'!$F$89:$F$649,'Schedule 4'!$I$89:$I$649,'Well Cal.'!W$3,'Schedule 4'!$J$89:$J$649,'Well Cal.'!$E603)</f>
        <v>0</v>
      </c>
      <c r="X603" s="727">
        <f>SUMIFS('Schedule 4'!$F$89:$F$649,'Schedule 4'!$I$89:$I$649,'Well Cal.'!X$3,'Schedule 4'!$J$89:$J$649,'Well Cal.'!$E603)</f>
        <v>0</v>
      </c>
      <c r="Y603" s="727">
        <f>SUMIFS('Schedule 4'!$F$89:$F$649,'Schedule 4'!$I$89:$I$649,'Well Cal.'!Y$3,'Schedule 4'!$J$89:$J$649,'Well Cal.'!$E603)</f>
        <v>0</v>
      </c>
      <c r="Z603" s="727">
        <f>SUMIFS('Schedule 4'!$F$89:$F$649,'Schedule 4'!$I$89:$I$649,'Well Cal.'!Z$3,'Schedule 4'!$J$89:$J$649,'Well Cal.'!$E603)</f>
        <v>0</v>
      </c>
      <c r="AA603" s="727"/>
      <c r="AB603" s="1741"/>
      <c r="AC603" s="1741"/>
    </row>
    <row r="604" spans="2:29" x14ac:dyDescent="0.3">
      <c r="B604" s="1724"/>
      <c r="C604" s="1727"/>
      <c r="D604" s="1721"/>
      <c r="E604" s="775" t="s">
        <v>4355</v>
      </c>
      <c r="F604" s="727">
        <f>SUMIFS('Schedule 4'!$F$89:$F$649,'Schedule 4'!$I$89:$I$649,'Well Cal.'!F$3,'Schedule 4'!$J$89:$J$649,'Well Cal.'!$E604)</f>
        <v>0</v>
      </c>
      <c r="G604" s="727">
        <f>SUMIFS('Schedule 4'!$F$89:$F$649,'Schedule 4'!$I$89:$I$649,'Well Cal.'!G$3,'Schedule 4'!$J$89:$J$649,'Well Cal.'!$E604)</f>
        <v>0</v>
      </c>
      <c r="H604" s="727">
        <f>SUMIFS('Schedule 4'!$F$89:$F$649,'Schedule 4'!$I$89:$I$649,'Well Cal.'!H$3,'Schedule 4'!$J$89:$J$649,'Well Cal.'!$E604)</f>
        <v>0</v>
      </c>
      <c r="I604" s="727">
        <f>SUMIFS('Schedule 4'!$F$89:$F$649,'Schedule 4'!$I$89:$I$649,'Well Cal.'!I$3,'Schedule 4'!$J$89:$J$649,'Well Cal.'!$E604)</f>
        <v>0</v>
      </c>
      <c r="J604" s="727">
        <f>SUMIFS('Schedule 4'!$F$89:$F$649,'Schedule 4'!$I$89:$I$649,'Well Cal.'!J$3,'Schedule 4'!$J$89:$J$649,'Well Cal.'!$E604)</f>
        <v>0</v>
      </c>
      <c r="K604" s="727">
        <f>SUMIFS('Schedule 4'!$F$89:$F$649,'Schedule 4'!$I$89:$I$649,'Well Cal.'!K$3,'Schedule 4'!$J$89:$J$649,'Well Cal.'!$E604)</f>
        <v>0</v>
      </c>
      <c r="L604" s="727">
        <f>SUMIFS('Schedule 4'!$F$89:$F$649,'Schedule 4'!$I$89:$I$649,'Well Cal.'!L$3,'Schedule 4'!$J$89:$J$649,'Well Cal.'!$E604)</f>
        <v>0</v>
      </c>
      <c r="M604" s="727">
        <f>SUMIFS('Schedule 4'!$F$89:$F$649,'Schedule 4'!$I$89:$I$649,'Well Cal.'!M$3,'Schedule 4'!$J$89:$J$649,'Well Cal.'!$E604)</f>
        <v>0</v>
      </c>
      <c r="N604" s="727">
        <f>SUMIFS('Schedule 4'!$F$89:$F$649,'Schedule 4'!$I$89:$I$649,'Well Cal.'!N$3,'Schedule 4'!$J$89:$J$649,'Well Cal.'!$E604)</f>
        <v>0</v>
      </c>
      <c r="O604" s="727">
        <f>SUMIFS('Schedule 4'!$F$89:$F$649,'Schedule 4'!$I$89:$I$649,'Well Cal.'!O$3,'Schedule 4'!$J$89:$J$649,'Well Cal.'!$E604)</f>
        <v>0</v>
      </c>
      <c r="P604" s="727">
        <f>SUMIFS('Schedule 4'!$F$89:$F$649,'Schedule 4'!$I$89:$I$649,'Well Cal.'!P$3,'Schedule 4'!$J$89:$J$649,'Well Cal.'!$E604)</f>
        <v>0</v>
      </c>
      <c r="Q604" s="727">
        <f>SUMIFS('Schedule 4'!$F$89:$F$649,'Schedule 4'!$I$89:$I$649,'Well Cal.'!Q$3,'Schedule 4'!$J$89:$J$649,'Well Cal.'!$E604)</f>
        <v>0</v>
      </c>
      <c r="R604" s="727">
        <f>SUMIFS('Schedule 4'!$F$89:$F$649,'Schedule 4'!$I$89:$I$649,'Well Cal.'!R$3,'Schedule 4'!$J$89:$J$649,'Well Cal.'!$E604)</f>
        <v>0</v>
      </c>
      <c r="S604" s="727">
        <f>SUMIFS('Schedule 4'!$F$89:$F$649,'Schedule 4'!$I$89:$I$649,'Well Cal.'!S$3,'Schedule 4'!$J$89:$J$649,'Well Cal.'!$E604)</f>
        <v>0</v>
      </c>
      <c r="T604" s="727">
        <f>SUMIFS('Schedule 4'!$F$89:$F$649,'Schedule 4'!$I$89:$I$649,'Well Cal.'!T$3,'Schedule 4'!$J$89:$J$649,'Well Cal.'!$E604)</f>
        <v>0</v>
      </c>
      <c r="U604" s="727">
        <f>SUMIFS('Schedule 4'!$F$89:$F$649,'Schedule 4'!$I$89:$I$649,'Well Cal.'!U$3,'Schedule 4'!$J$89:$J$649,'Well Cal.'!$E604)</f>
        <v>0</v>
      </c>
      <c r="V604" s="727">
        <f>SUMIFS('Schedule 4'!$F$89:$F$649,'Schedule 4'!$I$89:$I$649,'Well Cal.'!V$3,'Schedule 4'!$J$89:$J$649,'Well Cal.'!$E604)</f>
        <v>0</v>
      </c>
      <c r="W604" s="727">
        <f>SUMIFS('Schedule 4'!$F$89:$F$649,'Schedule 4'!$I$89:$I$649,'Well Cal.'!W$3,'Schedule 4'!$J$89:$J$649,'Well Cal.'!$E604)</f>
        <v>0</v>
      </c>
      <c r="X604" s="727">
        <f>SUMIFS('Schedule 4'!$F$89:$F$649,'Schedule 4'!$I$89:$I$649,'Well Cal.'!X$3,'Schedule 4'!$J$89:$J$649,'Well Cal.'!$E604)</f>
        <v>0</v>
      </c>
      <c r="Y604" s="727">
        <f>SUMIFS('Schedule 4'!$F$89:$F$649,'Schedule 4'!$I$89:$I$649,'Well Cal.'!Y$3,'Schedule 4'!$J$89:$J$649,'Well Cal.'!$E604)</f>
        <v>0</v>
      </c>
      <c r="Z604" s="727">
        <f>SUMIFS('Schedule 4'!$F$89:$F$649,'Schedule 4'!$I$89:$I$649,'Well Cal.'!Z$3,'Schedule 4'!$J$89:$J$649,'Well Cal.'!$E604)</f>
        <v>0</v>
      </c>
      <c r="AA604" s="727"/>
      <c r="AB604" s="1741"/>
      <c r="AC604" s="1741"/>
    </row>
    <row r="605" spans="2:29" x14ac:dyDescent="0.3">
      <c r="B605" s="1724"/>
      <c r="C605" s="1727"/>
      <c r="D605" s="1721"/>
      <c r="E605" s="775" t="s">
        <v>4417</v>
      </c>
      <c r="F605" s="727">
        <f>SUMIFS('Schedule 4'!$F$89:$F$649,'Schedule 4'!$I$89:$I$649,'Well Cal.'!F$3,'Schedule 4'!$J$89:$J$649,'Well Cal.'!$E605)</f>
        <v>0</v>
      </c>
      <c r="G605" s="727">
        <f>SUMIFS('Schedule 4'!$F$89:$F$649,'Schedule 4'!$I$89:$I$649,'Well Cal.'!G$3,'Schedule 4'!$J$89:$J$649,'Well Cal.'!$E605)</f>
        <v>0</v>
      </c>
      <c r="H605" s="727">
        <f>SUMIFS('Schedule 4'!$F$89:$F$649,'Schedule 4'!$I$89:$I$649,'Well Cal.'!H$3,'Schedule 4'!$J$89:$J$649,'Well Cal.'!$E605)</f>
        <v>0</v>
      </c>
      <c r="I605" s="727">
        <f>SUMIFS('Schedule 4'!$F$89:$F$649,'Schedule 4'!$I$89:$I$649,'Well Cal.'!I$3,'Schedule 4'!$J$89:$J$649,'Well Cal.'!$E605)</f>
        <v>0</v>
      </c>
      <c r="J605" s="727">
        <f>SUMIFS('Schedule 4'!$F$89:$F$649,'Schedule 4'!$I$89:$I$649,'Well Cal.'!J$3,'Schedule 4'!$J$89:$J$649,'Well Cal.'!$E605)</f>
        <v>0</v>
      </c>
      <c r="K605" s="727">
        <f>SUMIFS('Schedule 4'!$F$89:$F$649,'Schedule 4'!$I$89:$I$649,'Well Cal.'!K$3,'Schedule 4'!$J$89:$J$649,'Well Cal.'!$E605)</f>
        <v>0</v>
      </c>
      <c r="L605" s="727">
        <f>SUMIFS('Schedule 4'!$F$89:$F$649,'Schedule 4'!$I$89:$I$649,'Well Cal.'!L$3,'Schedule 4'!$J$89:$J$649,'Well Cal.'!$E605)</f>
        <v>0</v>
      </c>
      <c r="M605" s="727">
        <f>SUMIFS('Schedule 4'!$F$89:$F$649,'Schedule 4'!$I$89:$I$649,'Well Cal.'!M$3,'Schedule 4'!$J$89:$J$649,'Well Cal.'!$E605)</f>
        <v>0</v>
      </c>
      <c r="N605" s="727">
        <f>SUMIFS('Schedule 4'!$F$89:$F$649,'Schedule 4'!$I$89:$I$649,'Well Cal.'!N$3,'Schedule 4'!$J$89:$J$649,'Well Cal.'!$E605)</f>
        <v>0</v>
      </c>
      <c r="O605" s="727">
        <f>SUMIFS('Schedule 4'!$F$89:$F$649,'Schedule 4'!$I$89:$I$649,'Well Cal.'!O$3,'Schedule 4'!$J$89:$J$649,'Well Cal.'!$E605)</f>
        <v>0</v>
      </c>
      <c r="P605" s="727">
        <f>SUMIFS('Schedule 4'!$F$89:$F$649,'Schedule 4'!$I$89:$I$649,'Well Cal.'!P$3,'Schedule 4'!$J$89:$J$649,'Well Cal.'!$E605)</f>
        <v>0</v>
      </c>
      <c r="Q605" s="727">
        <f>SUMIFS('Schedule 4'!$F$89:$F$649,'Schedule 4'!$I$89:$I$649,'Well Cal.'!Q$3,'Schedule 4'!$J$89:$J$649,'Well Cal.'!$E605)</f>
        <v>0</v>
      </c>
      <c r="R605" s="727">
        <f>SUMIFS('Schedule 4'!$F$89:$F$649,'Schedule 4'!$I$89:$I$649,'Well Cal.'!R$3,'Schedule 4'!$J$89:$J$649,'Well Cal.'!$E605)</f>
        <v>0</v>
      </c>
      <c r="S605" s="727">
        <f>SUMIFS('Schedule 4'!$F$89:$F$649,'Schedule 4'!$I$89:$I$649,'Well Cal.'!S$3,'Schedule 4'!$J$89:$J$649,'Well Cal.'!$E605)</f>
        <v>0</v>
      </c>
      <c r="T605" s="727">
        <f>SUMIFS('Schedule 4'!$F$89:$F$649,'Schedule 4'!$I$89:$I$649,'Well Cal.'!T$3,'Schedule 4'!$J$89:$J$649,'Well Cal.'!$E605)</f>
        <v>0</v>
      </c>
      <c r="U605" s="727">
        <f>SUMIFS('Schedule 4'!$F$89:$F$649,'Schedule 4'!$I$89:$I$649,'Well Cal.'!U$3,'Schedule 4'!$J$89:$J$649,'Well Cal.'!$E605)</f>
        <v>0</v>
      </c>
      <c r="V605" s="727">
        <f>SUMIFS('Schedule 4'!$F$89:$F$649,'Schedule 4'!$I$89:$I$649,'Well Cal.'!V$3,'Schedule 4'!$J$89:$J$649,'Well Cal.'!$E605)</f>
        <v>0</v>
      </c>
      <c r="W605" s="727">
        <f>SUMIFS('Schedule 4'!$F$89:$F$649,'Schedule 4'!$I$89:$I$649,'Well Cal.'!W$3,'Schedule 4'!$J$89:$J$649,'Well Cal.'!$E605)</f>
        <v>0</v>
      </c>
      <c r="X605" s="727">
        <f>SUMIFS('Schedule 4'!$F$89:$F$649,'Schedule 4'!$I$89:$I$649,'Well Cal.'!X$3,'Schedule 4'!$J$89:$J$649,'Well Cal.'!$E605)</f>
        <v>0</v>
      </c>
      <c r="Y605" s="727">
        <f>SUMIFS('Schedule 4'!$F$89:$F$649,'Schedule 4'!$I$89:$I$649,'Well Cal.'!Y$3,'Schedule 4'!$J$89:$J$649,'Well Cal.'!$E605)</f>
        <v>0</v>
      </c>
      <c r="Z605" s="727">
        <f>SUMIFS('Schedule 4'!$F$89:$F$649,'Schedule 4'!$I$89:$I$649,'Well Cal.'!Z$3,'Schedule 4'!$J$89:$J$649,'Well Cal.'!$E605)</f>
        <v>0</v>
      </c>
      <c r="AA605" s="727"/>
      <c r="AB605" s="1741"/>
      <c r="AC605" s="1741"/>
    </row>
    <row r="606" spans="2:29" x14ac:dyDescent="0.3">
      <c r="B606" s="1724"/>
      <c r="C606" s="1727"/>
      <c r="D606" s="1721"/>
      <c r="E606" s="775" t="s">
        <v>6125</v>
      </c>
      <c r="F606" s="727">
        <f>SUMIFS('Schedule 4'!$F$89:$F$649,'Schedule 4'!$I$89:$I$649,'Well Cal.'!F$3,'Schedule 4'!$J$89:$J$649,'Well Cal.'!$E606)</f>
        <v>0</v>
      </c>
      <c r="G606" s="727">
        <f>SUMIFS('Schedule 4'!$F$89:$F$649,'Schedule 4'!$I$89:$I$649,'Well Cal.'!G$3,'Schedule 4'!$J$89:$J$649,'Well Cal.'!$E606)</f>
        <v>0</v>
      </c>
      <c r="H606" s="727">
        <f>SUMIFS('Schedule 4'!$F$89:$F$649,'Schedule 4'!$I$89:$I$649,'Well Cal.'!H$3,'Schedule 4'!$J$89:$J$649,'Well Cal.'!$E606)</f>
        <v>0</v>
      </c>
      <c r="I606" s="727">
        <f>SUMIFS('Schedule 4'!$F$89:$F$649,'Schedule 4'!$I$89:$I$649,'Well Cal.'!I$3,'Schedule 4'!$J$89:$J$649,'Well Cal.'!$E606)</f>
        <v>0</v>
      </c>
      <c r="J606" s="727">
        <f>SUMIFS('Schedule 4'!$F$89:$F$649,'Schedule 4'!$I$89:$I$649,'Well Cal.'!J$3,'Schedule 4'!$J$89:$J$649,'Well Cal.'!$E606)</f>
        <v>0</v>
      </c>
      <c r="K606" s="727">
        <f>SUMIFS('Schedule 4'!$F$89:$F$649,'Schedule 4'!$I$89:$I$649,'Well Cal.'!K$3,'Schedule 4'!$J$89:$J$649,'Well Cal.'!$E606)</f>
        <v>0</v>
      </c>
      <c r="L606" s="727">
        <f>SUMIFS('Schedule 4'!$F$89:$F$649,'Schedule 4'!$I$89:$I$649,'Well Cal.'!L$3,'Schedule 4'!$J$89:$J$649,'Well Cal.'!$E606)</f>
        <v>0</v>
      </c>
      <c r="M606" s="727">
        <f>SUMIFS('Schedule 4'!$F$89:$F$649,'Schedule 4'!$I$89:$I$649,'Well Cal.'!M$3,'Schedule 4'!$J$89:$J$649,'Well Cal.'!$E606)</f>
        <v>0</v>
      </c>
      <c r="N606" s="727">
        <f>SUMIFS('Schedule 4'!$F$89:$F$649,'Schedule 4'!$I$89:$I$649,'Well Cal.'!N$3,'Schedule 4'!$J$89:$J$649,'Well Cal.'!$E606)</f>
        <v>0</v>
      </c>
      <c r="O606" s="727">
        <f>SUMIFS('Schedule 4'!$F$89:$F$649,'Schedule 4'!$I$89:$I$649,'Well Cal.'!O$3,'Schedule 4'!$J$89:$J$649,'Well Cal.'!$E606)</f>
        <v>0</v>
      </c>
      <c r="P606" s="727">
        <f>SUMIFS('Schedule 4'!$F$89:$F$649,'Schedule 4'!$I$89:$I$649,'Well Cal.'!P$3,'Schedule 4'!$J$89:$J$649,'Well Cal.'!$E606)</f>
        <v>0</v>
      </c>
      <c r="Q606" s="727">
        <f>SUMIFS('Schedule 4'!$F$89:$F$649,'Schedule 4'!$I$89:$I$649,'Well Cal.'!Q$3,'Schedule 4'!$J$89:$J$649,'Well Cal.'!$E606)</f>
        <v>0</v>
      </c>
      <c r="R606" s="727">
        <f>SUMIFS('Schedule 4'!$F$89:$F$649,'Schedule 4'!$I$89:$I$649,'Well Cal.'!R$3,'Schedule 4'!$J$89:$J$649,'Well Cal.'!$E606)</f>
        <v>0</v>
      </c>
      <c r="S606" s="727">
        <f>SUMIFS('Schedule 4'!$F$89:$F$649,'Schedule 4'!$I$89:$I$649,'Well Cal.'!S$3,'Schedule 4'!$J$89:$J$649,'Well Cal.'!$E606)</f>
        <v>0</v>
      </c>
      <c r="T606" s="727">
        <f>SUMIFS('Schedule 4'!$F$89:$F$649,'Schedule 4'!$I$89:$I$649,'Well Cal.'!T$3,'Schedule 4'!$J$89:$J$649,'Well Cal.'!$E606)</f>
        <v>0</v>
      </c>
      <c r="U606" s="727">
        <f>SUMIFS('Schedule 4'!$F$89:$F$649,'Schedule 4'!$I$89:$I$649,'Well Cal.'!U$3,'Schedule 4'!$J$89:$J$649,'Well Cal.'!$E606)</f>
        <v>0</v>
      </c>
      <c r="V606" s="727">
        <f>SUMIFS('Schedule 4'!$F$89:$F$649,'Schedule 4'!$I$89:$I$649,'Well Cal.'!V$3,'Schedule 4'!$J$89:$J$649,'Well Cal.'!$E606)</f>
        <v>0</v>
      </c>
      <c r="W606" s="727">
        <f>SUMIFS('Schedule 4'!$F$89:$F$649,'Schedule 4'!$I$89:$I$649,'Well Cal.'!W$3,'Schedule 4'!$J$89:$J$649,'Well Cal.'!$E606)</f>
        <v>0</v>
      </c>
      <c r="X606" s="727">
        <f>SUMIFS('Schedule 4'!$F$89:$F$649,'Schedule 4'!$I$89:$I$649,'Well Cal.'!X$3,'Schedule 4'!$J$89:$J$649,'Well Cal.'!$E606)</f>
        <v>0</v>
      </c>
      <c r="Y606" s="727">
        <f>SUMIFS('Schedule 4'!$F$89:$F$649,'Schedule 4'!$I$89:$I$649,'Well Cal.'!Y$3,'Schedule 4'!$J$89:$J$649,'Well Cal.'!$E606)</f>
        <v>0</v>
      </c>
      <c r="Z606" s="727">
        <f>SUMIFS('Schedule 4'!$F$89:$F$649,'Schedule 4'!$I$89:$I$649,'Well Cal.'!Z$3,'Schedule 4'!$J$89:$J$649,'Well Cal.'!$E606)</f>
        <v>0</v>
      </c>
      <c r="AA606" s="727"/>
      <c r="AB606" s="1741"/>
      <c r="AC606" s="1741"/>
    </row>
    <row r="607" spans="2:29" x14ac:dyDescent="0.3">
      <c r="B607" s="1724"/>
      <c r="C607" s="1727"/>
      <c r="D607" s="1721"/>
      <c r="E607" s="775" t="s">
        <v>6126</v>
      </c>
      <c r="F607" s="727">
        <f>SUMIFS('Schedule 4'!$F$89:$F$649,'Schedule 4'!$I$89:$I$649,'Well Cal.'!F$3,'Schedule 4'!$J$89:$J$649,'Well Cal.'!$E607)</f>
        <v>0</v>
      </c>
      <c r="G607" s="727">
        <f>SUMIFS('Schedule 4'!$F$89:$F$649,'Schedule 4'!$I$89:$I$649,'Well Cal.'!G$3,'Schedule 4'!$J$89:$J$649,'Well Cal.'!$E607)</f>
        <v>0</v>
      </c>
      <c r="H607" s="727">
        <f>SUMIFS('Schedule 4'!$F$89:$F$649,'Schedule 4'!$I$89:$I$649,'Well Cal.'!H$3,'Schedule 4'!$J$89:$J$649,'Well Cal.'!$E607)</f>
        <v>0</v>
      </c>
      <c r="I607" s="727">
        <f>SUMIFS('Schedule 4'!$F$89:$F$649,'Schedule 4'!$I$89:$I$649,'Well Cal.'!I$3,'Schedule 4'!$J$89:$J$649,'Well Cal.'!$E607)</f>
        <v>0</v>
      </c>
      <c r="J607" s="727">
        <f>SUMIFS('Schedule 4'!$F$89:$F$649,'Schedule 4'!$I$89:$I$649,'Well Cal.'!J$3,'Schedule 4'!$J$89:$J$649,'Well Cal.'!$E607)</f>
        <v>0</v>
      </c>
      <c r="K607" s="727">
        <f>SUMIFS('Schedule 4'!$F$89:$F$649,'Schedule 4'!$I$89:$I$649,'Well Cal.'!K$3,'Schedule 4'!$J$89:$J$649,'Well Cal.'!$E607)</f>
        <v>0</v>
      </c>
      <c r="L607" s="727">
        <f>SUMIFS('Schedule 4'!$F$89:$F$649,'Schedule 4'!$I$89:$I$649,'Well Cal.'!L$3,'Schedule 4'!$J$89:$J$649,'Well Cal.'!$E607)</f>
        <v>0</v>
      </c>
      <c r="M607" s="727">
        <f>SUMIFS('Schedule 4'!$F$89:$F$649,'Schedule 4'!$I$89:$I$649,'Well Cal.'!M$3,'Schedule 4'!$J$89:$J$649,'Well Cal.'!$E607)</f>
        <v>0</v>
      </c>
      <c r="N607" s="727">
        <f>SUMIFS('Schedule 4'!$F$89:$F$649,'Schedule 4'!$I$89:$I$649,'Well Cal.'!N$3,'Schedule 4'!$J$89:$J$649,'Well Cal.'!$E607)</f>
        <v>0</v>
      </c>
      <c r="O607" s="727">
        <f>SUMIFS('Schedule 4'!$F$89:$F$649,'Schedule 4'!$I$89:$I$649,'Well Cal.'!O$3,'Schedule 4'!$J$89:$J$649,'Well Cal.'!$E607)</f>
        <v>0</v>
      </c>
      <c r="P607" s="727">
        <f>SUMIFS('Schedule 4'!$F$89:$F$649,'Schedule 4'!$I$89:$I$649,'Well Cal.'!P$3,'Schedule 4'!$J$89:$J$649,'Well Cal.'!$E607)</f>
        <v>0</v>
      </c>
      <c r="Q607" s="727">
        <f>SUMIFS('Schedule 4'!$F$89:$F$649,'Schedule 4'!$I$89:$I$649,'Well Cal.'!Q$3,'Schedule 4'!$J$89:$J$649,'Well Cal.'!$E607)</f>
        <v>0</v>
      </c>
      <c r="R607" s="727">
        <f>SUMIFS('Schedule 4'!$F$89:$F$649,'Schedule 4'!$I$89:$I$649,'Well Cal.'!R$3,'Schedule 4'!$J$89:$J$649,'Well Cal.'!$E607)</f>
        <v>0</v>
      </c>
      <c r="S607" s="727">
        <f>SUMIFS('Schedule 4'!$F$89:$F$649,'Schedule 4'!$I$89:$I$649,'Well Cal.'!S$3,'Schedule 4'!$J$89:$J$649,'Well Cal.'!$E607)</f>
        <v>0</v>
      </c>
      <c r="T607" s="727">
        <f>SUMIFS('Schedule 4'!$F$89:$F$649,'Schedule 4'!$I$89:$I$649,'Well Cal.'!T$3,'Schedule 4'!$J$89:$J$649,'Well Cal.'!$E607)</f>
        <v>0</v>
      </c>
      <c r="U607" s="727">
        <f>SUMIFS('Schedule 4'!$F$89:$F$649,'Schedule 4'!$I$89:$I$649,'Well Cal.'!U$3,'Schedule 4'!$J$89:$J$649,'Well Cal.'!$E607)</f>
        <v>0</v>
      </c>
      <c r="V607" s="727">
        <f>SUMIFS('Schedule 4'!$F$89:$F$649,'Schedule 4'!$I$89:$I$649,'Well Cal.'!V$3,'Schedule 4'!$J$89:$J$649,'Well Cal.'!$E607)</f>
        <v>0</v>
      </c>
      <c r="W607" s="727">
        <f>SUMIFS('Schedule 4'!$F$89:$F$649,'Schedule 4'!$I$89:$I$649,'Well Cal.'!W$3,'Schedule 4'!$J$89:$J$649,'Well Cal.'!$E607)</f>
        <v>0</v>
      </c>
      <c r="X607" s="727">
        <f>SUMIFS('Schedule 4'!$F$89:$F$649,'Schedule 4'!$I$89:$I$649,'Well Cal.'!X$3,'Schedule 4'!$J$89:$J$649,'Well Cal.'!$E607)</f>
        <v>0</v>
      </c>
      <c r="Y607" s="727">
        <f>SUMIFS('Schedule 4'!$F$89:$F$649,'Schedule 4'!$I$89:$I$649,'Well Cal.'!Y$3,'Schedule 4'!$J$89:$J$649,'Well Cal.'!$E607)</f>
        <v>0</v>
      </c>
      <c r="Z607" s="727">
        <f>SUMIFS('Schedule 4'!$F$89:$F$649,'Schedule 4'!$I$89:$I$649,'Well Cal.'!Z$3,'Schedule 4'!$J$89:$J$649,'Well Cal.'!$E607)</f>
        <v>0</v>
      </c>
      <c r="AA607" s="727"/>
      <c r="AB607" s="1741"/>
      <c r="AC607" s="1741"/>
    </row>
    <row r="608" spans="2:29" x14ac:dyDescent="0.3">
      <c r="B608" s="1725"/>
      <c r="C608" s="1728"/>
      <c r="D608" s="1722"/>
      <c r="E608" s="776"/>
      <c r="F608" s="777"/>
      <c r="G608" s="777"/>
      <c r="H608" s="777"/>
      <c r="I608" s="777"/>
      <c r="J608" s="777"/>
      <c r="K608" s="777"/>
      <c r="L608" s="777"/>
      <c r="M608" s="777"/>
      <c r="N608" s="777"/>
      <c r="O608" s="777"/>
      <c r="P608" s="777"/>
      <c r="Q608" s="777"/>
      <c r="R608" s="777"/>
      <c r="S608" s="777"/>
      <c r="T608" s="777"/>
      <c r="U608" s="777"/>
      <c r="V608" s="777"/>
      <c r="W608" s="777"/>
      <c r="X608" s="777"/>
      <c r="Y608" s="777"/>
      <c r="Z608" s="777"/>
      <c r="AA608" s="777"/>
      <c r="AB608" s="1741"/>
      <c r="AC608" s="1741"/>
    </row>
    <row r="609" spans="2:29" ht="5.0999999999999996" customHeight="1" x14ac:dyDescent="0.3">
      <c r="B609" s="955"/>
      <c r="C609" s="1081"/>
      <c r="D609" s="959"/>
      <c r="E609" s="957"/>
      <c r="F609" s="958"/>
      <c r="G609" s="958"/>
      <c r="H609" s="958"/>
      <c r="I609" s="958"/>
      <c r="J609" s="958"/>
      <c r="K609" s="958"/>
      <c r="L609" s="958"/>
      <c r="M609" s="958"/>
      <c r="N609" s="958"/>
      <c r="O609" s="958"/>
      <c r="P609" s="958"/>
      <c r="Q609" s="958"/>
      <c r="R609" s="958"/>
      <c r="S609" s="958"/>
      <c r="T609" s="958"/>
      <c r="U609" s="958"/>
      <c r="V609" s="958"/>
      <c r="W609" s="958"/>
      <c r="X609" s="958"/>
      <c r="Y609" s="958"/>
      <c r="Z609" s="958"/>
      <c r="AA609" s="958"/>
      <c r="AB609" s="959"/>
      <c r="AC609" s="960"/>
    </row>
    <row r="610" spans="2:29" x14ac:dyDescent="0.3">
      <c r="B610" s="779" t="s">
        <v>165</v>
      </c>
      <c r="C610" s="781">
        <f>SUM(C48:C339,C340:C608)</f>
        <v>1381.7999999999993</v>
      </c>
      <c r="D610" s="781">
        <f>SUM(D48:D339,D340:D608)</f>
        <v>317.89999999999998</v>
      </c>
      <c r="E610" s="780"/>
      <c r="F610" s="781">
        <f t="shared" ref="F610:X610" si="3">SUM(F48:F339,F340:F608)</f>
        <v>0</v>
      </c>
      <c r="G610" s="781">
        <f t="shared" si="3"/>
        <v>0</v>
      </c>
      <c r="H610" s="781">
        <f t="shared" si="3"/>
        <v>0</v>
      </c>
      <c r="I610" s="781">
        <f t="shared" si="3"/>
        <v>32.129999999999995</v>
      </c>
      <c r="J610" s="781">
        <f t="shared" si="3"/>
        <v>34.704999999999998</v>
      </c>
      <c r="K610" s="781">
        <f t="shared" si="3"/>
        <v>25.855</v>
      </c>
      <c r="L610" s="781">
        <f t="shared" si="3"/>
        <v>14.7</v>
      </c>
      <c r="M610" s="781">
        <f t="shared" si="3"/>
        <v>8</v>
      </c>
      <c r="N610" s="781">
        <f t="shared" si="3"/>
        <v>5</v>
      </c>
      <c r="O610" s="781">
        <f t="shared" si="3"/>
        <v>0</v>
      </c>
      <c r="P610" s="781">
        <f t="shared" si="3"/>
        <v>0</v>
      </c>
      <c r="Q610" s="781">
        <f t="shared" si="3"/>
        <v>2.34</v>
      </c>
      <c r="R610" s="781">
        <f t="shared" si="3"/>
        <v>8.41</v>
      </c>
      <c r="S610" s="781">
        <f t="shared" si="3"/>
        <v>7.5</v>
      </c>
      <c r="T610" s="781">
        <f t="shared" si="3"/>
        <v>10.71</v>
      </c>
      <c r="U610" s="781">
        <f t="shared" si="3"/>
        <v>28.32</v>
      </c>
      <c r="V610" s="781">
        <f t="shared" si="3"/>
        <v>27</v>
      </c>
      <c r="W610" s="781">
        <f t="shared" si="3"/>
        <v>27.6</v>
      </c>
      <c r="X610" s="781">
        <f t="shared" si="3"/>
        <v>12.5</v>
      </c>
      <c r="Y610" s="781">
        <f t="shared" ref="Y610:Z610" si="4">SUM(Y48:Y339,Y340:Y608)</f>
        <v>57.129999999999988</v>
      </c>
      <c r="Z610" s="781">
        <f t="shared" si="4"/>
        <v>0</v>
      </c>
      <c r="AA610" s="781"/>
      <c r="AB610" s="781">
        <f>SUM(AB48:AB339,AB340:AB608)</f>
        <v>301.89999999999998</v>
      </c>
      <c r="AC610" s="781">
        <f>SUM(AC48:AC339,AC340:AC608)</f>
        <v>16</v>
      </c>
    </row>
  </sheetData>
  <autoFilter ref="B4:AO4" xr:uid="{4E1CFE79-D238-4BF9-A92A-8357687BBCCE}"/>
  <sortState xmlns:xlrd2="http://schemas.microsoft.com/office/spreadsheetml/2017/richdata2" ref="AF83:AF95">
    <sortCondition ref="AF83:AF95"/>
  </sortState>
  <mergeCells count="185">
    <mergeCell ref="B1:AC1"/>
    <mergeCell ref="B2:AC2"/>
    <mergeCell ref="D3:D4"/>
    <mergeCell ref="C3:C4"/>
    <mergeCell ref="B3:B4"/>
    <mergeCell ref="AL3:AL4"/>
    <mergeCell ref="G3:G4"/>
    <mergeCell ref="F3:F4"/>
    <mergeCell ref="E3:E4"/>
    <mergeCell ref="P3:P4"/>
    <mergeCell ref="Q3:Q4"/>
    <mergeCell ref="R3:R4"/>
    <mergeCell ref="S3:S4"/>
    <mergeCell ref="AA3:AA4"/>
    <mergeCell ref="Y3:Y4"/>
    <mergeCell ref="Z3:Z4"/>
    <mergeCell ref="AM3:AM4"/>
    <mergeCell ref="AC3:AC4"/>
    <mergeCell ref="AB3:AB4"/>
    <mergeCell ref="V3:V4"/>
    <mergeCell ref="H3:H4"/>
    <mergeCell ref="K3:K4"/>
    <mergeCell ref="J3:J4"/>
    <mergeCell ref="M3:M4"/>
    <mergeCell ref="L3:L4"/>
    <mergeCell ref="I3:I4"/>
    <mergeCell ref="AF3:AJ3"/>
    <mergeCell ref="AE3:AE4"/>
    <mergeCell ref="AK3:AK4"/>
    <mergeCell ref="N3:N4"/>
    <mergeCell ref="O3:O4"/>
    <mergeCell ref="T3:T4"/>
    <mergeCell ref="U3:U4"/>
    <mergeCell ref="W3:W4"/>
    <mergeCell ref="X3:X4"/>
    <mergeCell ref="AC319:AC339"/>
    <mergeCell ref="AB319:AB339"/>
    <mergeCell ref="AB48:AB68"/>
    <mergeCell ref="AB69:AB89"/>
    <mergeCell ref="D543:D565"/>
    <mergeCell ref="C543:C565"/>
    <mergeCell ref="D521:D542"/>
    <mergeCell ref="C521:C542"/>
    <mergeCell ref="B521:B542"/>
    <mergeCell ref="C499:C520"/>
    <mergeCell ref="B499:B520"/>
    <mergeCell ref="D499:D520"/>
    <mergeCell ref="D477:D498"/>
    <mergeCell ref="C477:C498"/>
    <mergeCell ref="AC252:AC273"/>
    <mergeCell ref="AC521:AC542"/>
    <mergeCell ref="AC543:AC565"/>
    <mergeCell ref="B543:B565"/>
    <mergeCell ref="AC48:AC68"/>
    <mergeCell ref="AC69:AC89"/>
    <mergeCell ref="AC90:AC111"/>
    <mergeCell ref="AC112:AC133"/>
    <mergeCell ref="AC134:AC154"/>
    <mergeCell ref="AC155:AC171"/>
    <mergeCell ref="D588:D608"/>
    <mergeCell ref="C588:C608"/>
    <mergeCell ref="B588:B608"/>
    <mergeCell ref="D566:D587"/>
    <mergeCell ref="AB521:AB542"/>
    <mergeCell ref="B566:B587"/>
    <mergeCell ref="AC340:AC361"/>
    <mergeCell ref="AC362:AC383"/>
    <mergeCell ref="AB588:AB608"/>
    <mergeCell ref="AC566:AC587"/>
    <mergeCell ref="AC588:AC608"/>
    <mergeCell ref="AC384:AC406"/>
    <mergeCell ref="AC407:AC429"/>
    <mergeCell ref="AC430:AC453"/>
    <mergeCell ref="AC454:AC476"/>
    <mergeCell ref="AC477:AC498"/>
    <mergeCell ref="AC499:AC520"/>
    <mergeCell ref="AB543:AB565"/>
    <mergeCell ref="AB566:AB587"/>
    <mergeCell ref="AC172:AC180"/>
    <mergeCell ref="AC207:AC222"/>
    <mergeCell ref="AC223:AC231"/>
    <mergeCell ref="AB454:AB476"/>
    <mergeCell ref="AB477:AB498"/>
    <mergeCell ref="AB499:AB520"/>
    <mergeCell ref="AC274:AC295"/>
    <mergeCell ref="AC296:AC318"/>
    <mergeCell ref="B477:B498"/>
    <mergeCell ref="AB340:AB361"/>
    <mergeCell ref="AB362:AB383"/>
    <mergeCell ref="AB207:AB222"/>
    <mergeCell ref="AB223:AB231"/>
    <mergeCell ref="AB252:AB273"/>
    <mergeCell ref="AB274:AB295"/>
    <mergeCell ref="AB296:AB318"/>
    <mergeCell ref="C223:C231"/>
    <mergeCell ref="D223:D231"/>
    <mergeCell ref="B252:B273"/>
    <mergeCell ref="C252:C273"/>
    <mergeCell ref="D252:D273"/>
    <mergeCell ref="B207:B222"/>
    <mergeCell ref="C207:C222"/>
    <mergeCell ref="D172:D180"/>
    <mergeCell ref="AB90:AB111"/>
    <mergeCell ref="AB112:AB133"/>
    <mergeCell ref="C566:C587"/>
    <mergeCell ref="D384:D406"/>
    <mergeCell ref="C384:C406"/>
    <mergeCell ref="B384:B406"/>
    <mergeCell ref="AB134:AB154"/>
    <mergeCell ref="AB155:AB171"/>
    <mergeCell ref="D430:D453"/>
    <mergeCell ref="C430:C453"/>
    <mergeCell ref="B430:B453"/>
    <mergeCell ref="C134:C154"/>
    <mergeCell ref="D134:D154"/>
    <mergeCell ref="B155:B171"/>
    <mergeCell ref="C155:C171"/>
    <mergeCell ref="D155:D171"/>
    <mergeCell ref="B172:B180"/>
    <mergeCell ref="C172:C180"/>
    <mergeCell ref="B407:B429"/>
    <mergeCell ref="AB384:AB406"/>
    <mergeCell ref="AB407:AB429"/>
    <mergeCell ref="AB430:AB453"/>
    <mergeCell ref="AB172:AB180"/>
    <mergeCell ref="B223:B231"/>
    <mergeCell ref="C296:C318"/>
    <mergeCell ref="B296:B318"/>
    <mergeCell ref="D274:D295"/>
    <mergeCell ref="C274:C295"/>
    <mergeCell ref="B274:B295"/>
    <mergeCell ref="D319:D339"/>
    <mergeCell ref="C319:C339"/>
    <mergeCell ref="B319:B339"/>
    <mergeCell ref="D296:D318"/>
    <mergeCell ref="D48:D68"/>
    <mergeCell ref="C48:C68"/>
    <mergeCell ref="B48:B68"/>
    <mergeCell ref="D90:D111"/>
    <mergeCell ref="C90:C111"/>
    <mergeCell ref="B90:B111"/>
    <mergeCell ref="D69:D89"/>
    <mergeCell ref="D454:D476"/>
    <mergeCell ref="C454:C476"/>
    <mergeCell ref="B454:B476"/>
    <mergeCell ref="C362:C383"/>
    <mergeCell ref="B362:B383"/>
    <mergeCell ref="D407:D429"/>
    <mergeCell ref="C407:C429"/>
    <mergeCell ref="D112:D133"/>
    <mergeCell ref="C112:C133"/>
    <mergeCell ref="B112:B133"/>
    <mergeCell ref="B134:B154"/>
    <mergeCell ref="C69:C89"/>
    <mergeCell ref="B69:B89"/>
    <mergeCell ref="D362:D383"/>
    <mergeCell ref="D340:D361"/>
    <mergeCell ref="C340:C361"/>
    <mergeCell ref="B340:B361"/>
    <mergeCell ref="B5:B24"/>
    <mergeCell ref="C5:C24"/>
    <mergeCell ref="D5:D24"/>
    <mergeCell ref="AB5:AB24"/>
    <mergeCell ref="AC5:AC24"/>
    <mergeCell ref="B25:B44"/>
    <mergeCell ref="C25:C44"/>
    <mergeCell ref="D25:D44"/>
    <mergeCell ref="AB25:AB44"/>
    <mergeCell ref="AC25:AC44"/>
    <mergeCell ref="B181:B189"/>
    <mergeCell ref="C181:C189"/>
    <mergeCell ref="D181:D189"/>
    <mergeCell ref="AB181:AB189"/>
    <mergeCell ref="AC181:AC189"/>
    <mergeCell ref="D207:D222"/>
    <mergeCell ref="AB232:AB251"/>
    <mergeCell ref="AC232:AC251"/>
    <mergeCell ref="D232:D251"/>
    <mergeCell ref="C232:C251"/>
    <mergeCell ref="B232:B251"/>
    <mergeCell ref="B190:B206"/>
    <mergeCell ref="C190:C206"/>
    <mergeCell ref="D190:D206"/>
    <mergeCell ref="AB190:AB206"/>
    <mergeCell ref="AC190:AC206"/>
  </mergeCells>
  <phoneticPr fontId="23" type="noConversion"/>
  <conditionalFormatting sqref="AC610">
    <cfRule type="cellIs" dxfId="152" priority="6" operator="notEqual">
      <formula>0</formula>
    </cfRule>
  </conditionalFormatting>
  <conditionalFormatting sqref="AH48:AH75">
    <cfRule type="cellIs" dxfId="151" priority="1" operator="lessThan">
      <formula>0</formula>
    </cfRule>
  </conditionalFormatting>
  <printOptions horizontalCentered="1"/>
  <pageMargins left="0.31496062992125984" right="0.31496062992125984" top="0.35433070866141736" bottom="0.35433070866141736" header="0.31496062992125984" footer="0.31496062992125984"/>
  <pageSetup paperSize="9" scale="49" fitToHeight="0" orientation="landscape" r:id="rId1"/>
  <rowBreaks count="9" manualBreakCount="9">
    <brk id="47" min="1" max="26" man="1"/>
    <brk id="111" min="1" max="26" man="1"/>
    <brk id="180" min="1" max="26" man="1"/>
    <brk id="251" min="1" max="26" man="1"/>
    <brk id="318" min="1" max="26" man="1"/>
    <brk id="383" min="1" max="26" man="1"/>
    <brk id="453" min="1" max="26" man="1"/>
    <brk id="520" min="1" max="26" man="1"/>
    <brk id="587" min="1" max="26" man="1"/>
  </rowBreaks>
  <colBreaks count="1" manualBreakCount="1">
    <brk id="2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42A8-A0D6-4E61-B096-67CF0FFAF843}">
  <dimension ref="B1:AN108"/>
  <sheetViews>
    <sheetView view="pageBreakPreview" zoomScale="70" zoomScaleNormal="80" zoomScaleSheetLayoutView="70" workbookViewId="0">
      <pane ySplit="4" topLeftCell="A14" activePane="bottomLeft" state="frozen"/>
      <selection pane="bottomLeft" activeCell="F21" sqref="F21:J29"/>
    </sheetView>
  </sheetViews>
  <sheetFormatPr defaultColWidth="8.88671875" defaultRowHeight="14.4" x14ac:dyDescent="0.3"/>
  <cols>
    <col min="1" max="1" width="3.44140625" style="132" customWidth="1"/>
    <col min="2" max="2" width="8.88671875" style="132"/>
    <col min="3" max="4" width="10.88671875" style="339" customWidth="1"/>
    <col min="5" max="5" width="27.88671875" style="132" bestFit="1" customWidth="1"/>
    <col min="6" max="8" width="9" style="778" bestFit="1" customWidth="1"/>
    <col min="9" max="10" width="9" style="778" customWidth="1"/>
    <col min="11" max="11" width="10.88671875" style="778" customWidth="1"/>
    <col min="12" max="12" width="9" style="778" bestFit="1" customWidth="1"/>
    <col min="13" max="13" width="3.88671875" style="132" customWidth="1"/>
    <col min="14" max="14" width="8.88671875" style="62"/>
    <col min="15" max="16384" width="8.88671875" style="132"/>
  </cols>
  <sheetData>
    <row r="1" spans="2:40" x14ac:dyDescent="0.3">
      <c r="B1" s="1747" t="s">
        <v>141</v>
      </c>
      <c r="C1" s="1747"/>
      <c r="D1" s="1747"/>
      <c r="E1" s="1747"/>
      <c r="F1" s="1747"/>
      <c r="G1" s="1747"/>
      <c r="H1" s="1747"/>
      <c r="I1" s="1747"/>
      <c r="J1" s="1747"/>
      <c r="K1" s="1747"/>
      <c r="L1" s="1747"/>
    </row>
    <row r="2" spans="2:40" x14ac:dyDescent="0.3">
      <c r="B2" s="1747" t="s">
        <v>6127</v>
      </c>
      <c r="C2" s="1747"/>
      <c r="D2" s="1747"/>
      <c r="E2" s="1747"/>
      <c r="F2" s="1747"/>
      <c r="G2" s="1747"/>
      <c r="H2" s="1747"/>
      <c r="I2" s="1747"/>
      <c r="J2" s="1747"/>
      <c r="K2" s="1747"/>
      <c r="L2" s="1747"/>
    </row>
    <row r="3" spans="2:40" x14ac:dyDescent="0.3">
      <c r="B3" s="1745" t="s">
        <v>6128</v>
      </c>
      <c r="C3" s="1748" t="s">
        <v>6044</v>
      </c>
      <c r="D3" s="1748" t="s">
        <v>6045</v>
      </c>
      <c r="E3" s="1745" t="s">
        <v>6046</v>
      </c>
      <c r="F3" s="1742" t="s">
        <v>1053</v>
      </c>
      <c r="G3" s="1742" t="s">
        <v>1579</v>
      </c>
      <c r="H3" s="1742" t="s">
        <v>949</v>
      </c>
      <c r="I3" s="1742" t="s">
        <v>119</v>
      </c>
      <c r="J3" s="1742"/>
      <c r="K3" s="1742" t="s">
        <v>165</v>
      </c>
      <c r="L3" s="1742" t="s">
        <v>6047</v>
      </c>
    </row>
    <row r="4" spans="2:40" s="425" customFormat="1" x14ac:dyDescent="0.3">
      <c r="B4" s="1746"/>
      <c r="C4" s="1749"/>
      <c r="D4" s="1749"/>
      <c r="E4" s="1746"/>
      <c r="F4" s="1743"/>
      <c r="G4" s="1743"/>
      <c r="H4" s="1743"/>
      <c r="I4" s="1743"/>
      <c r="J4" s="1743"/>
      <c r="K4" s="1743"/>
      <c r="L4" s="1743"/>
      <c r="N4" s="753"/>
    </row>
    <row r="5" spans="2:40" hidden="1" x14ac:dyDescent="0.3">
      <c r="B5" s="1733" t="s">
        <v>6057</v>
      </c>
      <c r="C5" s="1736">
        <v>50.55</v>
      </c>
      <c r="D5" s="1729">
        <f>SUMIFS('Schedule 5'!$F$506:$F$544,'Schedule 5'!K506:K544,'Pylon Cal.'!$B$5)</f>
        <v>48.699999999999996</v>
      </c>
      <c r="E5" s="754" t="s">
        <v>6129</v>
      </c>
      <c r="F5" s="728">
        <f>SUMIFS('Schedule 4'!$F$684:$F$715,'Schedule 4'!$I$684:$I$715,'Pylon Cal.'!F$3,'Schedule 4'!$J$684:$J$715,'Pylon Cal.'!$E5)</f>
        <v>0</v>
      </c>
      <c r="G5" s="728">
        <f>SUMIFS('Schedule 4'!$F$684:$F$715,'Schedule 4'!$I$684:$I$715,'Pylon Cal.'!G$3,'Schedule 4'!$J$684:$J$715,'Pylon Cal.'!$E5)</f>
        <v>0</v>
      </c>
      <c r="H5" s="728">
        <f>SUMIFS('Schedule 4'!$F$684:$F$715,'Schedule 4'!$I$684:$I$715,'Pylon Cal.'!H$3,'Schedule 4'!$J$684:$J$715,'Pylon Cal.'!$E5)</f>
        <v>0</v>
      </c>
      <c r="I5" s="728">
        <f>SUMIFS('Schedule 4'!$F$684:$F$715,'Schedule 4'!$I$684:$I$715,'Pylon Cal.'!I$3,'Schedule 4'!$J$684:$J$715,'Pylon Cal.'!$E5)</f>
        <v>0</v>
      </c>
      <c r="J5" s="728"/>
      <c r="K5" s="1729">
        <f>SUM(F5:J7)</f>
        <v>0</v>
      </c>
      <c r="L5" s="1729">
        <f>D5-K5</f>
        <v>48.699999999999996</v>
      </c>
    </row>
    <row r="6" spans="2:40" hidden="1" x14ac:dyDescent="0.3">
      <c r="B6" s="1734"/>
      <c r="C6" s="1737"/>
      <c r="D6" s="1730"/>
      <c r="E6" s="761" t="s">
        <v>6130</v>
      </c>
      <c r="F6" s="954">
        <f>SUMIFS('Schedule 4'!$F$684:$F$715,'Schedule 4'!$I$684:$I$715,'Pylon Cal.'!F$3,'Schedule 4'!$J$684:$J$715,'Pylon Cal.'!$E6)</f>
        <v>0</v>
      </c>
      <c r="G6" s="954">
        <f>SUMIFS('Schedule 4'!$F$684:$F$715,'Schedule 4'!$I$684:$I$715,'Pylon Cal.'!G$3,'Schedule 4'!$J$684:$J$715,'Pylon Cal.'!$E6)</f>
        <v>0</v>
      </c>
      <c r="H6" s="954">
        <f>SUMIFS('Schedule 4'!$F$684:$F$715,'Schedule 4'!$I$684:$I$715,'Pylon Cal.'!H$3,'Schedule 4'!$J$684:$J$715,'Pylon Cal.'!$E6)</f>
        <v>0</v>
      </c>
      <c r="I6" s="954">
        <f>SUMIFS('Schedule 4'!$F$684:$F$715,'Schedule 4'!$I$684:$I$715,'Pylon Cal.'!I$3,'Schedule 4'!$J$684:$J$715,'Pylon Cal.'!$E6)</f>
        <v>0</v>
      </c>
      <c r="J6" s="954"/>
      <c r="K6" s="1730"/>
      <c r="L6" s="1730"/>
    </row>
    <row r="7" spans="2:40" hidden="1" x14ac:dyDescent="0.3">
      <c r="B7" s="1735"/>
      <c r="C7" s="1738"/>
      <c r="D7" s="1731"/>
      <c r="E7" s="761"/>
      <c r="F7" s="726"/>
      <c r="G7" s="726"/>
      <c r="H7" s="726"/>
      <c r="I7" s="726"/>
      <c r="J7" s="727"/>
      <c r="K7" s="1731"/>
      <c r="L7" s="1731"/>
    </row>
    <row r="8" spans="2:40" hidden="1" x14ac:dyDescent="0.3">
      <c r="B8" s="1733" t="s">
        <v>6086</v>
      </c>
      <c r="C8" s="1736">
        <v>50.55</v>
      </c>
      <c r="D8" s="1729">
        <f>SUMIFS('Schedule 5'!$F$506:$F$544,'Schedule 5'!$K$506:$K$544,'Pylon Cal.'!$B$8)</f>
        <v>50.550000000000004</v>
      </c>
      <c r="E8" s="754" t="s">
        <v>6131</v>
      </c>
      <c r="F8" s="728">
        <f>SUMIFS('Schedule 4'!$F$684:$F$715,'Schedule 4'!$I$684:$I$715,'Pylon Cal.'!F$3,'Schedule 4'!$J$684:$J$715,'Pylon Cal.'!$E8)</f>
        <v>0</v>
      </c>
      <c r="G8" s="728">
        <f>SUMIFS('Schedule 4'!$F$684:$F$715,'Schedule 4'!$I$684:$I$715,'Pylon Cal.'!G$3,'Schedule 4'!$J$684:$J$715,'Pylon Cal.'!$E8)</f>
        <v>0</v>
      </c>
      <c r="H8" s="728">
        <f>SUMIFS('Schedule 4'!$F$684:$F$715,'Schedule 4'!$I$684:$I$715,'Pylon Cal.'!H$3,'Schedule 4'!$J$684:$J$715,'Pylon Cal.'!$E8)</f>
        <v>0</v>
      </c>
      <c r="I8" s="728">
        <f>SUMIFS('Schedule 4'!$F$684:$F$715,'Schedule 4'!$I$684:$I$715,'Pylon Cal.'!I$3,'Schedule 4'!$J$684:$J$715,'Pylon Cal.'!$E8)</f>
        <v>0</v>
      </c>
      <c r="J8" s="728"/>
      <c r="K8" s="1729">
        <f>SUM(F8:J11)</f>
        <v>0</v>
      </c>
      <c r="L8" s="1729">
        <f>D8-K8</f>
        <v>50.550000000000004</v>
      </c>
    </row>
    <row r="9" spans="2:40" hidden="1" x14ac:dyDescent="0.3">
      <c r="B9" s="1734"/>
      <c r="C9" s="1737"/>
      <c r="D9" s="1730"/>
      <c r="E9" s="761" t="s">
        <v>6132</v>
      </c>
      <c r="F9" s="954">
        <f>SUMIFS('Schedule 4'!$F$684:$F$715,'Schedule 4'!$I$684:$I$715,'Pylon Cal.'!F$3,'Schedule 4'!$J$684:$J$715,'Pylon Cal.'!$E9)</f>
        <v>0</v>
      </c>
      <c r="G9" s="954">
        <f>SUMIFS('Schedule 4'!$F$684:$F$715,'Schedule 4'!$I$684:$I$715,'Pylon Cal.'!G$3,'Schedule 4'!$J$684:$J$715,'Pylon Cal.'!$E9)</f>
        <v>0</v>
      </c>
      <c r="H9" s="954">
        <f>SUMIFS('Schedule 4'!$F$684:$F$715,'Schedule 4'!$I$684:$I$715,'Pylon Cal.'!H$3,'Schedule 4'!$J$684:$J$715,'Pylon Cal.'!$E9)</f>
        <v>0</v>
      </c>
      <c r="I9" s="954">
        <f>SUMIFS('Schedule 4'!$F$684:$F$715,'Schedule 4'!$I$684:$I$715,'Pylon Cal.'!I$3,'Schedule 4'!$J$684:$J$715,'Pylon Cal.'!$E9)</f>
        <v>0</v>
      </c>
      <c r="J9" s="954"/>
      <c r="K9" s="1730"/>
      <c r="L9" s="1730"/>
    </row>
    <row r="10" spans="2:40" s="62" customFormat="1" hidden="1" x14ac:dyDescent="0.3">
      <c r="B10" s="1735"/>
      <c r="C10" s="1738"/>
      <c r="D10" s="1731"/>
      <c r="E10" s="775"/>
      <c r="F10" s="727"/>
      <c r="G10" s="727"/>
      <c r="H10" s="727"/>
      <c r="I10" s="727"/>
      <c r="J10" s="727"/>
      <c r="K10" s="1731"/>
      <c r="L10" s="1731"/>
      <c r="M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</row>
    <row r="11" spans="2:40" s="62" customFormat="1" ht="5.0999999999999996" hidden="1" customHeight="1" x14ac:dyDescent="0.3">
      <c r="B11" s="955"/>
      <c r="C11" s="1081"/>
      <c r="D11" s="959"/>
      <c r="E11" s="957"/>
      <c r="F11" s="958"/>
      <c r="G11" s="958"/>
      <c r="H11" s="958"/>
      <c r="I11" s="958"/>
      <c r="J11" s="958"/>
      <c r="K11" s="959"/>
      <c r="L11" s="960"/>
      <c r="M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</row>
    <row r="12" spans="2:40" s="62" customFormat="1" hidden="1" x14ac:dyDescent="0.3">
      <c r="B12" s="779" t="s">
        <v>165</v>
      </c>
      <c r="C12" s="781">
        <f>C5+C8</f>
        <v>101.1</v>
      </c>
      <c r="D12" s="781">
        <f>D5+D8</f>
        <v>99.25</v>
      </c>
      <c r="E12" s="781"/>
      <c r="F12" s="781">
        <f>SUM(F5:F10)</f>
        <v>0</v>
      </c>
      <c r="G12" s="781">
        <f>SUM(G5:G10)</f>
        <v>0</v>
      </c>
      <c r="H12" s="781">
        <f>SUM(H5:H10)</f>
        <v>0</v>
      </c>
      <c r="I12" s="781">
        <f>SUM(I5:I10)</f>
        <v>0</v>
      </c>
      <c r="J12" s="781"/>
      <c r="K12" s="781">
        <f>SUM(K5:K10)</f>
        <v>0</v>
      </c>
      <c r="L12" s="781">
        <f>SUM(L5:L10)</f>
        <v>99.25</v>
      </c>
      <c r="M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</row>
    <row r="13" spans="2:40" s="62" customFormat="1" hidden="1" x14ac:dyDescent="0.3">
      <c r="B13" s="961"/>
      <c r="C13" s="963"/>
      <c r="D13" s="963"/>
      <c r="E13" s="962"/>
      <c r="F13" s="962"/>
      <c r="G13" s="962"/>
      <c r="H13" s="962"/>
      <c r="I13" s="962"/>
      <c r="J13" s="963"/>
      <c r="K13" s="962"/>
      <c r="L13" s="962"/>
      <c r="M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</row>
    <row r="14" spans="2:40" s="62" customFormat="1" x14ac:dyDescent="0.3">
      <c r="B14" s="1733" t="s">
        <v>1897</v>
      </c>
      <c r="C14" s="1736">
        <v>21.623999999999999</v>
      </c>
      <c r="D14" s="1729">
        <f>IFERROR(SUMIFS('Schedule 4'!$F$684:$F$715,'Schedule 4'!$K$654:$K$715,'Pylon Cal.'!$B14),0)</f>
        <v>0</v>
      </c>
      <c r="E14" s="754" t="s">
        <v>6133</v>
      </c>
      <c r="F14" s="728">
        <f>SUMIFS('Schedule 4'!$F$684:$F$715,'Schedule 4'!$I$684:$I$715,'Pylon Cal.'!F$3,'Schedule 4'!$J$684:$J$715,'Pylon Cal.'!$E14)</f>
        <v>0</v>
      </c>
      <c r="G14" s="728">
        <f>SUMIFS('Schedule 4'!$F$684:$F$715,'Schedule 4'!$I$684:$I$715,'Pylon Cal.'!G$3,'Schedule 4'!$J$684:$J$715,'Pylon Cal.'!$E14)</f>
        <v>0</v>
      </c>
      <c r="H14" s="728">
        <f>SUMIFS('Schedule 4'!$F$684:$F$715,'Schedule 4'!$I$684:$I$715,'Pylon Cal.'!H$3,'Schedule 4'!$J$684:$J$715,'Pylon Cal.'!$E14)</f>
        <v>0</v>
      </c>
      <c r="I14" s="728">
        <f>SUMIFS('Schedule 4'!$F$684:$F$715,'Schedule 4'!$I$684:$I$715,'Pylon Cal.'!I$3,'Schedule 4'!$J$684:$J$715,'Pylon Cal.'!$E14)</f>
        <v>0</v>
      </c>
      <c r="J14" s="728"/>
      <c r="K14" s="1729">
        <f>SUM(F14:J16)</f>
        <v>0</v>
      </c>
      <c r="L14" s="1729">
        <f>D14-K14</f>
        <v>0</v>
      </c>
      <c r="M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</row>
    <row r="15" spans="2:40" s="62" customFormat="1" x14ac:dyDescent="0.3">
      <c r="B15" s="1734"/>
      <c r="C15" s="1737"/>
      <c r="D15" s="1730"/>
      <c r="E15" s="761" t="s">
        <v>6134</v>
      </c>
      <c r="F15" s="726">
        <f>SUMIFS('Schedule 4'!$F$684:$F$715,'Schedule 4'!$I$684:$I$715,'Pylon Cal.'!F$3,'Schedule 4'!$J$684:$J$715,'Pylon Cal.'!$E15)</f>
        <v>0</v>
      </c>
      <c r="G15" s="726">
        <f>SUMIFS('Schedule 4'!$F$684:$F$715,'Schedule 4'!$I$684:$I$715,'Pylon Cal.'!G$3,'Schedule 4'!$J$684:$J$715,'Pylon Cal.'!$E15)</f>
        <v>0</v>
      </c>
      <c r="H15" s="726">
        <f>SUMIFS('Schedule 4'!$F$684:$F$715,'Schedule 4'!$I$684:$I$715,'Pylon Cal.'!H$3,'Schedule 4'!$J$684:$J$715,'Pylon Cal.'!$E15)</f>
        <v>0</v>
      </c>
      <c r="I15" s="726">
        <f>SUMIFS('Schedule 4'!$F$684:$F$715,'Schedule 4'!$I$684:$I$715,'Pylon Cal.'!I$3,'Schedule 4'!$J$684:$J$715,'Pylon Cal.'!$E15)</f>
        <v>0</v>
      </c>
      <c r="J15" s="726"/>
      <c r="K15" s="1730"/>
      <c r="L15" s="1730"/>
      <c r="M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</row>
    <row r="16" spans="2:40" s="62" customFormat="1" x14ac:dyDescent="0.3">
      <c r="B16" s="1740"/>
      <c r="C16" s="1739"/>
      <c r="D16" s="1732"/>
      <c r="E16" s="776"/>
      <c r="F16" s="777"/>
      <c r="G16" s="777"/>
      <c r="H16" s="777"/>
      <c r="I16" s="777"/>
      <c r="J16" s="777"/>
      <c r="K16" s="1732"/>
      <c r="L16" s="1732"/>
      <c r="M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</row>
    <row r="17" spans="2:40" s="62" customFormat="1" x14ac:dyDescent="0.3">
      <c r="B17" s="1723" t="s">
        <v>1898</v>
      </c>
      <c r="C17" s="1726">
        <f>42.648/2</f>
        <v>21.324000000000002</v>
      </c>
      <c r="D17" s="1720">
        <f>IFERROR(SUMIFS('Schedule 4'!$F$684:$F$715,'Schedule 4'!$K$684:$K$715,'Pylon Cal.'!$B17),0)</f>
        <v>0</v>
      </c>
      <c r="E17" s="754" t="s">
        <v>4690</v>
      </c>
      <c r="F17" s="728">
        <f>SUMIFS('Schedule 4'!$F$684:$F$715,'Schedule 4'!$I$684:$I$715,'Pylon Cal.'!F$3,'Schedule 4'!$J$684:$J$715,'Pylon Cal.'!$E17)</f>
        <v>0</v>
      </c>
      <c r="G17" s="728">
        <f>SUMIFS('Schedule 4'!$F$684:$F$715,'Schedule 4'!$I$684:$I$715,'Pylon Cal.'!G$3,'Schedule 4'!$J$684:$J$715,'Pylon Cal.'!$E17)</f>
        <v>0</v>
      </c>
      <c r="H17" s="728">
        <f>SUMIFS('Schedule 4'!$F$684:$F$715,'Schedule 4'!$I$684:$I$715,'Pylon Cal.'!H$3,'Schedule 4'!$J$684:$J$715,'Pylon Cal.'!$E17)</f>
        <v>0</v>
      </c>
      <c r="I17" s="728">
        <f>SUMIFS('Schedule 4'!$F$684:$F$715,'Schedule 4'!$I$684:$I$715,'Pylon Cal.'!I$3,'Schedule 4'!$J$684:$J$715,'Pylon Cal.'!$E17)</f>
        <v>0</v>
      </c>
      <c r="J17" s="728"/>
      <c r="K17" s="1720">
        <f>SUM(F17:J20)</f>
        <v>0</v>
      </c>
      <c r="L17" s="1729">
        <f>D17-K17</f>
        <v>0</v>
      </c>
      <c r="M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</row>
    <row r="18" spans="2:40" s="62" customFormat="1" x14ac:dyDescent="0.3">
      <c r="B18" s="1724"/>
      <c r="C18" s="1727"/>
      <c r="D18" s="1721"/>
      <c r="E18" s="761" t="s">
        <v>4686</v>
      </c>
      <c r="F18" s="726">
        <f>SUMIFS('Schedule 4'!$F$684:$F$715,'Schedule 4'!$I$684:$I$715,'Pylon Cal.'!F$3,'Schedule 4'!$J$684:$J$715,'Pylon Cal.'!$E18)</f>
        <v>0</v>
      </c>
      <c r="G18" s="726">
        <f>SUMIFS('Schedule 4'!$F$684:$F$715,'Schedule 4'!$I$684:$I$715,'Pylon Cal.'!G$3,'Schedule 4'!$J$684:$J$715,'Pylon Cal.'!$E18)</f>
        <v>0</v>
      </c>
      <c r="H18" s="726">
        <f>SUMIFS('Schedule 4'!$F$684:$F$715,'Schedule 4'!$I$684:$I$715,'Pylon Cal.'!H$3,'Schedule 4'!$J$684:$J$715,'Pylon Cal.'!$E18)</f>
        <v>0</v>
      </c>
      <c r="I18" s="726">
        <f>SUMIFS('Schedule 4'!$F$684:$F$715,'Schedule 4'!$I$684:$I$715,'Pylon Cal.'!I$3,'Schedule 4'!$J$684:$J$715,'Pylon Cal.'!$E18)</f>
        <v>0</v>
      </c>
      <c r="J18" s="726"/>
      <c r="K18" s="1721"/>
      <c r="L18" s="1730"/>
      <c r="M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</row>
    <row r="19" spans="2:40" s="62" customFormat="1" x14ac:dyDescent="0.3">
      <c r="B19" s="1724"/>
      <c r="C19" s="1727"/>
      <c r="D19" s="1721"/>
      <c r="E19" s="775" t="s">
        <v>542</v>
      </c>
      <c r="F19" s="726">
        <f>SUMIFS('Schedule 4'!$F$684:$F$715,'Schedule 4'!$I$684:$I$715,'Pylon Cal.'!F$3,'Schedule 4'!$J$684:$J$715,'Pylon Cal.'!$E19)</f>
        <v>0</v>
      </c>
      <c r="G19" s="726">
        <f>SUMIFS('Schedule 4'!$F$684:$F$715,'Schedule 4'!$I$684:$I$715,'Pylon Cal.'!G$3,'Schedule 4'!$J$684:$J$715,'Pylon Cal.'!$E19)</f>
        <v>0</v>
      </c>
      <c r="H19" s="726">
        <f>SUMIFS('Schedule 4'!$F$684:$F$715,'Schedule 4'!$I$684:$I$715,'Pylon Cal.'!H$3,'Schedule 4'!$J$684:$J$715,'Pylon Cal.'!$E19)</f>
        <v>0</v>
      </c>
      <c r="I19" s="726">
        <f>SUMIFS('Schedule 4'!$F$684:$F$715,'Schedule 4'!$I$684:$I$715,'Pylon Cal.'!I$3,'Schedule 4'!$J$684:$J$715,'Pylon Cal.'!$E19)</f>
        <v>0</v>
      </c>
      <c r="J19" s="726"/>
      <c r="K19" s="1721"/>
      <c r="L19" s="1730"/>
      <c r="M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</row>
    <row r="20" spans="2:40" s="62" customFormat="1" x14ac:dyDescent="0.3">
      <c r="B20" s="1725"/>
      <c r="C20" s="1728"/>
      <c r="D20" s="1722"/>
      <c r="E20" s="776"/>
      <c r="F20" s="777"/>
      <c r="G20" s="777"/>
      <c r="H20" s="777"/>
      <c r="I20" s="777"/>
      <c r="J20" s="777"/>
      <c r="K20" s="1722"/>
      <c r="L20" s="1732"/>
      <c r="M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</row>
    <row r="21" spans="2:40" s="62" customFormat="1" x14ac:dyDescent="0.3">
      <c r="B21" s="1723" t="s">
        <v>1899</v>
      </c>
      <c r="C21" s="1726">
        <v>21.623999999999999</v>
      </c>
      <c r="D21" s="1720">
        <f>IFERROR(SUMIFS('Schedule 4'!$F$684:$F$715,'Schedule 4'!$K$684:$K$715,'Pylon Cal.'!$B21),0)</f>
        <v>0</v>
      </c>
      <c r="E21" s="754" t="s">
        <v>4711</v>
      </c>
      <c r="F21" s="728">
        <f>SUMIFS('Schedule 4'!$F$684:$F$715,'Schedule 4'!$I$684:$I$715,'Pylon Cal.'!F$3,'Schedule 4'!$J$684:$J$715,'Pylon Cal.'!$E21)</f>
        <v>0</v>
      </c>
      <c r="G21" s="728">
        <f>SUMIFS('Schedule 4'!$F$684:$F$715,'Schedule 4'!$I$684:$I$715,'Pylon Cal.'!G$3,'Schedule 4'!$J$684:$J$715,'Pylon Cal.'!$E21)</f>
        <v>0</v>
      </c>
      <c r="H21" s="728">
        <f>SUMIFS('Schedule 4'!$F$684:$F$715,'Schedule 4'!$I$684:$I$715,'Pylon Cal.'!H$3,'Schedule 4'!$J$684:$J$715,'Pylon Cal.'!$E21)</f>
        <v>0</v>
      </c>
      <c r="I21" s="728">
        <f>SUMIFS('Schedule 4'!$F$684:$F$715,'Schedule 4'!$I$684:$I$715,'Pylon Cal.'!I$3,'Schedule 4'!$J$684:$J$715,'Pylon Cal.'!$E21)</f>
        <v>0</v>
      </c>
      <c r="J21" s="728"/>
      <c r="K21" s="1720">
        <f>SUM(F21:J29)</f>
        <v>0</v>
      </c>
      <c r="L21" s="1729">
        <f>D21-K21</f>
        <v>0</v>
      </c>
      <c r="M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</row>
    <row r="22" spans="2:40" s="62" customFormat="1" x14ac:dyDescent="0.3">
      <c r="B22" s="1724"/>
      <c r="C22" s="1727"/>
      <c r="D22" s="1721"/>
      <c r="E22" s="761" t="s">
        <v>4693</v>
      </c>
      <c r="F22" s="726">
        <f>SUMIFS('Schedule 4'!$F$684:$F$715,'Schedule 4'!$I$684:$I$715,'Pylon Cal.'!F$3,'Schedule 4'!$J$684:$J$715,'Pylon Cal.'!$E22)</f>
        <v>0</v>
      </c>
      <c r="G22" s="726">
        <f>SUMIFS('Schedule 4'!$F$684:$F$715,'Schedule 4'!$I$684:$I$715,'Pylon Cal.'!G$3,'Schedule 4'!$J$684:$J$715,'Pylon Cal.'!$E22)</f>
        <v>0</v>
      </c>
      <c r="H22" s="726">
        <f>SUMIFS('Schedule 4'!$F$684:$F$715,'Schedule 4'!$I$684:$I$715,'Pylon Cal.'!H$3,'Schedule 4'!$J$684:$J$715,'Pylon Cal.'!$E22)</f>
        <v>0</v>
      </c>
      <c r="I22" s="726">
        <f>SUMIFS('Schedule 4'!$F$684:$F$715,'Schedule 4'!$I$684:$I$715,'Pylon Cal.'!I$3,'Schedule 4'!$J$684:$J$715,'Pylon Cal.'!$E22)</f>
        <v>0</v>
      </c>
      <c r="J22" s="726"/>
      <c r="K22" s="1721"/>
      <c r="L22" s="1730"/>
      <c r="M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</row>
    <row r="23" spans="2:40" s="62" customFormat="1" x14ac:dyDescent="0.3">
      <c r="B23" s="1724"/>
      <c r="C23" s="1727"/>
      <c r="D23" s="1721"/>
      <c r="E23" s="761" t="s">
        <v>4696</v>
      </c>
      <c r="F23" s="726">
        <f>SUMIFS('Schedule 4'!$F$684:$F$715,'Schedule 4'!$I$684:$I$715,'Pylon Cal.'!F$3,'Schedule 4'!$J$684:$J$715,'Pylon Cal.'!$E23)</f>
        <v>0</v>
      </c>
      <c r="G23" s="726">
        <f>SUMIFS('Schedule 4'!$F$684:$F$715,'Schedule 4'!$I$684:$I$715,'Pylon Cal.'!G$3,'Schedule 4'!$J$684:$J$715,'Pylon Cal.'!$E23)</f>
        <v>0</v>
      </c>
      <c r="H23" s="726">
        <f>SUMIFS('Schedule 4'!$F$684:$F$715,'Schedule 4'!$I$684:$I$715,'Pylon Cal.'!H$3,'Schedule 4'!$J$684:$J$715,'Pylon Cal.'!$E23)</f>
        <v>0</v>
      </c>
      <c r="I23" s="726">
        <f>SUMIFS('Schedule 4'!$F$684:$F$715,'Schedule 4'!$I$684:$I$715,'Pylon Cal.'!I$3,'Schedule 4'!$J$684:$J$715,'Pylon Cal.'!$E23)</f>
        <v>0</v>
      </c>
      <c r="J23" s="726"/>
      <c r="K23" s="1721"/>
      <c r="L23" s="1730"/>
      <c r="M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</row>
    <row r="24" spans="2:40" s="62" customFormat="1" x14ac:dyDescent="0.3">
      <c r="B24" s="1724"/>
      <c r="C24" s="1727"/>
      <c r="D24" s="1721"/>
      <c r="E24" s="775" t="s">
        <v>4698</v>
      </c>
      <c r="F24" s="726">
        <f>SUMIFS('Schedule 4'!$F$684:$F$715,'Schedule 4'!$I$684:$I$715,'Pylon Cal.'!F$3,'Schedule 4'!$J$684:$J$715,'Pylon Cal.'!$E24)</f>
        <v>0</v>
      </c>
      <c r="G24" s="726">
        <f>SUMIFS('Schedule 4'!$F$684:$F$715,'Schedule 4'!$I$684:$I$715,'Pylon Cal.'!G$3,'Schedule 4'!$J$684:$J$715,'Pylon Cal.'!$E24)</f>
        <v>0</v>
      </c>
      <c r="H24" s="726">
        <f>SUMIFS('Schedule 4'!$F$684:$F$715,'Schedule 4'!$I$684:$I$715,'Pylon Cal.'!H$3,'Schedule 4'!$J$684:$J$715,'Pylon Cal.'!$E24)</f>
        <v>0</v>
      </c>
      <c r="I24" s="726">
        <f>SUMIFS('Schedule 4'!$F$684:$F$715,'Schedule 4'!$I$684:$I$715,'Pylon Cal.'!I$3,'Schedule 4'!$J$684:$J$715,'Pylon Cal.'!$E24)</f>
        <v>0</v>
      </c>
      <c r="J24" s="726"/>
      <c r="K24" s="1721"/>
      <c r="L24" s="1730"/>
      <c r="M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</row>
    <row r="25" spans="2:40" s="62" customFormat="1" x14ac:dyDescent="0.3">
      <c r="B25" s="1724"/>
      <c r="C25" s="1727"/>
      <c r="D25" s="1721"/>
      <c r="E25" s="775" t="s">
        <v>4700</v>
      </c>
      <c r="F25" s="726">
        <f>SUMIFS('Schedule 4'!$F$684:$F$715,'Schedule 4'!$I$684:$I$715,'Pylon Cal.'!F$3,'Schedule 4'!$J$684:$J$715,'Pylon Cal.'!$E25)</f>
        <v>0</v>
      </c>
      <c r="G25" s="726">
        <f>SUMIFS('Schedule 4'!$F$684:$F$715,'Schedule 4'!$I$684:$I$715,'Pylon Cal.'!G$3,'Schedule 4'!$J$684:$J$715,'Pylon Cal.'!$E25)</f>
        <v>0</v>
      </c>
      <c r="H25" s="726">
        <f>SUMIFS('Schedule 4'!$F$684:$F$715,'Schedule 4'!$I$684:$I$715,'Pylon Cal.'!H$3,'Schedule 4'!$J$684:$J$715,'Pylon Cal.'!$E25)</f>
        <v>0</v>
      </c>
      <c r="I25" s="726">
        <f>SUMIFS('Schedule 4'!$F$684:$F$715,'Schedule 4'!$I$684:$I$715,'Pylon Cal.'!I$3,'Schedule 4'!$J$684:$J$715,'Pylon Cal.'!$E25)</f>
        <v>0</v>
      </c>
      <c r="J25" s="726"/>
      <c r="K25" s="1721"/>
      <c r="L25" s="1730"/>
      <c r="M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</row>
    <row r="26" spans="2:40" s="62" customFormat="1" x14ac:dyDescent="0.3">
      <c r="B26" s="1724"/>
      <c r="C26" s="1727"/>
      <c r="D26" s="1721"/>
      <c r="E26" s="775" t="s">
        <v>4703</v>
      </c>
      <c r="F26" s="726">
        <f>SUMIFS('Schedule 4'!$F$684:$F$715,'Schedule 4'!$I$684:$I$715,'Pylon Cal.'!F$3,'Schedule 4'!$J$684:$J$715,'Pylon Cal.'!$E26)</f>
        <v>0</v>
      </c>
      <c r="G26" s="726">
        <f>SUMIFS('Schedule 4'!$F$684:$F$715,'Schedule 4'!$I$684:$I$715,'Pylon Cal.'!G$3,'Schedule 4'!$J$684:$J$715,'Pylon Cal.'!$E26)</f>
        <v>0</v>
      </c>
      <c r="H26" s="726">
        <f>SUMIFS('Schedule 4'!$F$684:$F$715,'Schedule 4'!$I$684:$I$715,'Pylon Cal.'!H$3,'Schedule 4'!$J$684:$J$715,'Pylon Cal.'!$E26)</f>
        <v>0</v>
      </c>
      <c r="I26" s="726">
        <f>SUMIFS('Schedule 4'!$F$684:$F$715,'Schedule 4'!$I$684:$I$715,'Pylon Cal.'!I$3,'Schedule 4'!$J$684:$J$715,'Pylon Cal.'!$E26)</f>
        <v>0</v>
      </c>
      <c r="J26" s="726"/>
      <c r="K26" s="1721"/>
      <c r="L26" s="1730"/>
      <c r="M26" s="132"/>
      <c r="N26" s="1523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</row>
    <row r="27" spans="2:40" s="62" customFormat="1" x14ac:dyDescent="0.3">
      <c r="B27" s="1724"/>
      <c r="C27" s="1727"/>
      <c r="D27" s="1721"/>
      <c r="E27" s="775" t="s">
        <v>4706</v>
      </c>
      <c r="F27" s="726">
        <f>SUMIFS('Schedule 4'!$F$684:$F$715,'Schedule 4'!$I$684:$I$715,'Pylon Cal.'!F$3,'Schedule 4'!$J$684:$J$715,'Pylon Cal.'!$E27)</f>
        <v>0</v>
      </c>
      <c r="G27" s="726">
        <f>SUMIFS('Schedule 4'!$F$684:$F$715,'Schedule 4'!$I$684:$I$715,'Pylon Cal.'!G$3,'Schedule 4'!$J$684:$J$715,'Pylon Cal.'!$E27)</f>
        <v>0</v>
      </c>
      <c r="H27" s="726">
        <f>SUMIFS('Schedule 4'!$F$684:$F$715,'Schedule 4'!$I$684:$I$715,'Pylon Cal.'!H$3,'Schedule 4'!$J$684:$J$715,'Pylon Cal.'!$E27)</f>
        <v>0</v>
      </c>
      <c r="I27" s="726">
        <f>SUMIFS('Schedule 4'!$F$684:$F$715,'Schedule 4'!$I$684:$I$715,'Pylon Cal.'!I$3,'Schedule 4'!$J$684:$J$715,'Pylon Cal.'!$E27)</f>
        <v>0</v>
      </c>
      <c r="J27" s="726"/>
      <c r="K27" s="1721"/>
      <c r="L27" s="1730"/>
      <c r="M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</row>
    <row r="28" spans="2:40" x14ac:dyDescent="0.3">
      <c r="B28" s="1724"/>
      <c r="C28" s="1727"/>
      <c r="D28" s="1721"/>
      <c r="E28" s="775" t="s">
        <v>618</v>
      </c>
      <c r="F28" s="726">
        <f>SUMIFS('Schedule 4'!$F$684:$F$715,'Schedule 4'!$I$684:$I$715,'Pylon Cal.'!F$3,'Schedule 4'!$J$684:$J$715,'Pylon Cal.'!$E28)</f>
        <v>0</v>
      </c>
      <c r="G28" s="726">
        <f>SUMIFS('Schedule 4'!$F$684:$F$715,'Schedule 4'!$I$684:$I$715,'Pylon Cal.'!G$3,'Schedule 4'!$J$684:$J$715,'Pylon Cal.'!$E28)</f>
        <v>0</v>
      </c>
      <c r="H28" s="726">
        <f>SUMIFS('Schedule 4'!$F$684:$F$715,'Schedule 4'!$I$684:$I$715,'Pylon Cal.'!H$3,'Schedule 4'!$J$684:$J$715,'Pylon Cal.'!$E28)</f>
        <v>0</v>
      </c>
      <c r="I28" s="726">
        <f>SUMIFS('Schedule 4'!$F$684:$F$715,'Schedule 4'!$I$684:$I$715,'Pylon Cal.'!I$3,'Schedule 4'!$J$684:$J$715,'Pylon Cal.'!$E28)</f>
        <v>0</v>
      </c>
      <c r="J28" s="726"/>
      <c r="K28" s="1721"/>
      <c r="L28" s="1731"/>
    </row>
    <row r="29" spans="2:40" x14ac:dyDescent="0.3">
      <c r="B29" s="1725"/>
      <c r="C29" s="1728"/>
      <c r="D29" s="1722"/>
      <c r="E29" s="776"/>
      <c r="F29" s="777"/>
      <c r="G29" s="777"/>
      <c r="H29" s="777"/>
      <c r="I29" s="777"/>
      <c r="J29" s="777"/>
      <c r="K29" s="1722"/>
      <c r="L29" s="1732"/>
    </row>
    <row r="30" spans="2:40" x14ac:dyDescent="0.3">
      <c r="B30" s="1723" t="s">
        <v>1900</v>
      </c>
      <c r="C30" s="1726">
        <v>21.324000000000002</v>
      </c>
      <c r="D30" s="1720">
        <f>IFERROR(SUMIFS('Schedule 4'!$F$684:$F$715,'Schedule 4'!$K$684:$K$715,'Pylon Cal.'!$B30),0)</f>
        <v>0</v>
      </c>
      <c r="E30" s="754" t="s">
        <v>6135</v>
      </c>
      <c r="F30" s="728">
        <f>SUMIFS('Schedule 4'!$F$684:$F$715,'Schedule 4'!$I$684:$I$715,'Pylon Cal.'!F$3,'Schedule 4'!$J$684:$J$715,'Pylon Cal.'!$E30)</f>
        <v>0</v>
      </c>
      <c r="G30" s="728">
        <f>SUMIFS('Schedule 4'!$F$684:$F$715,'Schedule 4'!$I$684:$I$715,'Pylon Cal.'!G$3,'Schedule 4'!$J$684:$J$715,'Pylon Cal.'!$E30)</f>
        <v>0</v>
      </c>
      <c r="H30" s="728">
        <f>SUMIFS('Schedule 4'!$F$684:$F$715,'Schedule 4'!$I$684:$I$715,'Pylon Cal.'!H$3,'Schedule 4'!$J$684:$J$715,'Pylon Cal.'!$E30)</f>
        <v>0</v>
      </c>
      <c r="I30" s="728">
        <f>SUMIFS('Schedule 4'!$F$684:$F$715,'Schedule 4'!$I$684:$I$715,'Pylon Cal.'!I$3,'Schedule 4'!$J$684:$J$715,'Pylon Cal.'!$E30)</f>
        <v>0</v>
      </c>
      <c r="J30" s="728"/>
      <c r="K30" s="1729">
        <f>SUM(F30:J32)</f>
        <v>0</v>
      </c>
      <c r="L30" s="1729">
        <f>D30-K30</f>
        <v>0</v>
      </c>
    </row>
    <row r="31" spans="2:40" x14ac:dyDescent="0.3">
      <c r="B31" s="1724"/>
      <c r="C31" s="1727"/>
      <c r="D31" s="1721"/>
      <c r="E31" s="761" t="s">
        <v>6136</v>
      </c>
      <c r="F31" s="726">
        <f>SUMIFS('Schedule 4'!$F$684:$F$715,'Schedule 4'!$I$684:$I$715,'Pylon Cal.'!F$3,'Schedule 4'!$J$684:$J$715,'Pylon Cal.'!$E31)</f>
        <v>0</v>
      </c>
      <c r="G31" s="726">
        <f>SUMIFS('Schedule 4'!$F$684:$F$715,'Schedule 4'!$I$684:$I$715,'Pylon Cal.'!G$3,'Schedule 4'!$J$684:$J$715,'Pylon Cal.'!$E31)</f>
        <v>0</v>
      </c>
      <c r="H31" s="726">
        <f>SUMIFS('Schedule 4'!$F$684:$F$715,'Schedule 4'!$I$684:$I$715,'Pylon Cal.'!H$3,'Schedule 4'!$J$684:$J$715,'Pylon Cal.'!$E31)</f>
        <v>0</v>
      </c>
      <c r="I31" s="726">
        <f>SUMIFS('Schedule 4'!$F$684:$F$715,'Schedule 4'!$I$684:$I$715,'Pylon Cal.'!I$3,'Schedule 4'!$J$684:$J$715,'Pylon Cal.'!$E31)</f>
        <v>0</v>
      </c>
      <c r="J31" s="726"/>
      <c r="K31" s="1730"/>
      <c r="L31" s="1730"/>
    </row>
    <row r="32" spans="2:40" x14ac:dyDescent="0.3">
      <c r="B32" s="1725"/>
      <c r="C32" s="1728"/>
      <c r="D32" s="1722"/>
      <c r="E32" s="776"/>
      <c r="F32" s="777"/>
      <c r="G32" s="777"/>
      <c r="H32" s="777"/>
      <c r="I32" s="777"/>
      <c r="J32" s="777"/>
      <c r="K32" s="1732"/>
      <c r="L32" s="1732"/>
    </row>
    <row r="33" spans="2:24" x14ac:dyDescent="0.3">
      <c r="B33" s="1723" t="s">
        <v>1901</v>
      </c>
      <c r="C33" s="1726">
        <v>21.623999999999999</v>
      </c>
      <c r="D33" s="1720">
        <f>IFERROR(SUMIFS('Schedule 4'!$F$684:$F$715,'Schedule 4'!$K$684:$K$715,'Pylon Cal.'!$B33),0)</f>
        <v>0</v>
      </c>
      <c r="E33" s="754" t="s">
        <v>6137</v>
      </c>
      <c r="F33" s="728">
        <f>SUMIFS('Schedule 4'!$F$684:$F$715,'Schedule 4'!$I$684:$I$715,'Pylon Cal.'!F$3,'Schedule 4'!$J$684:$J$715,'Pylon Cal.'!$E33)</f>
        <v>0</v>
      </c>
      <c r="G33" s="728">
        <f>SUMIFS('Schedule 4'!$F$684:$F$715,'Schedule 4'!$I$684:$I$715,'Pylon Cal.'!G$3,'Schedule 4'!$J$684:$J$715,'Pylon Cal.'!$E33)</f>
        <v>0</v>
      </c>
      <c r="H33" s="728">
        <f>SUMIFS('Schedule 4'!$F$684:$F$715,'Schedule 4'!$I$684:$I$715,'Pylon Cal.'!H$3,'Schedule 4'!$J$684:$J$715,'Pylon Cal.'!$E33)</f>
        <v>0</v>
      </c>
      <c r="I33" s="728">
        <f>SUMIFS('Schedule 4'!$F$684:$F$715,'Schedule 4'!$I$684:$I$715,'Pylon Cal.'!I$3,'Schedule 4'!$J$684:$J$715,'Pylon Cal.'!$E33)</f>
        <v>0</v>
      </c>
      <c r="J33" s="728"/>
      <c r="K33" s="1720">
        <f>SUM(F33:J35)</f>
        <v>0</v>
      </c>
      <c r="L33" s="1729">
        <f>D33-K33</f>
        <v>0</v>
      </c>
    </row>
    <row r="34" spans="2:24" x14ac:dyDescent="0.3">
      <c r="B34" s="1724"/>
      <c r="C34" s="1727"/>
      <c r="D34" s="1721"/>
      <c r="E34" s="761" t="s">
        <v>6138</v>
      </c>
      <c r="F34" s="726">
        <f>SUMIFS('Schedule 4'!$F$684:$F$715,'Schedule 4'!$I$684:$I$715,'Pylon Cal.'!F$3,'Schedule 4'!$J$684:$J$715,'Pylon Cal.'!$E34)</f>
        <v>0</v>
      </c>
      <c r="G34" s="726">
        <f>SUMIFS('Schedule 4'!$F$684:$F$715,'Schedule 4'!$I$684:$I$715,'Pylon Cal.'!G$3,'Schedule 4'!$J$684:$J$715,'Pylon Cal.'!$E34)</f>
        <v>0</v>
      </c>
      <c r="H34" s="726">
        <f>SUMIFS('Schedule 4'!$F$684:$F$715,'Schedule 4'!$I$684:$I$715,'Pylon Cal.'!H$3,'Schedule 4'!$J$684:$J$715,'Pylon Cal.'!$E34)</f>
        <v>0</v>
      </c>
      <c r="I34" s="726">
        <f>SUMIFS('Schedule 4'!$F$684:$F$715,'Schedule 4'!$I$684:$I$715,'Pylon Cal.'!I$3,'Schedule 4'!$J$684:$J$715,'Pylon Cal.'!$E34)</f>
        <v>0</v>
      </c>
      <c r="J34" s="726"/>
      <c r="K34" s="1721"/>
      <c r="L34" s="1730"/>
    </row>
    <row r="35" spans="2:24" s="62" customFormat="1" x14ac:dyDescent="0.3">
      <c r="B35" s="1725"/>
      <c r="C35" s="1728"/>
      <c r="D35" s="1722"/>
      <c r="E35" s="776"/>
      <c r="F35" s="777"/>
      <c r="G35" s="777"/>
      <c r="H35" s="777"/>
      <c r="I35" s="777"/>
      <c r="J35" s="777"/>
      <c r="K35" s="1722"/>
      <c r="L35" s="1732"/>
      <c r="M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</row>
    <row r="36" spans="2:24" s="62" customFormat="1" x14ac:dyDescent="0.3">
      <c r="B36" s="1723" t="s">
        <v>1902</v>
      </c>
      <c r="C36" s="1726">
        <v>21.324000000000002</v>
      </c>
      <c r="D36" s="1720">
        <f>IFERROR(SUMIFS('Schedule 4'!$F$684:$F$715,'Schedule 4'!$K$684:$K$715,'Pylon Cal.'!$B36),0)</f>
        <v>0</v>
      </c>
      <c r="E36" s="754" t="s">
        <v>6139</v>
      </c>
      <c r="F36" s="728">
        <f>SUMIFS('Schedule 4'!$F$684:$F$715,'Schedule 4'!$I$684:$I$715,'Pylon Cal.'!F$3,'Schedule 4'!$J$684:$J$715,'Pylon Cal.'!$E36)</f>
        <v>0</v>
      </c>
      <c r="G36" s="728">
        <f>SUMIFS('Schedule 4'!$F$684:$F$715,'Schedule 4'!$I$684:$I$715,'Pylon Cal.'!G$3,'Schedule 4'!$J$684:$J$715,'Pylon Cal.'!$E36)</f>
        <v>0</v>
      </c>
      <c r="H36" s="728">
        <f>SUMIFS('Schedule 4'!$F$684:$F$715,'Schedule 4'!$I$684:$I$715,'Pylon Cal.'!H$3,'Schedule 4'!$J$684:$J$715,'Pylon Cal.'!$E36)</f>
        <v>0</v>
      </c>
      <c r="I36" s="728">
        <f>SUMIFS('Schedule 4'!$F$684:$F$715,'Schedule 4'!$I$684:$I$715,'Pylon Cal.'!I$3,'Schedule 4'!$J$684:$J$715,'Pylon Cal.'!$E36)</f>
        <v>0</v>
      </c>
      <c r="J36" s="728"/>
      <c r="K36" s="1713">
        <f>SUM(F36:J38)</f>
        <v>0</v>
      </c>
      <c r="L36" s="1729">
        <f>D36-K36</f>
        <v>0</v>
      </c>
      <c r="M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</row>
    <row r="37" spans="2:24" s="62" customFormat="1" x14ac:dyDescent="0.3">
      <c r="B37" s="1724"/>
      <c r="C37" s="1727"/>
      <c r="D37" s="1721"/>
      <c r="E37" s="761" t="s">
        <v>6140</v>
      </c>
      <c r="F37" s="726">
        <f>SUMIFS('Schedule 4'!$F$684:$F$715,'Schedule 4'!$I$684:$I$715,'Pylon Cal.'!F$3,'Schedule 4'!$J$684:$J$715,'Pylon Cal.'!$E37)</f>
        <v>0</v>
      </c>
      <c r="G37" s="726">
        <f>SUMIFS('Schedule 4'!$F$684:$F$715,'Schedule 4'!$I$684:$I$715,'Pylon Cal.'!G$3,'Schedule 4'!$J$684:$J$715,'Pylon Cal.'!$E37)</f>
        <v>0</v>
      </c>
      <c r="H37" s="726">
        <f>SUMIFS('Schedule 4'!$F$684:$F$715,'Schedule 4'!$I$684:$I$715,'Pylon Cal.'!H$3,'Schedule 4'!$J$684:$J$715,'Pylon Cal.'!$E37)</f>
        <v>0</v>
      </c>
      <c r="I37" s="726">
        <f>SUMIFS('Schedule 4'!$F$684:$F$715,'Schedule 4'!$I$684:$I$715,'Pylon Cal.'!I$3,'Schedule 4'!$J$684:$J$715,'Pylon Cal.'!$E37)</f>
        <v>0</v>
      </c>
      <c r="J37" s="726"/>
      <c r="K37" s="1714"/>
      <c r="L37" s="1730"/>
      <c r="M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</row>
    <row r="38" spans="2:24" x14ac:dyDescent="0.3">
      <c r="B38" s="1725"/>
      <c r="C38" s="1728"/>
      <c r="D38" s="1722"/>
      <c r="E38" s="776"/>
      <c r="F38" s="777"/>
      <c r="G38" s="777"/>
      <c r="H38" s="777"/>
      <c r="I38" s="777"/>
      <c r="J38" s="777"/>
      <c r="K38" s="1715"/>
      <c r="L38" s="1732"/>
    </row>
    <row r="39" spans="2:24" s="481" customFormat="1" x14ac:dyDescent="0.3">
      <c r="B39" s="1707" t="s">
        <v>6109</v>
      </c>
      <c r="C39" s="1710">
        <v>21.623999999999999</v>
      </c>
      <c r="D39" s="1713">
        <f>IFERROR(SUMIFS('Schedule 4'!$F$684:$F$715,'Schedule 4'!$K$684:$K$715,$B39),0)</f>
        <v>0</v>
      </c>
      <c r="E39" s="1097" t="s">
        <v>6141</v>
      </c>
      <c r="F39" s="1098">
        <f>SUMIFS('Schedule 4'!$F$684:$F$715,'Schedule 4'!$I$684:$I$715,'Pylon Cal.'!F$3,'Schedule 4'!$J$684:$J$715,'Pylon Cal.'!$E39)</f>
        <v>0</v>
      </c>
      <c r="G39" s="1098">
        <f>SUMIFS('Schedule 4'!$F$684:$F$715,'Schedule 4'!$I$684:$I$715,'Pylon Cal.'!G$3,'Schedule 4'!$J$684:$J$715,'Pylon Cal.'!$E39)</f>
        <v>0</v>
      </c>
      <c r="H39" s="1098">
        <f>SUMIFS('Schedule 4'!$F$684:$F$715,'Schedule 4'!$I$684:$I$715,'Pylon Cal.'!H$3,'Schedule 4'!$J$684:$J$715,'Pylon Cal.'!$E39)</f>
        <v>0</v>
      </c>
      <c r="I39" s="1098">
        <f>SUMIFS('Schedule 4'!$F$684:$F$715,'Schedule 4'!$I$684:$I$715,'Pylon Cal.'!I$3,'Schedule 4'!$J$684:$J$715,'Pylon Cal.'!$E39)</f>
        <v>0</v>
      </c>
      <c r="J39" s="1098"/>
      <c r="K39" s="1716">
        <f>SUM(F39:J41)</f>
        <v>0</v>
      </c>
      <c r="L39" s="1716">
        <f>D39-K39</f>
        <v>0</v>
      </c>
      <c r="N39" s="1099"/>
    </row>
    <row r="40" spans="2:24" s="481" customFormat="1" x14ac:dyDescent="0.3">
      <c r="B40" s="1708"/>
      <c r="C40" s="1711"/>
      <c r="D40" s="1714"/>
      <c r="E40" s="1100" t="s">
        <v>6142</v>
      </c>
      <c r="F40" s="1101">
        <f>SUMIFS('Schedule 4'!$F$684:$F$715,'Schedule 4'!$I$684:$I$715,'Pylon Cal.'!F$3,'Schedule 4'!$J$684:$J$715,'Pylon Cal.'!$E40)</f>
        <v>0</v>
      </c>
      <c r="G40" s="1101">
        <f>SUMIFS('Schedule 4'!$F$684:$F$715,'Schedule 4'!$I$684:$I$715,'Pylon Cal.'!G$3,'Schedule 4'!$J$684:$J$715,'Pylon Cal.'!$E40)</f>
        <v>0</v>
      </c>
      <c r="H40" s="1101">
        <f>SUMIFS('Schedule 4'!$F$684:$F$715,'Schedule 4'!$I$684:$I$715,'Pylon Cal.'!H$3,'Schedule 4'!$J$684:$J$715,'Pylon Cal.'!$E40)</f>
        <v>0</v>
      </c>
      <c r="I40" s="1101">
        <f>SUMIFS('Schedule 4'!$F$684:$F$715,'Schedule 4'!$I$684:$I$715,'Pylon Cal.'!I$3,'Schedule 4'!$J$684:$J$715,'Pylon Cal.'!$E40)</f>
        <v>0</v>
      </c>
      <c r="J40" s="1101"/>
      <c r="K40" s="1717"/>
      <c r="L40" s="1717"/>
      <c r="N40" s="1099"/>
    </row>
    <row r="41" spans="2:24" s="481" customFormat="1" x14ac:dyDescent="0.3">
      <c r="B41" s="1709"/>
      <c r="C41" s="1712"/>
      <c r="D41" s="1715"/>
      <c r="E41" s="1105"/>
      <c r="F41" s="1106"/>
      <c r="G41" s="1106"/>
      <c r="H41" s="1106"/>
      <c r="I41" s="1106"/>
      <c r="J41" s="1106"/>
      <c r="K41" s="1719"/>
      <c r="L41" s="1719"/>
      <c r="N41" s="1099"/>
    </row>
    <row r="42" spans="2:24" x14ac:dyDescent="0.3">
      <c r="B42" s="1723" t="s">
        <v>3056</v>
      </c>
      <c r="C42" s="1726">
        <v>21.623999999999999</v>
      </c>
      <c r="D42" s="1720">
        <f>IFERROR(SUMIFS('Schedule 4'!$F$684:$F$715,'Schedule 4'!$K$684:$K$715,'Pylon Cal.'!$B42),0)</f>
        <v>0</v>
      </c>
      <c r="E42" s="754" t="s">
        <v>6143</v>
      </c>
      <c r="F42" s="728">
        <f>SUMIFS('Schedule 4'!$F$684:$F$715,'Schedule 4'!$I$684:$I$715,'Pylon Cal.'!F$3,'Schedule 4'!$J$684:$J$715,'Pylon Cal.'!$E42)</f>
        <v>0</v>
      </c>
      <c r="G42" s="728">
        <f>SUMIFS('Schedule 4'!$F$684:$F$715,'Schedule 4'!$I$684:$I$715,'Pylon Cal.'!G$3,'Schedule 4'!$J$684:$J$715,'Pylon Cal.'!$E42)</f>
        <v>0</v>
      </c>
      <c r="H42" s="728">
        <f>SUMIFS('Schedule 4'!$F$684:$F$715,'Schedule 4'!$I$684:$I$715,'Pylon Cal.'!H$3,'Schedule 4'!$J$684:$J$715,'Pylon Cal.'!$E42)</f>
        <v>0</v>
      </c>
      <c r="I42" s="728">
        <f>SUMIFS('Schedule 4'!$F$684:$F$715,'Schedule 4'!$I$684:$I$715,'Pylon Cal.'!I$3,'Schedule 4'!$J$684:$J$715,'Pylon Cal.'!$E42)</f>
        <v>0</v>
      </c>
      <c r="J42" s="728"/>
      <c r="K42" s="1729">
        <f>SUM(F42:J44)</f>
        <v>0</v>
      </c>
      <c r="L42" s="1729">
        <f>D42-K42</f>
        <v>0</v>
      </c>
    </row>
    <row r="43" spans="2:24" x14ac:dyDescent="0.3">
      <c r="B43" s="1724"/>
      <c r="C43" s="1727"/>
      <c r="D43" s="1721"/>
      <c r="E43" s="761" t="s">
        <v>6144</v>
      </c>
      <c r="F43" s="726">
        <f>SUMIFS('Schedule 4'!$F$684:$F$715,'Schedule 4'!$I$684:$I$715,'Pylon Cal.'!F$3,'Schedule 4'!$J$684:$J$715,'Pylon Cal.'!$E43)</f>
        <v>0</v>
      </c>
      <c r="G43" s="726">
        <f>SUMIFS('Schedule 4'!$F$684:$F$715,'Schedule 4'!$I$684:$I$715,'Pylon Cal.'!G$3,'Schedule 4'!$J$684:$J$715,'Pylon Cal.'!$E43)</f>
        <v>0</v>
      </c>
      <c r="H43" s="726">
        <f>SUMIFS('Schedule 4'!$F$684:$F$715,'Schedule 4'!$I$684:$I$715,'Pylon Cal.'!H$3,'Schedule 4'!$J$684:$J$715,'Pylon Cal.'!$E43)</f>
        <v>0</v>
      </c>
      <c r="I43" s="726">
        <f>SUMIFS('Schedule 4'!$F$684:$F$715,'Schedule 4'!$I$684:$I$715,'Pylon Cal.'!I$3,'Schedule 4'!$J$684:$J$715,'Pylon Cal.'!$E43)</f>
        <v>0</v>
      </c>
      <c r="J43" s="726"/>
      <c r="K43" s="1730"/>
      <c r="L43" s="1730"/>
    </row>
    <row r="44" spans="2:24" x14ac:dyDescent="0.3">
      <c r="B44" s="1725"/>
      <c r="C44" s="1728"/>
      <c r="D44" s="1722"/>
      <c r="E44" s="776"/>
      <c r="F44" s="777"/>
      <c r="G44" s="777"/>
      <c r="H44" s="777"/>
      <c r="I44" s="777"/>
      <c r="J44" s="777"/>
      <c r="K44" s="1732"/>
      <c r="L44" s="1732"/>
    </row>
    <row r="45" spans="2:24" x14ac:dyDescent="0.3">
      <c r="B45" s="1723" t="s">
        <v>1904</v>
      </c>
      <c r="C45" s="1726">
        <v>21.324000000000002</v>
      </c>
      <c r="D45" s="1720">
        <f>IFERROR(SUMIFS('Schedule 4'!$F$684:$F$715,'Schedule 4'!$K$684:$K$715,'Pylon Cal.'!$B45),0)</f>
        <v>0</v>
      </c>
      <c r="E45" s="754" t="s">
        <v>6145</v>
      </c>
      <c r="F45" s="728">
        <f>SUMIFS('Schedule 4'!$F$684:$F$715,'Schedule 4'!$I$684:$I$715,'Pylon Cal.'!F$3,'Schedule 4'!$J$684:$J$715,'Pylon Cal.'!$E45)</f>
        <v>0</v>
      </c>
      <c r="G45" s="728">
        <f>SUMIFS('Schedule 4'!$F$684:$F$715,'Schedule 4'!$I$684:$I$715,'Pylon Cal.'!G$3,'Schedule 4'!$J$684:$J$715,'Pylon Cal.'!$E45)</f>
        <v>0</v>
      </c>
      <c r="H45" s="728">
        <f>SUMIFS('Schedule 4'!$F$684:$F$715,'Schedule 4'!$I$684:$I$715,'Pylon Cal.'!H$3,'Schedule 4'!$J$684:$J$715,'Pylon Cal.'!$E45)</f>
        <v>0</v>
      </c>
      <c r="I45" s="728">
        <f>SUMIFS('Schedule 4'!$F$684:$F$715,'Schedule 4'!$I$684:$I$715,'Pylon Cal.'!I$3,'Schedule 4'!$J$684:$J$715,'Pylon Cal.'!$E45)</f>
        <v>0</v>
      </c>
      <c r="J45" s="728"/>
      <c r="K45" s="1729">
        <f>SUM(F45:J47)</f>
        <v>0</v>
      </c>
      <c r="L45" s="1729">
        <f>D45-K45</f>
        <v>0</v>
      </c>
    </row>
    <row r="46" spans="2:24" x14ac:dyDescent="0.3">
      <c r="B46" s="1724"/>
      <c r="C46" s="1727"/>
      <c r="D46" s="1721"/>
      <c r="E46" s="761" t="s">
        <v>6146</v>
      </c>
      <c r="F46" s="726">
        <f>SUMIFS('Schedule 4'!$F$684:$F$715,'Schedule 4'!$I$684:$I$715,'Pylon Cal.'!F$3,'Schedule 4'!$J$684:$J$715,'Pylon Cal.'!$E46)</f>
        <v>0</v>
      </c>
      <c r="G46" s="726">
        <f>SUMIFS('Schedule 4'!$F$684:$F$715,'Schedule 4'!$I$684:$I$715,'Pylon Cal.'!G$3,'Schedule 4'!$J$684:$J$715,'Pylon Cal.'!$E46)</f>
        <v>0</v>
      </c>
      <c r="H46" s="726">
        <f>SUMIFS('Schedule 4'!$F$684:$F$715,'Schedule 4'!$I$684:$I$715,'Pylon Cal.'!H$3,'Schedule 4'!$J$684:$J$715,'Pylon Cal.'!$E46)</f>
        <v>0</v>
      </c>
      <c r="I46" s="726">
        <f>SUMIFS('Schedule 4'!$F$684:$F$715,'Schedule 4'!$I$684:$I$715,'Pylon Cal.'!I$3,'Schedule 4'!$J$684:$J$715,'Pylon Cal.'!$E46)</f>
        <v>0</v>
      </c>
      <c r="J46" s="726"/>
      <c r="K46" s="1730"/>
      <c r="L46" s="1730"/>
    </row>
    <row r="47" spans="2:24" x14ac:dyDescent="0.3">
      <c r="B47" s="1725"/>
      <c r="C47" s="1728"/>
      <c r="D47" s="1722"/>
      <c r="E47" s="776"/>
      <c r="F47" s="777"/>
      <c r="G47" s="777"/>
      <c r="H47" s="777"/>
      <c r="I47" s="777"/>
      <c r="J47" s="777"/>
      <c r="K47" s="1732"/>
      <c r="L47" s="1732"/>
    </row>
    <row r="48" spans="2:24" s="481" customFormat="1" x14ac:dyDescent="0.3">
      <c r="B48" s="1707" t="s">
        <v>3054</v>
      </c>
      <c r="C48" s="1710">
        <v>21.623999999999999</v>
      </c>
      <c r="D48" s="1713">
        <f>IFERROR(SUMIFS('Schedule 4'!$F$684:$F$715,'Schedule 4'!$K$684:$K$715,'Pylon Cal.'!$B48),0)</f>
        <v>0</v>
      </c>
      <c r="E48" s="1097" t="s">
        <v>6147</v>
      </c>
      <c r="F48" s="1098">
        <f>SUMIFS('Schedule 4'!$F$684:$F$715,'Schedule 4'!$I$684:$I$715,'Pylon Cal.'!F$3,'Schedule 4'!$J$684:$J$715,'Pylon Cal.'!$E48)</f>
        <v>0</v>
      </c>
      <c r="G48" s="1098">
        <f>SUMIFS('Schedule 4'!$F$684:$F$715,'Schedule 4'!$I$684:$I$715,'Pylon Cal.'!G$3,'Schedule 4'!$J$684:$J$715,'Pylon Cal.'!$E48)</f>
        <v>0</v>
      </c>
      <c r="H48" s="1098">
        <f>SUMIFS('Schedule 4'!$F$684:$F$715,'Schedule 4'!$I$684:$I$715,'Pylon Cal.'!H$3,'Schedule 4'!$J$684:$J$715,'Pylon Cal.'!$E48)</f>
        <v>0</v>
      </c>
      <c r="I48" s="1098">
        <f>SUMIFS('Schedule 4'!$F$684:$F$715,'Schedule 4'!$I$684:$I$715,'Pylon Cal.'!I$3,'Schedule 4'!$J$684:$J$715,'Pylon Cal.'!$E48)</f>
        <v>0</v>
      </c>
      <c r="J48" s="1098"/>
      <c r="K48" s="1713">
        <f>SUM(F48:J50)</f>
        <v>0</v>
      </c>
      <c r="L48" s="1713">
        <f>D48-K48</f>
        <v>0</v>
      </c>
      <c r="N48" s="1099"/>
    </row>
    <row r="49" spans="2:24" s="481" customFormat="1" x14ac:dyDescent="0.3">
      <c r="B49" s="1708"/>
      <c r="C49" s="1711"/>
      <c r="D49" s="1714"/>
      <c r="E49" s="1100" t="s">
        <v>6148</v>
      </c>
      <c r="F49" s="1101">
        <f>SUMIFS('Schedule 4'!$F$684:$F$715,'Schedule 4'!$I$684:$I$715,'Pylon Cal.'!F$3,'Schedule 4'!$J$684:$J$715,'Pylon Cal.'!$E49)</f>
        <v>0</v>
      </c>
      <c r="G49" s="1101">
        <f>SUMIFS('Schedule 4'!$F$684:$F$715,'Schedule 4'!$I$684:$I$715,'Pylon Cal.'!G$3,'Schedule 4'!$J$684:$J$715,'Pylon Cal.'!$E49)</f>
        <v>0</v>
      </c>
      <c r="H49" s="1101">
        <f>SUMIFS('Schedule 4'!$F$684:$F$715,'Schedule 4'!$I$684:$I$715,'Pylon Cal.'!H$3,'Schedule 4'!$J$684:$J$715,'Pylon Cal.'!$E49)</f>
        <v>0</v>
      </c>
      <c r="I49" s="1101">
        <f>SUMIFS('Schedule 4'!$F$684:$F$715,'Schedule 4'!$I$684:$I$715,'Pylon Cal.'!I$3,'Schedule 4'!$J$684:$J$715,'Pylon Cal.'!$E49)</f>
        <v>0</v>
      </c>
      <c r="J49" s="1101"/>
      <c r="K49" s="1714"/>
      <c r="L49" s="1714"/>
      <c r="N49" s="1099"/>
    </row>
    <row r="50" spans="2:24" s="481" customFormat="1" x14ac:dyDescent="0.3">
      <c r="B50" s="1709"/>
      <c r="C50" s="1712"/>
      <c r="D50" s="1715"/>
      <c r="E50" s="1102"/>
      <c r="F50" s="1103"/>
      <c r="G50" s="1103"/>
      <c r="H50" s="1103"/>
      <c r="I50" s="1103"/>
      <c r="J50" s="1103"/>
      <c r="K50" s="1715"/>
      <c r="L50" s="1715"/>
      <c r="N50" s="1099"/>
    </row>
    <row r="51" spans="2:24" x14ac:dyDescent="0.3">
      <c r="B51" s="1723" t="s">
        <v>1906</v>
      </c>
      <c r="C51" s="1726">
        <v>21.324000000000002</v>
      </c>
      <c r="D51" s="1720">
        <f>IFERROR(SUMIFS('Schedule 4'!$F$684:$F$715,'Schedule 4'!$K$684:$K$715,'Pylon Cal.'!$B51),0)</f>
        <v>0</v>
      </c>
      <c r="E51" s="754" t="s">
        <v>6149</v>
      </c>
      <c r="F51" s="728">
        <f>SUMIFS('Schedule 4'!$F$684:$F$715,'Schedule 4'!$I$684:$I$715,'Pylon Cal.'!F$3,'Schedule 4'!$J$684:$J$715,'Pylon Cal.'!$E51)</f>
        <v>0</v>
      </c>
      <c r="G51" s="728">
        <f>SUMIFS('Schedule 4'!$F$684:$F$715,'Schedule 4'!$I$684:$I$715,'Pylon Cal.'!G$3,'Schedule 4'!$J$684:$J$715,'Pylon Cal.'!$E51)</f>
        <v>0</v>
      </c>
      <c r="H51" s="728">
        <f>SUMIFS('Schedule 4'!$F$684:$F$715,'Schedule 4'!$I$684:$I$715,'Pylon Cal.'!H$3,'Schedule 4'!$J$684:$J$715,'Pylon Cal.'!$E51)</f>
        <v>0</v>
      </c>
      <c r="I51" s="728">
        <f>SUMIFS('Schedule 4'!$F$684:$F$715,'Schedule 4'!$I$684:$I$715,'Pylon Cal.'!I$3,'Schedule 4'!$J$684:$J$715,'Pylon Cal.'!$E51)</f>
        <v>0</v>
      </c>
      <c r="J51" s="728"/>
      <c r="K51" s="1729">
        <f>SUM(F51:J53)</f>
        <v>0</v>
      </c>
      <c r="L51" s="1729">
        <f>D51-K51</f>
        <v>0</v>
      </c>
    </row>
    <row r="52" spans="2:24" x14ac:dyDescent="0.3">
      <c r="B52" s="1724"/>
      <c r="C52" s="1727"/>
      <c r="D52" s="1721"/>
      <c r="E52" s="761" t="s">
        <v>6150</v>
      </c>
      <c r="F52" s="726">
        <f>SUMIFS('Schedule 4'!$F$684:$F$715,'Schedule 4'!$I$684:$I$715,'Pylon Cal.'!F$3,'Schedule 4'!$J$684:$J$715,'Pylon Cal.'!$E52)</f>
        <v>0</v>
      </c>
      <c r="G52" s="726">
        <f>SUMIFS('Schedule 4'!$F$684:$F$715,'Schedule 4'!$I$684:$I$715,'Pylon Cal.'!G$3,'Schedule 4'!$J$684:$J$715,'Pylon Cal.'!$E52)</f>
        <v>0</v>
      </c>
      <c r="H52" s="726">
        <f>SUMIFS('Schedule 4'!$F$684:$F$715,'Schedule 4'!$I$684:$I$715,'Pylon Cal.'!H$3,'Schedule 4'!$J$684:$J$715,'Pylon Cal.'!$E52)</f>
        <v>0</v>
      </c>
      <c r="I52" s="726">
        <f>SUMIFS('Schedule 4'!$F$684:$F$715,'Schedule 4'!$I$684:$I$715,'Pylon Cal.'!I$3,'Schedule 4'!$J$684:$J$715,'Pylon Cal.'!$E52)</f>
        <v>0</v>
      </c>
      <c r="J52" s="726"/>
      <c r="K52" s="1730"/>
      <c r="L52" s="1730"/>
    </row>
    <row r="53" spans="2:24" x14ac:dyDescent="0.3">
      <c r="B53" s="1725"/>
      <c r="C53" s="1728"/>
      <c r="D53" s="1722"/>
      <c r="E53" s="776"/>
      <c r="F53" s="777"/>
      <c r="G53" s="777"/>
      <c r="H53" s="777"/>
      <c r="I53" s="777"/>
      <c r="J53" s="777"/>
      <c r="K53" s="1732"/>
      <c r="L53" s="1732"/>
    </row>
    <row r="54" spans="2:24" x14ac:dyDescent="0.3">
      <c r="B54" s="1723" t="s">
        <v>1907</v>
      </c>
      <c r="C54" s="1726">
        <v>21.623999999999999</v>
      </c>
      <c r="D54" s="1720">
        <f>IFERROR(SUMIFS('Schedule 4'!$F$684:$F$715,'Schedule 4'!$K$684:$K$715,'Pylon Cal.'!$B54),0)</f>
        <v>0</v>
      </c>
      <c r="E54" s="754" t="s">
        <v>6151</v>
      </c>
      <c r="F54" s="728">
        <f>SUMIFS('Schedule 4'!$F$684:$F$715,'Schedule 4'!$I$684:$I$715,'Pylon Cal.'!F$3,'Schedule 4'!$J$684:$J$715,'Pylon Cal.'!$E54)</f>
        <v>0</v>
      </c>
      <c r="G54" s="728">
        <f>SUMIFS('Schedule 4'!$F$684:$F$715,'Schedule 4'!$I$684:$I$715,'Pylon Cal.'!G$3,'Schedule 4'!$J$684:$J$715,'Pylon Cal.'!$E54)</f>
        <v>0</v>
      </c>
      <c r="H54" s="728">
        <f>SUMIFS('Schedule 4'!$F$684:$F$715,'Schedule 4'!$I$684:$I$715,'Pylon Cal.'!H$3,'Schedule 4'!$J$684:$J$715,'Pylon Cal.'!$E54)</f>
        <v>0</v>
      </c>
      <c r="I54" s="728">
        <f>SUMIFS('Schedule 4'!$F$684:$F$715,'Schedule 4'!$I$684:$I$715,'Pylon Cal.'!I$3,'Schedule 4'!$J$684:$J$715,'Pylon Cal.'!$E54)</f>
        <v>0</v>
      </c>
      <c r="J54" s="728"/>
      <c r="K54" s="1729">
        <f>SUM(F54:J56)</f>
        <v>0</v>
      </c>
      <c r="L54" s="1729">
        <f>D54-K54</f>
        <v>0</v>
      </c>
    </row>
    <row r="55" spans="2:24" x14ac:dyDescent="0.3">
      <c r="B55" s="1724"/>
      <c r="C55" s="1727"/>
      <c r="D55" s="1721"/>
      <c r="E55" s="761" t="s">
        <v>6152</v>
      </c>
      <c r="F55" s="726">
        <f>SUMIFS('Schedule 4'!$F$684:$F$715,'Schedule 4'!$I$684:$I$715,'Pylon Cal.'!F$3,'Schedule 4'!$J$684:$J$715,'Pylon Cal.'!$E55)</f>
        <v>0</v>
      </c>
      <c r="G55" s="726">
        <f>SUMIFS('Schedule 4'!$F$684:$F$715,'Schedule 4'!$I$684:$I$715,'Pylon Cal.'!G$3,'Schedule 4'!$J$684:$J$715,'Pylon Cal.'!$E55)</f>
        <v>0</v>
      </c>
      <c r="H55" s="726">
        <f>SUMIFS('Schedule 4'!$F$684:$F$715,'Schedule 4'!$I$684:$I$715,'Pylon Cal.'!H$3,'Schedule 4'!$J$684:$J$715,'Pylon Cal.'!$E55)</f>
        <v>0</v>
      </c>
      <c r="I55" s="726">
        <f>SUMIFS('Schedule 4'!$F$684:$F$715,'Schedule 4'!$I$684:$I$715,'Pylon Cal.'!I$3,'Schedule 4'!$J$684:$J$715,'Pylon Cal.'!$E55)</f>
        <v>0</v>
      </c>
      <c r="J55" s="726"/>
      <c r="K55" s="1730"/>
      <c r="L55" s="1730"/>
    </row>
    <row r="56" spans="2:24" x14ac:dyDescent="0.3">
      <c r="B56" s="1725"/>
      <c r="C56" s="1728"/>
      <c r="D56" s="1722"/>
      <c r="E56" s="776"/>
      <c r="F56" s="777"/>
      <c r="G56" s="777"/>
      <c r="H56" s="777"/>
      <c r="I56" s="777"/>
      <c r="J56" s="777"/>
      <c r="K56" s="1732"/>
      <c r="L56" s="1732"/>
    </row>
    <row r="57" spans="2:24" x14ac:dyDescent="0.3">
      <c r="B57" s="1723" t="s">
        <v>1908</v>
      </c>
      <c r="C57" s="1726">
        <v>21.324000000000002</v>
      </c>
      <c r="D57" s="1720">
        <f>IFERROR(SUMIFS('Schedule 4'!$F$684:$F$715,'Schedule 4'!$K$684:$K$715,'Pylon Cal.'!$B57),0)</f>
        <v>31.060000000000002</v>
      </c>
      <c r="E57" s="754" t="s">
        <v>6153</v>
      </c>
      <c r="F57" s="728">
        <f>SUMIFS('Schedule 4'!$F$684:$F$715,'Schedule 4'!$I$684:$I$715,'Pylon Cal.'!F$3,'Schedule 4'!$J$684:$J$715,'Pylon Cal.'!$E57)</f>
        <v>0</v>
      </c>
      <c r="G57" s="728">
        <f>SUMIFS('Schedule 4'!$F$684:$F$715,'Schedule 4'!$I$684:$I$715,'Pylon Cal.'!G$3,'Schedule 4'!$J$684:$J$715,'Pylon Cal.'!$E57)</f>
        <v>0</v>
      </c>
      <c r="H57" s="728">
        <f>SUMIFS('Schedule 4'!$F$684:$F$715,'Schedule 4'!$I$684:$I$715,'Pylon Cal.'!H$3,'Schedule 4'!$J$684:$J$715,'Pylon Cal.'!$E57)</f>
        <v>0</v>
      </c>
      <c r="I57" s="728">
        <f>SUMIFS('Schedule 4'!$F$684:$F$715,'Schedule 4'!$I$684:$I$715,'Pylon Cal.'!I$3,'Schedule 4'!$J$684:$J$715,'Pylon Cal.'!$E57)</f>
        <v>0</v>
      </c>
      <c r="J57" s="728"/>
      <c r="K57" s="1729">
        <f>SUM(F57:J59)</f>
        <v>0</v>
      </c>
      <c r="L57" s="1729">
        <f>D57-K57</f>
        <v>31.060000000000002</v>
      </c>
    </row>
    <row r="58" spans="2:24" x14ac:dyDescent="0.3">
      <c r="B58" s="1724"/>
      <c r="C58" s="1727"/>
      <c r="D58" s="1721"/>
      <c r="E58" s="761" t="s">
        <v>6154</v>
      </c>
      <c r="F58" s="726">
        <f>SUMIFS('Schedule 4'!$F$684:$F$715,'Schedule 4'!$I$684:$I$715,'Pylon Cal.'!F$3,'Schedule 4'!$J$684:$J$715,'Pylon Cal.'!$E58)</f>
        <v>0</v>
      </c>
      <c r="G58" s="726">
        <f>SUMIFS('Schedule 4'!$F$684:$F$715,'Schedule 4'!$I$684:$I$715,'Pylon Cal.'!G$3,'Schedule 4'!$J$684:$J$715,'Pylon Cal.'!$E58)</f>
        <v>0</v>
      </c>
      <c r="H58" s="726">
        <f>SUMIFS('Schedule 4'!$F$684:$F$715,'Schedule 4'!$I$684:$I$715,'Pylon Cal.'!H$3,'Schedule 4'!$J$684:$J$715,'Pylon Cal.'!$E58)</f>
        <v>0</v>
      </c>
      <c r="I58" s="726">
        <f>SUMIFS('Schedule 4'!$F$684:$F$715,'Schedule 4'!$I$684:$I$715,'Pylon Cal.'!I$3,'Schedule 4'!$J$684:$J$715,'Pylon Cal.'!$E58)</f>
        <v>0</v>
      </c>
      <c r="J58" s="726"/>
      <c r="K58" s="1730"/>
      <c r="L58" s="1730"/>
    </row>
    <row r="59" spans="2:24" s="62" customFormat="1" x14ac:dyDescent="0.3">
      <c r="B59" s="1725"/>
      <c r="C59" s="1728"/>
      <c r="D59" s="1722"/>
      <c r="E59" s="776"/>
      <c r="F59" s="777"/>
      <c r="G59" s="777"/>
      <c r="H59" s="777"/>
      <c r="I59" s="777"/>
      <c r="J59" s="777"/>
      <c r="K59" s="1732"/>
      <c r="L59" s="1732"/>
      <c r="M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</row>
    <row r="60" spans="2:24" s="62" customFormat="1" x14ac:dyDescent="0.3">
      <c r="B60" s="1723" t="s">
        <v>1909</v>
      </c>
      <c r="C60" s="1726">
        <v>21.623999999999999</v>
      </c>
      <c r="D60" s="1720">
        <f>IFERROR(SUMIFS('Schedule 4'!$F$684:$F$715,'Schedule 4'!$K$684:$K$715,'Pylon Cal.'!$B60),0)</f>
        <v>44.68</v>
      </c>
      <c r="E60" s="754" t="s">
        <v>6155</v>
      </c>
      <c r="F60" s="728">
        <f>SUMIFS('Schedule 4'!$F$684:$F$715,'Schedule 4'!$I$684:$I$715,'Pylon Cal.'!F$3,'Schedule 4'!$J$684:$J$715,'Pylon Cal.'!$E60)</f>
        <v>0</v>
      </c>
      <c r="G60" s="728">
        <f>SUMIFS('Schedule 4'!$F$684:$F$715,'Schedule 4'!$I$684:$I$715,'Pylon Cal.'!G$3,'Schedule 4'!$J$684:$J$715,'Pylon Cal.'!$E60)</f>
        <v>0</v>
      </c>
      <c r="H60" s="728">
        <f>SUMIFS('Schedule 4'!$F$684:$F$715,'Schedule 4'!$I$684:$I$715,'Pylon Cal.'!H$3,'Schedule 4'!$J$684:$J$715,'Pylon Cal.'!$E60)</f>
        <v>0</v>
      </c>
      <c r="I60" s="728">
        <f>SUMIFS('Schedule 4'!$F$684:$F$715,'Schedule 4'!$I$684:$I$715,'Pylon Cal.'!I$3,'Schedule 4'!$J$684:$J$715,'Pylon Cal.'!$E60)</f>
        <v>0</v>
      </c>
      <c r="J60" s="728"/>
      <c r="K60" s="1729">
        <f>SUM(F60:J62)</f>
        <v>0</v>
      </c>
      <c r="L60" s="1729">
        <f>D60-K60</f>
        <v>44.68</v>
      </c>
      <c r="M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</row>
    <row r="61" spans="2:24" s="62" customFormat="1" x14ac:dyDescent="0.3">
      <c r="B61" s="1724"/>
      <c r="C61" s="1727"/>
      <c r="D61" s="1721"/>
      <c r="E61" s="761" t="s">
        <v>6156</v>
      </c>
      <c r="F61" s="726">
        <f>SUMIFS('Schedule 4'!$F$684:$F$715,'Schedule 4'!$I$684:$I$715,'Pylon Cal.'!F$3,'Schedule 4'!$J$684:$J$715,'Pylon Cal.'!$E61)</f>
        <v>0</v>
      </c>
      <c r="G61" s="726">
        <f>SUMIFS('Schedule 4'!$F$684:$F$715,'Schedule 4'!$I$684:$I$715,'Pylon Cal.'!G$3,'Schedule 4'!$J$684:$J$715,'Pylon Cal.'!$E61)</f>
        <v>0</v>
      </c>
      <c r="H61" s="726">
        <f>SUMIFS('Schedule 4'!$F$684:$F$715,'Schedule 4'!$I$684:$I$715,'Pylon Cal.'!H$3,'Schedule 4'!$J$684:$J$715,'Pylon Cal.'!$E61)</f>
        <v>0</v>
      </c>
      <c r="I61" s="726">
        <f>SUMIFS('Schedule 4'!$F$684:$F$715,'Schedule 4'!$I$684:$I$715,'Pylon Cal.'!I$3,'Schedule 4'!$J$684:$J$715,'Pylon Cal.'!$E61)</f>
        <v>0</v>
      </c>
      <c r="J61" s="726"/>
      <c r="K61" s="1730"/>
      <c r="L61" s="1730"/>
      <c r="M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</row>
    <row r="62" spans="2:24" x14ac:dyDescent="0.3">
      <c r="B62" s="1725"/>
      <c r="C62" s="1728"/>
      <c r="D62" s="1722"/>
      <c r="E62" s="776"/>
      <c r="F62" s="777"/>
      <c r="G62" s="777"/>
      <c r="H62" s="777"/>
      <c r="I62" s="777"/>
      <c r="J62" s="777"/>
      <c r="K62" s="1732"/>
      <c r="L62" s="1732"/>
    </row>
    <row r="63" spans="2:24" x14ac:dyDescent="0.3">
      <c r="B63" s="1733" t="s">
        <v>2511</v>
      </c>
      <c r="C63" s="1726">
        <v>21.324000000000002</v>
      </c>
      <c r="D63" s="1729">
        <f>IFERROR(SUMIFS('Schedule 4'!$F$684:$F$715,'Schedule 4'!$K$684:$K$715,'Pylon Cal.'!$B63),0)</f>
        <v>0</v>
      </c>
      <c r="E63" s="754" t="s">
        <v>4637</v>
      </c>
      <c r="F63" s="728">
        <f>SUMIFS('Schedule 4'!$F$684:$F$715,'Schedule 4'!$I$684:$I$715,'Pylon Cal.'!F$3,'Schedule 4'!$J$684:$J$715,'Pylon Cal.'!$E63)</f>
        <v>0</v>
      </c>
      <c r="G63" s="728">
        <f>SUMIFS('Schedule 4'!$F$684:$F$715,'Schedule 4'!$I$684:$I$715,'Pylon Cal.'!G$3,'Schedule 4'!$J$684:$J$715,'Pylon Cal.'!$E63)</f>
        <v>0</v>
      </c>
      <c r="H63" s="728">
        <f>SUMIFS('Schedule 4'!$F$684:$F$715,'Schedule 4'!$I$684:$I$715,'Pylon Cal.'!H$3,'Schedule 4'!$J$684:$J$715,'Pylon Cal.'!$E63)</f>
        <v>0</v>
      </c>
      <c r="I63" s="728">
        <f>SUMIFS('Schedule 4'!$F$684:$F$715,'Schedule 4'!$I$684:$I$715,'Pylon Cal.'!I$3,'Schedule 4'!$J$684:$J$715,'Pylon Cal.'!$E63)</f>
        <v>0</v>
      </c>
      <c r="J63" s="728"/>
      <c r="K63" s="1729">
        <f>SUM(F63:J65)</f>
        <v>0</v>
      </c>
      <c r="L63" s="1729">
        <f>D63-K63</f>
        <v>0</v>
      </c>
    </row>
    <row r="64" spans="2:24" x14ac:dyDescent="0.3">
      <c r="B64" s="1734"/>
      <c r="C64" s="1727"/>
      <c r="D64" s="1730"/>
      <c r="E64" s="761" t="s">
        <v>4634</v>
      </c>
      <c r="F64" s="726">
        <f>SUMIFS('Schedule 4'!$F$684:$F$715,'Schedule 4'!$I$684:$I$715,'Pylon Cal.'!F$3,'Schedule 4'!$J$684:$J$715,'Pylon Cal.'!$E64)</f>
        <v>0</v>
      </c>
      <c r="G64" s="726">
        <f>SUMIFS('Schedule 4'!$F$684:$F$715,'Schedule 4'!$I$684:$I$715,'Pylon Cal.'!G$3,'Schedule 4'!$J$684:$J$715,'Pylon Cal.'!$E64)</f>
        <v>0</v>
      </c>
      <c r="H64" s="726">
        <f>SUMIFS('Schedule 4'!$F$684:$F$715,'Schedule 4'!$I$684:$I$715,'Pylon Cal.'!H$3,'Schedule 4'!$J$684:$J$715,'Pylon Cal.'!$E64)</f>
        <v>0</v>
      </c>
      <c r="I64" s="726">
        <f>SUMIFS('Schedule 4'!$F$684:$F$715,'Schedule 4'!$I$684:$I$715,'Pylon Cal.'!I$3,'Schedule 4'!$J$684:$J$715,'Pylon Cal.'!$E64)</f>
        <v>0</v>
      </c>
      <c r="J64" s="726"/>
      <c r="K64" s="1730"/>
      <c r="L64" s="1730"/>
    </row>
    <row r="65" spans="2:12" x14ac:dyDescent="0.3">
      <c r="B65" s="1740"/>
      <c r="C65" s="1728"/>
      <c r="D65" s="1732"/>
      <c r="E65" s="776"/>
      <c r="F65" s="777"/>
      <c r="G65" s="777"/>
      <c r="H65" s="777"/>
      <c r="I65" s="777"/>
      <c r="J65" s="777"/>
      <c r="K65" s="1732"/>
      <c r="L65" s="1732"/>
    </row>
    <row r="66" spans="2:12" x14ac:dyDescent="0.3">
      <c r="B66" s="1723" t="s">
        <v>2512</v>
      </c>
      <c r="C66" s="1726">
        <v>21.623999999999999</v>
      </c>
      <c r="D66" s="1720">
        <f>IFERROR(SUMIFS('Schedule 4'!$F$684:$F$715,'Schedule 4'!$K$684:$K$715,'Pylon Cal.'!$B66),0)</f>
        <v>0</v>
      </c>
      <c r="E66" s="754" t="s">
        <v>4646</v>
      </c>
      <c r="F66" s="728">
        <f>SUMIFS('Schedule 4'!$F$684:$F$715,'Schedule 4'!$I$684:$I$715,'Pylon Cal.'!F$3,'Schedule 4'!$J$684:$J$715,'Pylon Cal.'!$E66)</f>
        <v>0</v>
      </c>
      <c r="G66" s="728">
        <f>SUMIFS('Schedule 4'!$F$684:$F$715,'Schedule 4'!$I$684:$I$715,'Pylon Cal.'!G$3,'Schedule 4'!$J$684:$J$715,'Pylon Cal.'!$E66)</f>
        <v>0</v>
      </c>
      <c r="H66" s="728">
        <f>SUMIFS('Schedule 4'!$F$684:$F$715,'Schedule 4'!$I$684:$I$715,'Pylon Cal.'!H$3,'Schedule 4'!$J$684:$J$715,'Pylon Cal.'!$E66)</f>
        <v>0</v>
      </c>
      <c r="I66" s="728">
        <f>SUMIFS('Schedule 4'!$F$684:$F$715,'Schedule 4'!$I$684:$I$715,'Pylon Cal.'!I$3,'Schedule 4'!$J$684:$J$715,'Pylon Cal.'!$E66)</f>
        <v>0</v>
      </c>
      <c r="J66" s="728"/>
      <c r="K66" s="1729">
        <f>SUM(F66:J69)</f>
        <v>0</v>
      </c>
      <c r="L66" s="1729">
        <f>D66-K66</f>
        <v>0</v>
      </c>
    </row>
    <row r="67" spans="2:12" x14ac:dyDescent="0.3">
      <c r="B67" s="1724"/>
      <c r="C67" s="1727"/>
      <c r="D67" s="1721"/>
      <c r="E67" s="761" t="s">
        <v>4640</v>
      </c>
      <c r="F67" s="726">
        <f>SUMIFS('Schedule 4'!$F$684:$F$715,'Schedule 4'!$I$684:$I$715,'Pylon Cal.'!F$3,'Schedule 4'!$J$684:$J$715,'Pylon Cal.'!$E67)</f>
        <v>0</v>
      </c>
      <c r="G67" s="726">
        <f>SUMIFS('Schedule 4'!$F$684:$F$715,'Schedule 4'!$I$684:$I$715,'Pylon Cal.'!G$3,'Schedule 4'!$J$684:$J$715,'Pylon Cal.'!$E67)</f>
        <v>0</v>
      </c>
      <c r="H67" s="726">
        <f>SUMIFS('Schedule 4'!$F$684:$F$715,'Schedule 4'!$I$684:$I$715,'Pylon Cal.'!H$3,'Schedule 4'!$J$684:$J$715,'Pylon Cal.'!$E67)</f>
        <v>0</v>
      </c>
      <c r="I67" s="726">
        <f>SUMIFS('Schedule 4'!$F$684:$F$715,'Schedule 4'!$I$684:$I$715,'Pylon Cal.'!I$3,'Schedule 4'!$J$684:$J$715,'Pylon Cal.'!$E67)</f>
        <v>0</v>
      </c>
      <c r="J67" s="726"/>
      <c r="K67" s="1730"/>
      <c r="L67" s="1730"/>
    </row>
    <row r="68" spans="2:12" x14ac:dyDescent="0.3">
      <c r="B68" s="1724"/>
      <c r="C68" s="1727"/>
      <c r="D68" s="1721"/>
      <c r="E68" s="775" t="s">
        <v>4643</v>
      </c>
      <c r="F68" s="726">
        <f>SUMIFS('Schedule 4'!$F$684:$F$715,'Schedule 4'!$I$684:$I$715,'Pylon Cal.'!F$3,'Schedule 4'!$J$684:$J$715,'Pylon Cal.'!$E68)</f>
        <v>0</v>
      </c>
      <c r="G68" s="726">
        <f>SUMIFS('Schedule 4'!$F$684:$F$715,'Schedule 4'!$I$684:$I$715,'Pylon Cal.'!G$3,'Schedule 4'!$J$684:$J$715,'Pylon Cal.'!$E68)</f>
        <v>0</v>
      </c>
      <c r="H68" s="726">
        <f>SUMIFS('Schedule 4'!$F$684:$F$715,'Schedule 4'!$I$684:$I$715,'Pylon Cal.'!H$3,'Schedule 4'!$J$684:$J$715,'Pylon Cal.'!$E68)</f>
        <v>0</v>
      </c>
      <c r="I68" s="726">
        <f>SUMIFS('Schedule 4'!$F$684:$F$715,'Schedule 4'!$I$684:$I$715,'Pylon Cal.'!I$3,'Schedule 4'!$J$684:$J$715,'Pylon Cal.'!$E68)</f>
        <v>0</v>
      </c>
      <c r="J68" s="726"/>
      <c r="K68" s="1730"/>
      <c r="L68" s="1730"/>
    </row>
    <row r="69" spans="2:12" x14ac:dyDescent="0.3">
      <c r="B69" s="1725"/>
      <c r="C69" s="1728"/>
      <c r="D69" s="1722"/>
      <c r="E69" s="776"/>
      <c r="F69" s="777"/>
      <c r="G69" s="777"/>
      <c r="H69" s="777"/>
      <c r="I69" s="777"/>
      <c r="J69" s="777"/>
      <c r="K69" s="1732"/>
      <c r="L69" s="1732"/>
    </row>
    <row r="70" spans="2:12" x14ac:dyDescent="0.3">
      <c r="B70" s="1723" t="s">
        <v>2513</v>
      </c>
      <c r="C70" s="1726">
        <v>21.324000000000002</v>
      </c>
      <c r="D70" s="1720">
        <f>IFERROR(SUMIFS('Schedule 4'!$F$684:$F$715,'Schedule 4'!$K$684:$K$715,'Pylon Cal.'!$B70),0)</f>
        <v>0</v>
      </c>
      <c r="E70" s="754" t="s">
        <v>6157</v>
      </c>
      <c r="F70" s="728">
        <f>SUMIFS('Schedule 4'!$F$684:$F$715,'Schedule 4'!$I$684:$I$715,'Pylon Cal.'!F$3,'Schedule 4'!$J$684:$J$715,'Pylon Cal.'!$E70)</f>
        <v>0</v>
      </c>
      <c r="G70" s="728">
        <f>SUMIFS('Schedule 4'!$F$684:$F$715,'Schedule 4'!$I$684:$I$715,'Pylon Cal.'!G$3,'Schedule 4'!$J$684:$J$715,'Pylon Cal.'!$E70)</f>
        <v>0</v>
      </c>
      <c r="H70" s="728">
        <f>SUMIFS('Schedule 4'!$F$684:$F$715,'Schedule 4'!$I$684:$I$715,'Pylon Cal.'!H$3,'Schedule 4'!$J$684:$J$715,'Pylon Cal.'!$E70)</f>
        <v>0</v>
      </c>
      <c r="I70" s="728">
        <f>SUMIFS('Schedule 4'!$F$684:$F$715,'Schedule 4'!$I$684:$I$715,'Pylon Cal.'!I$3,'Schedule 4'!$J$684:$J$715,'Pylon Cal.'!$E70)</f>
        <v>0</v>
      </c>
      <c r="J70" s="728"/>
      <c r="K70" s="1729">
        <f>SUM(F70:J72)</f>
        <v>0</v>
      </c>
      <c r="L70" s="1729">
        <f>D70-K70</f>
        <v>0</v>
      </c>
    </row>
    <row r="71" spans="2:12" x14ac:dyDescent="0.3">
      <c r="B71" s="1724"/>
      <c r="C71" s="1727"/>
      <c r="D71" s="1721"/>
      <c r="E71" s="761" t="s">
        <v>6158</v>
      </c>
      <c r="F71" s="726">
        <f>SUMIFS('Schedule 4'!$F$684:$F$715,'Schedule 4'!$I$684:$I$715,'Pylon Cal.'!F$3,'Schedule 4'!$J$684:$J$715,'Pylon Cal.'!$E71)</f>
        <v>0</v>
      </c>
      <c r="G71" s="726">
        <f>SUMIFS('Schedule 4'!$F$684:$F$715,'Schedule 4'!$I$684:$I$715,'Pylon Cal.'!G$3,'Schedule 4'!$J$684:$J$715,'Pylon Cal.'!$E71)</f>
        <v>0</v>
      </c>
      <c r="H71" s="726">
        <f>SUMIFS('Schedule 4'!$F$684:$F$715,'Schedule 4'!$I$684:$I$715,'Pylon Cal.'!H$3,'Schedule 4'!$J$684:$J$715,'Pylon Cal.'!$E71)</f>
        <v>0</v>
      </c>
      <c r="I71" s="726">
        <f>SUMIFS('Schedule 4'!$F$684:$F$715,'Schedule 4'!$I$684:$I$715,'Pylon Cal.'!I$3,'Schedule 4'!$J$684:$J$715,'Pylon Cal.'!$E71)</f>
        <v>0</v>
      </c>
      <c r="J71" s="726"/>
      <c r="K71" s="1730"/>
      <c r="L71" s="1730"/>
    </row>
    <row r="72" spans="2:12" x14ac:dyDescent="0.3">
      <c r="B72" s="1725"/>
      <c r="C72" s="1728"/>
      <c r="D72" s="1722"/>
      <c r="E72" s="776"/>
      <c r="F72" s="777"/>
      <c r="G72" s="777"/>
      <c r="H72" s="777"/>
      <c r="I72" s="777"/>
      <c r="J72" s="777"/>
      <c r="K72" s="1732"/>
      <c r="L72" s="1732"/>
    </row>
    <row r="73" spans="2:12" x14ac:dyDescent="0.3">
      <c r="B73" s="1723" t="s">
        <v>2514</v>
      </c>
      <c r="C73" s="1726">
        <v>21.623999999999999</v>
      </c>
      <c r="D73" s="1720">
        <f>IFERROR(SUMIFS('Schedule 4'!$F$684:$F$715,'Schedule 4'!$K$684:$K$715,'Pylon Cal.'!$B73),0)</f>
        <v>0</v>
      </c>
      <c r="E73" s="754" t="s">
        <v>4657</v>
      </c>
      <c r="F73" s="728">
        <f>SUMIFS('Schedule 4'!$F$684:$F$715,'Schedule 4'!$I$684:$I$715,'Pylon Cal.'!F$3,'Schedule 4'!$J$684:$J$715,'Pylon Cal.'!$E73)</f>
        <v>0</v>
      </c>
      <c r="G73" s="728">
        <f>SUMIFS('Schedule 4'!$F$684:$F$715,'Schedule 4'!$I$684:$I$715,'Pylon Cal.'!G$3,'Schedule 4'!$J$684:$J$715,'Pylon Cal.'!$E73)</f>
        <v>0</v>
      </c>
      <c r="H73" s="728">
        <f>SUMIFS('Schedule 4'!$F$684:$F$715,'Schedule 4'!$I$684:$I$715,'Pylon Cal.'!H$3,'Schedule 4'!$J$684:$J$715,'Pylon Cal.'!$E73)</f>
        <v>0</v>
      </c>
      <c r="I73" s="728">
        <f>SUMIFS('Schedule 4'!$F$684:$F$715,'Schedule 4'!$I$684:$I$715,'Pylon Cal.'!I$3,'Schedule 4'!$J$684:$J$715,'Pylon Cal.'!$E73)</f>
        <v>0</v>
      </c>
      <c r="J73" s="728"/>
      <c r="K73" s="1729">
        <f>SUM(F73:J77)</f>
        <v>0</v>
      </c>
      <c r="L73" s="1729">
        <f>D73-K73</f>
        <v>0</v>
      </c>
    </row>
    <row r="74" spans="2:12" x14ac:dyDescent="0.3">
      <c r="B74" s="1724"/>
      <c r="C74" s="1727"/>
      <c r="D74" s="1721"/>
      <c r="E74" s="761" t="s">
        <v>4649</v>
      </c>
      <c r="F74" s="726">
        <f>SUMIFS('Schedule 4'!$F$684:$F$715,'Schedule 4'!$I$684:$I$715,'Pylon Cal.'!F$3,'Schedule 4'!$J$684:$J$715,'Pylon Cal.'!$E74)</f>
        <v>0</v>
      </c>
      <c r="G74" s="726">
        <f>SUMIFS('Schedule 4'!$F$684:$F$715,'Schedule 4'!$I$684:$I$715,'Pylon Cal.'!G$3,'Schedule 4'!$J$684:$J$715,'Pylon Cal.'!$E74)</f>
        <v>0</v>
      </c>
      <c r="H74" s="726">
        <f>SUMIFS('Schedule 4'!$F$684:$F$715,'Schedule 4'!$I$684:$I$715,'Pylon Cal.'!H$3,'Schedule 4'!$J$684:$J$715,'Pylon Cal.'!$E74)</f>
        <v>0</v>
      </c>
      <c r="I74" s="726">
        <f>SUMIFS('Schedule 4'!$F$684:$F$715,'Schedule 4'!$I$684:$I$715,'Pylon Cal.'!I$3,'Schedule 4'!$J$684:$J$715,'Pylon Cal.'!$E74)</f>
        <v>0</v>
      </c>
      <c r="J74" s="726"/>
      <c r="K74" s="1730"/>
      <c r="L74" s="1730"/>
    </row>
    <row r="75" spans="2:12" x14ac:dyDescent="0.3">
      <c r="B75" s="1724"/>
      <c r="C75" s="1727"/>
      <c r="D75" s="1721"/>
      <c r="E75" s="761" t="s">
        <v>4652</v>
      </c>
      <c r="F75" s="726">
        <f>SUMIFS('Schedule 4'!$F$684:$F$715,'Schedule 4'!$I$684:$I$715,'Pylon Cal.'!F$3,'Schedule 4'!$J$684:$J$715,'Pylon Cal.'!$E75)</f>
        <v>0</v>
      </c>
      <c r="G75" s="726">
        <f>SUMIFS('Schedule 4'!$F$684:$F$715,'Schedule 4'!$I$684:$I$715,'Pylon Cal.'!G$3,'Schedule 4'!$J$684:$J$715,'Pylon Cal.'!$E75)</f>
        <v>0</v>
      </c>
      <c r="H75" s="726">
        <f>SUMIFS('Schedule 4'!$F$684:$F$715,'Schedule 4'!$I$684:$I$715,'Pylon Cal.'!H$3,'Schedule 4'!$J$684:$J$715,'Pylon Cal.'!$E75)</f>
        <v>0</v>
      </c>
      <c r="I75" s="726">
        <f>SUMIFS('Schedule 4'!$F$684:$F$715,'Schedule 4'!$I$684:$I$715,'Pylon Cal.'!I$3,'Schedule 4'!$J$684:$J$715,'Pylon Cal.'!$E75)</f>
        <v>0</v>
      </c>
      <c r="J75" s="726"/>
      <c r="K75" s="1730"/>
      <c r="L75" s="1730"/>
    </row>
    <row r="76" spans="2:12" x14ac:dyDescent="0.3">
      <c r="B76" s="1724"/>
      <c r="C76" s="1727"/>
      <c r="D76" s="1721"/>
      <c r="E76" s="775" t="s">
        <v>4654</v>
      </c>
      <c r="F76" s="727">
        <f>SUMIFS('Schedule 4'!$F$684:$F$715,'Schedule 4'!$I$684:$I$715,'Pylon Cal.'!F$3,'Schedule 4'!$J$684:$J$715,'Pylon Cal.'!$E76)</f>
        <v>0</v>
      </c>
      <c r="G76" s="727">
        <f>SUMIFS('Schedule 4'!$F$684:$F$715,'Schedule 4'!$I$684:$I$715,'Pylon Cal.'!G$3,'Schedule 4'!$J$684:$J$715,'Pylon Cal.'!$E76)</f>
        <v>0</v>
      </c>
      <c r="H76" s="727">
        <f>SUMIFS('Schedule 4'!$F$684:$F$715,'Schedule 4'!$I$684:$I$715,'Pylon Cal.'!H$3,'Schedule 4'!$J$684:$J$715,'Pylon Cal.'!$E76)</f>
        <v>0</v>
      </c>
      <c r="I76" s="727">
        <f>SUMIFS('Schedule 4'!$F$684:$F$715,'Schedule 4'!$I$684:$I$715,'Pylon Cal.'!I$3,'Schedule 4'!$J$684:$J$715,'Pylon Cal.'!$E76)</f>
        <v>0</v>
      </c>
      <c r="J76" s="727"/>
      <c r="K76" s="1730"/>
      <c r="L76" s="1730"/>
    </row>
    <row r="77" spans="2:12" x14ac:dyDescent="0.3">
      <c r="B77" s="1725"/>
      <c r="C77" s="1728"/>
      <c r="D77" s="1722"/>
      <c r="E77" s="776"/>
      <c r="F77" s="777"/>
      <c r="G77" s="777"/>
      <c r="H77" s="777"/>
      <c r="I77" s="777"/>
      <c r="J77" s="777"/>
      <c r="K77" s="1732"/>
      <c r="L77" s="1732"/>
    </row>
    <row r="78" spans="2:12" x14ac:dyDescent="0.3">
      <c r="B78" s="1723" t="s">
        <v>2515</v>
      </c>
      <c r="C78" s="1726">
        <v>21.324000000000002</v>
      </c>
      <c r="D78" s="1720">
        <f>IFERROR(SUMIFS('Schedule 4'!$F$684:$F$715,'Schedule 4'!$K$684:$K$715,'Pylon Cal.'!$B78),0)</f>
        <v>0</v>
      </c>
      <c r="E78" s="754" t="s">
        <v>6159</v>
      </c>
      <c r="F78" s="728">
        <f>SUMIFS('Schedule 4'!$F$684:$F$715,'Schedule 4'!$I$684:$I$715,'Pylon Cal.'!F$3,'Schedule 4'!$J$684:$J$715,'Pylon Cal.'!$E78)</f>
        <v>0</v>
      </c>
      <c r="G78" s="728">
        <f>SUMIFS('Schedule 4'!$F$684:$F$715,'Schedule 4'!$I$684:$I$715,'Pylon Cal.'!G$3,'Schedule 4'!$J$684:$J$715,'Pylon Cal.'!$E78)</f>
        <v>0</v>
      </c>
      <c r="H78" s="728">
        <f>SUMIFS('Schedule 4'!$F$684:$F$715,'Schedule 4'!$I$684:$I$715,'Pylon Cal.'!H$3,'Schedule 4'!$J$684:$J$715,'Pylon Cal.'!$E78)</f>
        <v>0</v>
      </c>
      <c r="I78" s="728">
        <f>SUMIFS('Schedule 4'!$F$684:$F$715,'Schedule 4'!$I$684:$I$715,'Pylon Cal.'!I$3,'Schedule 4'!$J$684:$J$715,'Pylon Cal.'!$E78)</f>
        <v>0</v>
      </c>
      <c r="J78" s="728"/>
      <c r="K78" s="1729">
        <f>SUM(F78:J80)</f>
        <v>0</v>
      </c>
      <c r="L78" s="1729">
        <f>D78-K78</f>
        <v>0</v>
      </c>
    </row>
    <row r="79" spans="2:12" x14ac:dyDescent="0.3">
      <c r="B79" s="1724"/>
      <c r="C79" s="1727"/>
      <c r="D79" s="1721"/>
      <c r="E79" s="761" t="s">
        <v>6160</v>
      </c>
      <c r="F79" s="726">
        <f>SUMIFS('Schedule 4'!$F$684:$F$715,'Schedule 4'!$I$684:$I$715,'Pylon Cal.'!F$3,'Schedule 4'!$J$684:$J$715,'Pylon Cal.'!$E79)</f>
        <v>0</v>
      </c>
      <c r="G79" s="726">
        <f>SUMIFS('Schedule 4'!$F$684:$F$715,'Schedule 4'!$I$684:$I$715,'Pylon Cal.'!G$3,'Schedule 4'!$J$684:$J$715,'Pylon Cal.'!$E79)</f>
        <v>0</v>
      </c>
      <c r="H79" s="726">
        <f>SUMIFS('Schedule 4'!$F$684:$F$715,'Schedule 4'!$I$684:$I$715,'Pylon Cal.'!H$3,'Schedule 4'!$J$684:$J$715,'Pylon Cal.'!$E79)</f>
        <v>0</v>
      </c>
      <c r="I79" s="726">
        <f>SUMIFS('Schedule 4'!$F$684:$F$715,'Schedule 4'!$I$684:$I$715,'Pylon Cal.'!I$3,'Schedule 4'!$J$684:$J$715,'Pylon Cal.'!$E79)</f>
        <v>0</v>
      </c>
      <c r="J79" s="726"/>
      <c r="K79" s="1730"/>
      <c r="L79" s="1730"/>
    </row>
    <row r="80" spans="2:12" x14ac:dyDescent="0.3">
      <c r="B80" s="1725"/>
      <c r="C80" s="1728"/>
      <c r="D80" s="1722"/>
      <c r="E80" s="776"/>
      <c r="F80" s="777"/>
      <c r="G80" s="777"/>
      <c r="H80" s="777"/>
      <c r="I80" s="777"/>
      <c r="J80" s="777"/>
      <c r="K80" s="1732"/>
      <c r="L80" s="1732"/>
    </row>
    <row r="81" spans="2:24" x14ac:dyDescent="0.3">
      <c r="B81" s="1723" t="s">
        <v>2516</v>
      </c>
      <c r="C81" s="1726">
        <v>21.623999999999999</v>
      </c>
      <c r="D81" s="1720">
        <f>IFERROR(SUMIFS('Schedule 4'!$F$684:$F$715,'Schedule 4'!$K$684:$K$715,'Pylon Cal.'!$B81),0)</f>
        <v>0</v>
      </c>
      <c r="E81" s="754" t="s">
        <v>6161</v>
      </c>
      <c r="F81" s="728">
        <f>SUMIFS('Schedule 4'!$F$684:$F$715,'Schedule 4'!$I$684:$I$715,'Pylon Cal.'!F$3,'Schedule 4'!$J$684:$J$715,'Pylon Cal.'!$E81)</f>
        <v>0</v>
      </c>
      <c r="G81" s="728">
        <f>SUMIFS('Schedule 4'!$F$684:$F$715,'Schedule 4'!$I$684:$I$715,'Pylon Cal.'!G$3,'Schedule 4'!$J$684:$J$715,'Pylon Cal.'!$E81)</f>
        <v>0</v>
      </c>
      <c r="H81" s="728">
        <f>SUMIFS('Schedule 4'!$F$684:$F$715,'Schedule 4'!$I$684:$I$715,'Pylon Cal.'!H$3,'Schedule 4'!$J$684:$J$715,'Pylon Cal.'!$E81)</f>
        <v>0</v>
      </c>
      <c r="I81" s="728">
        <f>SUMIFS('Schedule 4'!$F$684:$F$715,'Schedule 4'!$I$684:$I$715,'Pylon Cal.'!I$3,'Schedule 4'!$J$684:$J$715,'Pylon Cal.'!$E81)</f>
        <v>0</v>
      </c>
      <c r="J81" s="728"/>
      <c r="K81" s="1729">
        <f>SUM(F81:J83)</f>
        <v>0</v>
      </c>
      <c r="L81" s="1729">
        <f>D81-K81</f>
        <v>0</v>
      </c>
    </row>
    <row r="82" spans="2:24" x14ac:dyDescent="0.3">
      <c r="B82" s="1724"/>
      <c r="C82" s="1727"/>
      <c r="D82" s="1721"/>
      <c r="E82" s="761" t="s">
        <v>6162</v>
      </c>
      <c r="F82" s="726">
        <f>SUMIFS('Schedule 4'!$F$684:$F$715,'Schedule 4'!$I$684:$I$715,'Pylon Cal.'!F$3,'Schedule 4'!$J$684:$J$715,'Pylon Cal.'!$E82)</f>
        <v>0</v>
      </c>
      <c r="G82" s="726">
        <f>SUMIFS('Schedule 4'!$F$684:$F$715,'Schedule 4'!$I$684:$I$715,'Pylon Cal.'!G$3,'Schedule 4'!$J$684:$J$715,'Pylon Cal.'!$E82)</f>
        <v>0</v>
      </c>
      <c r="H82" s="726">
        <f>SUMIFS('Schedule 4'!$F$684:$F$715,'Schedule 4'!$I$684:$I$715,'Pylon Cal.'!H$3,'Schedule 4'!$J$684:$J$715,'Pylon Cal.'!$E82)</f>
        <v>0</v>
      </c>
      <c r="I82" s="726">
        <f>SUMIFS('Schedule 4'!$F$684:$F$715,'Schedule 4'!$I$684:$I$715,'Pylon Cal.'!I$3,'Schedule 4'!$J$684:$J$715,'Pylon Cal.'!$E82)</f>
        <v>0</v>
      </c>
      <c r="J82" s="726"/>
      <c r="K82" s="1730"/>
      <c r="L82" s="1730"/>
    </row>
    <row r="83" spans="2:24" s="62" customFormat="1" x14ac:dyDescent="0.3">
      <c r="B83" s="1725"/>
      <c r="C83" s="1728"/>
      <c r="D83" s="1722"/>
      <c r="E83" s="776"/>
      <c r="F83" s="777"/>
      <c r="G83" s="777"/>
      <c r="H83" s="777"/>
      <c r="I83" s="777"/>
      <c r="J83" s="777"/>
      <c r="K83" s="1732"/>
      <c r="L83" s="1732"/>
      <c r="M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</row>
    <row r="84" spans="2:24" s="62" customFormat="1" x14ac:dyDescent="0.3">
      <c r="B84" s="1723" t="s">
        <v>2517</v>
      </c>
      <c r="C84" s="1726">
        <v>21.324000000000002</v>
      </c>
      <c r="D84" s="1720">
        <f>IFERROR(SUMIFS('Schedule 4'!$F$684:$F$715,'Schedule 4'!$K$684:$K$715,'Pylon Cal.'!$B84),0)</f>
        <v>0</v>
      </c>
      <c r="E84" s="754" t="s">
        <v>4665</v>
      </c>
      <c r="F84" s="728">
        <f>SUMIFS('Schedule 4'!$F$684:$F$715,'Schedule 4'!$I$684:$I$715,'Pylon Cal.'!F$3,'Schedule 4'!$J$684:$J$715,'Pylon Cal.'!$E84)</f>
        <v>0</v>
      </c>
      <c r="G84" s="728">
        <f>SUMIFS('Schedule 4'!$F$684:$F$715,'Schedule 4'!$I$684:$I$715,'Pylon Cal.'!G$3,'Schedule 4'!$J$684:$J$715,'Pylon Cal.'!$E84)</f>
        <v>0</v>
      </c>
      <c r="H84" s="728">
        <f>SUMIFS('Schedule 4'!$F$684:$F$715,'Schedule 4'!$I$684:$I$715,'Pylon Cal.'!H$3,'Schedule 4'!$J$684:$J$715,'Pylon Cal.'!$E84)</f>
        <v>0</v>
      </c>
      <c r="I84" s="728">
        <f>SUMIFS('Schedule 4'!$F$684:$F$715,'Schedule 4'!$I$684:$I$715,'Pylon Cal.'!I$3,'Schedule 4'!$J$684:$J$715,'Pylon Cal.'!$E84)</f>
        <v>0</v>
      </c>
      <c r="J84" s="728"/>
      <c r="K84" s="1729">
        <f>SUM(F84:J87)</f>
        <v>0</v>
      </c>
      <c r="L84" s="1729">
        <f>D84-K84</f>
        <v>0</v>
      </c>
      <c r="M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</row>
    <row r="85" spans="2:24" s="62" customFormat="1" x14ac:dyDescent="0.3">
      <c r="B85" s="1724"/>
      <c r="C85" s="1727"/>
      <c r="D85" s="1721"/>
      <c r="E85" s="761" t="s">
        <v>4660</v>
      </c>
      <c r="F85" s="726">
        <f>SUMIFS('Schedule 4'!$F$684:$F$715,'Schedule 4'!$I$684:$I$715,'Pylon Cal.'!F$3,'Schedule 4'!$J$684:$J$715,'Pylon Cal.'!$E85)</f>
        <v>0</v>
      </c>
      <c r="G85" s="726">
        <f>SUMIFS('Schedule 4'!$F$684:$F$715,'Schedule 4'!$I$684:$I$715,'Pylon Cal.'!G$3,'Schedule 4'!$J$684:$J$715,'Pylon Cal.'!$E85)</f>
        <v>0</v>
      </c>
      <c r="H85" s="726">
        <f>SUMIFS('Schedule 4'!$F$684:$F$715,'Schedule 4'!$I$684:$I$715,'Pylon Cal.'!H$3,'Schedule 4'!$J$684:$J$715,'Pylon Cal.'!$E85)</f>
        <v>0</v>
      </c>
      <c r="I85" s="726">
        <f>SUMIFS('Schedule 4'!$F$684:$F$715,'Schedule 4'!$I$684:$I$715,'Pylon Cal.'!I$3,'Schedule 4'!$J$684:$J$715,'Pylon Cal.'!$E85)</f>
        <v>0</v>
      </c>
      <c r="J85" s="726"/>
      <c r="K85" s="1730"/>
      <c r="L85" s="1730"/>
      <c r="M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</row>
    <row r="86" spans="2:24" s="62" customFormat="1" x14ac:dyDescent="0.3">
      <c r="B86" s="1724"/>
      <c r="C86" s="1727"/>
      <c r="D86" s="1721"/>
      <c r="E86" s="761" t="s">
        <v>544</v>
      </c>
      <c r="F86" s="726">
        <f>SUMIFS('Schedule 4'!$F$684:$F$715,'Schedule 4'!$I$684:$I$715,'Pylon Cal.'!F$3,'Schedule 4'!$J$684:$J$715,'Pylon Cal.'!$E86)</f>
        <v>0</v>
      </c>
      <c r="G86" s="726">
        <f>SUMIFS('Schedule 4'!$F$684:$F$715,'Schedule 4'!$I$684:$I$715,'Pylon Cal.'!G$3,'Schedule 4'!$J$684:$J$715,'Pylon Cal.'!$E86)</f>
        <v>0</v>
      </c>
      <c r="H86" s="726">
        <f>SUMIFS('Schedule 4'!$F$684:$F$715,'Schedule 4'!$I$684:$I$715,'Pylon Cal.'!H$3,'Schedule 4'!$J$684:$J$715,'Pylon Cal.'!$E86)</f>
        <v>0</v>
      </c>
      <c r="I86" s="726">
        <f>SUMIFS('Schedule 4'!$F$684:$F$715,'Schedule 4'!$I$684:$I$715,'Pylon Cal.'!I$3,'Schedule 4'!$J$684:$J$715,'Pylon Cal.'!$E86)</f>
        <v>0</v>
      </c>
      <c r="J86" s="726"/>
      <c r="K86" s="1730"/>
      <c r="L86" s="1730"/>
      <c r="M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</row>
    <row r="87" spans="2:24" x14ac:dyDescent="0.3">
      <c r="B87" s="1725"/>
      <c r="C87" s="1728"/>
      <c r="D87" s="1722"/>
      <c r="E87" s="776"/>
      <c r="F87" s="777"/>
      <c r="G87" s="777"/>
      <c r="H87" s="777"/>
      <c r="I87" s="777"/>
      <c r="J87" s="777"/>
      <c r="K87" s="1732"/>
      <c r="L87" s="1732"/>
    </row>
    <row r="88" spans="2:24" x14ac:dyDescent="0.3">
      <c r="B88" s="1723" t="s">
        <v>2518</v>
      </c>
      <c r="C88" s="1726">
        <v>21.623999999999999</v>
      </c>
      <c r="D88" s="1720">
        <f>IFERROR(SUMIFS('Schedule 4'!$F$684:$F$715,'Schedule 4'!$K$684:$K$715,'Pylon Cal.'!$B88),0)</f>
        <v>0</v>
      </c>
      <c r="E88" s="754" t="s">
        <v>4678</v>
      </c>
      <c r="F88" s="728">
        <f>SUMIFS('Schedule 4'!$F$684:$F$715,'Schedule 4'!$I$684:$I$715,'Pylon Cal.'!F$3,'Schedule 4'!$J$684:$J$715,'Pylon Cal.'!$E88)</f>
        <v>0</v>
      </c>
      <c r="G88" s="728">
        <f>SUMIFS('Schedule 4'!$F$684:$F$715,'Schedule 4'!$I$684:$I$715,'Pylon Cal.'!G$3,'Schedule 4'!$J$684:$J$715,'Pylon Cal.'!$E88)</f>
        <v>0</v>
      </c>
      <c r="H88" s="728">
        <f>SUMIFS('Schedule 4'!$F$684:$F$715,'Schedule 4'!$I$684:$I$715,'Pylon Cal.'!H$3,'Schedule 4'!$J$684:$J$715,'Pylon Cal.'!$E88)</f>
        <v>0</v>
      </c>
      <c r="I88" s="728">
        <f>SUMIFS('Schedule 4'!$F$684:$F$715,'Schedule 4'!$I$684:$I$715,'Pylon Cal.'!I$3,'Schedule 4'!$J$684:$J$715,'Pylon Cal.'!$E88)</f>
        <v>0</v>
      </c>
      <c r="J88" s="728"/>
      <c r="K88" s="1729">
        <f>SUM(F88:J93)</f>
        <v>0</v>
      </c>
      <c r="L88" s="1729">
        <f>D88-K88</f>
        <v>0</v>
      </c>
    </row>
    <row r="89" spans="2:24" x14ac:dyDescent="0.3">
      <c r="B89" s="1724"/>
      <c r="C89" s="1727"/>
      <c r="D89" s="1721"/>
      <c r="E89" s="761" t="s">
        <v>4668</v>
      </c>
      <c r="F89" s="726">
        <f>SUMIFS('Schedule 4'!$F$684:$F$715,'Schedule 4'!$I$684:$I$715,'Pylon Cal.'!F$3,'Schedule 4'!$J$684:$J$715,'Pylon Cal.'!$E89)</f>
        <v>0</v>
      </c>
      <c r="G89" s="726">
        <f>SUMIFS('Schedule 4'!$F$684:$F$715,'Schedule 4'!$I$684:$I$715,'Pylon Cal.'!G$3,'Schedule 4'!$J$684:$J$715,'Pylon Cal.'!$E89)</f>
        <v>0</v>
      </c>
      <c r="H89" s="726">
        <f>SUMIFS('Schedule 4'!$F$684:$F$715,'Schedule 4'!$I$684:$I$715,'Pylon Cal.'!H$3,'Schedule 4'!$J$684:$J$715,'Pylon Cal.'!$E89)</f>
        <v>0</v>
      </c>
      <c r="I89" s="726">
        <f>SUMIFS('Schedule 4'!$F$684:$F$715,'Schedule 4'!$I$684:$I$715,'Pylon Cal.'!I$3,'Schedule 4'!$J$684:$J$715,'Pylon Cal.'!$E89)</f>
        <v>0</v>
      </c>
      <c r="J89" s="726"/>
      <c r="K89" s="1730"/>
      <c r="L89" s="1730"/>
    </row>
    <row r="90" spans="2:24" x14ac:dyDescent="0.3">
      <c r="B90" s="1724"/>
      <c r="C90" s="1727"/>
      <c r="D90" s="1721"/>
      <c r="E90" s="761" t="s">
        <v>4671</v>
      </c>
      <c r="F90" s="726">
        <f>SUMIFS('Schedule 4'!$F$684:$F$715,'Schedule 4'!$I$684:$I$715,'Pylon Cal.'!F$3,'Schedule 4'!$J$684:$J$715,'Pylon Cal.'!$E90)</f>
        <v>0</v>
      </c>
      <c r="G90" s="726">
        <f>SUMIFS('Schedule 4'!$F$684:$F$715,'Schedule 4'!$I$684:$I$715,'Pylon Cal.'!G$3,'Schedule 4'!$J$684:$J$715,'Pylon Cal.'!$E90)</f>
        <v>0</v>
      </c>
      <c r="H90" s="726">
        <f>SUMIFS('Schedule 4'!$F$684:$F$715,'Schedule 4'!$I$684:$I$715,'Pylon Cal.'!H$3,'Schedule 4'!$J$684:$J$715,'Pylon Cal.'!$E90)</f>
        <v>0</v>
      </c>
      <c r="I90" s="726">
        <f>SUMIFS('Schedule 4'!$F$684:$F$715,'Schedule 4'!$I$684:$I$715,'Pylon Cal.'!I$3,'Schedule 4'!$J$684:$J$715,'Pylon Cal.'!$E90)</f>
        <v>0</v>
      </c>
      <c r="J90" s="726"/>
      <c r="K90" s="1730"/>
      <c r="L90" s="1730"/>
    </row>
    <row r="91" spans="2:24" x14ac:dyDescent="0.3">
      <c r="B91" s="1724"/>
      <c r="C91" s="1727"/>
      <c r="D91" s="1721"/>
      <c r="E91" s="775" t="s">
        <v>4674</v>
      </c>
      <c r="F91" s="727">
        <f>SUMIFS('Schedule 4'!$F$684:$F$715,'Schedule 4'!$I$684:$I$715,'Pylon Cal.'!F$3,'Schedule 4'!$J$684:$J$715,'Pylon Cal.'!$E91)</f>
        <v>0</v>
      </c>
      <c r="G91" s="727">
        <f>SUMIFS('Schedule 4'!$F$684:$F$715,'Schedule 4'!$I$684:$I$715,'Pylon Cal.'!G$3,'Schedule 4'!$J$684:$J$715,'Pylon Cal.'!$E91)</f>
        <v>0</v>
      </c>
      <c r="H91" s="727">
        <f>SUMIFS('Schedule 4'!$F$684:$F$715,'Schedule 4'!$I$684:$I$715,'Pylon Cal.'!H$3,'Schedule 4'!$J$684:$J$715,'Pylon Cal.'!$E91)</f>
        <v>0</v>
      </c>
      <c r="I91" s="727">
        <f>SUMIFS('Schedule 4'!$F$684:$F$715,'Schedule 4'!$I$684:$I$715,'Pylon Cal.'!I$3,'Schedule 4'!$J$684:$J$715,'Pylon Cal.'!$E91)</f>
        <v>0</v>
      </c>
      <c r="J91" s="727"/>
      <c r="K91" s="1730"/>
      <c r="L91" s="1730"/>
    </row>
    <row r="92" spans="2:24" x14ac:dyDescent="0.3">
      <c r="B92" s="1724"/>
      <c r="C92" s="1727"/>
      <c r="D92" s="1721"/>
      <c r="E92" s="775" t="s">
        <v>700</v>
      </c>
      <c r="F92" s="727">
        <f>SUMIFS('Schedule 4'!$F$684:$F$715,'Schedule 4'!$I$684:$I$715,'Pylon Cal.'!F$3,'Schedule 4'!$J$684:$J$715,'Pylon Cal.'!$E92)</f>
        <v>0</v>
      </c>
      <c r="G92" s="727">
        <f>SUMIFS('Schedule 4'!$F$684:$F$715,'Schedule 4'!$I$684:$I$715,'Pylon Cal.'!G$3,'Schedule 4'!$J$684:$J$715,'Pylon Cal.'!$E92)</f>
        <v>0</v>
      </c>
      <c r="H92" s="727">
        <f>SUMIFS('Schedule 4'!$F$684:$F$715,'Schedule 4'!$I$684:$I$715,'Pylon Cal.'!H$3,'Schedule 4'!$J$684:$J$715,'Pylon Cal.'!$E92)</f>
        <v>0</v>
      </c>
      <c r="I92" s="727">
        <f>SUMIFS('Schedule 4'!$F$684:$F$715,'Schedule 4'!$I$684:$I$715,'Pylon Cal.'!I$3,'Schedule 4'!$J$684:$J$715,'Pylon Cal.'!$E92)</f>
        <v>0</v>
      </c>
      <c r="J92" s="727"/>
      <c r="K92" s="1730"/>
      <c r="L92" s="1730"/>
    </row>
    <row r="93" spans="2:24" x14ac:dyDescent="0.3">
      <c r="B93" s="1725"/>
      <c r="C93" s="1728"/>
      <c r="D93" s="1722"/>
      <c r="E93" s="776"/>
      <c r="F93" s="777"/>
      <c r="G93" s="777"/>
      <c r="H93" s="777"/>
      <c r="I93" s="777"/>
      <c r="J93" s="777"/>
      <c r="K93" s="1732"/>
      <c r="L93" s="1732"/>
    </row>
    <row r="94" spans="2:24" x14ac:dyDescent="0.3">
      <c r="B94" s="1723" t="s">
        <v>2519</v>
      </c>
      <c r="C94" s="1726">
        <v>21.324000000000002</v>
      </c>
      <c r="D94" s="1720">
        <f>IFERROR(SUMIFS('Schedule 4'!$F$684:$F$715,'Schedule 4'!$K$684:$K$715,'Pylon Cal.'!$B94),0)</f>
        <v>0</v>
      </c>
      <c r="E94" s="754" t="s">
        <v>6163</v>
      </c>
      <c r="F94" s="728">
        <f>SUMIFS('Schedule 4'!$F$684:$F$715,'Schedule 4'!$I$684:$I$715,'Pylon Cal.'!F$3,'Schedule 4'!$J$684:$J$715,'Pylon Cal.'!$E94)</f>
        <v>0</v>
      </c>
      <c r="G94" s="728">
        <f>SUMIFS('Schedule 4'!$F$684:$F$715,'Schedule 4'!$I$684:$I$715,'Pylon Cal.'!G$3,'Schedule 4'!$J$684:$J$715,'Pylon Cal.'!$E94)</f>
        <v>0</v>
      </c>
      <c r="H94" s="728">
        <f>SUMIFS('Schedule 4'!$F$684:$F$715,'Schedule 4'!$I$684:$I$715,'Pylon Cal.'!H$3,'Schedule 4'!$J$684:$J$715,'Pylon Cal.'!$E94)</f>
        <v>0</v>
      </c>
      <c r="I94" s="728">
        <f>SUMIFS('Schedule 4'!$F$684:$F$715,'Schedule 4'!$I$684:$I$715,'Pylon Cal.'!I$3,'Schedule 4'!$J$684:$J$715,'Pylon Cal.'!$E94)</f>
        <v>0</v>
      </c>
      <c r="J94" s="728"/>
      <c r="K94" s="1729">
        <f>SUM(F94:J96)</f>
        <v>0</v>
      </c>
      <c r="L94" s="1729">
        <f>D94-K94</f>
        <v>0</v>
      </c>
    </row>
    <row r="95" spans="2:24" x14ac:dyDescent="0.3">
      <c r="B95" s="1724"/>
      <c r="C95" s="1727"/>
      <c r="D95" s="1721"/>
      <c r="E95" s="761" t="s">
        <v>6164</v>
      </c>
      <c r="F95" s="726">
        <f>SUMIFS('Schedule 4'!$F$684:$F$715,'Schedule 4'!$I$684:$I$715,'Pylon Cal.'!F$3,'Schedule 4'!$J$684:$J$715,'Pylon Cal.'!$E95)</f>
        <v>0</v>
      </c>
      <c r="G95" s="726">
        <f>SUMIFS('Schedule 4'!$F$684:$F$715,'Schedule 4'!$I$684:$I$715,'Pylon Cal.'!G$3,'Schedule 4'!$J$684:$J$715,'Pylon Cal.'!$E95)</f>
        <v>0</v>
      </c>
      <c r="H95" s="726">
        <f>SUMIFS('Schedule 4'!$F$684:$F$715,'Schedule 4'!$I$684:$I$715,'Pylon Cal.'!H$3,'Schedule 4'!$J$684:$J$715,'Pylon Cal.'!$E95)</f>
        <v>0</v>
      </c>
      <c r="I95" s="726">
        <f>SUMIFS('Schedule 4'!$F$684:$F$715,'Schedule 4'!$I$684:$I$715,'Pylon Cal.'!I$3,'Schedule 4'!$J$684:$J$715,'Pylon Cal.'!$E95)</f>
        <v>0</v>
      </c>
      <c r="J95" s="726"/>
      <c r="K95" s="1730"/>
      <c r="L95" s="1730"/>
    </row>
    <row r="96" spans="2:24" x14ac:dyDescent="0.3">
      <c r="B96" s="1725"/>
      <c r="C96" s="1728"/>
      <c r="D96" s="1722"/>
      <c r="E96" s="776"/>
      <c r="F96" s="777"/>
      <c r="G96" s="777"/>
      <c r="H96" s="777"/>
      <c r="I96" s="777"/>
      <c r="J96" s="777"/>
      <c r="K96" s="1732"/>
      <c r="L96" s="1732"/>
    </row>
    <row r="97" spans="2:12" x14ac:dyDescent="0.3">
      <c r="B97" s="1723" t="s">
        <v>2520</v>
      </c>
      <c r="C97" s="1726">
        <v>21.623999999999999</v>
      </c>
      <c r="D97" s="1720">
        <f>IFERROR(SUMIFS('Schedule 4'!$F$684:$F$715,'Schedule 4'!$K$684:$K$715,'Pylon Cal.'!$B97),0)</f>
        <v>0</v>
      </c>
      <c r="E97" s="754" t="s">
        <v>6165</v>
      </c>
      <c r="F97" s="728">
        <f>SUMIFS('Schedule 4'!$F$684:$F$715,'Schedule 4'!$I$684:$I$715,'Pylon Cal.'!F$3,'Schedule 4'!$J$684:$J$715,'Pylon Cal.'!$E97)</f>
        <v>0</v>
      </c>
      <c r="G97" s="728">
        <f>SUMIFS('Schedule 4'!$F$684:$F$715,'Schedule 4'!$I$684:$I$715,'Pylon Cal.'!G$3,'Schedule 4'!$J$684:$J$715,'Pylon Cal.'!$E97)</f>
        <v>0</v>
      </c>
      <c r="H97" s="728">
        <f>SUMIFS('Schedule 4'!$F$684:$F$715,'Schedule 4'!$I$684:$I$715,'Pylon Cal.'!H$3,'Schedule 4'!$J$684:$J$715,'Pylon Cal.'!$E97)</f>
        <v>0</v>
      </c>
      <c r="I97" s="728">
        <f>SUMIFS('Schedule 4'!$F$684:$F$715,'Schedule 4'!$I$684:$I$715,'Pylon Cal.'!I$3,'Schedule 4'!$J$684:$J$715,'Pylon Cal.'!$E97)</f>
        <v>0</v>
      </c>
      <c r="J97" s="728"/>
      <c r="K97" s="1729">
        <f>SUM(F97:J99)</f>
        <v>0</v>
      </c>
      <c r="L97" s="1729">
        <f>D97-K97</f>
        <v>0</v>
      </c>
    </row>
    <row r="98" spans="2:12" x14ac:dyDescent="0.3">
      <c r="B98" s="1724"/>
      <c r="C98" s="1727"/>
      <c r="D98" s="1721"/>
      <c r="E98" s="761" t="s">
        <v>6166</v>
      </c>
      <c r="F98" s="726">
        <f>SUMIFS('Schedule 4'!$F$684:$F$715,'Schedule 4'!$I$684:$I$715,'Pylon Cal.'!F$3,'Schedule 4'!$J$684:$J$715,'Pylon Cal.'!$E98)</f>
        <v>0</v>
      </c>
      <c r="G98" s="726">
        <f>SUMIFS('Schedule 4'!$F$684:$F$715,'Schedule 4'!$I$684:$I$715,'Pylon Cal.'!G$3,'Schedule 4'!$J$684:$J$715,'Pylon Cal.'!$E98)</f>
        <v>0</v>
      </c>
      <c r="H98" s="726">
        <f>SUMIFS('Schedule 4'!$F$684:$F$715,'Schedule 4'!$I$684:$I$715,'Pylon Cal.'!H$3,'Schedule 4'!$J$684:$J$715,'Pylon Cal.'!$E98)</f>
        <v>0</v>
      </c>
      <c r="I98" s="726">
        <f>SUMIFS('Schedule 4'!$F$684:$F$715,'Schedule 4'!$I$684:$I$715,'Pylon Cal.'!I$3,'Schedule 4'!$J$684:$J$715,'Pylon Cal.'!$E98)</f>
        <v>0</v>
      </c>
      <c r="J98" s="726"/>
      <c r="K98" s="1730"/>
      <c r="L98" s="1730"/>
    </row>
    <row r="99" spans="2:12" x14ac:dyDescent="0.3">
      <c r="B99" s="1725"/>
      <c r="C99" s="1728"/>
      <c r="D99" s="1722"/>
      <c r="E99" s="776"/>
      <c r="F99" s="777"/>
      <c r="G99" s="777"/>
      <c r="H99" s="777"/>
      <c r="I99" s="777"/>
      <c r="J99" s="777"/>
      <c r="K99" s="1732"/>
      <c r="L99" s="1732"/>
    </row>
    <row r="100" spans="2:12" x14ac:dyDescent="0.3">
      <c r="B100" s="1723" t="s">
        <v>2521</v>
      </c>
      <c r="C100" s="1726">
        <v>21.324000000000002</v>
      </c>
      <c r="D100" s="1720">
        <f>IFERROR(SUMIFS('Schedule 4'!$F$684:$F$715,'Schedule 4'!$K$684:$K$715,'Pylon Cal.'!$B100),0)</f>
        <v>0</v>
      </c>
      <c r="E100" s="754" t="s">
        <v>602</v>
      </c>
      <c r="F100" s="728">
        <f>SUMIFS('Schedule 4'!$F$684:$F$715,'Schedule 4'!$I$684:$I$715,'Pylon Cal.'!F$3,'Schedule 4'!$J$684:$J$715,'Pylon Cal.'!$E100)</f>
        <v>0</v>
      </c>
      <c r="G100" s="728">
        <f>SUMIFS('Schedule 4'!$F$684:$F$715,'Schedule 4'!$I$684:$I$715,'Pylon Cal.'!G$3,'Schedule 4'!$J$684:$J$715,'Pylon Cal.'!$E100)</f>
        <v>0</v>
      </c>
      <c r="H100" s="728">
        <f>SUMIFS('Schedule 4'!$F$684:$F$715,'Schedule 4'!$I$684:$I$715,'Pylon Cal.'!H$3,'Schedule 4'!$J$684:$J$715,'Pylon Cal.'!$E100)</f>
        <v>0</v>
      </c>
      <c r="I100" s="728">
        <f>SUMIFS('Schedule 4'!$F$684:$F$715,'Schedule 4'!$I$684:$I$715,'Pylon Cal.'!I$3,'Schedule 4'!$J$684:$J$715,'Pylon Cal.'!$E100)</f>
        <v>0</v>
      </c>
      <c r="J100" s="728"/>
      <c r="K100" s="1729">
        <f>SUM(F100:J103)</f>
        <v>0</v>
      </c>
      <c r="L100" s="1729">
        <f>D100-K100</f>
        <v>0</v>
      </c>
    </row>
    <row r="101" spans="2:12" x14ac:dyDescent="0.3">
      <c r="B101" s="1724"/>
      <c r="C101" s="1727"/>
      <c r="D101" s="1721"/>
      <c r="E101" s="761" t="s">
        <v>648</v>
      </c>
      <c r="F101" s="726">
        <f>SUMIFS('Schedule 4'!$F$684:$F$715,'Schedule 4'!$I$684:$I$715,'Pylon Cal.'!F$3,'Schedule 4'!$J$684:$J$715,'Pylon Cal.'!$E101)</f>
        <v>0</v>
      </c>
      <c r="G101" s="726">
        <f>SUMIFS('Schedule 4'!$F$684:$F$715,'Schedule 4'!$I$684:$I$715,'Pylon Cal.'!G$3,'Schedule 4'!$J$684:$J$715,'Pylon Cal.'!$E101)</f>
        <v>0</v>
      </c>
      <c r="H101" s="726">
        <f>SUMIFS('Schedule 4'!$F$684:$F$715,'Schedule 4'!$I$684:$I$715,'Pylon Cal.'!H$3,'Schedule 4'!$J$684:$J$715,'Pylon Cal.'!$E101)</f>
        <v>0</v>
      </c>
      <c r="I101" s="726">
        <f>SUMIFS('Schedule 4'!$F$684:$F$715,'Schedule 4'!$I$684:$I$715,'Pylon Cal.'!I$3,'Schedule 4'!$J$684:$J$715,'Pylon Cal.'!$E101)</f>
        <v>0</v>
      </c>
      <c r="J101" s="726"/>
      <c r="K101" s="1730"/>
      <c r="L101" s="1730"/>
    </row>
    <row r="102" spans="2:12" x14ac:dyDescent="0.3">
      <c r="B102" s="1724"/>
      <c r="C102" s="1727"/>
      <c r="D102" s="1721"/>
      <c r="E102" s="761" t="s">
        <v>702</v>
      </c>
      <c r="F102" s="726">
        <f>SUMIFS('Schedule 4'!$F$684:$F$715,'Schedule 4'!$I$684:$I$715,'Pylon Cal.'!F$3,'Schedule 4'!$J$684:$J$715,'Pylon Cal.'!$E102)</f>
        <v>0</v>
      </c>
      <c r="G102" s="726">
        <f>SUMIFS('Schedule 4'!$F$684:$F$715,'Schedule 4'!$I$684:$I$715,'Pylon Cal.'!G$3,'Schedule 4'!$J$684:$J$715,'Pylon Cal.'!$E102)</f>
        <v>0</v>
      </c>
      <c r="H102" s="726">
        <f>SUMIFS('Schedule 4'!$F$684:$F$715,'Schedule 4'!$I$684:$I$715,'Pylon Cal.'!H$3,'Schedule 4'!$J$684:$J$715,'Pylon Cal.'!$E102)</f>
        <v>0</v>
      </c>
      <c r="I102" s="726">
        <f>SUMIFS('Schedule 4'!$F$684:$F$715,'Schedule 4'!$I$684:$I$715,'Pylon Cal.'!I$3,'Schedule 4'!$J$684:$J$715,'Pylon Cal.'!$E102)</f>
        <v>0</v>
      </c>
      <c r="J102" s="726"/>
      <c r="K102" s="1730"/>
      <c r="L102" s="1730"/>
    </row>
    <row r="103" spans="2:12" x14ac:dyDescent="0.3">
      <c r="B103" s="1725"/>
      <c r="C103" s="1728"/>
      <c r="D103" s="1722"/>
      <c r="E103" s="776"/>
      <c r="F103" s="777"/>
      <c r="G103" s="777"/>
      <c r="H103" s="777"/>
      <c r="I103" s="777"/>
      <c r="J103" s="777"/>
      <c r="K103" s="1732"/>
      <c r="L103" s="1732"/>
    </row>
    <row r="104" spans="2:12" x14ac:dyDescent="0.3">
      <c r="B104" s="1723" t="s">
        <v>3082</v>
      </c>
      <c r="C104" s="1726">
        <v>21.623999999999999</v>
      </c>
      <c r="D104" s="1720">
        <f>IFERROR(SUMIFS('Schedule 4'!$F$684:$F$715,'Schedule 4'!$K$684:$K$715,'Pylon Cal.'!$B104),0)</f>
        <v>0</v>
      </c>
      <c r="E104" s="754" t="s">
        <v>6167</v>
      </c>
      <c r="F104" s="728">
        <f>SUMIFS('Schedule 4'!$F$684:$F$715,'Schedule 4'!$I$684:$I$715,'Pylon Cal.'!F$3,'Schedule 4'!$J$684:$J$715,'Pylon Cal.'!$E104)</f>
        <v>0</v>
      </c>
      <c r="G104" s="728">
        <f>SUMIFS('Schedule 4'!$F$684:$F$715,'Schedule 4'!$I$684:$I$715,'Pylon Cal.'!G$3,'Schedule 4'!$J$684:$J$715,'Pylon Cal.'!$E104)</f>
        <v>0</v>
      </c>
      <c r="H104" s="728">
        <f>SUMIFS('Schedule 4'!$F$684:$F$715,'Schedule 4'!$I$684:$I$715,'Pylon Cal.'!H$3,'Schedule 4'!$J$684:$J$715,'Pylon Cal.'!$E104)</f>
        <v>0</v>
      </c>
      <c r="I104" s="728">
        <f>SUMIFS('Schedule 4'!$F$684:$F$715,'Schedule 4'!$I$684:$I$715,'Pylon Cal.'!I$3,'Schedule 4'!$J$684:$J$715,'Pylon Cal.'!$E104)</f>
        <v>0</v>
      </c>
      <c r="J104" s="728"/>
      <c r="K104" s="1741">
        <f>SUM(F104:J106)</f>
        <v>0</v>
      </c>
      <c r="L104" s="1741">
        <f>D104-K104</f>
        <v>0</v>
      </c>
    </row>
    <row r="105" spans="2:12" x14ac:dyDescent="0.3">
      <c r="B105" s="1724"/>
      <c r="C105" s="1727"/>
      <c r="D105" s="1721"/>
      <c r="E105" s="761" t="s">
        <v>6168</v>
      </c>
      <c r="F105" s="726">
        <f>SUMIFS('Schedule 4'!$F$684:$F$715,'Schedule 4'!$I$684:$I$715,'Pylon Cal.'!F$3,'Schedule 4'!$J$684:$J$715,'Pylon Cal.'!$E105)</f>
        <v>0</v>
      </c>
      <c r="G105" s="726">
        <f>SUMIFS('Schedule 4'!$F$684:$F$715,'Schedule 4'!$I$684:$I$715,'Pylon Cal.'!G$3,'Schedule 4'!$J$684:$J$715,'Pylon Cal.'!$E105)</f>
        <v>0</v>
      </c>
      <c r="H105" s="726">
        <f>SUMIFS('Schedule 4'!$F$684:$F$715,'Schedule 4'!$I$684:$I$715,'Pylon Cal.'!H$3,'Schedule 4'!$J$684:$J$715,'Pylon Cal.'!$E105)</f>
        <v>0</v>
      </c>
      <c r="I105" s="726">
        <f>SUMIFS('Schedule 4'!$F$684:$F$715,'Schedule 4'!$I$684:$I$715,'Pylon Cal.'!I$3,'Schedule 4'!$J$684:$J$715,'Pylon Cal.'!$E105)</f>
        <v>0</v>
      </c>
      <c r="J105" s="726"/>
      <c r="K105" s="1741"/>
      <c r="L105" s="1741"/>
    </row>
    <row r="106" spans="2:12" x14ac:dyDescent="0.3">
      <c r="B106" s="1725"/>
      <c r="C106" s="1728"/>
      <c r="D106" s="1722"/>
      <c r="E106" s="776"/>
      <c r="F106" s="777"/>
      <c r="G106" s="777"/>
      <c r="H106" s="777"/>
      <c r="I106" s="777"/>
      <c r="J106" s="777"/>
      <c r="K106" s="1741"/>
      <c r="L106" s="1741"/>
    </row>
    <row r="107" spans="2:12" ht="5.0999999999999996" customHeight="1" x14ac:dyDescent="0.3">
      <c r="B107" s="955"/>
      <c r="C107" s="1081"/>
      <c r="D107" s="959"/>
      <c r="E107" s="957"/>
      <c r="F107" s="958"/>
      <c r="G107" s="958"/>
      <c r="H107" s="958"/>
      <c r="I107" s="958"/>
      <c r="J107" s="958"/>
      <c r="K107" s="959"/>
      <c r="L107" s="960"/>
    </row>
    <row r="108" spans="2:12" x14ac:dyDescent="0.3">
      <c r="B108" s="779" t="s">
        <v>165</v>
      </c>
      <c r="C108" s="781">
        <f>SUM(C14:C106)</f>
        <v>558.62400000000014</v>
      </c>
      <c r="D108" s="781">
        <f>SUM(D14:D62,D63:D106)</f>
        <v>75.740000000000009</v>
      </c>
      <c r="E108" s="780"/>
      <c r="F108" s="781">
        <f>SUM(F14:F62,F63:F106)</f>
        <v>0</v>
      </c>
      <c r="G108" s="781">
        <f>SUM(G14:G62,G63:G106)</f>
        <v>0</v>
      </c>
      <c r="H108" s="781">
        <f>SUM(H14:H62,H63:H106)</f>
        <v>0</v>
      </c>
      <c r="I108" s="781">
        <f>SUM(I14:I62,I63:I106)</f>
        <v>0</v>
      </c>
      <c r="J108" s="781"/>
      <c r="K108" s="781">
        <f>SUM(K14:K62,K63:K106)</f>
        <v>0</v>
      </c>
      <c r="L108" s="781">
        <f>SUM(L14:L62,L63:L106)</f>
        <v>75.740000000000009</v>
      </c>
    </row>
  </sheetData>
  <autoFilter ref="B4:N4" xr:uid="{4E1CFE79-D238-4BF9-A92A-8357687BBCCE}"/>
  <mergeCells count="153">
    <mergeCell ref="L3:L4"/>
    <mergeCell ref="J3:J4"/>
    <mergeCell ref="K3:K4"/>
    <mergeCell ref="B1:L1"/>
    <mergeCell ref="B2:L2"/>
    <mergeCell ref="B3:B4"/>
    <mergeCell ref="C3:C4"/>
    <mergeCell ref="D3:D4"/>
    <mergeCell ref="E3:E4"/>
    <mergeCell ref="F3:F4"/>
    <mergeCell ref="G3:G4"/>
    <mergeCell ref="H3:H4"/>
    <mergeCell ref="I3:I4"/>
    <mergeCell ref="B5:B7"/>
    <mergeCell ref="C5:C7"/>
    <mergeCell ref="D5:D7"/>
    <mergeCell ref="K5:K7"/>
    <mergeCell ref="L5:L7"/>
    <mergeCell ref="B8:B10"/>
    <mergeCell ref="C8:C10"/>
    <mergeCell ref="D8:D10"/>
    <mergeCell ref="K8:K10"/>
    <mergeCell ref="L8:L10"/>
    <mergeCell ref="B14:B16"/>
    <mergeCell ref="C14:C16"/>
    <mergeCell ref="D14:D16"/>
    <mergeCell ref="K14:K16"/>
    <mergeCell ref="L14:L16"/>
    <mergeCell ref="B17:B20"/>
    <mergeCell ref="C17:C20"/>
    <mergeCell ref="D17:D20"/>
    <mergeCell ref="K17:K20"/>
    <mergeCell ref="L17:L20"/>
    <mergeCell ref="B21:B29"/>
    <mergeCell ref="C21:C29"/>
    <mergeCell ref="D21:D29"/>
    <mergeCell ref="K21:K29"/>
    <mergeCell ref="L21:L29"/>
    <mergeCell ref="B30:B32"/>
    <mergeCell ref="C30:C32"/>
    <mergeCell ref="D30:D32"/>
    <mergeCell ref="K30:K32"/>
    <mergeCell ref="L30:L32"/>
    <mergeCell ref="B39:B41"/>
    <mergeCell ref="C39:C41"/>
    <mergeCell ref="D39:D41"/>
    <mergeCell ref="K39:K41"/>
    <mergeCell ref="L39:L41"/>
    <mergeCell ref="B33:B35"/>
    <mergeCell ref="C33:C35"/>
    <mergeCell ref="D33:D35"/>
    <mergeCell ref="K33:K35"/>
    <mergeCell ref="L33:L35"/>
    <mergeCell ref="B36:B38"/>
    <mergeCell ref="C36:C38"/>
    <mergeCell ref="D36:D38"/>
    <mergeCell ref="K36:K38"/>
    <mergeCell ref="L36:L38"/>
    <mergeCell ref="B48:B50"/>
    <mergeCell ref="C48:C50"/>
    <mergeCell ref="D48:D50"/>
    <mergeCell ref="K48:K50"/>
    <mergeCell ref="L48:L50"/>
    <mergeCell ref="B42:B44"/>
    <mergeCell ref="C42:C44"/>
    <mergeCell ref="D42:D44"/>
    <mergeCell ref="K42:K44"/>
    <mergeCell ref="L42:L44"/>
    <mergeCell ref="B45:B47"/>
    <mergeCell ref="C45:C47"/>
    <mergeCell ref="D45:D47"/>
    <mergeCell ref="K45:K47"/>
    <mergeCell ref="L45:L47"/>
    <mergeCell ref="B51:B53"/>
    <mergeCell ref="C51:C53"/>
    <mergeCell ref="D51:D53"/>
    <mergeCell ref="K51:K53"/>
    <mergeCell ref="L51:L53"/>
    <mergeCell ref="B54:B56"/>
    <mergeCell ref="C54:C56"/>
    <mergeCell ref="D54:D56"/>
    <mergeCell ref="K54:K56"/>
    <mergeCell ref="L54:L56"/>
    <mergeCell ref="B57:B59"/>
    <mergeCell ref="C57:C59"/>
    <mergeCell ref="D57:D59"/>
    <mergeCell ref="K57:K59"/>
    <mergeCell ref="L57:L59"/>
    <mergeCell ref="B60:B62"/>
    <mergeCell ref="C60:C62"/>
    <mergeCell ref="D60:D62"/>
    <mergeCell ref="K60:K62"/>
    <mergeCell ref="L60:L62"/>
    <mergeCell ref="B63:B65"/>
    <mergeCell ref="C63:C65"/>
    <mergeCell ref="D63:D65"/>
    <mergeCell ref="K63:K65"/>
    <mergeCell ref="L63:L65"/>
    <mergeCell ref="B66:B69"/>
    <mergeCell ref="C66:C69"/>
    <mergeCell ref="D66:D69"/>
    <mergeCell ref="K66:K69"/>
    <mergeCell ref="L66:L69"/>
    <mergeCell ref="B70:B72"/>
    <mergeCell ref="C70:C72"/>
    <mergeCell ref="D70:D72"/>
    <mergeCell ref="K70:K72"/>
    <mergeCell ref="L70:L72"/>
    <mergeCell ref="B73:B77"/>
    <mergeCell ref="C73:C77"/>
    <mergeCell ref="D73:D77"/>
    <mergeCell ref="K73:K77"/>
    <mergeCell ref="L73:L77"/>
    <mergeCell ref="B78:B80"/>
    <mergeCell ref="C78:C80"/>
    <mergeCell ref="D78:D80"/>
    <mergeCell ref="K78:K80"/>
    <mergeCell ref="L78:L80"/>
    <mergeCell ref="B81:B83"/>
    <mergeCell ref="C81:C83"/>
    <mergeCell ref="D81:D83"/>
    <mergeCell ref="K81:K83"/>
    <mergeCell ref="L81:L83"/>
    <mergeCell ref="B84:B87"/>
    <mergeCell ref="C84:C87"/>
    <mergeCell ref="D84:D87"/>
    <mergeCell ref="K84:K87"/>
    <mergeCell ref="L84:L87"/>
    <mergeCell ref="B88:B93"/>
    <mergeCell ref="C88:C93"/>
    <mergeCell ref="D88:D93"/>
    <mergeCell ref="K88:K93"/>
    <mergeCell ref="L88:L93"/>
    <mergeCell ref="B94:B96"/>
    <mergeCell ref="C94:C96"/>
    <mergeCell ref="D94:D96"/>
    <mergeCell ref="K94:K96"/>
    <mergeCell ref="L94:L96"/>
    <mergeCell ref="B97:B99"/>
    <mergeCell ref="C97:C99"/>
    <mergeCell ref="D97:D99"/>
    <mergeCell ref="K97:K99"/>
    <mergeCell ref="L97:L99"/>
    <mergeCell ref="B100:B103"/>
    <mergeCell ref="C100:C103"/>
    <mergeCell ref="D100:D103"/>
    <mergeCell ref="K100:K103"/>
    <mergeCell ref="L100:L103"/>
    <mergeCell ref="B104:B106"/>
    <mergeCell ref="C104:C106"/>
    <mergeCell ref="D104:D106"/>
    <mergeCell ref="K104:K106"/>
    <mergeCell ref="L104:L106"/>
  </mergeCells>
  <phoneticPr fontId="23" type="noConversion"/>
  <conditionalFormatting sqref="L108">
    <cfRule type="cellIs" dxfId="150" priority="2" operator="notEqual">
      <formula>0</formula>
    </cfRule>
  </conditionalFormatting>
  <printOptions horizontalCentered="1"/>
  <pageMargins left="0.31496062992125984" right="0.31496062992125984" top="0.35433070866141736" bottom="0.74803149606299213" header="0.31496062992125984" footer="0.31496062992125984"/>
  <pageSetup paperSize="9" scale="50" fitToHeight="0" orientation="landscape" r:id="rId1"/>
  <rowBreaks count="1" manualBreakCount="1">
    <brk id="77" min="1" max="11" man="1"/>
  </rowBreaks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2148-9E38-4F9E-A8F6-CE2C1FA3BBED}">
  <sheetPr codeName="Sheet20"/>
  <dimension ref="A1:S210"/>
  <sheetViews>
    <sheetView view="pageBreakPreview" zoomScale="70" zoomScaleNormal="80" zoomScaleSheetLayoutView="70" workbookViewId="0">
      <pane ySplit="3" topLeftCell="A187" activePane="bottomLeft" state="frozen"/>
      <selection activeCell="B33" sqref="B33"/>
      <selection pane="bottomLeft" activeCell="N96" sqref="N96"/>
    </sheetView>
  </sheetViews>
  <sheetFormatPr defaultColWidth="8.88671875" defaultRowHeight="14.4" x14ac:dyDescent="0.3"/>
  <cols>
    <col min="1" max="1" width="3.109375" style="132" customWidth="1"/>
    <col min="2" max="2" width="15.88671875" style="132" customWidth="1"/>
    <col min="3" max="3" width="11.88671875" style="132" customWidth="1"/>
    <col min="4" max="4" width="4.88671875" style="132" customWidth="1"/>
    <col min="5" max="5" width="15.88671875" style="132" customWidth="1"/>
    <col min="6" max="6" width="11.88671875" style="132" customWidth="1"/>
    <col min="7" max="7" width="4.88671875" style="132" customWidth="1"/>
    <col min="8" max="8" width="15.88671875" style="132" customWidth="1"/>
    <col min="9" max="9" width="11.88671875" style="132" customWidth="1"/>
    <col min="10" max="10" width="4.88671875" style="132" customWidth="1"/>
    <col min="11" max="11" width="15.88671875" style="132" customWidth="1"/>
    <col min="12" max="12" width="11.88671875" style="132" customWidth="1"/>
    <col min="13" max="13" width="4.88671875" style="132" customWidth="1"/>
    <col min="14" max="14" width="15.88671875" style="132" customWidth="1"/>
    <col min="15" max="15" width="11.88671875" style="132" customWidth="1"/>
    <col min="16" max="16" width="4.88671875" style="132" customWidth="1"/>
    <col min="17" max="17" width="15.88671875" style="132" customWidth="1"/>
    <col min="18" max="18" width="11.88671875" style="132" customWidth="1"/>
    <col min="19" max="19" width="2.5546875" style="132" customWidth="1"/>
    <col min="20" max="23" width="8.88671875" style="132"/>
    <col min="24" max="24" width="8.5546875" style="132" customWidth="1"/>
    <col min="25" max="16384" width="8.88671875" style="132"/>
  </cols>
  <sheetData>
    <row r="1" spans="1:19" ht="15.6" x14ac:dyDescent="0.3">
      <c r="A1" s="882" t="s">
        <v>6169</v>
      </c>
      <c r="B1" s="618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</row>
    <row r="2" spans="1:19" x14ac:dyDescent="0.3">
      <c r="A2" s="882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  <c r="R2" s="601"/>
    </row>
    <row r="3" spans="1:19" s="58" customFormat="1" x14ac:dyDescent="0.3">
      <c r="B3" s="1755" t="s">
        <v>6170</v>
      </c>
      <c r="C3" s="1756"/>
      <c r="E3" s="1755" t="s">
        <v>6171</v>
      </c>
      <c r="F3" s="1756"/>
      <c r="H3" s="1755" t="s">
        <v>6172</v>
      </c>
      <c r="I3" s="1756"/>
      <c r="K3" s="1755" t="s">
        <v>6173</v>
      </c>
      <c r="L3" s="1756"/>
      <c r="N3" s="1755" t="s">
        <v>6174</v>
      </c>
      <c r="O3" s="1756"/>
      <c r="Q3" s="1755" t="s">
        <v>6175</v>
      </c>
      <c r="R3" s="1756"/>
    </row>
    <row r="4" spans="1:19" x14ac:dyDescent="0.3">
      <c r="B4" s="970" t="s">
        <v>5218</v>
      </c>
      <c r="C4" s="949" t="str">
        <f>IFERROR(VLOOKUP(B4,'Schedule 4'!$J$670:$K$1217,2,0),"-")</f>
        <v>-</v>
      </c>
      <c r="D4" s="425"/>
      <c r="E4" s="970" t="s">
        <v>6176</v>
      </c>
      <c r="F4" s="949" t="str">
        <f>IFERROR(VLOOKUP(E4,'Schedule 4'!$J$670:$K$1217,2,0),"-")</f>
        <v>-</v>
      </c>
      <c r="G4" s="425"/>
      <c r="H4" s="970" t="s">
        <v>6177</v>
      </c>
      <c r="I4" s="949" t="str">
        <f>IFERROR(VLOOKUP(H4,'Schedule 4'!$J$670:$K$1217,2,0),"-")</f>
        <v>-</v>
      </c>
      <c r="J4" s="425"/>
      <c r="K4" s="970" t="s">
        <v>6178</v>
      </c>
      <c r="L4" s="949" t="str">
        <f>IFERROR(VLOOKUP(K4,'Schedule 4'!$J$670:$K$1217,2,0),"-")</f>
        <v>-</v>
      </c>
      <c r="M4" s="425"/>
      <c r="N4" s="970" t="s">
        <v>5936</v>
      </c>
      <c r="O4" s="949" t="str">
        <f>IFERROR(VLOOKUP(N4,'Schedule 4'!$J$670:$K$1217,2,0),"-")</f>
        <v>-</v>
      </c>
      <c r="P4" s="425"/>
      <c r="Q4" s="970" t="s">
        <v>6179</v>
      </c>
      <c r="R4" s="949" t="str">
        <f>IFERROR(VLOOKUP(Q4,'Schedule 4'!$J$670:$K$1217,2,0),"-")</f>
        <v>-</v>
      </c>
      <c r="S4" s="425"/>
    </row>
    <row r="5" spans="1:19" x14ac:dyDescent="0.3">
      <c r="B5" s="971" t="s">
        <v>5221</v>
      </c>
      <c r="C5" s="949" t="str">
        <f>IFERROR(VLOOKUP(B5,'Schedule 4'!$J$670:$K$1217,2,0),"-")</f>
        <v>-</v>
      </c>
      <c r="D5" s="425"/>
      <c r="E5" s="971" t="s">
        <v>6180</v>
      </c>
      <c r="F5" s="949" t="str">
        <f>IFERROR(VLOOKUP(E5,'Schedule 4'!$J$670:$K$1217,2,0),"-")</f>
        <v>-</v>
      </c>
      <c r="G5" s="425"/>
      <c r="H5" s="971" t="s">
        <v>6181</v>
      </c>
      <c r="I5" s="949" t="str">
        <f>IFERROR(VLOOKUP(H5,'Schedule 4'!$J$670:$K$1217,2,0),"-")</f>
        <v>-</v>
      </c>
      <c r="J5" s="425"/>
      <c r="K5" s="971" t="s">
        <v>6182</v>
      </c>
      <c r="L5" s="949" t="str">
        <f>IFERROR(VLOOKUP(K5,'Schedule 4'!$J$670:$K$1217,2,0),"-")</f>
        <v>-</v>
      </c>
      <c r="M5" s="425"/>
      <c r="N5" s="971" t="s">
        <v>5938</v>
      </c>
      <c r="O5" s="949" t="str">
        <f>IFERROR(VLOOKUP(N5,'Schedule 4'!$J$670:$K$1217,2,0),"-")</f>
        <v>-</v>
      </c>
      <c r="P5" s="425"/>
      <c r="Q5" s="971" t="s">
        <v>6183</v>
      </c>
      <c r="R5" s="949" t="str">
        <f>IFERROR(VLOOKUP(Q5,'Schedule 4'!$J$670:$K$1217,2,0),"-")</f>
        <v>-</v>
      </c>
      <c r="S5" s="425"/>
    </row>
    <row r="6" spans="1:19" x14ac:dyDescent="0.3">
      <c r="B6" s="971" t="s">
        <v>5224</v>
      </c>
      <c r="C6" s="949" t="str">
        <f>IFERROR(VLOOKUP(B6,'Schedule 4'!$J$670:$K$1217,2,0),"-")</f>
        <v>-</v>
      </c>
      <c r="D6" s="425"/>
      <c r="E6" s="971" t="s">
        <v>6184</v>
      </c>
      <c r="F6" s="949" t="str">
        <f>IFERROR(VLOOKUP(E6,'Schedule 4'!$J$670:$K$1217,2,0),"-")</f>
        <v>-</v>
      </c>
      <c r="G6" s="425"/>
      <c r="H6" s="971" t="s">
        <v>6185</v>
      </c>
      <c r="I6" s="949" t="str">
        <f>IFERROR(VLOOKUP(H6,'Schedule 4'!$J$670:$K$1217,2,0),"-")</f>
        <v>-</v>
      </c>
      <c r="J6" s="425"/>
      <c r="K6" s="971" t="s">
        <v>6186</v>
      </c>
      <c r="L6" s="949" t="str">
        <f>IFERROR(VLOOKUP(K6,'Schedule 4'!$J$670:$K$1217,2,0),"-")</f>
        <v>-</v>
      </c>
      <c r="M6" s="425"/>
      <c r="N6" s="971" t="s">
        <v>5940</v>
      </c>
      <c r="O6" s="949" t="str">
        <f>IFERROR(VLOOKUP(N6,'Schedule 4'!$J$670:$K$1217,2,0),"-")</f>
        <v>-</v>
      </c>
      <c r="P6" s="425"/>
      <c r="Q6" s="971" t="s">
        <v>6187</v>
      </c>
      <c r="R6" s="949" t="str">
        <f>IFERROR(VLOOKUP(Q6,'Schedule 4'!$J$670:$K$1217,2,0),"-")</f>
        <v>-</v>
      </c>
      <c r="S6" s="425"/>
    </row>
    <row r="7" spans="1:19" x14ac:dyDescent="0.3">
      <c r="B7" s="971" t="s">
        <v>5226</v>
      </c>
      <c r="C7" s="949" t="str">
        <f>IFERROR(VLOOKUP(B7,'Schedule 4'!$J$670:$K$1217,2,0),"-")</f>
        <v>-</v>
      </c>
      <c r="D7" s="425"/>
      <c r="E7" s="971" t="s">
        <v>6188</v>
      </c>
      <c r="F7" s="949" t="str">
        <f>IFERROR(VLOOKUP(E7,'Schedule 4'!$J$670:$K$1217,2,0),"-")</f>
        <v>-</v>
      </c>
      <c r="G7" s="425"/>
      <c r="H7" s="971" t="s">
        <v>6189</v>
      </c>
      <c r="I7" s="949" t="str">
        <f>IFERROR(VLOOKUP(H7,'Schedule 4'!$J$670:$K$1217,2,0),"-")</f>
        <v>-</v>
      </c>
      <c r="J7" s="425"/>
      <c r="K7" s="971" t="s">
        <v>6190</v>
      </c>
      <c r="L7" s="949" t="str">
        <f>IFERROR(VLOOKUP(K7,'Schedule 4'!$J$670:$K$1217,2,0),"-")</f>
        <v>-</v>
      </c>
      <c r="M7" s="425"/>
      <c r="N7" s="971" t="s">
        <v>5942</v>
      </c>
      <c r="O7" s="949" t="str">
        <f>IFERROR(VLOOKUP(N7,'Schedule 4'!$J$670:$K$1217,2,0),"-")</f>
        <v>-</v>
      </c>
      <c r="P7" s="425"/>
      <c r="Q7" s="971" t="s">
        <v>6191</v>
      </c>
      <c r="R7" s="949" t="str">
        <f>IFERROR(VLOOKUP(Q7,'Schedule 4'!$J$670:$K$1217,2,0),"-")</f>
        <v>-</v>
      </c>
      <c r="S7" s="425"/>
    </row>
    <row r="8" spans="1:19" x14ac:dyDescent="0.3">
      <c r="B8" s="971" t="s">
        <v>5229</v>
      </c>
      <c r="C8" s="949" t="str">
        <f>IFERROR(VLOOKUP(B8,'Schedule 4'!$J$670:$K$1217,2,0),"-")</f>
        <v>-</v>
      </c>
      <c r="D8" s="425"/>
      <c r="E8" s="971" t="s">
        <v>6192</v>
      </c>
      <c r="F8" s="949" t="str">
        <f>IFERROR(VLOOKUP(E8,'Schedule 4'!$J$670:$K$1217,2,0),"-")</f>
        <v>-</v>
      </c>
      <c r="G8" s="425"/>
      <c r="H8" s="971" t="s">
        <v>6193</v>
      </c>
      <c r="I8" s="949" t="str">
        <f>IFERROR(VLOOKUP(H8,'Schedule 4'!$J$670:$K$1217,2,0),"-")</f>
        <v>-</v>
      </c>
      <c r="J8" s="425"/>
      <c r="K8" s="971" t="s">
        <v>6194</v>
      </c>
      <c r="L8" s="949" t="str">
        <f>IFERROR(VLOOKUP(K8,'Schedule 4'!$J$670:$K$1217,2,0),"-")</f>
        <v>-</v>
      </c>
      <c r="M8" s="425"/>
      <c r="N8" s="971" t="s">
        <v>587</v>
      </c>
      <c r="O8" s="949" t="str">
        <f>IFERROR(VLOOKUP(N8,'Schedule 4'!$J$670:$K$1217,2,0),"-")</f>
        <v>-</v>
      </c>
      <c r="P8" s="425"/>
      <c r="Q8" s="971" t="s">
        <v>6195</v>
      </c>
      <c r="R8" s="949" t="str">
        <f>IFERROR(VLOOKUP(Q8,'Schedule 4'!$J$670:$K$1217,2,0),"-")</f>
        <v>-</v>
      </c>
      <c r="S8" s="425"/>
    </row>
    <row r="9" spans="1:19" x14ac:dyDescent="0.3">
      <c r="B9" s="971" t="s">
        <v>5299</v>
      </c>
      <c r="C9" s="949" t="str">
        <f>IFERROR(VLOOKUP(B9,'Schedule 4'!$J$670:$K$1217,2,0),"-")</f>
        <v>-</v>
      </c>
      <c r="D9" s="425"/>
      <c r="E9" s="971" t="s">
        <v>6196</v>
      </c>
      <c r="F9" s="949" t="str">
        <f>IFERROR(VLOOKUP(E9,'Schedule 4'!$J$670:$K$1217,2,0),"-")</f>
        <v>-</v>
      </c>
      <c r="G9" s="425"/>
      <c r="H9" s="971" t="s">
        <v>6197</v>
      </c>
      <c r="I9" s="949" t="str">
        <f>IFERROR(VLOOKUP(H9,'Schedule 4'!$J$670:$K$1217,2,0),"-")</f>
        <v>-</v>
      </c>
      <c r="J9" s="425"/>
      <c r="K9" s="971" t="s">
        <v>6198</v>
      </c>
      <c r="L9" s="949" t="str">
        <f>IFERROR(VLOOKUP(K9,'Schedule 4'!$J$670:$K$1217,2,0),"-")</f>
        <v>-</v>
      </c>
      <c r="M9" s="425"/>
      <c r="N9" s="971" t="s">
        <v>612</v>
      </c>
      <c r="O9" s="949" t="str">
        <f>IFERROR(VLOOKUP(N9,'Schedule 4'!$J$670:$K$1217,2,0),"-")</f>
        <v>-</v>
      </c>
      <c r="P9" s="425"/>
      <c r="Q9" s="971" t="s">
        <v>6199</v>
      </c>
      <c r="R9" s="949" t="str">
        <f>IFERROR(VLOOKUP(Q9,'Schedule 4'!$J$670:$K$1217,2,0),"-")</f>
        <v>-</v>
      </c>
      <c r="S9" s="425"/>
    </row>
    <row r="10" spans="1:19" x14ac:dyDescent="0.3">
      <c r="B10" s="971" t="s">
        <v>5302</v>
      </c>
      <c r="C10" s="949" t="str">
        <f>IFERROR(VLOOKUP(B10,'Schedule 4'!$J$670:$K$1217,2,0),"-")</f>
        <v>-</v>
      </c>
      <c r="D10" s="425"/>
      <c r="E10" s="971" t="s">
        <v>6200</v>
      </c>
      <c r="F10" s="949" t="str">
        <f>IFERROR(VLOOKUP(E10,'Schedule 4'!$J$670:$K$1217,2,0),"-")</f>
        <v>-</v>
      </c>
      <c r="G10" s="425"/>
      <c r="H10" s="971" t="s">
        <v>6201</v>
      </c>
      <c r="I10" s="949" t="str">
        <f>IFERROR(VLOOKUP(H10,'Schedule 4'!$J$670:$K$1217,2,0),"-")</f>
        <v>-</v>
      </c>
      <c r="J10" s="425"/>
      <c r="K10" s="971" t="s">
        <v>6202</v>
      </c>
      <c r="L10" s="949" t="str">
        <f>IFERROR(VLOOKUP(K10,'Schedule 4'!$J$670:$K$1217,2,0),"-")</f>
        <v>-</v>
      </c>
      <c r="M10" s="425"/>
      <c r="N10" s="971" t="s">
        <v>660</v>
      </c>
      <c r="O10" s="949" t="str">
        <f>IFERROR(VLOOKUP(N10,'Schedule 4'!$J$670:$K$1217,2,0),"-")</f>
        <v>-</v>
      </c>
      <c r="P10" s="425"/>
      <c r="Q10" s="971" t="s">
        <v>6203</v>
      </c>
      <c r="R10" s="949" t="str">
        <f>IFERROR(VLOOKUP(Q10,'Schedule 4'!$J$670:$K$1217,2,0),"-")</f>
        <v>-</v>
      </c>
      <c r="S10" s="425"/>
    </row>
    <row r="11" spans="1:19" x14ac:dyDescent="0.3">
      <c r="B11" s="971" t="s">
        <v>5464</v>
      </c>
      <c r="C11" s="949" t="str">
        <f>IFERROR(VLOOKUP(B11,'Schedule 4'!$J$670:$K$1217,2,0),"-")</f>
        <v>-</v>
      </c>
      <c r="D11" s="425"/>
      <c r="E11" s="971" t="s">
        <v>6204</v>
      </c>
      <c r="F11" s="949" t="str">
        <f>IFERROR(VLOOKUP(E11,'Schedule 4'!$J$670:$K$1217,2,0),"-")</f>
        <v>-</v>
      </c>
      <c r="G11" s="425"/>
      <c r="H11" s="971" t="s">
        <v>6205</v>
      </c>
      <c r="I11" s="949" t="str">
        <f>IFERROR(VLOOKUP(H11,'Schedule 4'!$J$670:$K$1217,2,0),"-")</f>
        <v>-</v>
      </c>
      <c r="J11" s="425"/>
      <c r="K11" s="971" t="s">
        <v>6206</v>
      </c>
      <c r="L11" s="949" t="str">
        <f>IFERROR(VLOOKUP(K11,'Schedule 4'!$J$670:$K$1217,2,0),"-")</f>
        <v>-</v>
      </c>
      <c r="M11" s="425"/>
      <c r="N11" s="971" t="s">
        <v>5537</v>
      </c>
      <c r="O11" s="949" t="str">
        <f>IFERROR(VLOOKUP(N11,'Schedule 4'!$J$670:$K$1217,2,0),"-")</f>
        <v>-</v>
      </c>
      <c r="P11" s="425"/>
      <c r="Q11" s="971" t="s">
        <v>6207</v>
      </c>
      <c r="R11" s="949" t="str">
        <f>IFERROR(VLOOKUP(Q11,'Schedule 4'!$J$670:$K$1217,2,0),"-")</f>
        <v>-</v>
      </c>
      <c r="S11" s="425"/>
    </row>
    <row r="12" spans="1:19" x14ac:dyDescent="0.3">
      <c r="B12" s="971" t="s">
        <v>5461</v>
      </c>
      <c r="C12" s="949" t="str">
        <f>IFERROR(VLOOKUP(B12,'Schedule 4'!$J$670:$K$1217,2,0),"-")</f>
        <v>-</v>
      </c>
      <c r="D12" s="425"/>
      <c r="E12" s="971" t="s">
        <v>6208</v>
      </c>
      <c r="F12" s="949" t="str">
        <f>IFERROR(VLOOKUP(E12,'Schedule 4'!$J$670:$K$1217,2,0),"-")</f>
        <v>-</v>
      </c>
      <c r="G12" s="425"/>
      <c r="H12" s="971" t="s">
        <v>6209</v>
      </c>
      <c r="I12" s="949" t="str">
        <f>IFERROR(VLOOKUP(H12,'Schedule 4'!$J$670:$K$1217,2,0),"-")</f>
        <v>-</v>
      </c>
      <c r="J12" s="425"/>
      <c r="K12" s="971" t="s">
        <v>6210</v>
      </c>
      <c r="L12" s="949" t="str">
        <f>IFERROR(VLOOKUP(K12,'Schedule 4'!$J$670:$K$1217,2,0),"-")</f>
        <v>-</v>
      </c>
      <c r="M12" s="425"/>
      <c r="N12" s="971" t="s">
        <v>5535</v>
      </c>
      <c r="O12" s="949" t="str">
        <f>IFERROR(VLOOKUP(N12,'Schedule 4'!$J$670:$K$1217,2,0),"-")</f>
        <v>-</v>
      </c>
      <c r="P12" s="425"/>
      <c r="Q12" s="971" t="s">
        <v>6211</v>
      </c>
      <c r="R12" s="949" t="str">
        <f>IFERROR(VLOOKUP(Q12,'Schedule 4'!$J$670:$K$1217,2,0),"-")</f>
        <v>-</v>
      </c>
      <c r="S12" s="425"/>
    </row>
    <row r="13" spans="1:19" x14ac:dyDescent="0.3">
      <c r="B13" s="971" t="s">
        <v>5458</v>
      </c>
      <c r="C13" s="949" t="str">
        <f>IFERROR(VLOOKUP(B13,'Schedule 4'!$J$670:$K$1217,2,0),"-")</f>
        <v>-</v>
      </c>
      <c r="D13" s="425"/>
      <c r="E13" s="971" t="s">
        <v>6212</v>
      </c>
      <c r="F13" s="949" t="str">
        <f>IFERROR(VLOOKUP(E13,'Schedule 4'!$J$670:$K$1217,2,0),"-")</f>
        <v>-</v>
      </c>
      <c r="G13" s="425"/>
      <c r="H13" s="971" t="s">
        <v>6213</v>
      </c>
      <c r="I13" s="949" t="str">
        <f>IFERROR(VLOOKUP(H13,'Schedule 4'!$J$670:$K$1217,2,0),"-")</f>
        <v>-</v>
      </c>
      <c r="J13" s="425"/>
      <c r="K13" s="971" t="s">
        <v>6214</v>
      </c>
      <c r="L13" s="949" t="str">
        <f>IFERROR(VLOOKUP(K13,'Schedule 4'!$J$670:$K$1217,2,0),"-")</f>
        <v>-</v>
      </c>
      <c r="M13" s="425"/>
      <c r="N13" s="971" t="s">
        <v>5532</v>
      </c>
      <c r="O13" s="949" t="str">
        <f>IFERROR(VLOOKUP(N13,'Schedule 4'!$J$670:$K$1217,2,0),"-")</f>
        <v>-</v>
      </c>
      <c r="P13" s="425"/>
      <c r="Q13" s="971" t="s">
        <v>6215</v>
      </c>
      <c r="R13" s="949" t="str">
        <f>IFERROR(VLOOKUP(Q13,'Schedule 4'!$J$670:$K$1217,2,0),"-")</f>
        <v>-</v>
      </c>
      <c r="S13" s="425"/>
    </row>
    <row r="14" spans="1:19" x14ac:dyDescent="0.3">
      <c r="B14" s="971" t="s">
        <v>5455</v>
      </c>
      <c r="C14" s="949" t="str">
        <f>IFERROR(VLOOKUP(B14,'Schedule 4'!$J$670:$K$1217,2,0),"-")</f>
        <v>-</v>
      </c>
      <c r="D14" s="425"/>
      <c r="E14" s="971" t="s">
        <v>6216</v>
      </c>
      <c r="F14" s="949" t="str">
        <f>IFERROR(VLOOKUP(E14,'Schedule 4'!$J$670:$K$1217,2,0),"-")</f>
        <v>-</v>
      </c>
      <c r="G14" s="425"/>
      <c r="H14" s="971" t="s">
        <v>6217</v>
      </c>
      <c r="I14" s="949" t="str">
        <f>IFERROR(VLOOKUP(H14,'Schedule 4'!$J$670:$K$1217,2,0),"-")</f>
        <v>-</v>
      </c>
      <c r="J14" s="425"/>
      <c r="K14" s="971" t="s">
        <v>6218</v>
      </c>
      <c r="L14" s="949" t="str">
        <f>IFERROR(VLOOKUP(K14,'Schedule 4'!$J$670:$K$1217,2,0),"-")</f>
        <v>-</v>
      </c>
      <c r="M14" s="425"/>
      <c r="N14" s="971" t="s">
        <v>5393</v>
      </c>
      <c r="O14" s="949" t="str">
        <f>IFERROR(VLOOKUP(N14,'Schedule 4'!$J$670:$K$1217,2,0),"-")</f>
        <v>-</v>
      </c>
      <c r="P14" s="425"/>
      <c r="Q14" s="971" t="s">
        <v>6219</v>
      </c>
      <c r="R14" s="949" t="str">
        <f>IFERROR(VLOOKUP(Q14,'Schedule 4'!$J$670:$K$1217,2,0),"-")</f>
        <v>-</v>
      </c>
      <c r="S14" s="425"/>
    </row>
    <row r="15" spans="1:19" x14ac:dyDescent="0.3">
      <c r="B15" s="971" t="s">
        <v>5452</v>
      </c>
      <c r="C15" s="949" t="str">
        <f>IFERROR(VLOOKUP(B15,'Schedule 4'!$J$670:$K$1217,2,0),"-")</f>
        <v>-</v>
      </c>
      <c r="D15" s="425"/>
      <c r="E15" s="971" t="s">
        <v>6220</v>
      </c>
      <c r="F15" s="949" t="str">
        <f>IFERROR(VLOOKUP(E15,'Schedule 4'!$J$670:$K$1217,2,0),"-")</f>
        <v>-</v>
      </c>
      <c r="G15" s="425"/>
      <c r="H15" s="971" t="s">
        <v>6221</v>
      </c>
      <c r="I15" s="949" t="str">
        <f>IFERROR(VLOOKUP(H15,'Schedule 4'!$J$670:$K$1217,2,0),"-")</f>
        <v>-</v>
      </c>
      <c r="J15" s="425"/>
      <c r="K15" s="971" t="s">
        <v>6222</v>
      </c>
      <c r="L15" s="949" t="str">
        <f>IFERROR(VLOOKUP(K15,'Schedule 4'!$J$670:$K$1217,2,0),"-")</f>
        <v>-</v>
      </c>
      <c r="M15" s="425"/>
      <c r="N15" s="971" t="s">
        <v>5391</v>
      </c>
      <c r="O15" s="949" t="str">
        <f>IFERROR(VLOOKUP(N15,'Schedule 4'!$J$670:$K$1217,2,0),"-")</f>
        <v>-</v>
      </c>
      <c r="P15" s="425"/>
      <c r="Q15" s="971" t="s">
        <v>6223</v>
      </c>
      <c r="R15" s="949" t="str">
        <f>IFERROR(VLOOKUP(Q15,'Schedule 4'!$J$670:$K$1217,2,0),"-")</f>
        <v>-</v>
      </c>
      <c r="S15" s="425"/>
    </row>
    <row r="16" spans="1:19" x14ac:dyDescent="0.3">
      <c r="B16" s="971" t="s">
        <v>5319</v>
      </c>
      <c r="C16" s="949" t="str">
        <f>IFERROR(VLOOKUP(B16,'Schedule 4'!$J$670:$K$1217,2,0),"-")</f>
        <v>-</v>
      </c>
      <c r="D16" s="425"/>
      <c r="E16" s="971" t="s">
        <v>6224</v>
      </c>
      <c r="F16" s="949" t="str">
        <f>IFERROR(VLOOKUP(E16,'Schedule 4'!$J$670:$K$1217,2,0),"-")</f>
        <v>-</v>
      </c>
      <c r="G16" s="425"/>
      <c r="H16" s="971" t="s">
        <v>6225</v>
      </c>
      <c r="I16" s="949" t="str">
        <f>IFERROR(VLOOKUP(H16,'Schedule 4'!$J$670:$K$1217,2,0),"-")</f>
        <v>-</v>
      </c>
      <c r="J16" s="425"/>
      <c r="K16" s="971" t="s">
        <v>6226</v>
      </c>
      <c r="L16" s="949" t="str">
        <f>IFERROR(VLOOKUP(K16,'Schedule 4'!$J$670:$K$1217,2,0),"-")</f>
        <v>-</v>
      </c>
      <c r="M16" s="425"/>
      <c r="N16" s="971" t="s">
        <v>5388</v>
      </c>
      <c r="O16" s="949" t="str">
        <f>IFERROR(VLOOKUP(N16,'Schedule 4'!$J$670:$K$1217,2,0),"-")</f>
        <v>-</v>
      </c>
      <c r="P16" s="425"/>
      <c r="Q16" s="971" t="s">
        <v>6227</v>
      </c>
      <c r="R16" s="949" t="str">
        <f>IFERROR(VLOOKUP(Q16,'Schedule 4'!$J$670:$K$1217,2,0),"-")</f>
        <v>-</v>
      </c>
      <c r="S16" s="425"/>
    </row>
    <row r="17" spans="2:19" x14ac:dyDescent="0.3">
      <c r="B17" s="971" t="s">
        <v>5316</v>
      </c>
      <c r="C17" s="949" t="str">
        <f>IFERROR(VLOOKUP(B17,'Schedule 4'!$J$670:$K$1217,2,0),"-")</f>
        <v>-</v>
      </c>
      <c r="D17" s="425"/>
      <c r="E17" s="971" t="s">
        <v>6228</v>
      </c>
      <c r="F17" s="949" t="str">
        <f>IFERROR(VLOOKUP(E17,'Schedule 4'!$J$670:$K$1217,2,0),"-")</f>
        <v>-</v>
      </c>
      <c r="G17" s="425"/>
      <c r="H17" s="971" t="s">
        <v>6229</v>
      </c>
      <c r="I17" s="949" t="str">
        <f>IFERROR(VLOOKUP(H17,'Schedule 4'!$J$670:$K$1217,2,0),"-")</f>
        <v>-</v>
      </c>
      <c r="J17" s="425"/>
      <c r="K17" s="971" t="s">
        <v>6230</v>
      </c>
      <c r="L17" s="949" t="str">
        <f>IFERROR(VLOOKUP(K17,'Schedule 4'!$J$670:$K$1217,2,0),"-")</f>
        <v>-</v>
      </c>
      <c r="M17" s="425"/>
      <c r="N17" s="971" t="s">
        <v>5385</v>
      </c>
      <c r="O17" s="949" t="str">
        <f>IFERROR(VLOOKUP(N17,'Schedule 4'!$J$670:$K$1217,2,0),"-")</f>
        <v>-</v>
      </c>
      <c r="P17" s="425"/>
      <c r="Q17" s="971" t="s">
        <v>6231</v>
      </c>
      <c r="R17" s="949" t="str">
        <f>IFERROR(VLOOKUP(Q17,'Schedule 4'!$J$670:$K$1217,2,0),"-")</f>
        <v>-</v>
      </c>
      <c r="S17" s="425"/>
    </row>
    <row r="18" spans="2:19" ht="13.65" customHeight="1" x14ac:dyDescent="0.3">
      <c r="B18" s="971" t="s">
        <v>5313</v>
      </c>
      <c r="C18" s="949" t="str">
        <f>IFERROR(VLOOKUP(B18,'Schedule 4'!$J$670:$K$1217,2,0),"-")</f>
        <v>-</v>
      </c>
      <c r="D18" s="425"/>
      <c r="E18" s="971" t="s">
        <v>6232</v>
      </c>
      <c r="F18" s="949" t="str">
        <f>IFERROR(VLOOKUP(E18,'Schedule 4'!$J$670:$K$1217,2,0),"-")</f>
        <v>-</v>
      </c>
      <c r="G18" s="425"/>
      <c r="H18" s="971" t="s">
        <v>6233</v>
      </c>
      <c r="I18" s="949" t="str">
        <f>IFERROR(VLOOKUP(H18,'Schedule 4'!$J$670:$K$1217,2,0),"-")</f>
        <v>-</v>
      </c>
      <c r="J18" s="425"/>
      <c r="K18" s="971" t="s">
        <v>6234</v>
      </c>
      <c r="L18" s="949" t="str">
        <f>IFERROR(VLOOKUP(K18,'Schedule 4'!$J$670:$K$1217,2,0),"-")</f>
        <v>-</v>
      </c>
      <c r="M18" s="425"/>
      <c r="N18" s="971" t="s">
        <v>5382</v>
      </c>
      <c r="O18" s="949" t="str">
        <f>IFERROR(VLOOKUP(N18,'Schedule 4'!$J$670:$K$1217,2,0),"-")</f>
        <v>-</v>
      </c>
      <c r="P18" s="425"/>
      <c r="Q18" s="971" t="s">
        <v>6235</v>
      </c>
      <c r="R18" s="949" t="str">
        <f>IFERROR(VLOOKUP(Q18,'Schedule 4'!$J$670:$K$1217,2,0),"-")</f>
        <v>-</v>
      </c>
      <c r="S18" s="425"/>
    </row>
    <row r="19" spans="2:19" x14ac:dyDescent="0.3">
      <c r="B19" s="971" t="s">
        <v>5310</v>
      </c>
      <c r="C19" s="949" t="str">
        <f>IFERROR(VLOOKUP(B19,'Schedule 4'!$J$670:$K$1217,2,0),"-")</f>
        <v>-</v>
      </c>
      <c r="D19" s="425"/>
      <c r="E19" s="971" t="s">
        <v>6236</v>
      </c>
      <c r="F19" s="949" t="str">
        <f>IFERROR(VLOOKUP(E19,'Schedule 4'!$J$670:$K$1217,2,0),"-")</f>
        <v>-</v>
      </c>
      <c r="G19" s="425"/>
      <c r="H19" s="971" t="s">
        <v>6237</v>
      </c>
      <c r="I19" s="949" t="str">
        <f>IFERROR(VLOOKUP(H19,'Schedule 4'!$J$670:$K$1217,2,0),"-")</f>
        <v>-</v>
      </c>
      <c r="J19" s="425"/>
      <c r="K19" s="971" t="s">
        <v>6238</v>
      </c>
      <c r="L19" s="949" t="str">
        <f>IFERROR(VLOOKUP(K19,'Schedule 4'!$J$670:$K$1217,2,0),"-")</f>
        <v>-</v>
      </c>
      <c r="M19" s="425"/>
      <c r="N19" s="971" t="s">
        <v>5380</v>
      </c>
      <c r="O19" s="949" t="str">
        <f>IFERROR(VLOOKUP(N19,'Schedule 4'!$J$670:$K$1217,2,0),"-")</f>
        <v>-</v>
      </c>
      <c r="P19" s="425"/>
      <c r="Q19" s="971" t="s">
        <v>6239</v>
      </c>
      <c r="R19" s="949" t="str">
        <f>IFERROR(VLOOKUP(Q19,'Schedule 4'!$J$670:$K$1217,2,0),"-")</f>
        <v>-</v>
      </c>
      <c r="S19" s="425"/>
    </row>
    <row r="20" spans="2:19" x14ac:dyDescent="0.3">
      <c r="B20" s="971" t="s">
        <v>5307</v>
      </c>
      <c r="C20" s="949" t="str">
        <f>IFERROR(VLOOKUP(B20,'Schedule 4'!$J$670:$K$1217,2,0),"-")</f>
        <v>-</v>
      </c>
      <c r="D20" s="425"/>
      <c r="E20" s="971" t="s">
        <v>6240</v>
      </c>
      <c r="F20" s="949" t="str">
        <f>IFERROR(VLOOKUP(E20,'Schedule 4'!$J$670:$K$1217,2,0),"-")</f>
        <v>-</v>
      </c>
      <c r="G20" s="425"/>
      <c r="H20" s="971" t="s">
        <v>6241</v>
      </c>
      <c r="I20" s="949" t="str">
        <f>IFERROR(VLOOKUP(H20,'Schedule 4'!$J$670:$K$1217,2,0),"-")</f>
        <v>-</v>
      </c>
      <c r="J20" s="425"/>
      <c r="K20" s="971" t="s">
        <v>6242</v>
      </c>
      <c r="L20" s="949" t="str">
        <f>IFERROR(VLOOKUP(K20,'Schedule 4'!$J$670:$K$1217,2,0),"-")</f>
        <v>-</v>
      </c>
      <c r="M20" s="425"/>
      <c r="N20" s="971" t="s">
        <v>5377</v>
      </c>
      <c r="O20" s="949" t="str">
        <f>IFERROR(VLOOKUP(N20,'Schedule 4'!$J$670:$K$1217,2,0),"-")</f>
        <v>-</v>
      </c>
      <c r="P20" s="425"/>
      <c r="Q20" s="971" t="s">
        <v>6243</v>
      </c>
      <c r="R20" s="949" t="str">
        <f>IFERROR(VLOOKUP(Q20,'Schedule 4'!$J$670:$K$1217,2,0),"-")</f>
        <v>-</v>
      </c>
      <c r="S20" s="425"/>
    </row>
    <row r="21" spans="2:19" x14ac:dyDescent="0.3">
      <c r="B21" s="971" t="s">
        <v>5304</v>
      </c>
      <c r="C21" s="949" t="str">
        <f>IFERROR(VLOOKUP(B21,'Schedule 4'!$J$670:$K$1217,2,0),"-")</f>
        <v>-</v>
      </c>
      <c r="D21" s="425"/>
      <c r="E21" s="971" t="s">
        <v>6244</v>
      </c>
      <c r="F21" s="949" t="str">
        <f>IFERROR(VLOOKUP(E21,'Schedule 4'!$J$670:$K$1217,2,0),"-")</f>
        <v>-</v>
      </c>
      <c r="G21" s="425"/>
      <c r="H21" s="971" t="s">
        <v>6245</v>
      </c>
      <c r="I21" s="949" t="str">
        <f>IFERROR(VLOOKUP(H21,'Schedule 4'!$J$670:$K$1217,2,0),"-")</f>
        <v>-</v>
      </c>
      <c r="J21" s="425"/>
      <c r="K21" s="971" t="s">
        <v>6246</v>
      </c>
      <c r="L21" s="949" t="str">
        <f>IFERROR(VLOOKUP(K21,'Schedule 4'!$J$670:$K$1217,2,0),"-")</f>
        <v>-</v>
      </c>
      <c r="M21" s="425"/>
      <c r="N21" s="971" t="s">
        <v>5374</v>
      </c>
      <c r="O21" s="949" t="str">
        <f>IFERROR(VLOOKUP(N21,'Schedule 4'!$J$670:$K$1217,2,0),"-")</f>
        <v>-</v>
      </c>
      <c r="P21" s="425"/>
      <c r="Q21" s="971" t="s">
        <v>6247</v>
      </c>
      <c r="R21" s="949" t="str">
        <f>IFERROR(VLOOKUP(Q21,'Schedule 4'!$J$670:$K$1217,2,0),"-")</f>
        <v>-</v>
      </c>
      <c r="S21" s="425"/>
    </row>
    <row r="22" spans="2:19" x14ac:dyDescent="0.3">
      <c r="B22" s="971" t="s">
        <v>5232</v>
      </c>
      <c r="C22" s="949" t="str">
        <f>IFERROR(VLOOKUP(B22,'Schedule 4'!$J$670:$K$1217,2,0),"-")</f>
        <v>-</v>
      </c>
      <c r="D22" s="425"/>
      <c r="E22" s="971" t="s">
        <v>6248</v>
      </c>
      <c r="F22" s="949" t="str">
        <f>IFERROR(VLOOKUP(E22,'Schedule 4'!$J$670:$K$1217,2,0),"-")</f>
        <v>-</v>
      </c>
      <c r="G22" s="425"/>
      <c r="H22" s="971" t="s">
        <v>6249</v>
      </c>
      <c r="I22" s="949" t="str">
        <f>IFERROR(VLOOKUP(H22,'Schedule 4'!$J$670:$K$1217,2,0),"-")</f>
        <v>-</v>
      </c>
      <c r="J22" s="425"/>
      <c r="K22" s="971" t="s">
        <v>6250</v>
      </c>
      <c r="L22" s="949" t="str">
        <f>IFERROR(VLOOKUP(K22,'Schedule 4'!$J$670:$K$1217,2,0),"-")</f>
        <v>-</v>
      </c>
      <c r="M22" s="425"/>
      <c r="N22" s="971" t="s">
        <v>5167</v>
      </c>
      <c r="O22" s="949" t="str">
        <f>IFERROR(VLOOKUP(N22,'Schedule 4'!$J$670:$K$1217,2,0),"-")</f>
        <v>-</v>
      </c>
      <c r="P22" s="425"/>
      <c r="Q22" s="971" t="s">
        <v>6251</v>
      </c>
      <c r="R22" s="949" t="str">
        <f>IFERROR(VLOOKUP(Q22,'Schedule 4'!$J$670:$K$1217,2,0),"-")</f>
        <v>-</v>
      </c>
      <c r="S22" s="425"/>
    </row>
    <row r="23" spans="2:19" x14ac:dyDescent="0.3">
      <c r="B23" s="971" t="s">
        <v>5235</v>
      </c>
      <c r="C23" s="949" t="str">
        <f>IFERROR(VLOOKUP(B23,'Schedule 4'!$J$670:$K$1217,2,0),"-")</f>
        <v>-</v>
      </c>
      <c r="D23" s="425"/>
      <c r="E23" s="971" t="s">
        <v>6252</v>
      </c>
      <c r="F23" s="949" t="str">
        <f>IFERROR(VLOOKUP(E23,'Schedule 4'!$J$670:$K$1217,2,0),"-")</f>
        <v>-</v>
      </c>
      <c r="G23" s="425"/>
      <c r="H23" s="971" t="s">
        <v>6253</v>
      </c>
      <c r="I23" s="949" t="str">
        <f>IFERROR(VLOOKUP(H23,'Schedule 4'!$J$670:$K$1217,2,0),"-")</f>
        <v>-</v>
      </c>
      <c r="J23" s="425"/>
      <c r="K23" s="971" t="s">
        <v>6254</v>
      </c>
      <c r="L23" s="949" t="str">
        <f>IFERROR(VLOOKUP(K23,'Schedule 4'!$J$670:$K$1217,2,0),"-")</f>
        <v>-</v>
      </c>
      <c r="M23" s="425"/>
      <c r="N23" s="971" t="s">
        <v>5165</v>
      </c>
      <c r="O23" s="949" t="str">
        <f>IFERROR(VLOOKUP(N23,'Schedule 4'!$J$670:$K$1217,2,0),"-")</f>
        <v>-</v>
      </c>
      <c r="P23" s="425"/>
      <c r="Q23" s="971" t="s">
        <v>6255</v>
      </c>
      <c r="R23" s="949" t="str">
        <f>IFERROR(VLOOKUP(Q23,'Schedule 4'!$J$670:$K$1217,2,0),"-")</f>
        <v>-</v>
      </c>
      <c r="S23" s="425"/>
    </row>
    <row r="24" spans="2:19" x14ac:dyDescent="0.3">
      <c r="B24" s="971" t="s">
        <v>5237</v>
      </c>
      <c r="C24" s="949" t="str">
        <f>IFERROR(VLOOKUP(B24,'Schedule 4'!$J$670:$K$1217,2,0),"-")</f>
        <v>-</v>
      </c>
      <c r="D24" s="425"/>
      <c r="E24" s="971" t="s">
        <v>6256</v>
      </c>
      <c r="F24" s="949" t="str">
        <f>IFERROR(VLOOKUP(E24,'Schedule 4'!$J$670:$K$1217,2,0),"-")</f>
        <v>-</v>
      </c>
      <c r="G24" s="425"/>
      <c r="H24" s="971" t="s">
        <v>6257</v>
      </c>
      <c r="I24" s="949" t="str">
        <f>IFERROR(VLOOKUP(H24,'Schedule 4'!$J$670:$K$1217,2,0),"-")</f>
        <v>-</v>
      </c>
      <c r="J24" s="425"/>
      <c r="K24" s="971" t="s">
        <v>6258</v>
      </c>
      <c r="L24" s="949" t="str">
        <f>IFERROR(VLOOKUP(K24,'Schedule 4'!$J$670:$K$1217,2,0),"-")</f>
        <v>-</v>
      </c>
      <c r="M24" s="425"/>
      <c r="N24" s="971" t="s">
        <v>4974</v>
      </c>
      <c r="O24" s="949" t="str">
        <f>IFERROR(VLOOKUP(N24,'Schedule 4'!$J$670:$K$1217,2,0),"-")</f>
        <v>-</v>
      </c>
      <c r="P24" s="425"/>
      <c r="Q24" s="971" t="s">
        <v>6259</v>
      </c>
      <c r="R24" s="949" t="str">
        <f>IFERROR(VLOOKUP(Q24,'Schedule 4'!$J$670:$K$1217,2,0),"-")</f>
        <v>-</v>
      </c>
      <c r="S24" s="425"/>
    </row>
    <row r="25" spans="2:19" x14ac:dyDescent="0.3">
      <c r="B25" s="971" t="s">
        <v>5239</v>
      </c>
      <c r="C25" s="949" t="str">
        <f>IFERROR(VLOOKUP(B25,'Schedule 4'!$J$670:$K$1217,2,0),"-")</f>
        <v>-</v>
      </c>
      <c r="D25" s="425"/>
      <c r="E25" s="971" t="s">
        <v>6260</v>
      </c>
      <c r="F25" s="949" t="str">
        <f>IFERROR(VLOOKUP(E25,'Schedule 4'!$J$670:$K$1217,2,0),"-")</f>
        <v>-</v>
      </c>
      <c r="G25" s="425"/>
      <c r="H25" s="971" t="s">
        <v>6261</v>
      </c>
      <c r="I25" s="949" t="str">
        <f>IFERROR(VLOOKUP(H25,'Schedule 4'!$J$670:$K$1217,2,0),"-")</f>
        <v>-</v>
      </c>
      <c r="J25" s="425"/>
      <c r="K25" s="971" t="s">
        <v>6262</v>
      </c>
      <c r="L25" s="949" t="str">
        <f>IFERROR(VLOOKUP(K25,'Schedule 4'!$J$670:$K$1217,2,0),"-")</f>
        <v>-</v>
      </c>
      <c r="M25" s="425"/>
      <c r="N25" s="971" t="s">
        <v>4971</v>
      </c>
      <c r="O25" s="949" t="str">
        <f>IFERROR(VLOOKUP(N25,'Schedule 4'!$J$670:$K$1217,2,0),"-")</f>
        <v>-</v>
      </c>
      <c r="P25" s="425"/>
      <c r="Q25" s="971" t="s">
        <v>6263</v>
      </c>
      <c r="R25" s="949" t="str">
        <f>IFERROR(VLOOKUP(Q25,'Schedule 4'!$J$670:$K$1217,2,0),"-")</f>
        <v>-</v>
      </c>
      <c r="S25" s="425"/>
    </row>
    <row r="26" spans="2:19" x14ac:dyDescent="0.3">
      <c r="B26" s="971" t="s">
        <v>5241</v>
      </c>
      <c r="C26" s="949" t="str">
        <f>IFERROR(VLOOKUP(B26,'Schedule 4'!$J$670:$K$1217,2,0),"-")</f>
        <v>-</v>
      </c>
      <c r="D26" s="425"/>
      <c r="E26" s="971" t="s">
        <v>6264</v>
      </c>
      <c r="F26" s="949" t="str">
        <f>IFERROR(VLOOKUP(E26,'Schedule 4'!$J$670:$K$1217,2,0),"-")</f>
        <v>-</v>
      </c>
      <c r="G26" s="425"/>
      <c r="H26" s="971" t="s">
        <v>6265</v>
      </c>
      <c r="I26" s="949" t="str">
        <f>IFERROR(VLOOKUP(H26,'Schedule 4'!$J$670:$K$1217,2,0),"-")</f>
        <v>-</v>
      </c>
      <c r="J26" s="425"/>
      <c r="K26" s="971" t="s">
        <v>6266</v>
      </c>
      <c r="L26" s="949" t="str">
        <f>IFERROR(VLOOKUP(K26,'Schedule 4'!$J$670:$K$1217,2,0),"-")</f>
        <v>-</v>
      </c>
      <c r="M26" s="425"/>
      <c r="N26" s="971" t="s">
        <v>4968</v>
      </c>
      <c r="O26" s="949" t="str">
        <f>IFERROR(VLOOKUP(N26,'Schedule 4'!$J$670:$K$1217,2,0),"-")</f>
        <v>-</v>
      </c>
      <c r="P26" s="425"/>
      <c r="Q26" s="971" t="s">
        <v>6267</v>
      </c>
      <c r="R26" s="949" t="str">
        <f>IFERROR(VLOOKUP(Q26,'Schedule 4'!$J$670:$K$1217,2,0),"-")</f>
        <v>-</v>
      </c>
      <c r="S26" s="425"/>
    </row>
    <row r="27" spans="2:19" x14ac:dyDescent="0.3">
      <c r="B27" s="971" t="s">
        <v>5156</v>
      </c>
      <c r="C27" s="949" t="str">
        <f>IFERROR(VLOOKUP(B27,'Schedule 4'!$J$670:$K$1217,2,0),"-")</f>
        <v>-</v>
      </c>
      <c r="D27" s="425"/>
      <c r="E27" s="971" t="s">
        <v>6268</v>
      </c>
      <c r="F27" s="949" t="str">
        <f>IFERROR(VLOOKUP(E27,'Schedule 4'!$J$670:$K$1217,2,0),"-")</f>
        <v>-</v>
      </c>
      <c r="G27" s="425"/>
      <c r="H27" s="971" t="s">
        <v>6269</v>
      </c>
      <c r="I27" s="949" t="str">
        <f>IFERROR(VLOOKUP(H27,'Schedule 4'!$J$670:$K$1217,2,0),"-")</f>
        <v>-</v>
      </c>
      <c r="J27" s="425"/>
      <c r="K27" s="971" t="s">
        <v>6270</v>
      </c>
      <c r="L27" s="949" t="str">
        <f>IFERROR(VLOOKUP(K27,'Schedule 4'!$J$670:$K$1217,2,0),"-")</f>
        <v>-</v>
      </c>
      <c r="M27" s="425"/>
      <c r="N27" s="971" t="s">
        <v>4965</v>
      </c>
      <c r="O27" s="949" t="str">
        <f>IFERROR(VLOOKUP(N27,'Schedule 4'!$J$670:$K$1217,2,0),"-")</f>
        <v>-</v>
      </c>
      <c r="P27" s="425"/>
      <c r="Q27" s="971" t="s">
        <v>6271</v>
      </c>
      <c r="R27" s="949" t="str">
        <f>IFERROR(VLOOKUP(Q27,'Schedule 4'!$J$670:$K$1217,2,0),"-")</f>
        <v>-</v>
      </c>
      <c r="S27" s="425"/>
    </row>
    <row r="28" spans="2:19" x14ac:dyDescent="0.3">
      <c r="B28" s="971" t="s">
        <v>5154</v>
      </c>
      <c r="C28" s="949" t="str">
        <f>IFERROR(VLOOKUP(B28,'Schedule 4'!$J$670:$K$1217,2,0),"-")</f>
        <v>-</v>
      </c>
      <c r="D28" s="425"/>
      <c r="E28" s="971" t="s">
        <v>6272</v>
      </c>
      <c r="F28" s="949" t="str">
        <f>IFERROR(VLOOKUP(E28,'Schedule 4'!$J$670:$K$1217,2,0),"-")</f>
        <v>-</v>
      </c>
      <c r="G28" s="425"/>
      <c r="H28" s="971" t="s">
        <v>6273</v>
      </c>
      <c r="I28" s="949" t="str">
        <f>IFERROR(VLOOKUP(H28,'Schedule 4'!$J$670:$K$1217,2,0),"-")</f>
        <v>-</v>
      </c>
      <c r="J28" s="425"/>
      <c r="K28" s="971" t="s">
        <v>6274</v>
      </c>
      <c r="L28" s="949" t="str">
        <f>IFERROR(VLOOKUP(K28,'Schedule 4'!$J$670:$K$1217,2,0),"-")</f>
        <v>-</v>
      </c>
      <c r="M28" s="425"/>
      <c r="N28" s="971" t="s">
        <v>4962</v>
      </c>
      <c r="O28" s="949" t="str">
        <f>IFERROR(VLOOKUP(N28,'Schedule 4'!$J$670:$K$1217,2,0),"-")</f>
        <v>-</v>
      </c>
      <c r="P28" s="425"/>
      <c r="Q28" s="971" t="s">
        <v>6275</v>
      </c>
      <c r="R28" s="949" t="str">
        <f>IFERROR(VLOOKUP(Q28,'Schedule 4'!$J$670:$K$1217,2,0),"-")</f>
        <v>-</v>
      </c>
      <c r="S28" s="425"/>
    </row>
    <row r="29" spans="2:19" x14ac:dyDescent="0.3">
      <c r="B29" s="971" t="s">
        <v>5151</v>
      </c>
      <c r="C29" s="949" t="str">
        <f>IFERROR(VLOOKUP(B29,'Schedule 4'!$J$670:$K$1217,2,0),"-")</f>
        <v>-</v>
      </c>
      <c r="D29" s="425"/>
      <c r="E29" s="971" t="s">
        <v>6276</v>
      </c>
      <c r="F29" s="949" t="str">
        <f>IFERROR(VLOOKUP(E29,'Schedule 4'!$J$670:$K$1217,2,0),"-")</f>
        <v>-</v>
      </c>
      <c r="G29" s="425"/>
      <c r="H29" s="971" t="s">
        <v>6277</v>
      </c>
      <c r="I29" s="949" t="str">
        <f>IFERROR(VLOOKUP(H29,'Schedule 4'!$J$670:$K$1217,2,0),"-")</f>
        <v>-</v>
      </c>
      <c r="J29" s="425"/>
      <c r="K29" s="971" t="s">
        <v>6278</v>
      </c>
      <c r="L29" s="949" t="str">
        <f>IFERROR(VLOOKUP(K29,'Schedule 4'!$J$670:$K$1217,2,0),"-")</f>
        <v>-</v>
      </c>
      <c r="M29" s="425"/>
      <c r="N29" s="971" t="s">
        <v>4944</v>
      </c>
      <c r="O29" s="949" t="str">
        <f>IFERROR(VLOOKUP(N29,'Schedule 4'!$J$670:$K$1217,2,0),"-")</f>
        <v>-</v>
      </c>
      <c r="P29" s="425"/>
      <c r="Q29" s="971" t="s">
        <v>6279</v>
      </c>
      <c r="R29" s="949" t="str">
        <f>IFERROR(VLOOKUP(Q29,'Schedule 4'!$J$670:$K$1217,2,0),"-")</f>
        <v>-</v>
      </c>
      <c r="S29" s="425"/>
    </row>
    <row r="30" spans="2:19" x14ac:dyDescent="0.3">
      <c r="B30" s="971" t="s">
        <v>5149</v>
      </c>
      <c r="C30" s="949" t="str">
        <f>IFERROR(VLOOKUP(B30,'Schedule 4'!$J$670:$K$1217,2,0),"-")</f>
        <v>-</v>
      </c>
      <c r="D30" s="425"/>
      <c r="E30" s="971" t="s">
        <v>6280</v>
      </c>
      <c r="F30" s="949" t="str">
        <f>IFERROR(VLOOKUP(E30,'Schedule 4'!$J$670:$K$1217,2,0),"-")</f>
        <v>-</v>
      </c>
      <c r="G30" s="425"/>
      <c r="H30" s="971" t="s">
        <v>6281</v>
      </c>
      <c r="I30" s="949" t="str">
        <f>IFERROR(VLOOKUP(H30,'Schedule 4'!$J$670:$K$1217,2,0),"-")</f>
        <v>-</v>
      </c>
      <c r="J30" s="425"/>
      <c r="K30" s="971" t="s">
        <v>6282</v>
      </c>
      <c r="L30" s="949" t="str">
        <f>IFERROR(VLOOKUP(K30,'Schedule 4'!$J$670:$K$1217,2,0),"-")</f>
        <v>-</v>
      </c>
      <c r="M30" s="425"/>
      <c r="N30" s="971" t="s">
        <v>4942</v>
      </c>
      <c r="O30" s="949" t="str">
        <f>IFERROR(VLOOKUP(N30,'Schedule 4'!$J$670:$K$1217,2,0),"-")</f>
        <v>-</v>
      </c>
      <c r="P30" s="425"/>
      <c r="Q30" s="971" t="s">
        <v>6283</v>
      </c>
      <c r="R30" s="949" t="str">
        <f>IFERROR(VLOOKUP(Q30,'Schedule 4'!$J$670:$K$1217,2,0),"-")</f>
        <v>-</v>
      </c>
      <c r="S30" s="425"/>
    </row>
    <row r="31" spans="2:19" x14ac:dyDescent="0.3">
      <c r="B31" s="971" t="s">
        <v>5146</v>
      </c>
      <c r="C31" s="949" t="str">
        <f>IFERROR(VLOOKUP(B31,'Schedule 4'!$J$670:$K$1217,2,0),"-")</f>
        <v>-</v>
      </c>
      <c r="D31" s="425"/>
      <c r="E31" s="971" t="s">
        <v>6284</v>
      </c>
      <c r="F31" s="949" t="str">
        <f>IFERROR(VLOOKUP(E31,'Schedule 4'!$J$670:$K$1217,2,0),"-")</f>
        <v>-</v>
      </c>
      <c r="G31" s="425"/>
      <c r="H31" s="971" t="s">
        <v>6285</v>
      </c>
      <c r="I31" s="949" t="str">
        <f>IFERROR(VLOOKUP(H31,'Schedule 4'!$J$670:$K$1217,2,0),"-")</f>
        <v>-</v>
      </c>
      <c r="J31" s="425"/>
      <c r="K31" s="971" t="s">
        <v>6286</v>
      </c>
      <c r="L31" s="949" t="str">
        <f>IFERROR(VLOOKUP(K31,'Schedule 4'!$J$670:$K$1217,2,0),"-")</f>
        <v>-</v>
      </c>
      <c r="M31" s="425"/>
      <c r="N31" s="971" t="s">
        <v>4939</v>
      </c>
      <c r="O31" s="949" t="str">
        <f>IFERROR(VLOOKUP(N31,'Schedule 4'!$J$670:$K$1217,2,0),"-")</f>
        <v>-</v>
      </c>
      <c r="P31" s="425"/>
      <c r="Q31" s="971" t="s">
        <v>6287</v>
      </c>
      <c r="R31" s="949" t="str">
        <f>IFERROR(VLOOKUP(Q31,'Schedule 4'!$J$670:$K$1217,2,0),"-")</f>
        <v>-</v>
      </c>
      <c r="S31" s="425"/>
    </row>
    <row r="32" spans="2:19" x14ac:dyDescent="0.3">
      <c r="B32" s="971" t="s">
        <v>5144</v>
      </c>
      <c r="C32" s="949" t="str">
        <f>IFERROR(VLOOKUP(B32,'Schedule 4'!$J$670:$K$1217,2,0),"-")</f>
        <v>-</v>
      </c>
      <c r="D32" s="425"/>
      <c r="E32" s="971" t="s">
        <v>6288</v>
      </c>
      <c r="F32" s="949" t="str">
        <f>IFERROR(VLOOKUP(E32,'Schedule 4'!$J$670:$K$1217,2,0),"-")</f>
        <v>-</v>
      </c>
      <c r="G32" s="425"/>
      <c r="H32" s="971" t="s">
        <v>6289</v>
      </c>
      <c r="I32" s="949" t="str">
        <f>IFERROR(VLOOKUP(H32,'Schedule 4'!$J$670:$K$1217,2,0),"-")</f>
        <v>-</v>
      </c>
      <c r="J32" s="425"/>
      <c r="K32" s="971" t="s">
        <v>6290</v>
      </c>
      <c r="L32" s="949" t="str">
        <f>IFERROR(VLOOKUP(K32,'Schedule 4'!$J$670:$K$1217,2,0),"-")</f>
        <v>-</v>
      </c>
      <c r="M32" s="425"/>
      <c r="N32" s="971" t="s">
        <v>4937</v>
      </c>
      <c r="O32" s="949" t="str">
        <f>IFERROR(VLOOKUP(N32,'Schedule 4'!$J$670:$K$1217,2,0),"-")</f>
        <v>-</v>
      </c>
      <c r="P32" s="425"/>
      <c r="Q32" s="971" t="s">
        <v>6291</v>
      </c>
      <c r="R32" s="949" t="str">
        <f>IFERROR(VLOOKUP(Q32,'Schedule 4'!$J$670:$K$1217,2,0),"-")</f>
        <v>-</v>
      </c>
      <c r="S32" s="425"/>
    </row>
    <row r="33" spans="2:19" x14ac:dyDescent="0.3">
      <c r="B33" s="971" t="s">
        <v>5033</v>
      </c>
      <c r="C33" s="949" t="str">
        <f>IFERROR(VLOOKUP(B33,'Schedule 4'!$J$670:$K$1217,2,0),"-")</f>
        <v>-</v>
      </c>
      <c r="D33" s="425"/>
      <c r="E33" s="971" t="s">
        <v>6292</v>
      </c>
      <c r="F33" s="949" t="str">
        <f>IFERROR(VLOOKUP(E33,'Schedule 4'!$J$670:$K$1217,2,0),"-")</f>
        <v>-</v>
      </c>
      <c r="G33" s="425"/>
      <c r="H33" s="971" t="s">
        <v>6293</v>
      </c>
      <c r="I33" s="949" t="str">
        <f>IFERROR(VLOOKUP(H33,'Schedule 4'!$J$670:$K$1217,2,0),"-")</f>
        <v>-</v>
      </c>
      <c r="J33" s="425"/>
      <c r="K33" s="971" t="s">
        <v>6294</v>
      </c>
      <c r="L33" s="949" t="str">
        <f>IFERROR(VLOOKUP(K33,'Schedule 4'!$J$670:$K$1217,2,0),"-")</f>
        <v>-</v>
      </c>
      <c r="M33" s="425"/>
      <c r="N33" s="971" t="s">
        <v>4934</v>
      </c>
      <c r="O33" s="949" t="str">
        <f>IFERROR(VLOOKUP(N33,'Schedule 4'!$J$670:$K$1217,2,0),"-")</f>
        <v>-</v>
      </c>
      <c r="P33" s="425"/>
      <c r="Q33" s="971" t="s">
        <v>6295</v>
      </c>
      <c r="R33" s="949" t="str">
        <f>IFERROR(VLOOKUP(Q33,'Schedule 4'!$J$670:$K$1217,2,0),"-")</f>
        <v>-</v>
      </c>
      <c r="S33" s="425"/>
    </row>
    <row r="34" spans="2:19" x14ac:dyDescent="0.3">
      <c r="B34" s="971" t="s">
        <v>5030</v>
      </c>
      <c r="C34" s="949" t="str">
        <f>IFERROR(VLOOKUP(B34,'Schedule 4'!$J$670:$K$1217,2,0),"-")</f>
        <v>-</v>
      </c>
      <c r="D34" s="425"/>
      <c r="E34" s="971" t="s">
        <v>6296</v>
      </c>
      <c r="F34" s="949" t="str">
        <f>IFERROR(VLOOKUP(E34,'Schedule 4'!$J$670:$K$1217,2,0),"-")</f>
        <v>-</v>
      </c>
      <c r="G34" s="425"/>
      <c r="H34" s="971" t="s">
        <v>6297</v>
      </c>
      <c r="I34" s="949" t="str">
        <f>IFERROR(VLOOKUP(H34,'Schedule 4'!$J$670:$K$1217,2,0),"-")</f>
        <v>-</v>
      </c>
      <c r="J34" s="425"/>
      <c r="K34" s="971" t="s">
        <v>6298</v>
      </c>
      <c r="L34" s="949" t="str">
        <f>IFERROR(VLOOKUP(K34,'Schedule 4'!$J$670:$K$1217,2,0),"-")</f>
        <v>-</v>
      </c>
      <c r="M34" s="425"/>
      <c r="N34" s="971" t="s">
        <v>4931</v>
      </c>
      <c r="O34" s="949" t="str">
        <f>IFERROR(VLOOKUP(N34,'Schedule 4'!$J$670:$K$1217,2,0),"-")</f>
        <v>-</v>
      </c>
      <c r="P34" s="425"/>
      <c r="Q34" s="971" t="s">
        <v>6299</v>
      </c>
      <c r="R34" s="949" t="str">
        <f>IFERROR(VLOOKUP(Q34,'Schedule 4'!$J$670:$K$1217,2,0),"-")</f>
        <v>-</v>
      </c>
      <c r="S34" s="425"/>
    </row>
    <row r="35" spans="2:19" x14ac:dyDescent="0.3">
      <c r="B35" s="971" t="s">
        <v>5028</v>
      </c>
      <c r="C35" s="949" t="str">
        <f>IFERROR(VLOOKUP(B35,'Schedule 4'!$J$670:$K$1217,2,0),"-")</f>
        <v>-</v>
      </c>
      <c r="D35" s="425"/>
      <c r="E35" s="971" t="s">
        <v>6300</v>
      </c>
      <c r="F35" s="949" t="str">
        <f>IFERROR(VLOOKUP(E35,'Schedule 4'!$J$670:$K$1217,2,0),"-")</f>
        <v>-</v>
      </c>
      <c r="G35" s="425"/>
      <c r="H35" s="971" t="s">
        <v>732</v>
      </c>
      <c r="I35" s="949" t="str">
        <f>IFERROR(VLOOKUP(H35,'Schedule 4'!$J$670:$K$1217,2,0),"-")</f>
        <v>-</v>
      </c>
      <c r="J35" s="425"/>
      <c r="K35" s="971" t="s">
        <v>6301</v>
      </c>
      <c r="L35" s="949" t="str">
        <f>IFERROR(VLOOKUP(K35,'Schedule 4'!$J$670:$K$1217,2,0),"-")</f>
        <v>-</v>
      </c>
      <c r="M35" s="425"/>
      <c r="N35" s="971" t="s">
        <v>4928</v>
      </c>
      <c r="O35" s="949" t="str">
        <f>IFERROR(VLOOKUP(N35,'Schedule 4'!$J$670:$K$1217,2,0),"-")</f>
        <v>-</v>
      </c>
      <c r="P35" s="425"/>
      <c r="Q35" s="971" t="s">
        <v>6302</v>
      </c>
      <c r="R35" s="949" t="str">
        <f>IFERROR(VLOOKUP(Q35,'Schedule 4'!$J$670:$K$1217,2,0),"-")</f>
        <v>-</v>
      </c>
      <c r="S35" s="425"/>
    </row>
    <row r="36" spans="2:19" x14ac:dyDescent="0.3">
      <c r="B36" s="971" t="s">
        <v>5026</v>
      </c>
      <c r="C36" s="949" t="str">
        <f>IFERROR(VLOOKUP(B36,'Schedule 4'!$J$670:$K$1217,2,0),"-")</f>
        <v>-</v>
      </c>
      <c r="D36" s="425"/>
      <c r="E36" s="971" t="s">
        <v>6303</v>
      </c>
      <c r="F36" s="949" t="str">
        <f>IFERROR(VLOOKUP(E36,'Schedule 4'!$J$670:$K$1217,2,0),"-")</f>
        <v>-</v>
      </c>
      <c r="G36" s="425"/>
      <c r="H36" s="971" t="s">
        <v>724</v>
      </c>
      <c r="I36" s="949" t="str">
        <f>IFERROR(VLOOKUP(H36,'Schedule 4'!$J$670:$K$1217,2,0),"-")</f>
        <v>-</v>
      </c>
      <c r="J36" s="425"/>
      <c r="K36" s="971" t="s">
        <v>728</v>
      </c>
      <c r="L36" s="949" t="str">
        <f>IFERROR(VLOOKUP(K36,'Schedule 4'!$J$670:$K$1217,2,0),"-")</f>
        <v>-</v>
      </c>
      <c r="M36" s="425"/>
      <c r="N36" s="971" t="s">
        <v>4925</v>
      </c>
      <c r="O36" s="949" t="str">
        <f>IFERROR(VLOOKUP(N36,'Schedule 4'!$J$670:$K$1217,2,0),"-")</f>
        <v>-</v>
      </c>
      <c r="P36" s="425"/>
      <c r="Q36" s="971" t="s">
        <v>6304</v>
      </c>
      <c r="R36" s="949" t="str">
        <f>IFERROR(VLOOKUP(Q36,'Schedule 4'!$J$670:$K$1217,2,0),"-")</f>
        <v>-</v>
      </c>
      <c r="S36" s="425"/>
    </row>
    <row r="37" spans="2:19" x14ac:dyDescent="0.3">
      <c r="B37" s="971" t="s">
        <v>5243</v>
      </c>
      <c r="C37" s="949" t="str">
        <f>IFERROR(VLOOKUP(B37,'Schedule 4'!$J$670:$K$1217,2,0),"-")</f>
        <v>-</v>
      </c>
      <c r="D37" s="425"/>
      <c r="E37" s="971" t="s">
        <v>6305</v>
      </c>
      <c r="F37" s="949" t="str">
        <f>IFERROR(VLOOKUP(E37,'Schedule 4'!$J$670:$K$1217,2,0),"-")</f>
        <v>-</v>
      </c>
      <c r="G37" s="425"/>
      <c r="H37" s="971" t="s">
        <v>6306</v>
      </c>
      <c r="I37" s="949" t="str">
        <f>IFERROR(VLOOKUP(H37,'Schedule 4'!$J$670:$K$1217,2,0),"-")</f>
        <v>-</v>
      </c>
      <c r="J37" s="425"/>
      <c r="K37" s="971" t="s">
        <v>6307</v>
      </c>
      <c r="L37" s="949" t="str">
        <f>IFERROR(VLOOKUP(K37,'Schedule 4'!$J$670:$K$1217,2,0),"-")</f>
        <v>-</v>
      </c>
      <c r="M37" s="425"/>
      <c r="N37" s="971" t="s">
        <v>5674</v>
      </c>
      <c r="O37" s="949" t="str">
        <f>IFERROR(VLOOKUP(N37,'Schedule 4'!$J$670:$K$1217,2,0),"-")</f>
        <v>-</v>
      </c>
      <c r="P37" s="425"/>
      <c r="Q37" s="971" t="s">
        <v>6308</v>
      </c>
      <c r="R37" s="949" t="str">
        <f>IFERROR(VLOOKUP(Q37,'Schedule 4'!$J$670:$K$1217,2,0),"-")</f>
        <v>-</v>
      </c>
      <c r="S37" s="425"/>
    </row>
    <row r="38" spans="2:19" x14ac:dyDescent="0.3">
      <c r="B38" s="971" t="s">
        <v>5245</v>
      </c>
      <c r="C38" s="949" t="str">
        <f>IFERROR(VLOOKUP(B38,'Schedule 4'!$J$670:$K$1217,2,0),"-")</f>
        <v>-</v>
      </c>
      <c r="D38" s="425"/>
      <c r="E38" s="971" t="s">
        <v>6309</v>
      </c>
      <c r="F38" s="949" t="str">
        <f>IFERROR(VLOOKUP(E38,'Schedule 4'!$J$670:$K$1217,2,0),"-")</f>
        <v>-</v>
      </c>
      <c r="G38" s="425"/>
      <c r="H38" s="971" t="s">
        <v>6310</v>
      </c>
      <c r="I38" s="949" t="str">
        <f>IFERROR(VLOOKUP(H38,'Schedule 4'!$J$670:$K$1217,2,0),"-")</f>
        <v>-</v>
      </c>
      <c r="J38" s="425"/>
      <c r="K38" s="971" t="s">
        <v>6311</v>
      </c>
      <c r="L38" s="949" t="str">
        <f>IFERROR(VLOOKUP(K38,'Schedule 4'!$J$670:$K$1217,2,0),"-")</f>
        <v>-</v>
      </c>
      <c r="M38" s="425"/>
      <c r="N38" s="971" t="s">
        <v>5555</v>
      </c>
      <c r="O38" s="949" t="str">
        <f>IFERROR(VLOOKUP(N38,'Schedule 4'!$J$670:$K$1217,2,0),"-")</f>
        <v>-</v>
      </c>
      <c r="P38" s="425"/>
      <c r="Q38" s="971" t="s">
        <v>6312</v>
      </c>
      <c r="R38" s="949" t="str">
        <f>IFERROR(VLOOKUP(Q38,'Schedule 4'!$J$670:$K$1217,2,0),"-")</f>
        <v>-</v>
      </c>
      <c r="S38" s="425"/>
    </row>
    <row r="39" spans="2:19" x14ac:dyDescent="0.3">
      <c r="B39" s="971" t="s">
        <v>5247</v>
      </c>
      <c r="C39" s="949" t="str">
        <f>IFERROR(VLOOKUP(B39,'Schedule 4'!$J$670:$K$1217,2,0),"-")</f>
        <v>-</v>
      </c>
      <c r="D39" s="425"/>
      <c r="E39" s="971" t="s">
        <v>6313</v>
      </c>
      <c r="F39" s="949" t="str">
        <f>IFERROR(VLOOKUP(E39,'Schedule 4'!$J$670:$K$1217,2,0),"-")</f>
        <v>-</v>
      </c>
      <c r="G39" s="425"/>
      <c r="H39" s="971" t="s">
        <v>6314</v>
      </c>
      <c r="I39" s="949" t="str">
        <f>IFERROR(VLOOKUP(H39,'Schedule 4'!$J$670:$K$1217,2,0),"-")</f>
        <v>-</v>
      </c>
      <c r="J39" s="425"/>
      <c r="K39" s="971" t="s">
        <v>6315</v>
      </c>
      <c r="L39" s="949" t="str">
        <f>IFERROR(VLOOKUP(K39,'Schedule 4'!$J$670:$K$1217,2,0),"-")</f>
        <v>-</v>
      </c>
      <c r="M39" s="425"/>
      <c r="N39" s="971" t="s">
        <v>5553</v>
      </c>
      <c r="O39" s="949" t="str">
        <f>IFERROR(VLOOKUP(N39,'Schedule 4'!$J$670:$K$1217,2,0),"-")</f>
        <v>-</v>
      </c>
      <c r="P39" s="425"/>
      <c r="Q39" s="971" t="s">
        <v>6316</v>
      </c>
      <c r="R39" s="949" t="str">
        <f>IFERROR(VLOOKUP(Q39,'Schedule 4'!$J$670:$K$1217,2,0),"-")</f>
        <v>-</v>
      </c>
      <c r="S39" s="425"/>
    </row>
    <row r="40" spans="2:19" x14ac:dyDescent="0.3">
      <c r="B40" s="971" t="s">
        <v>5249</v>
      </c>
      <c r="C40" s="949" t="str">
        <f>IFERROR(VLOOKUP(B40,'Schedule 4'!$J$670:$K$1217,2,0),"-")</f>
        <v>-</v>
      </c>
      <c r="D40" s="425"/>
      <c r="E40" s="971" t="s">
        <v>6317</v>
      </c>
      <c r="F40" s="949" t="str">
        <f>IFERROR(VLOOKUP(E40,'Schedule 4'!$J$670:$K$1217,2,0),"-")</f>
        <v>-</v>
      </c>
      <c r="G40" s="425"/>
      <c r="H40" s="971" t="s">
        <v>6318</v>
      </c>
      <c r="I40" s="949" t="str">
        <f>IFERROR(VLOOKUP(H40,'Schedule 4'!$J$670:$K$1217,2,0),"-")</f>
        <v>-</v>
      </c>
      <c r="J40" s="425"/>
      <c r="K40" s="971" t="s">
        <v>6319</v>
      </c>
      <c r="L40" s="949" t="str">
        <f>IFERROR(VLOOKUP(K40,'Schedule 4'!$J$670:$K$1217,2,0),"-")</f>
        <v>-</v>
      </c>
      <c r="M40" s="425"/>
      <c r="N40" s="971" t="s">
        <v>5551</v>
      </c>
      <c r="O40" s="949" t="str">
        <f>IFERROR(VLOOKUP(N40,'Schedule 4'!$J$670:$K$1217,2,0),"-")</f>
        <v>-</v>
      </c>
      <c r="P40" s="425"/>
      <c r="Q40" s="971" t="s">
        <v>6320</v>
      </c>
      <c r="R40" s="949" t="str">
        <f>IFERROR(VLOOKUP(Q40,'Schedule 4'!$J$670:$K$1217,2,0),"-")</f>
        <v>-</v>
      </c>
      <c r="S40" s="425"/>
    </row>
    <row r="41" spans="2:19" x14ac:dyDescent="0.3">
      <c r="B41" s="971" t="s">
        <v>5252</v>
      </c>
      <c r="C41" s="949" t="str">
        <f>IFERROR(VLOOKUP(B41,'Schedule 4'!$J$670:$K$1217,2,0),"-")</f>
        <v>-</v>
      </c>
      <c r="D41" s="425"/>
      <c r="E41" s="971" t="s">
        <v>6321</v>
      </c>
      <c r="F41" s="949" t="str">
        <f>IFERROR(VLOOKUP(E41,'Schedule 4'!$J$670:$K$1217,2,0),"-")</f>
        <v>-</v>
      </c>
      <c r="G41" s="425"/>
      <c r="H41" s="971" t="s">
        <v>6322</v>
      </c>
      <c r="I41" s="949" t="str">
        <f>IFERROR(VLOOKUP(H41,'Schedule 4'!$J$670:$K$1217,2,0),"-")</f>
        <v>-</v>
      </c>
      <c r="J41" s="425"/>
      <c r="K41" s="971" t="s">
        <v>6323</v>
      </c>
      <c r="L41" s="949" t="str">
        <f>IFERROR(VLOOKUP(K41,'Schedule 4'!$J$670:$K$1217,2,0),"-")</f>
        <v>-</v>
      </c>
      <c r="M41" s="425"/>
      <c r="N41" s="971" t="s">
        <v>5548</v>
      </c>
      <c r="O41" s="949" t="str">
        <f>IFERROR(VLOOKUP(N41,'Schedule 4'!$J$670:$K$1217,2,0),"-")</f>
        <v>-</v>
      </c>
      <c r="P41" s="425"/>
      <c r="Q41" s="971" t="s">
        <v>6324</v>
      </c>
      <c r="R41" s="949" t="str">
        <f>IFERROR(VLOOKUP(Q41,'Schedule 4'!$J$670:$K$1217,2,0),"-")</f>
        <v>-</v>
      </c>
      <c r="S41" s="425"/>
    </row>
    <row r="42" spans="2:19" x14ac:dyDescent="0.3">
      <c r="B42" s="971" t="s">
        <v>5255</v>
      </c>
      <c r="C42" s="949" t="str">
        <f>IFERROR(VLOOKUP(B42,'Schedule 4'!$J$670:$K$1217,2,0),"-")</f>
        <v>-</v>
      </c>
      <c r="D42" s="425"/>
      <c r="E42" s="971" t="s">
        <v>6325</v>
      </c>
      <c r="F42" s="949" t="str">
        <f>IFERROR(VLOOKUP(E42,'Schedule 4'!$J$670:$K$1217,2,0),"-")</f>
        <v>-</v>
      </c>
      <c r="G42" s="425"/>
      <c r="H42" s="971" t="s">
        <v>6326</v>
      </c>
      <c r="I42" s="949" t="str">
        <f>IFERROR(VLOOKUP(H42,'Schedule 4'!$J$670:$K$1217,2,0),"-")</f>
        <v>-</v>
      </c>
      <c r="J42" s="425"/>
      <c r="K42" s="971" t="s">
        <v>6327</v>
      </c>
      <c r="L42" s="949" t="str">
        <f>IFERROR(VLOOKUP(K42,'Schedule 4'!$J$670:$K$1217,2,0),"-")</f>
        <v>-</v>
      </c>
      <c r="M42" s="425"/>
      <c r="N42" s="971" t="s">
        <v>5546</v>
      </c>
      <c r="O42" s="949" t="str">
        <f>IFERROR(VLOOKUP(N42,'Schedule 4'!$J$670:$K$1217,2,0),"-")</f>
        <v>-</v>
      </c>
      <c r="P42" s="425"/>
      <c r="Q42" s="971" t="s">
        <v>6328</v>
      </c>
      <c r="R42" s="949" t="str">
        <f>IFERROR(VLOOKUP(Q42,'Schedule 4'!$J$670:$K$1217,2,0),"-")</f>
        <v>-</v>
      </c>
      <c r="S42" s="425"/>
    </row>
    <row r="43" spans="2:19" x14ac:dyDescent="0.3">
      <c r="B43" s="971" t="s">
        <v>5258</v>
      </c>
      <c r="C43" s="949" t="str">
        <f>IFERROR(VLOOKUP(B43,'Schedule 4'!$J$670:$K$1217,2,0),"-")</f>
        <v>-</v>
      </c>
      <c r="D43" s="425"/>
      <c r="E43" s="971" t="s">
        <v>6329</v>
      </c>
      <c r="F43" s="949" t="str">
        <f>IFERROR(VLOOKUP(E43,'Schedule 4'!$J$670:$K$1217,2,0),"-")</f>
        <v>-</v>
      </c>
      <c r="G43" s="425"/>
      <c r="H43" s="971" t="s">
        <v>6330</v>
      </c>
      <c r="I43" s="949" t="str">
        <f>IFERROR(VLOOKUP(H43,'Schedule 4'!$J$670:$K$1217,2,0),"-")</f>
        <v>-</v>
      </c>
      <c r="J43" s="425"/>
      <c r="K43" s="971" t="s">
        <v>6331</v>
      </c>
      <c r="L43" s="949" t="str">
        <f>IFERROR(VLOOKUP(K43,'Schedule 4'!$J$670:$K$1217,2,0),"-")</f>
        <v>-</v>
      </c>
      <c r="M43" s="425"/>
      <c r="N43" s="971" t="s">
        <v>5543</v>
      </c>
      <c r="O43" s="949" t="str">
        <f>IFERROR(VLOOKUP(N43,'Schedule 4'!$J$670:$K$1217,2,0),"-")</f>
        <v>-</v>
      </c>
      <c r="P43" s="425"/>
      <c r="Q43" s="971" t="s">
        <v>6332</v>
      </c>
      <c r="R43" s="949" t="str">
        <f>IFERROR(VLOOKUP(Q43,'Schedule 4'!$J$670:$K$1217,2,0),"-")</f>
        <v>-</v>
      </c>
      <c r="S43" s="425"/>
    </row>
    <row r="44" spans="2:19" x14ac:dyDescent="0.3">
      <c r="B44" s="971" t="s">
        <v>5261</v>
      </c>
      <c r="C44" s="949" t="str">
        <f>IFERROR(VLOOKUP(B44,'Schedule 4'!$J$670:$K$1217,2,0),"-")</f>
        <v>-</v>
      </c>
      <c r="D44" s="425"/>
      <c r="E44" s="971" t="s">
        <v>6333</v>
      </c>
      <c r="F44" s="949" t="str">
        <f>IFERROR(VLOOKUP(E44,'Schedule 4'!$J$670:$K$1217,2,0),"-")</f>
        <v>-</v>
      </c>
      <c r="G44" s="425"/>
      <c r="H44" s="971" t="s">
        <v>6334</v>
      </c>
      <c r="I44" s="949" t="str">
        <f>IFERROR(VLOOKUP(H44,'Schedule 4'!$J$670:$K$1217,2,0),"-")</f>
        <v>-</v>
      </c>
      <c r="J44" s="425"/>
      <c r="K44" s="971" t="s">
        <v>6335</v>
      </c>
      <c r="L44" s="949" t="str">
        <f>IFERROR(VLOOKUP(K44,'Schedule 4'!$J$670:$K$1217,2,0),"-")</f>
        <v>-</v>
      </c>
      <c r="M44" s="425"/>
      <c r="N44" s="971" t="s">
        <v>5540</v>
      </c>
      <c r="O44" s="949" t="str">
        <f>IFERROR(VLOOKUP(N44,'Schedule 4'!$J$670:$K$1217,2,0),"-")</f>
        <v>-</v>
      </c>
      <c r="P44" s="425"/>
      <c r="Q44" s="971" t="s">
        <v>6336</v>
      </c>
      <c r="R44" s="949" t="str">
        <f>IFERROR(VLOOKUP(Q44,'Schedule 4'!$J$670:$K$1217,2,0),"-")</f>
        <v>-</v>
      </c>
      <c r="S44" s="425"/>
    </row>
    <row r="45" spans="2:19" x14ac:dyDescent="0.3">
      <c r="B45" s="971" t="s">
        <v>4999</v>
      </c>
      <c r="C45" s="949" t="str">
        <f>IFERROR(VLOOKUP(B45,'Schedule 4'!$J$670:$K$1217,2,0),"-")</f>
        <v>-</v>
      </c>
      <c r="D45" s="425"/>
      <c r="E45" s="971" t="s">
        <v>6337</v>
      </c>
      <c r="F45" s="949" t="str">
        <f>IFERROR(VLOOKUP(E45,'Schedule 4'!$J$670:$K$1217,2,0),"-")</f>
        <v>-</v>
      </c>
      <c r="G45" s="425"/>
      <c r="H45" s="971" t="s">
        <v>6338</v>
      </c>
      <c r="I45" s="949" t="str">
        <f>IFERROR(VLOOKUP(H45,'Schedule 4'!$J$670:$K$1217,2,0),"-")</f>
        <v>-</v>
      </c>
      <c r="J45" s="425"/>
      <c r="K45" s="971" t="s">
        <v>6339</v>
      </c>
      <c r="L45" s="949" t="str">
        <f>IFERROR(VLOOKUP(K45,'Schedule 4'!$J$670:$K$1217,2,0),"-")</f>
        <v>-</v>
      </c>
      <c r="M45" s="425"/>
      <c r="N45" s="971" t="s">
        <v>5829</v>
      </c>
      <c r="O45" s="949" t="str">
        <f>IFERROR(VLOOKUP(N45,'Schedule 4'!$J$670:$K$1217,2,0),"-")</f>
        <v>-</v>
      </c>
      <c r="P45" s="425"/>
      <c r="Q45" s="971" t="s">
        <v>6340</v>
      </c>
      <c r="R45" s="949" t="str">
        <f>IFERROR(VLOOKUP(Q45,'Schedule 4'!$J$670:$K$1217,2,0),"-")</f>
        <v>-</v>
      </c>
      <c r="S45" s="425"/>
    </row>
    <row r="46" spans="2:19" x14ac:dyDescent="0.3">
      <c r="B46" s="971" t="s">
        <v>5002</v>
      </c>
      <c r="C46" s="949" t="str">
        <f>IFERROR(VLOOKUP(B46,'Schedule 4'!$J$670:$K$1217,2,0),"-")</f>
        <v>-</v>
      </c>
      <c r="D46" s="425"/>
      <c r="E46" s="971" t="s">
        <v>6341</v>
      </c>
      <c r="F46" s="949" t="str">
        <f>IFERROR(VLOOKUP(E46,'Schedule 4'!$J$670:$K$1217,2,0),"-")</f>
        <v>-</v>
      </c>
      <c r="G46" s="425"/>
      <c r="H46" s="971" t="s">
        <v>6342</v>
      </c>
      <c r="I46" s="949" t="str">
        <f>IFERROR(VLOOKUP(H46,'Schedule 4'!$J$670:$K$1217,2,0),"-")</f>
        <v>-</v>
      </c>
      <c r="J46" s="425"/>
      <c r="K46" s="971" t="s">
        <v>6343</v>
      </c>
      <c r="L46" s="949" t="str">
        <f>IFERROR(VLOOKUP(K46,'Schedule 4'!$J$670:$K$1217,2,0),"-")</f>
        <v>-</v>
      </c>
      <c r="M46" s="425"/>
      <c r="N46" s="971" t="s">
        <v>5831</v>
      </c>
      <c r="O46" s="949" t="str">
        <f>IFERROR(VLOOKUP(N46,'Schedule 4'!$J$670:$K$1217,2,0),"-")</f>
        <v>-</v>
      </c>
      <c r="P46" s="425"/>
      <c r="Q46" s="971" t="s">
        <v>6344</v>
      </c>
      <c r="R46" s="949" t="str">
        <f>IFERROR(VLOOKUP(Q46,'Schedule 4'!$J$670:$K$1217,2,0),"-")</f>
        <v>-</v>
      </c>
      <c r="S46" s="425"/>
    </row>
    <row r="47" spans="2:19" x14ac:dyDescent="0.3">
      <c r="B47" s="971" t="s">
        <v>5005</v>
      </c>
      <c r="C47" s="949" t="str">
        <f>IFERROR(VLOOKUP(B47,'Schedule 4'!$J$670:$K$1217,2,0),"-")</f>
        <v>-</v>
      </c>
      <c r="D47" s="425"/>
      <c r="E47" s="971" t="s">
        <v>6345</v>
      </c>
      <c r="F47" s="949" t="str">
        <f>IFERROR(VLOOKUP(E47,'Schedule 4'!$J$670:$K$1217,2,0),"-")</f>
        <v>-</v>
      </c>
      <c r="G47" s="425"/>
      <c r="H47" s="971" t="s">
        <v>6346</v>
      </c>
      <c r="I47" s="949" t="str">
        <f>IFERROR(VLOOKUP(H47,'Schedule 4'!$J$670:$K$1217,2,0),"-")</f>
        <v>-</v>
      </c>
      <c r="J47" s="425"/>
      <c r="K47" s="971" t="s">
        <v>6347</v>
      </c>
      <c r="L47" s="949" t="str">
        <f>IFERROR(VLOOKUP(K47,'Schedule 4'!$J$670:$K$1217,2,0),"-")</f>
        <v>-</v>
      </c>
      <c r="M47" s="425"/>
      <c r="N47" s="971" t="s">
        <v>5945</v>
      </c>
      <c r="O47" s="949" t="str">
        <f>IFERROR(VLOOKUP(N47,'Schedule 4'!$J$670:$K$1217,2,0),"-")</f>
        <v>-</v>
      </c>
      <c r="P47" s="425"/>
      <c r="Q47" s="971" t="s">
        <v>6348</v>
      </c>
      <c r="R47" s="949" t="str">
        <f>IFERROR(VLOOKUP(Q47,'Schedule 4'!$J$670:$K$1217,2,0),"-")</f>
        <v>-</v>
      </c>
      <c r="S47" s="425"/>
    </row>
    <row r="48" spans="2:19" x14ac:dyDescent="0.3">
      <c r="B48" s="971" t="s">
        <v>5092</v>
      </c>
      <c r="C48" s="949" t="str">
        <f>IFERROR(VLOOKUP(B48,'Schedule 4'!$J$670:$K$1217,2,0),"-")</f>
        <v>-</v>
      </c>
      <c r="D48" s="425"/>
      <c r="E48" s="971" t="s">
        <v>6349</v>
      </c>
      <c r="F48" s="949" t="str">
        <f>IFERROR(VLOOKUP(E48,'Schedule 4'!$J$670:$K$1217,2,0),"-")</f>
        <v>-</v>
      </c>
      <c r="G48" s="425"/>
      <c r="H48" s="971" t="s">
        <v>6350</v>
      </c>
      <c r="I48" s="949" t="str">
        <f>IFERROR(VLOOKUP(H48,'Schedule 4'!$J$670:$K$1217,2,0),"-")</f>
        <v>-</v>
      </c>
      <c r="J48" s="425"/>
      <c r="K48" s="971" t="s">
        <v>6351</v>
      </c>
      <c r="L48" s="949" t="str">
        <f>IFERROR(VLOOKUP(K48,'Schedule 4'!$J$670:$K$1217,2,0),"-")</f>
        <v>-</v>
      </c>
      <c r="M48" s="425"/>
      <c r="N48" s="971" t="s">
        <v>5948</v>
      </c>
      <c r="O48" s="949" t="str">
        <f>IFERROR(VLOOKUP(N48,'Schedule 4'!$J$670:$K$1217,2,0),"-")</f>
        <v>-</v>
      </c>
      <c r="P48" s="425"/>
      <c r="Q48" s="971" t="s">
        <v>6352</v>
      </c>
      <c r="R48" s="949" t="str">
        <f>IFERROR(VLOOKUP(Q48,'Schedule 4'!$J$670:$K$1217,2,0),"-")</f>
        <v>-</v>
      </c>
      <c r="S48" s="425"/>
    </row>
    <row r="49" spans="2:19" x14ac:dyDescent="0.3">
      <c r="B49" s="971" t="s">
        <v>5095</v>
      </c>
      <c r="C49" s="949" t="str">
        <f>IFERROR(VLOOKUP(B49,'Schedule 4'!$J$670:$K$1217,2,0),"-")</f>
        <v>-</v>
      </c>
      <c r="D49" s="425"/>
      <c r="E49" s="971" t="s">
        <v>6353</v>
      </c>
      <c r="F49" s="949" t="str">
        <f>IFERROR(VLOOKUP(E49,'Schedule 4'!$J$670:$K$1217,2,0),"-")</f>
        <v>-</v>
      </c>
      <c r="G49" s="425"/>
      <c r="H49" s="971" t="s">
        <v>6354</v>
      </c>
      <c r="I49" s="949" t="str">
        <f>IFERROR(VLOOKUP(H49,'Schedule 4'!$J$670:$K$1217,2,0),"-")</f>
        <v>-</v>
      </c>
      <c r="J49" s="425"/>
      <c r="K49" s="971" t="s">
        <v>6355</v>
      </c>
      <c r="L49" s="949" t="str">
        <f>IFERROR(VLOOKUP(K49,'Schedule 4'!$J$670:$K$1217,2,0),"-")</f>
        <v>-</v>
      </c>
      <c r="M49" s="425"/>
      <c r="N49" s="971" t="s">
        <v>5951</v>
      </c>
      <c r="O49" s="949" t="str">
        <f>IFERROR(VLOOKUP(N49,'Schedule 4'!$J$670:$K$1217,2,0),"-")</f>
        <v>-</v>
      </c>
      <c r="P49" s="425"/>
      <c r="Q49" s="971" t="s">
        <v>6356</v>
      </c>
      <c r="R49" s="949" t="str">
        <f>IFERROR(VLOOKUP(Q49,'Schedule 4'!$J$670:$K$1217,2,0),"-")</f>
        <v>-</v>
      </c>
      <c r="S49" s="425"/>
    </row>
    <row r="50" spans="2:19" x14ac:dyDescent="0.3">
      <c r="B50" s="971" t="s">
        <v>5098</v>
      </c>
      <c r="C50" s="949" t="str">
        <f>IFERROR(VLOOKUP(B50,'Schedule 4'!$J$670:$K$1217,2,0),"-")</f>
        <v>-</v>
      </c>
      <c r="D50" s="425"/>
      <c r="E50" s="971" t="s">
        <v>6357</v>
      </c>
      <c r="F50" s="949" t="str">
        <f>IFERROR(VLOOKUP(E50,'Schedule 4'!$J$670:$K$1217,2,0),"-")</f>
        <v>-</v>
      </c>
      <c r="G50" s="425"/>
      <c r="H50" s="971" t="s">
        <v>6358</v>
      </c>
      <c r="I50" s="949" t="str">
        <f>IFERROR(VLOOKUP(H50,'Schedule 4'!$J$670:$K$1217,2,0),"-")</f>
        <v>-</v>
      </c>
      <c r="J50" s="425"/>
      <c r="K50" s="971" t="s">
        <v>6359</v>
      </c>
      <c r="L50" s="949" t="str">
        <f>IFERROR(VLOOKUP(K50,'Schedule 4'!$J$670:$K$1217,2,0),"-")</f>
        <v>-</v>
      </c>
      <c r="M50" s="425"/>
      <c r="N50" s="971" t="s">
        <v>5954</v>
      </c>
      <c r="O50" s="949" t="str">
        <f>IFERROR(VLOOKUP(N50,'Schedule 4'!$J$670:$K$1217,2,0),"-")</f>
        <v>-</v>
      </c>
      <c r="P50" s="425"/>
      <c r="Q50" s="971" t="s">
        <v>6360</v>
      </c>
      <c r="R50" s="949" t="str">
        <f>IFERROR(VLOOKUP(Q50,'Schedule 4'!$J$670:$K$1217,2,0),"-")</f>
        <v>-</v>
      </c>
      <c r="S50" s="425"/>
    </row>
    <row r="51" spans="2:19" x14ac:dyDescent="0.3">
      <c r="B51" s="971" t="s">
        <v>5101</v>
      </c>
      <c r="C51" s="949" t="str">
        <f>IFERROR(VLOOKUP(B51,'Schedule 4'!$J$670:$K$1217,2,0),"-")</f>
        <v>-</v>
      </c>
      <c r="D51" s="425"/>
      <c r="E51" s="971" t="s">
        <v>6361</v>
      </c>
      <c r="F51" s="949" t="str">
        <f>IFERROR(VLOOKUP(E51,'Schedule 4'!$J$670:$K$1217,2,0),"-")</f>
        <v>-</v>
      </c>
      <c r="G51" s="425"/>
      <c r="H51" s="971" t="s">
        <v>6362</v>
      </c>
      <c r="I51" s="949" t="str">
        <f>IFERROR(VLOOKUP(H51,'Schedule 4'!$J$670:$K$1217,2,0),"-")</f>
        <v>-</v>
      </c>
      <c r="J51" s="425"/>
      <c r="K51" s="971" t="s">
        <v>6363</v>
      </c>
      <c r="L51" s="949" t="str">
        <f>IFERROR(VLOOKUP(K51,'Schedule 4'!$J$670:$K$1217,2,0),"-")</f>
        <v>-</v>
      </c>
      <c r="M51" s="425"/>
      <c r="N51" s="971" t="s">
        <v>5957</v>
      </c>
      <c r="O51" s="949" t="str">
        <f>IFERROR(VLOOKUP(N51,'Schedule 4'!$J$670:$K$1217,2,0),"-")</f>
        <v>-</v>
      </c>
      <c r="P51" s="425"/>
      <c r="Q51" s="971" t="s">
        <v>6364</v>
      </c>
      <c r="R51" s="949" t="str">
        <f>IFERROR(VLOOKUP(Q51,'Schedule 4'!$J$670:$K$1217,2,0),"-")</f>
        <v>-</v>
      </c>
      <c r="S51" s="425"/>
    </row>
    <row r="52" spans="2:19" x14ac:dyDescent="0.3">
      <c r="B52" s="971" t="s">
        <v>5104</v>
      </c>
      <c r="C52" s="949" t="str">
        <f>IFERROR(VLOOKUP(B52,'Schedule 4'!$J$670:$K$1217,2,0),"-")</f>
        <v>-</v>
      </c>
      <c r="D52" s="425"/>
      <c r="E52" s="971" t="s">
        <v>6365</v>
      </c>
      <c r="F52" s="949" t="str">
        <f>IFERROR(VLOOKUP(E52,'Schedule 4'!$J$670:$K$1217,2,0),"-")</f>
        <v>-</v>
      </c>
      <c r="G52" s="425"/>
      <c r="H52" s="971" t="s">
        <v>6366</v>
      </c>
      <c r="I52" s="949" t="str">
        <f>IFERROR(VLOOKUP(H52,'Schedule 4'!$J$670:$K$1217,2,0),"-")</f>
        <v>-</v>
      </c>
      <c r="J52" s="425"/>
      <c r="K52" s="971" t="s">
        <v>6367</v>
      </c>
      <c r="L52" s="949" t="str">
        <f>IFERROR(VLOOKUP(K52,'Schedule 4'!$J$670:$K$1217,2,0),"-")</f>
        <v>-</v>
      </c>
      <c r="M52" s="425"/>
      <c r="N52" s="971" t="s">
        <v>5960</v>
      </c>
      <c r="O52" s="949" t="str">
        <f>IFERROR(VLOOKUP(N52,'Schedule 4'!$J$670:$K$1217,2,0),"-")</f>
        <v>-</v>
      </c>
      <c r="P52" s="425"/>
      <c r="Q52" s="971" t="s">
        <v>6368</v>
      </c>
      <c r="R52" s="949" t="str">
        <f>IFERROR(VLOOKUP(Q52,'Schedule 4'!$J$670:$K$1217,2,0),"-")</f>
        <v>-</v>
      </c>
      <c r="S52" s="425"/>
    </row>
    <row r="53" spans="2:19" x14ac:dyDescent="0.3">
      <c r="B53" s="971" t="s">
        <v>5008</v>
      </c>
      <c r="C53" s="949" t="str">
        <f>IFERROR(VLOOKUP(B53,'Schedule 4'!$J$670:$K$1217,2,0),"-")</f>
        <v>-</v>
      </c>
      <c r="D53" s="425"/>
      <c r="E53" s="971" t="s">
        <v>6369</v>
      </c>
      <c r="F53" s="949" t="str">
        <f>IFERROR(VLOOKUP(E53,'Schedule 4'!$J$670:$K$1217,2,0),"-")</f>
        <v>-</v>
      </c>
      <c r="G53" s="425"/>
      <c r="H53" s="971" t="s">
        <v>6370</v>
      </c>
      <c r="I53" s="949" t="str">
        <f>IFERROR(VLOOKUP(H53,'Schedule 4'!$J$670:$K$1217,2,0),"-")</f>
        <v>-</v>
      </c>
      <c r="J53" s="425"/>
      <c r="K53" s="971" t="s">
        <v>6371</v>
      </c>
      <c r="L53" s="949" t="str">
        <f>IFERROR(VLOOKUP(K53,'Schedule 4'!$J$670:$K$1217,2,0),"-")</f>
        <v>-</v>
      </c>
      <c r="M53" s="425"/>
      <c r="N53" s="971" t="s">
        <v>5042</v>
      </c>
      <c r="O53" s="949" t="str">
        <f>IFERROR(VLOOKUP(N53,'Schedule 4'!$J$670:$K$1217,2,0),"-")</f>
        <v>-</v>
      </c>
      <c r="P53" s="425"/>
      <c r="Q53" s="971" t="s">
        <v>6372</v>
      </c>
      <c r="R53" s="949" t="str">
        <f>IFERROR(VLOOKUP(Q53,'Schedule 4'!$J$670:$K$1217,2,0),"-")</f>
        <v>-</v>
      </c>
      <c r="S53" s="425"/>
    </row>
    <row r="54" spans="2:19" x14ac:dyDescent="0.3">
      <c r="B54" s="971" t="s">
        <v>5011</v>
      </c>
      <c r="C54" s="949" t="str">
        <f>IFERROR(VLOOKUP(B54,'Schedule 4'!$J$670:$K$1217,2,0),"-")</f>
        <v>-</v>
      </c>
      <c r="D54" s="425"/>
      <c r="E54" s="971" t="s">
        <v>6373</v>
      </c>
      <c r="F54" s="949" t="str">
        <f>IFERROR(VLOOKUP(E54,'Schedule 4'!$J$670:$K$1217,2,0),"-")</f>
        <v>-</v>
      </c>
      <c r="G54" s="425"/>
      <c r="H54" s="971" t="s">
        <v>550</v>
      </c>
      <c r="I54" s="949" t="str">
        <f>IFERROR(VLOOKUP(H54,'Schedule 4'!$J$670:$K$1217,2,0),"-")</f>
        <v>-</v>
      </c>
      <c r="J54" s="425"/>
      <c r="K54" s="971" t="s">
        <v>6374</v>
      </c>
      <c r="L54" s="949" t="str">
        <f>IFERROR(VLOOKUP(K54,'Schedule 4'!$J$670:$K$1217,2,0),"-")</f>
        <v>-</v>
      </c>
      <c r="M54" s="425"/>
      <c r="N54" s="971" t="s">
        <v>5045</v>
      </c>
      <c r="O54" s="949" t="str">
        <f>IFERROR(VLOOKUP(N54,'Schedule 4'!$J$670:$K$1217,2,0),"-")</f>
        <v>-</v>
      </c>
      <c r="P54" s="425"/>
      <c r="Q54" s="971" t="s">
        <v>6375</v>
      </c>
      <c r="R54" s="949" t="str">
        <f>IFERROR(VLOOKUP(Q54,'Schedule 4'!$J$670:$K$1217,2,0),"-")</f>
        <v>-</v>
      </c>
      <c r="S54" s="425"/>
    </row>
    <row r="55" spans="2:19" x14ac:dyDescent="0.3">
      <c r="B55" s="971" t="s">
        <v>5014</v>
      </c>
      <c r="C55" s="949" t="str">
        <f>IFERROR(VLOOKUP(B55,'Schedule 4'!$J$670:$K$1217,2,0),"-")</f>
        <v>-</v>
      </c>
      <c r="D55" s="425"/>
      <c r="E55" s="971" t="s">
        <v>6376</v>
      </c>
      <c r="F55" s="949" t="str">
        <f>IFERROR(VLOOKUP(E55,'Schedule 4'!$J$670:$K$1217,2,0),"-")</f>
        <v>-</v>
      </c>
      <c r="G55" s="425"/>
      <c r="H55" s="971" t="s">
        <v>589</v>
      </c>
      <c r="I55" s="949" t="str">
        <f>IFERROR(VLOOKUP(H55,'Schedule 4'!$J$670:$K$1217,2,0),"-")</f>
        <v>-</v>
      </c>
      <c r="J55" s="425"/>
      <c r="K55" s="971" t="s">
        <v>6377</v>
      </c>
      <c r="L55" s="949" t="str">
        <f>IFERROR(VLOOKUP(K55,'Schedule 4'!$J$670:$K$1217,2,0),"-")</f>
        <v>-</v>
      </c>
      <c r="M55" s="425"/>
      <c r="N55" s="971" t="s">
        <v>5048</v>
      </c>
      <c r="O55" s="949" t="str">
        <f>IFERROR(VLOOKUP(N55,'Schedule 4'!$J$670:$K$1217,2,0),"-")</f>
        <v>-</v>
      </c>
      <c r="P55" s="425"/>
      <c r="Q55" s="971" t="s">
        <v>6378</v>
      </c>
      <c r="R55" s="949" t="str">
        <f>IFERROR(VLOOKUP(Q55,'Schedule 4'!$J$670:$K$1217,2,0),"-")</f>
        <v>-</v>
      </c>
      <c r="S55" s="425"/>
    </row>
    <row r="56" spans="2:19" x14ac:dyDescent="0.3">
      <c r="B56" s="971" t="s">
        <v>5017</v>
      </c>
      <c r="C56" s="949" t="str">
        <f>IFERROR(VLOOKUP(B56,'Schedule 4'!$J$670:$K$1217,2,0),"-")</f>
        <v>-</v>
      </c>
      <c r="D56" s="425"/>
      <c r="E56" s="971" t="s">
        <v>6379</v>
      </c>
      <c r="F56" s="949" t="str">
        <f>IFERROR(VLOOKUP(E56,'Schedule 4'!$J$670:$K$1217,2,0),"-")</f>
        <v>-</v>
      </c>
      <c r="G56" s="425"/>
      <c r="H56" s="971" t="s">
        <v>638</v>
      </c>
      <c r="I56" s="949" t="str">
        <f>IFERROR(VLOOKUP(H56,'Schedule 4'!$J$670:$K$1217,2,0),"-")</f>
        <v>-</v>
      </c>
      <c r="J56" s="425"/>
      <c r="K56" s="971" t="s">
        <v>6380</v>
      </c>
      <c r="L56" s="949" t="str">
        <f>IFERROR(VLOOKUP(K56,'Schedule 4'!$J$670:$K$1217,2,0),"-")</f>
        <v>-</v>
      </c>
      <c r="M56" s="425"/>
      <c r="N56" s="971" t="s">
        <v>5051</v>
      </c>
      <c r="O56" s="949" t="str">
        <f>IFERROR(VLOOKUP(N56,'Schedule 4'!$J$670:$K$1217,2,0),"-")</f>
        <v>-</v>
      </c>
      <c r="P56" s="425"/>
      <c r="Q56" s="971" t="s">
        <v>6381</v>
      </c>
      <c r="R56" s="949" t="str">
        <f>IFERROR(VLOOKUP(Q56,'Schedule 4'!$J$670:$K$1217,2,0),"-")</f>
        <v>-</v>
      </c>
      <c r="S56" s="425"/>
    </row>
    <row r="57" spans="2:19" x14ac:dyDescent="0.3">
      <c r="B57" s="971" t="s">
        <v>5020</v>
      </c>
      <c r="C57" s="949" t="str">
        <f>IFERROR(VLOOKUP(B57,'Schedule 4'!$J$670:$K$1217,2,0),"-")</f>
        <v>-</v>
      </c>
      <c r="D57" s="425"/>
      <c r="E57" s="971" t="s">
        <v>6382</v>
      </c>
      <c r="F57" s="949" t="str">
        <f>IFERROR(VLOOKUP(E57,'Schedule 4'!$J$670:$K$1217,2,0),"-")</f>
        <v>-</v>
      </c>
      <c r="G57" s="425"/>
      <c r="H57" s="971" t="s">
        <v>658</v>
      </c>
      <c r="I57" s="949" t="str">
        <f>IFERROR(VLOOKUP(H57,'Schedule 4'!$J$670:$K$1217,2,0),"-")</f>
        <v>-</v>
      </c>
      <c r="J57" s="425"/>
      <c r="K57" s="971" t="s">
        <v>6383</v>
      </c>
      <c r="L57" s="949" t="str">
        <f>IFERROR(VLOOKUP(K57,'Schedule 4'!$J$670:$K$1217,2,0),"-")</f>
        <v>-</v>
      </c>
      <c r="M57" s="425"/>
      <c r="N57" s="971" t="s">
        <v>5054</v>
      </c>
      <c r="O57" s="949" t="str">
        <f>IFERROR(VLOOKUP(N57,'Schedule 4'!$J$670:$K$1217,2,0),"-")</f>
        <v>-</v>
      </c>
      <c r="P57" s="425"/>
      <c r="Q57" s="971" t="s">
        <v>6384</v>
      </c>
      <c r="R57" s="949" t="str">
        <f>IFERROR(VLOOKUP(Q57,'Schedule 4'!$J$670:$K$1217,2,0),"-")</f>
        <v>-</v>
      </c>
      <c r="S57" s="425"/>
    </row>
    <row r="58" spans="2:19" x14ac:dyDescent="0.3">
      <c r="B58" s="971" t="s">
        <v>5023</v>
      </c>
      <c r="C58" s="949" t="str">
        <f>IFERROR(VLOOKUP(B58,'Schedule 4'!$J$670:$K$1217,2,0),"-")</f>
        <v>-</v>
      </c>
      <c r="D58" s="425"/>
      <c r="E58" s="971" t="s">
        <v>6385</v>
      </c>
      <c r="F58" s="949" t="str">
        <f>IFERROR(VLOOKUP(E58,'Schedule 4'!$J$670:$K$1217,2,0),"-")</f>
        <v>-</v>
      </c>
      <c r="G58" s="425"/>
      <c r="H58" s="971" t="s">
        <v>687</v>
      </c>
      <c r="I58" s="949" t="str">
        <f>IFERROR(VLOOKUP(H58,'Schedule 4'!$J$670:$K$1217,2,0),"-")</f>
        <v>-</v>
      </c>
      <c r="J58" s="425"/>
      <c r="K58" s="971" t="s">
        <v>6386</v>
      </c>
      <c r="L58" s="949" t="str">
        <f>IFERROR(VLOOKUP(K58,'Schedule 4'!$J$670:$K$1217,2,0),"-")</f>
        <v>-</v>
      </c>
      <c r="M58" s="425"/>
      <c r="N58" s="971" t="s">
        <v>5057</v>
      </c>
      <c r="O58" s="949" t="str">
        <f>IFERROR(VLOOKUP(N58,'Schedule 4'!$J$670:$K$1217,2,0),"-")</f>
        <v>-</v>
      </c>
      <c r="P58" s="425"/>
      <c r="Q58" s="971" t="s">
        <v>6387</v>
      </c>
      <c r="R58" s="949" t="str">
        <f>IFERROR(VLOOKUP(Q58,'Schedule 4'!$J$670:$K$1217,2,0),"-")</f>
        <v>-</v>
      </c>
      <c r="S58" s="425"/>
    </row>
    <row r="59" spans="2:19" x14ac:dyDescent="0.3">
      <c r="B59" s="971" t="s">
        <v>5107</v>
      </c>
      <c r="C59" s="949" t="str">
        <f>IFERROR(VLOOKUP(B59,'Schedule 4'!$J$670:$K$1217,2,0),"-")</f>
        <v>-</v>
      </c>
      <c r="D59" s="425"/>
      <c r="E59" s="971" t="s">
        <v>6388</v>
      </c>
      <c r="F59" s="949" t="str">
        <f>IFERROR(VLOOKUP(E59,'Schedule 4'!$J$670:$K$1217,2,0),"-")</f>
        <v>-</v>
      </c>
      <c r="G59" s="425"/>
      <c r="H59" s="971" t="s">
        <v>722</v>
      </c>
      <c r="I59" s="949" t="str">
        <f>IFERROR(VLOOKUP(H59,'Schedule 4'!$J$670:$K$1217,2,0),"-")</f>
        <v>-</v>
      </c>
      <c r="J59" s="425"/>
      <c r="K59" s="971" t="s">
        <v>6389</v>
      </c>
      <c r="L59" s="949" t="str">
        <f>IFERROR(VLOOKUP(K59,'Schedule 4'!$J$670:$K$1217,2,0),"-")</f>
        <v>-</v>
      </c>
      <c r="M59" s="425"/>
      <c r="N59" s="971" t="s">
        <v>5170</v>
      </c>
      <c r="O59" s="949" t="str">
        <f>IFERROR(VLOOKUP(N59,'Schedule 4'!$J$670:$K$1217,2,0),"-")</f>
        <v>-</v>
      </c>
      <c r="P59" s="425"/>
      <c r="Q59" s="971" t="s">
        <v>6390</v>
      </c>
      <c r="R59" s="949" t="str">
        <f>IFERROR(VLOOKUP(Q59,'Schedule 4'!$J$670:$K$1217,2,0),"-")</f>
        <v>-</v>
      </c>
      <c r="S59" s="425"/>
    </row>
    <row r="60" spans="2:19" x14ac:dyDescent="0.3">
      <c r="B60" s="971" t="s">
        <v>5110</v>
      </c>
      <c r="C60" s="949" t="str">
        <f>IFERROR(VLOOKUP(B60,'Schedule 4'!$J$670:$K$1217,2,0),"-")</f>
        <v>-</v>
      </c>
      <c r="D60" s="425"/>
      <c r="E60" s="971" t="s">
        <v>6391</v>
      </c>
      <c r="F60" s="949" t="str">
        <f>IFERROR(VLOOKUP(E60,'Schedule 4'!$J$670:$K$1217,2,0),"-")</f>
        <v>-</v>
      </c>
      <c r="G60" s="425"/>
      <c r="H60" s="971" t="s">
        <v>6392</v>
      </c>
      <c r="I60" s="949" t="str">
        <f>IFERROR(VLOOKUP(H60,'Schedule 4'!$J$670:$K$1217,2,0),"-")</f>
        <v>-</v>
      </c>
      <c r="J60" s="425"/>
      <c r="K60" s="971" t="s">
        <v>6393</v>
      </c>
      <c r="L60" s="949" t="str">
        <f>IFERROR(VLOOKUP(K60,'Schedule 4'!$J$670:$K$1217,2,0),"-")</f>
        <v>-</v>
      </c>
      <c r="M60" s="425"/>
      <c r="N60" s="971" t="s">
        <v>5173</v>
      </c>
      <c r="O60" s="949" t="str">
        <f>IFERROR(VLOOKUP(N60,'Schedule 4'!$J$670:$K$1217,2,0),"-")</f>
        <v>-</v>
      </c>
      <c r="P60" s="425"/>
      <c r="Q60" s="971" t="s">
        <v>6394</v>
      </c>
      <c r="R60" s="949" t="str">
        <f>IFERROR(VLOOKUP(Q60,'Schedule 4'!$J$670:$K$1217,2,0),"-")</f>
        <v>-</v>
      </c>
      <c r="S60" s="425"/>
    </row>
    <row r="61" spans="2:19" x14ac:dyDescent="0.3">
      <c r="B61" s="971" t="s">
        <v>5113</v>
      </c>
      <c r="C61" s="949" t="str">
        <f>IFERROR(VLOOKUP(B61,'Schedule 4'!$J$670:$K$1217,2,0),"-")</f>
        <v>-</v>
      </c>
      <c r="D61" s="425"/>
      <c r="E61" s="971" t="s">
        <v>6395</v>
      </c>
      <c r="F61" s="949" t="str">
        <f>IFERROR(VLOOKUP(E61,'Schedule 4'!$J$670:$K$1217,2,0),"-")</f>
        <v>-</v>
      </c>
      <c r="G61" s="425"/>
      <c r="H61" s="971" t="s">
        <v>6396</v>
      </c>
      <c r="I61" s="949" t="str">
        <f>IFERROR(VLOOKUP(H61,'Schedule 4'!$J$670:$K$1217,2,0),"-")</f>
        <v>-</v>
      </c>
      <c r="J61" s="425"/>
      <c r="K61" s="971" t="s">
        <v>6397</v>
      </c>
      <c r="L61" s="949" t="str">
        <f>IFERROR(VLOOKUP(K61,'Schedule 4'!$J$670:$K$1217,2,0),"-")</f>
        <v>-</v>
      </c>
      <c r="M61" s="425"/>
      <c r="N61" s="971" t="s">
        <v>5176</v>
      </c>
      <c r="O61" s="949" t="str">
        <f>IFERROR(VLOOKUP(N61,'Schedule 4'!$J$670:$K$1217,2,0),"-")</f>
        <v>-</v>
      </c>
      <c r="P61" s="425"/>
      <c r="Q61" s="971" t="s">
        <v>6398</v>
      </c>
      <c r="R61" s="949" t="str">
        <f>IFERROR(VLOOKUP(Q61,'Schedule 4'!$J$670:$K$1217,2,0),"-")</f>
        <v>-</v>
      </c>
      <c r="S61" s="425"/>
    </row>
    <row r="62" spans="2:19" x14ac:dyDescent="0.3">
      <c r="B62" s="971" t="s">
        <v>5116</v>
      </c>
      <c r="C62" s="949" t="str">
        <f>IFERROR(VLOOKUP(B62,'Schedule 4'!$J$670:$K$1217,2,0),"-")</f>
        <v>-</v>
      </c>
      <c r="D62" s="425"/>
      <c r="E62" s="971" t="s">
        <v>6399</v>
      </c>
      <c r="F62" s="949" t="str">
        <f>IFERROR(VLOOKUP(E62,'Schedule 4'!$J$670:$K$1217,2,0),"-")</f>
        <v>-</v>
      </c>
      <c r="G62" s="425"/>
      <c r="H62" s="971" t="s">
        <v>6400</v>
      </c>
      <c r="I62" s="949" t="str">
        <f>IFERROR(VLOOKUP(H62,'Schedule 4'!$J$670:$K$1217,2,0),"-")</f>
        <v>-</v>
      </c>
      <c r="J62" s="425"/>
      <c r="K62" s="971" t="s">
        <v>6401</v>
      </c>
      <c r="L62" s="949" t="str">
        <f>IFERROR(VLOOKUP(K62,'Schedule 4'!$J$670:$K$1217,2,0),"-")</f>
        <v>-</v>
      </c>
      <c r="M62" s="425"/>
      <c r="N62" s="971" t="s">
        <v>5179</v>
      </c>
      <c r="O62" s="949" t="str">
        <f>IFERROR(VLOOKUP(N62,'Schedule 4'!$J$670:$K$1217,2,0),"-")</f>
        <v>-</v>
      </c>
      <c r="P62" s="425"/>
      <c r="Q62" s="971" t="s">
        <v>6402</v>
      </c>
      <c r="R62" s="949" t="str">
        <f>IFERROR(VLOOKUP(Q62,'Schedule 4'!$J$670:$K$1217,2,0),"-")</f>
        <v>-</v>
      </c>
      <c r="S62" s="425"/>
    </row>
    <row r="63" spans="2:19" x14ac:dyDescent="0.3">
      <c r="B63" s="971" t="s">
        <v>5119</v>
      </c>
      <c r="C63" s="949" t="str">
        <f>IFERROR(VLOOKUP(B63,'Schedule 4'!$J$670:$K$1217,2,0),"-")</f>
        <v>-</v>
      </c>
      <c r="D63" s="425"/>
      <c r="E63" s="971" t="s">
        <v>6403</v>
      </c>
      <c r="F63" s="949" t="str">
        <f>IFERROR(VLOOKUP(E63,'Schedule 4'!$J$670:$K$1217,2,0),"-")</f>
        <v>-</v>
      </c>
      <c r="G63" s="425"/>
      <c r="H63" s="971" t="s">
        <v>6404</v>
      </c>
      <c r="I63" s="949" t="str">
        <f>IFERROR(VLOOKUP(H63,'Schedule 4'!$J$670:$K$1217,2,0),"-")</f>
        <v>-</v>
      </c>
      <c r="J63" s="425"/>
      <c r="K63" s="971" t="s">
        <v>6405</v>
      </c>
      <c r="L63" s="949" t="str">
        <f>IFERROR(VLOOKUP(K63,'Schedule 4'!$J$670:$K$1217,2,0),"-")</f>
        <v>-</v>
      </c>
      <c r="M63" s="425"/>
      <c r="N63" s="971" t="s">
        <v>5182</v>
      </c>
      <c r="O63" s="949" t="str">
        <f>IFERROR(VLOOKUP(N63,'Schedule 4'!$J$670:$K$1217,2,0),"-")</f>
        <v>-</v>
      </c>
      <c r="P63" s="425"/>
      <c r="Q63" s="971" t="s">
        <v>6406</v>
      </c>
      <c r="R63" s="949" t="str">
        <f>IFERROR(VLOOKUP(Q63,'Schedule 4'!$J$670:$K$1217,2,0),"-")</f>
        <v>-</v>
      </c>
      <c r="S63" s="425"/>
    </row>
    <row r="64" spans="2:19" x14ac:dyDescent="0.3">
      <c r="B64" s="971" t="s">
        <v>5122</v>
      </c>
      <c r="C64" s="949" t="str">
        <f>IFERROR(VLOOKUP(B64,'Schedule 4'!$J$670:$K$1217,2,0),"-")</f>
        <v>-</v>
      </c>
      <c r="D64" s="425"/>
      <c r="E64" s="971" t="s">
        <v>6407</v>
      </c>
      <c r="F64" s="949" t="str">
        <f>IFERROR(VLOOKUP(E64,'Schedule 4'!$J$670:$K$1217,2,0),"-")</f>
        <v>-</v>
      </c>
      <c r="G64" s="425"/>
      <c r="H64" s="971" t="s">
        <v>6408</v>
      </c>
      <c r="I64" s="949" t="str">
        <f>IFERROR(VLOOKUP(H64,'Schedule 4'!$J$670:$K$1217,2,0),"-")</f>
        <v>-</v>
      </c>
      <c r="J64" s="425"/>
      <c r="K64" s="971" t="s">
        <v>6409</v>
      </c>
      <c r="L64" s="949" t="str">
        <f>IFERROR(VLOOKUP(K64,'Schedule 4'!$J$670:$K$1217,2,0),"-")</f>
        <v>-</v>
      </c>
      <c r="M64" s="425"/>
      <c r="N64" s="971" t="s">
        <v>5185</v>
      </c>
      <c r="O64" s="949" t="str">
        <f>IFERROR(VLOOKUP(N64,'Schedule 4'!$J$670:$K$1217,2,0),"-")</f>
        <v>-</v>
      </c>
      <c r="P64" s="425"/>
      <c r="Q64" s="971" t="s">
        <v>6410</v>
      </c>
      <c r="R64" s="949" t="str">
        <f>IFERROR(VLOOKUP(Q64,'Schedule 4'!$J$670:$K$1217,2,0),"-")</f>
        <v>-</v>
      </c>
      <c r="S64" s="425"/>
    </row>
    <row r="65" spans="2:19" x14ac:dyDescent="0.3">
      <c r="B65" s="971" t="s">
        <v>5125</v>
      </c>
      <c r="C65" s="949" t="str">
        <f>IFERROR(VLOOKUP(B65,'Schedule 4'!$J$670:$K$1217,2,0),"-")</f>
        <v>-</v>
      </c>
      <c r="D65" s="425"/>
      <c r="E65" s="971" t="s">
        <v>6411</v>
      </c>
      <c r="F65" s="949" t="str">
        <f>IFERROR(VLOOKUP(E65,'Schedule 4'!$J$670:$K$1217,2,0),"-")</f>
        <v>-</v>
      </c>
      <c r="G65" s="425"/>
      <c r="H65" s="971" t="s">
        <v>6412</v>
      </c>
      <c r="I65" s="949" t="str">
        <f>IFERROR(VLOOKUP(H65,'Schedule 4'!$J$670:$K$1217,2,0),"-")</f>
        <v>-</v>
      </c>
      <c r="J65" s="425"/>
      <c r="K65" s="971" t="s">
        <v>6413</v>
      </c>
      <c r="L65" s="949" t="str">
        <f>IFERROR(VLOOKUP(K65,'Schedule 4'!$J$670:$K$1217,2,0),"-")</f>
        <v>-</v>
      </c>
      <c r="M65" s="425"/>
      <c r="N65" s="971" t="s">
        <v>5396</v>
      </c>
      <c r="O65" s="949" t="str">
        <f>IFERROR(VLOOKUP(N65,'Schedule 4'!$J$670:$K$1217,2,0),"-")</f>
        <v>-</v>
      </c>
      <c r="P65" s="425"/>
      <c r="Q65" s="971" t="s">
        <v>6414</v>
      </c>
      <c r="R65" s="949" t="str">
        <f>IFERROR(VLOOKUP(Q65,'Schedule 4'!$J$670:$K$1217,2,0),"-")</f>
        <v>-</v>
      </c>
      <c r="S65" s="425"/>
    </row>
    <row r="66" spans="2:19" x14ac:dyDescent="0.3">
      <c r="B66" s="971" t="s">
        <v>5127</v>
      </c>
      <c r="C66" s="949" t="str">
        <f>IFERROR(VLOOKUP(B66,'Schedule 4'!$J$670:$K$1217,2,0),"-")</f>
        <v>-</v>
      </c>
      <c r="D66" s="425"/>
      <c r="E66" s="971" t="s">
        <v>6415</v>
      </c>
      <c r="F66" s="949" t="str">
        <f>IFERROR(VLOOKUP(E66,'Schedule 4'!$J$670:$K$1217,2,0),"-")</f>
        <v>-</v>
      </c>
      <c r="G66" s="425"/>
      <c r="H66" s="971" t="s">
        <v>734</v>
      </c>
      <c r="I66" s="949" t="str">
        <f>IFERROR(VLOOKUP(H66,'Schedule 4'!$J$670:$K$1217,2,0),"-")</f>
        <v>-</v>
      </c>
      <c r="J66" s="425"/>
      <c r="K66" s="971" t="s">
        <v>6416</v>
      </c>
      <c r="L66" s="949" t="str">
        <f>IFERROR(VLOOKUP(K66,'Schedule 4'!$J$670:$K$1217,2,0),"-")</f>
        <v>-</v>
      </c>
      <c r="M66" s="425"/>
      <c r="N66" s="971" t="s">
        <v>5398</v>
      </c>
      <c r="O66" s="949" t="str">
        <f>IFERROR(VLOOKUP(N66,'Schedule 4'!$J$670:$K$1217,2,0),"-")</f>
        <v>-</v>
      </c>
      <c r="P66" s="425"/>
      <c r="Q66" s="971" t="s">
        <v>6417</v>
      </c>
      <c r="R66" s="949" t="str">
        <f>IFERROR(VLOOKUP(Q66,'Schedule 4'!$J$670:$K$1217,2,0),"-")</f>
        <v>-</v>
      </c>
      <c r="S66" s="425"/>
    </row>
    <row r="67" spans="2:19" x14ac:dyDescent="0.3">
      <c r="B67" s="971" t="s">
        <v>5130</v>
      </c>
      <c r="C67" s="949" t="str">
        <f>IFERROR(VLOOKUP(B67,'Schedule 4'!$J$670:$K$1217,2,0),"-")</f>
        <v>-</v>
      </c>
      <c r="D67" s="425"/>
      <c r="E67" s="971" t="s">
        <v>6418</v>
      </c>
      <c r="F67" s="949" t="str">
        <f>IFERROR(VLOOKUP(E67,'Schedule 4'!$J$670:$K$1217,2,0),"-")</f>
        <v>-</v>
      </c>
      <c r="G67" s="425"/>
      <c r="H67" s="971" t="s">
        <v>6419</v>
      </c>
      <c r="I67" s="949" t="str">
        <f>IFERROR(VLOOKUP(H67,'Schedule 4'!$J$670:$K$1217,2,0),"-")</f>
        <v>-</v>
      </c>
      <c r="J67" s="425"/>
      <c r="K67" s="971" t="s">
        <v>6420</v>
      </c>
      <c r="L67" s="949" t="str">
        <f>IFERROR(VLOOKUP(K67,'Schedule 4'!$J$670:$K$1217,2,0),"-")</f>
        <v>-</v>
      </c>
      <c r="M67" s="425"/>
      <c r="N67" s="971" t="s">
        <v>5401</v>
      </c>
      <c r="O67" s="949" t="str">
        <f>IFERROR(VLOOKUP(N67,'Schedule 4'!$J$670:$K$1217,2,0),"-")</f>
        <v>-</v>
      </c>
      <c r="P67" s="425"/>
      <c r="Q67" s="971" t="s">
        <v>6421</v>
      </c>
      <c r="R67" s="949" t="str">
        <f>IFERROR(VLOOKUP(Q67,'Schedule 4'!$J$670:$K$1217,2,0),"-")</f>
        <v>-</v>
      </c>
      <c r="S67" s="425"/>
    </row>
    <row r="68" spans="2:19" x14ac:dyDescent="0.3">
      <c r="B68" s="971" t="s">
        <v>5132</v>
      </c>
      <c r="C68" s="949" t="str">
        <f>IFERROR(VLOOKUP(B68,'Schedule 4'!$J$670:$K$1217,2,0),"-")</f>
        <v>-</v>
      </c>
      <c r="D68" s="425"/>
      <c r="E68" s="971" t="s">
        <v>6422</v>
      </c>
      <c r="F68" s="949" t="str">
        <f>IFERROR(VLOOKUP(E68,'Schedule 4'!$J$670:$K$1217,2,0),"-")</f>
        <v>-</v>
      </c>
      <c r="G68" s="425"/>
      <c r="H68" s="971" t="s">
        <v>6423</v>
      </c>
      <c r="I68" s="949" t="str">
        <f>IFERROR(VLOOKUP(H68,'Schedule 4'!$J$670:$K$1217,2,0),"-")</f>
        <v>-</v>
      </c>
      <c r="J68" s="425"/>
      <c r="K68" s="971" t="s">
        <v>6424</v>
      </c>
      <c r="L68" s="949" t="str">
        <f>IFERROR(VLOOKUP(K68,'Schedule 4'!$J$670:$K$1217,2,0),"-")</f>
        <v>-</v>
      </c>
      <c r="M68" s="425"/>
      <c r="N68" s="971" t="s">
        <v>5404</v>
      </c>
      <c r="O68" s="949" t="str">
        <f>IFERROR(VLOOKUP(N68,'Schedule 4'!$J$670:$K$1217,2,0),"-")</f>
        <v>-</v>
      </c>
      <c r="P68" s="425"/>
      <c r="Q68" s="971" t="s">
        <v>6425</v>
      </c>
      <c r="R68" s="949" t="str">
        <f>IFERROR(VLOOKUP(Q68,'Schedule 4'!$J$670:$K$1217,2,0),"-")</f>
        <v>-</v>
      </c>
      <c r="S68" s="425"/>
    </row>
    <row r="69" spans="2:19" x14ac:dyDescent="0.3">
      <c r="B69" s="971" t="s">
        <v>5135</v>
      </c>
      <c r="C69" s="949" t="str">
        <f>IFERROR(VLOOKUP(B69,'Schedule 4'!$J$670:$K$1217,2,0),"-")</f>
        <v>-</v>
      </c>
      <c r="D69" s="425"/>
      <c r="E69" s="971" t="s">
        <v>6426</v>
      </c>
      <c r="F69" s="949" t="str">
        <f>IFERROR(VLOOKUP(E69,'Schedule 4'!$J$670:$K$1217,2,0),"-")</f>
        <v>-</v>
      </c>
      <c r="G69" s="425"/>
      <c r="H69" s="971" t="s">
        <v>6427</v>
      </c>
      <c r="I69" s="949" t="str">
        <f>IFERROR(VLOOKUP(H69,'Schedule 4'!$J$670:$K$1217,2,0),"-")</f>
        <v>-</v>
      </c>
      <c r="J69" s="425"/>
      <c r="K69" s="971" t="s">
        <v>6428</v>
      </c>
      <c r="L69" s="949" t="str">
        <f>IFERROR(VLOOKUP(K69,'Schedule 4'!$J$670:$K$1217,2,0),"-")</f>
        <v>-</v>
      </c>
      <c r="M69" s="425"/>
      <c r="N69" s="971" t="s">
        <v>5557</v>
      </c>
      <c r="O69" s="949" t="str">
        <f>IFERROR(VLOOKUP(N69,'Schedule 4'!$J$670:$K$1217,2,0),"-")</f>
        <v>-</v>
      </c>
      <c r="P69" s="425"/>
      <c r="Q69" s="971" t="s">
        <v>6429</v>
      </c>
      <c r="R69" s="949" t="str">
        <f>IFERROR(VLOOKUP(Q69,'Schedule 4'!$J$670:$K$1217,2,0),"-")</f>
        <v>-</v>
      </c>
      <c r="S69" s="425"/>
    </row>
    <row r="70" spans="2:19" x14ac:dyDescent="0.3">
      <c r="B70" s="971" t="s">
        <v>5138</v>
      </c>
      <c r="C70" s="949" t="str">
        <f>IFERROR(VLOOKUP(B70,'Schedule 4'!$J$670:$K$1217,2,0),"-")</f>
        <v>-</v>
      </c>
      <c r="D70" s="425"/>
      <c r="E70" s="971" t="s">
        <v>6430</v>
      </c>
      <c r="F70" s="949" t="str">
        <f>IFERROR(VLOOKUP(E70,'Schedule 4'!$J$670:$K$1217,2,0),"-")</f>
        <v>-</v>
      </c>
      <c r="G70" s="425"/>
      <c r="H70" s="971" t="s">
        <v>6431</v>
      </c>
      <c r="I70" s="949" t="str">
        <f>IFERROR(VLOOKUP(H70,'Schedule 4'!$J$670:$K$1217,2,0),"-")</f>
        <v>-</v>
      </c>
      <c r="J70" s="425"/>
      <c r="K70" s="971" t="s">
        <v>6432</v>
      </c>
      <c r="L70" s="949" t="str">
        <f>IFERROR(VLOOKUP(K70,'Schedule 4'!$J$670:$K$1217,2,0),"-")</f>
        <v>-</v>
      </c>
      <c r="M70" s="425"/>
      <c r="N70" s="971" t="s">
        <v>5559</v>
      </c>
      <c r="O70" s="949" t="str">
        <f>IFERROR(VLOOKUP(N70,'Schedule 4'!$J$670:$K$1217,2,0),"-")</f>
        <v>-</v>
      </c>
      <c r="P70" s="425"/>
      <c r="Q70" s="971" t="s">
        <v>6433</v>
      </c>
      <c r="R70" s="949" t="str">
        <f>IFERROR(VLOOKUP(Q70,'Schedule 4'!$J$670:$K$1217,2,0),"-")</f>
        <v>-</v>
      </c>
      <c r="S70" s="425"/>
    </row>
    <row r="71" spans="2:19" x14ac:dyDescent="0.3">
      <c r="B71" s="971" t="s">
        <v>5141</v>
      </c>
      <c r="C71" s="949" t="str">
        <f>IFERROR(VLOOKUP(B71,'Schedule 4'!$J$670:$K$1217,2,0),"-")</f>
        <v>-</v>
      </c>
      <c r="D71" s="425"/>
      <c r="E71" s="971" t="s">
        <v>6434</v>
      </c>
      <c r="F71" s="949" t="str">
        <f>IFERROR(VLOOKUP(E71,'Schedule 4'!$J$670:$K$1217,2,0),"-")</f>
        <v>-</v>
      </c>
      <c r="G71" s="425"/>
      <c r="H71" s="971" t="s">
        <v>6435</v>
      </c>
      <c r="I71" s="949" t="str">
        <f>IFERROR(VLOOKUP(H71,'Schedule 4'!$J$670:$K$1217,2,0),"-")</f>
        <v>-</v>
      </c>
      <c r="J71" s="425"/>
      <c r="K71" s="971" t="s">
        <v>6436</v>
      </c>
      <c r="L71" s="949" t="str">
        <f>IFERROR(VLOOKUP(K71,'Schedule 4'!$J$670:$K$1217,2,0),"-")</f>
        <v>-</v>
      </c>
      <c r="M71" s="425"/>
      <c r="N71" s="971" t="s">
        <v>5561</v>
      </c>
      <c r="O71" s="949" t="str">
        <f>IFERROR(VLOOKUP(N71,'Schedule 4'!$J$670:$K$1217,2,0),"-")</f>
        <v>-</v>
      </c>
      <c r="P71" s="425"/>
      <c r="Q71" s="971" t="s">
        <v>6437</v>
      </c>
      <c r="R71" s="949" t="str">
        <f>IFERROR(VLOOKUP(Q71,'Schedule 4'!$J$670:$K$1217,2,0),"-")</f>
        <v>-</v>
      </c>
      <c r="S71" s="425"/>
    </row>
    <row r="72" spans="2:19" x14ac:dyDescent="0.3">
      <c r="B72" s="971" t="s">
        <v>5263</v>
      </c>
      <c r="C72" s="949" t="str">
        <f>IFERROR(VLOOKUP(B72,'Schedule 4'!$J$670:$K$1217,2,0),"-")</f>
        <v>-</v>
      </c>
      <c r="D72" s="425"/>
      <c r="E72" s="971" t="s">
        <v>6438</v>
      </c>
      <c r="F72" s="949" t="str">
        <f>IFERROR(VLOOKUP(E72,'Schedule 4'!$J$670:$K$1217,2,0),"-")</f>
        <v>-</v>
      </c>
      <c r="G72" s="425"/>
      <c r="H72" s="971" t="s">
        <v>6439</v>
      </c>
      <c r="I72" s="949" t="str">
        <f>IFERROR(VLOOKUP(H72,'Schedule 4'!$J$670:$K$1217,2,0),"-")</f>
        <v>-</v>
      </c>
      <c r="J72" s="425"/>
      <c r="K72" s="971" t="s">
        <v>6440</v>
      </c>
      <c r="L72" s="949" t="str">
        <f>IFERROR(VLOOKUP(K72,'Schedule 4'!$J$670:$K$1217,2,0),"-")</f>
        <v>-</v>
      </c>
      <c r="M72" s="425"/>
      <c r="N72" s="971" t="s">
        <v>5563</v>
      </c>
      <c r="O72" s="949" t="str">
        <f>IFERROR(VLOOKUP(N72,'Schedule 4'!$J$670:$K$1217,2,0),"-")</f>
        <v>-</v>
      </c>
      <c r="P72" s="425"/>
      <c r="Q72" s="971" t="s">
        <v>6441</v>
      </c>
      <c r="R72" s="949" t="str">
        <f>IFERROR(VLOOKUP(Q72,'Schedule 4'!$J$670:$K$1217,2,0),"-")</f>
        <v>-</v>
      </c>
      <c r="S72" s="425"/>
    </row>
    <row r="73" spans="2:19" x14ac:dyDescent="0.3">
      <c r="B73" s="971" t="s">
        <v>5265</v>
      </c>
      <c r="C73" s="949" t="str">
        <f>IFERROR(VLOOKUP(B73,'Schedule 4'!$J$670:$K$1217,2,0),"-")</f>
        <v>-</v>
      </c>
      <c r="D73" s="425"/>
      <c r="E73" s="971" t="s">
        <v>6442</v>
      </c>
      <c r="F73" s="949" t="str">
        <f>IFERROR(VLOOKUP(E73,'Schedule 4'!$J$670:$K$1217,2,0),"-")</f>
        <v>-</v>
      </c>
      <c r="G73" s="425"/>
      <c r="H73" s="971" t="s">
        <v>6443</v>
      </c>
      <c r="I73" s="949" t="str">
        <f>IFERROR(VLOOKUP(H73,'Schedule 4'!$J$670:$K$1217,2,0),"-")</f>
        <v>-</v>
      </c>
      <c r="J73" s="425"/>
      <c r="K73" s="971" t="s">
        <v>6444</v>
      </c>
      <c r="L73" s="949" t="str">
        <f>IFERROR(VLOOKUP(K73,'Schedule 4'!$J$670:$K$1217,2,0),"-")</f>
        <v>-</v>
      </c>
      <c r="M73" s="425"/>
      <c r="N73" s="971" t="s">
        <v>5566</v>
      </c>
      <c r="O73" s="949" t="str">
        <f>IFERROR(VLOOKUP(N73,'Schedule 4'!$J$670:$K$1217,2,0),"-")</f>
        <v>-</v>
      </c>
      <c r="P73" s="425"/>
      <c r="Q73" s="971" t="s">
        <v>6445</v>
      </c>
      <c r="R73" s="949" t="str">
        <f>IFERROR(VLOOKUP(Q73,'Schedule 4'!$J$670:$K$1217,2,0),"-")</f>
        <v>-</v>
      </c>
      <c r="S73" s="425"/>
    </row>
    <row r="74" spans="2:19" x14ac:dyDescent="0.3">
      <c r="B74" s="971" t="s">
        <v>5268</v>
      </c>
      <c r="C74" s="949" t="str">
        <f>IFERROR(VLOOKUP(B74,'Schedule 4'!$J$670:$K$1217,2,0),"-")</f>
        <v>-</v>
      </c>
      <c r="D74" s="425"/>
      <c r="E74" s="971" t="s">
        <v>6446</v>
      </c>
      <c r="F74" s="949" t="str">
        <f>IFERROR(VLOOKUP(E74,'Schedule 4'!$J$670:$K$1217,2,0),"-")</f>
        <v>-</v>
      </c>
      <c r="G74" s="425"/>
      <c r="H74" s="971" t="s">
        <v>6447</v>
      </c>
      <c r="I74" s="949" t="str">
        <f>IFERROR(VLOOKUP(H74,'Schedule 4'!$J$670:$K$1217,2,0),"-")</f>
        <v>-</v>
      </c>
      <c r="J74" s="425"/>
      <c r="K74" s="971" t="s">
        <v>6448</v>
      </c>
      <c r="L74" s="949" t="str">
        <f>IFERROR(VLOOKUP(K74,'Schedule 4'!$J$670:$K$1217,2,0),"-")</f>
        <v>-</v>
      </c>
      <c r="M74" s="425"/>
      <c r="N74" s="971" t="s">
        <v>5569</v>
      </c>
      <c r="O74" s="949" t="str">
        <f>IFERROR(VLOOKUP(N74,'Schedule 4'!$J$670:$K$1217,2,0),"-")</f>
        <v>-</v>
      </c>
      <c r="P74" s="425"/>
      <c r="Q74" s="971" t="s">
        <v>6449</v>
      </c>
      <c r="R74" s="949" t="str">
        <f>IFERROR(VLOOKUP(Q74,'Schedule 4'!$J$670:$K$1217,2,0),"-")</f>
        <v>-</v>
      </c>
      <c r="S74" s="425"/>
    </row>
    <row r="75" spans="2:19" x14ac:dyDescent="0.3">
      <c r="B75" s="971" t="s">
        <v>5271</v>
      </c>
      <c r="C75" s="949" t="str">
        <f>IFERROR(VLOOKUP(B75,'Schedule 4'!$J$670:$K$1217,2,0),"-")</f>
        <v>-</v>
      </c>
      <c r="D75" s="425"/>
      <c r="E75" s="971" t="s">
        <v>6450</v>
      </c>
      <c r="F75" s="949" t="str">
        <f>IFERROR(VLOOKUP(E75,'Schedule 4'!$J$670:$K$1217,2,0),"-")</f>
        <v>-</v>
      </c>
      <c r="G75" s="425"/>
      <c r="H75" s="971" t="s">
        <v>6451</v>
      </c>
      <c r="I75" s="949" t="str">
        <f>IFERROR(VLOOKUP(H75,'Schedule 4'!$J$670:$K$1217,2,0),"-")</f>
        <v>-</v>
      </c>
      <c r="J75" s="425"/>
      <c r="K75" s="971" t="s">
        <v>6452</v>
      </c>
      <c r="L75" s="949" t="str">
        <f>IFERROR(VLOOKUP(K75,'Schedule 4'!$J$670:$K$1217,2,0),"-")</f>
        <v>-</v>
      </c>
      <c r="M75" s="425"/>
      <c r="N75" s="971" t="s">
        <v>5572</v>
      </c>
      <c r="O75" s="949" t="str">
        <f>IFERROR(VLOOKUP(N75,'Schedule 4'!$J$670:$K$1217,2,0),"-")</f>
        <v>-</v>
      </c>
      <c r="P75" s="425"/>
      <c r="Q75" s="971" t="s">
        <v>6453</v>
      </c>
      <c r="R75" s="949" t="str">
        <f>IFERROR(VLOOKUP(Q75,'Schedule 4'!$J$670:$K$1217,2,0),"-")</f>
        <v>-</v>
      </c>
      <c r="S75" s="425"/>
    </row>
    <row r="76" spans="2:19" x14ac:dyDescent="0.3">
      <c r="B76" s="971" t="s">
        <v>5274</v>
      </c>
      <c r="C76" s="949" t="str">
        <f>IFERROR(VLOOKUP(B76,'Schedule 4'!$J$670:$K$1217,2,0),"-")</f>
        <v>-</v>
      </c>
      <c r="D76" s="425"/>
      <c r="E76" s="971" t="s">
        <v>6454</v>
      </c>
      <c r="F76" s="949" t="str">
        <f>IFERROR(VLOOKUP(E76,'Schedule 4'!$J$670:$K$1217,2,0),"-")</f>
        <v>-</v>
      </c>
      <c r="G76" s="425"/>
      <c r="H76" s="971" t="s">
        <v>6455</v>
      </c>
      <c r="I76" s="949" t="str">
        <f>IFERROR(VLOOKUP(H76,'Schedule 4'!$J$670:$K$1217,2,0),"-")</f>
        <v>-</v>
      </c>
      <c r="J76" s="425"/>
      <c r="K76" s="971" t="s">
        <v>6456</v>
      </c>
      <c r="L76" s="949" t="str">
        <f>IFERROR(VLOOKUP(K76,'Schedule 4'!$J$670:$K$1217,2,0),"-")</f>
        <v>-</v>
      </c>
      <c r="M76" s="425"/>
      <c r="N76" s="971" t="s">
        <v>5574</v>
      </c>
      <c r="O76" s="949" t="str">
        <f>IFERROR(VLOOKUP(N76,'Schedule 4'!$J$670:$K$1217,2,0),"-")</f>
        <v>-</v>
      </c>
      <c r="P76" s="425"/>
      <c r="Q76" s="971" t="s">
        <v>6457</v>
      </c>
      <c r="R76" s="949" t="str">
        <f>IFERROR(VLOOKUP(Q76,'Schedule 4'!$J$670:$K$1217,2,0),"-")</f>
        <v>-</v>
      </c>
      <c r="S76" s="425"/>
    </row>
    <row r="77" spans="2:19" x14ac:dyDescent="0.3">
      <c r="B77" s="971" t="s">
        <v>5277</v>
      </c>
      <c r="C77" s="949" t="str">
        <f>IFERROR(VLOOKUP(B77,'Schedule 4'!$J$670:$K$1217,2,0),"-")</f>
        <v>-</v>
      </c>
      <c r="D77" s="425"/>
      <c r="E77" s="971" t="s">
        <v>6458</v>
      </c>
      <c r="F77" s="949" t="str">
        <f>IFERROR(VLOOKUP(E77,'Schedule 4'!$J$670:$K$1217,2,0),"-")</f>
        <v>-</v>
      </c>
      <c r="G77" s="425"/>
      <c r="H77" s="971" t="s">
        <v>6459</v>
      </c>
      <c r="I77" s="949" t="str">
        <f>IFERROR(VLOOKUP(H77,'Schedule 4'!$J$670:$K$1217,2,0),"-")</f>
        <v>-</v>
      </c>
      <c r="J77" s="425"/>
      <c r="K77" s="971" t="s">
        <v>6460</v>
      </c>
      <c r="L77" s="949" t="str">
        <f>IFERROR(VLOOKUP(K77,'Schedule 4'!$J$670:$K$1217,2,0),"-")</f>
        <v>-</v>
      </c>
      <c r="M77" s="425"/>
      <c r="N77" s="971" t="s">
        <v>5680</v>
      </c>
      <c r="O77" s="949" t="str">
        <f>IFERROR(VLOOKUP(N77,'Schedule 4'!$J$670:$K$1217,2,0),"-")</f>
        <v>-</v>
      </c>
      <c r="P77" s="425"/>
      <c r="Q77" s="971" t="s">
        <v>6461</v>
      </c>
      <c r="R77" s="949" t="str">
        <f>IFERROR(VLOOKUP(Q77,'Schedule 4'!$J$670:$K$1217,2,0),"-")</f>
        <v>-</v>
      </c>
      <c r="S77" s="425"/>
    </row>
    <row r="78" spans="2:19" ht="13.65" customHeight="1" x14ac:dyDescent="0.3">
      <c r="B78" s="971" t="s">
        <v>5280</v>
      </c>
      <c r="C78" s="949" t="str">
        <f>IFERROR(VLOOKUP(B78,'Schedule 4'!$J$670:$K$1217,2,0),"-")</f>
        <v>-</v>
      </c>
      <c r="D78" s="425"/>
      <c r="E78" s="971" t="s">
        <v>6462</v>
      </c>
      <c r="F78" s="949" t="str">
        <f>IFERROR(VLOOKUP(E78,'Schedule 4'!$J$670:$K$1217,2,0),"-")</f>
        <v>-</v>
      </c>
      <c r="G78" s="425"/>
      <c r="H78" s="971" t="s">
        <v>6463</v>
      </c>
      <c r="I78" s="949" t="str">
        <f>IFERROR(VLOOKUP(H78,'Schedule 4'!$J$670:$K$1217,2,0),"-")</f>
        <v>-</v>
      </c>
      <c r="J78" s="425"/>
      <c r="K78" s="971" t="s">
        <v>6464</v>
      </c>
      <c r="L78" s="949" t="str">
        <f>IFERROR(VLOOKUP(K78,'Schedule 4'!$J$670:$K$1217,2,0),"-")</f>
        <v>-</v>
      </c>
      <c r="M78" s="425"/>
      <c r="N78" s="971" t="s">
        <v>5677</v>
      </c>
      <c r="O78" s="949" t="str">
        <f>IFERROR(VLOOKUP(N78,'Schedule 4'!$J$670:$K$1217,2,0),"-")</f>
        <v>-</v>
      </c>
      <c r="P78" s="425"/>
      <c r="Q78" s="971" t="s">
        <v>6465</v>
      </c>
      <c r="R78" s="949" t="str">
        <f>IFERROR(VLOOKUP(Q78,'Schedule 4'!$J$670:$K$1217,2,0),"-")</f>
        <v>-</v>
      </c>
      <c r="S78" s="425"/>
    </row>
    <row r="79" spans="2:19" x14ac:dyDescent="0.3">
      <c r="B79" s="971" t="s">
        <v>5325</v>
      </c>
      <c r="C79" s="949" t="str">
        <f>IFERROR(VLOOKUP(B79,'Schedule 4'!$J$670:$K$1217,2,0),"-")</f>
        <v>-</v>
      </c>
      <c r="D79" s="425"/>
      <c r="E79" s="971" t="s">
        <v>6466</v>
      </c>
      <c r="F79" s="949" t="str">
        <f>IFERROR(VLOOKUP(E79,'Schedule 4'!$J$670:$K$1217,2,0),"-")</f>
        <v>-</v>
      </c>
      <c r="G79" s="425"/>
      <c r="H79" s="971" t="s">
        <v>6467</v>
      </c>
      <c r="I79" s="949" t="str">
        <f>IFERROR(VLOOKUP(H79,'Schedule 4'!$J$670:$K$1217,2,0),"-")</f>
        <v>-</v>
      </c>
      <c r="J79" s="425"/>
      <c r="K79" s="971" t="s">
        <v>6468</v>
      </c>
      <c r="L79" s="949" t="str">
        <f>IFERROR(VLOOKUP(K79,'Schedule 4'!$J$670:$K$1217,2,0),"-")</f>
        <v>-</v>
      </c>
      <c r="M79" s="425"/>
      <c r="N79" s="971" t="s">
        <v>5075</v>
      </c>
      <c r="O79" s="949" t="str">
        <f>IFERROR(VLOOKUP(N79,'Schedule 4'!$J$670:$K$1217,2,0),"-")</f>
        <v>-</v>
      </c>
      <c r="P79" s="425"/>
      <c r="Q79" s="971" t="s">
        <v>6469</v>
      </c>
      <c r="R79" s="949" t="str">
        <f>IFERROR(VLOOKUP(Q79,'Schedule 4'!$J$670:$K$1217,2,0),"-")</f>
        <v>-</v>
      </c>
      <c r="S79" s="425"/>
    </row>
    <row r="80" spans="2:19" x14ac:dyDescent="0.3">
      <c r="B80" s="971" t="s">
        <v>5322</v>
      </c>
      <c r="C80" s="949" t="str">
        <f>IFERROR(VLOOKUP(B80,'Schedule 4'!$J$670:$K$1217,2,0),"-")</f>
        <v>-</v>
      </c>
      <c r="D80" s="425"/>
      <c r="E80" s="971" t="s">
        <v>6470</v>
      </c>
      <c r="F80" s="949" t="str">
        <f>IFERROR(VLOOKUP(E80,'Schedule 4'!$J$670:$K$1217,2,0),"-")</f>
        <v>-</v>
      </c>
      <c r="G80" s="425"/>
      <c r="H80" s="971" t="s">
        <v>6471</v>
      </c>
      <c r="I80" s="949" t="str">
        <f>IFERROR(VLOOKUP(H80,'Schedule 4'!$J$670:$K$1217,2,0),"-")</f>
        <v>-</v>
      </c>
      <c r="J80" s="425"/>
      <c r="K80" s="971" t="s">
        <v>6472</v>
      </c>
      <c r="L80" s="949" t="str">
        <f>IFERROR(VLOOKUP(K80,'Schedule 4'!$J$670:$K$1217,2,0),"-")</f>
        <v>-</v>
      </c>
      <c r="M80" s="425"/>
      <c r="N80" s="971" t="s">
        <v>5072</v>
      </c>
      <c r="O80" s="949" t="str">
        <f>IFERROR(VLOOKUP(N80,'Schedule 4'!$J$670:$K$1217,2,0),"-")</f>
        <v>-</v>
      </c>
      <c r="P80" s="425"/>
      <c r="Q80" s="971" t="s">
        <v>6473</v>
      </c>
      <c r="R80" s="949" t="str">
        <f>IFERROR(VLOOKUP(Q80,'Schedule 4'!$J$670:$K$1217,2,0),"-")</f>
        <v>-</v>
      </c>
      <c r="S80" s="425"/>
    </row>
    <row r="81" spans="2:19" x14ac:dyDescent="0.3">
      <c r="B81" s="971" t="s">
        <v>5282</v>
      </c>
      <c r="C81" s="949" t="str">
        <f>IFERROR(VLOOKUP(B81,'Schedule 4'!$J$670:$K$1217,2,0),"-")</f>
        <v>-</v>
      </c>
      <c r="D81" s="425"/>
      <c r="E81" s="971" t="s">
        <v>6474</v>
      </c>
      <c r="F81" s="949" t="str">
        <f>IFERROR(VLOOKUP(E81,'Schedule 4'!$J$670:$K$1217,2,0),"-")</f>
        <v>-</v>
      </c>
      <c r="G81" s="425"/>
      <c r="H81" s="971" t="s">
        <v>6475</v>
      </c>
      <c r="I81" s="949" t="str">
        <f>IFERROR(VLOOKUP(H81,'Schedule 4'!$J$670:$K$1217,2,0),"-")</f>
        <v>-</v>
      </c>
      <c r="J81" s="425"/>
      <c r="K81" s="971" t="s">
        <v>6476</v>
      </c>
      <c r="L81" s="949" t="str">
        <f>IFERROR(VLOOKUP(K81,'Schedule 4'!$J$670:$K$1217,2,0),"-")</f>
        <v>-</v>
      </c>
      <c r="M81" s="425"/>
      <c r="N81" s="971" t="s">
        <v>5069</v>
      </c>
      <c r="O81" s="949" t="str">
        <f>IFERROR(VLOOKUP(N81,'Schedule 4'!$J$670:$K$1217,2,0),"-")</f>
        <v>-</v>
      </c>
      <c r="P81" s="425"/>
      <c r="Q81" s="971" t="s">
        <v>6477</v>
      </c>
      <c r="R81" s="949" t="str">
        <f>IFERROR(VLOOKUP(Q81,'Schedule 4'!$J$670:$K$1217,2,0),"-")</f>
        <v>-</v>
      </c>
      <c r="S81" s="425"/>
    </row>
    <row r="82" spans="2:19" x14ac:dyDescent="0.3">
      <c r="B82" s="971" t="s">
        <v>5284</v>
      </c>
      <c r="C82" s="949" t="str">
        <f>IFERROR(VLOOKUP(B82,'Schedule 4'!$J$670:$K$1217,2,0),"-")</f>
        <v>-</v>
      </c>
      <c r="D82" s="425"/>
      <c r="E82" s="971" t="s">
        <v>6478</v>
      </c>
      <c r="F82" s="949" t="str">
        <f>IFERROR(VLOOKUP(E82,'Schedule 4'!$J$670:$K$1217,2,0),"-")</f>
        <v>-</v>
      </c>
      <c r="G82" s="425"/>
      <c r="H82" s="971" t="s">
        <v>6479</v>
      </c>
      <c r="I82" s="949" t="str">
        <f>IFERROR(VLOOKUP(H82,'Schedule 4'!$J$670:$K$1217,2,0),"-")</f>
        <v>-</v>
      </c>
      <c r="J82" s="425"/>
      <c r="K82" s="971" t="s">
        <v>6480</v>
      </c>
      <c r="L82" s="949" t="str">
        <f>IFERROR(VLOOKUP(K82,'Schedule 4'!$J$670:$K$1217,2,0),"-")</f>
        <v>-</v>
      </c>
      <c r="M82" s="425"/>
      <c r="N82" s="971" t="s">
        <v>5066</v>
      </c>
      <c r="O82" s="949" t="str">
        <f>IFERROR(VLOOKUP(N82,'Schedule 4'!$J$670:$K$1217,2,0),"-")</f>
        <v>-</v>
      </c>
      <c r="P82" s="425"/>
      <c r="Q82" s="971" t="s">
        <v>6481</v>
      </c>
      <c r="R82" s="949" t="str">
        <f>IFERROR(VLOOKUP(Q82,'Schedule 4'!$J$670:$K$1217,2,0),"-")</f>
        <v>-</v>
      </c>
      <c r="S82" s="425"/>
    </row>
    <row r="83" spans="2:19" x14ac:dyDescent="0.3">
      <c r="B83" s="971" t="s">
        <v>5286</v>
      </c>
      <c r="C83" s="949" t="str">
        <f>IFERROR(VLOOKUP(B83,'Schedule 4'!$J$670:$K$1217,2,0),"-")</f>
        <v>-</v>
      </c>
      <c r="D83" s="425"/>
      <c r="E83" s="971" t="s">
        <v>6482</v>
      </c>
      <c r="F83" s="949" t="str">
        <f>IFERROR(VLOOKUP(E83,'Schedule 4'!$J$670:$K$1217,2,0),"-")</f>
        <v>-</v>
      </c>
      <c r="G83" s="425"/>
      <c r="H83" s="971" t="s">
        <v>726</v>
      </c>
      <c r="I83" s="949" t="str">
        <f>IFERROR(VLOOKUP(H83,'Schedule 4'!$J$670:$K$1217,2,0),"-")</f>
        <v>-</v>
      </c>
      <c r="J83" s="425"/>
      <c r="K83" s="971" t="s">
        <v>6483</v>
      </c>
      <c r="L83" s="949" t="str">
        <f>IFERROR(VLOOKUP(K83,'Schedule 4'!$J$670:$K$1217,2,0),"-")</f>
        <v>-</v>
      </c>
      <c r="M83" s="425"/>
      <c r="N83" s="971" t="s">
        <v>5063</v>
      </c>
      <c r="O83" s="949" t="str">
        <f>IFERROR(VLOOKUP(N83,'Schedule 4'!$J$670:$K$1217,2,0),"-")</f>
        <v>-</v>
      </c>
      <c r="P83" s="425"/>
      <c r="Q83" s="971" t="s">
        <v>6484</v>
      </c>
      <c r="R83" s="949" t="str">
        <f>IFERROR(VLOOKUP(Q83,'Schedule 4'!$J$670:$K$1217,2,0),"-")</f>
        <v>-</v>
      </c>
      <c r="S83" s="425"/>
    </row>
    <row r="84" spans="2:19" x14ac:dyDescent="0.3">
      <c r="B84" s="971" t="s">
        <v>5288</v>
      </c>
      <c r="C84" s="949" t="str">
        <f>IFERROR(VLOOKUP(B84,'Schedule 4'!$J$670:$K$1217,2,0),"-")</f>
        <v>-</v>
      </c>
      <c r="D84" s="425"/>
      <c r="E84" s="971" t="s">
        <v>6485</v>
      </c>
      <c r="F84" s="949" t="str">
        <f>IFERROR(VLOOKUP(E84,'Schedule 4'!$J$670:$K$1217,2,0),"-")</f>
        <v>-</v>
      </c>
      <c r="G84" s="425"/>
      <c r="H84" s="971" t="s">
        <v>706</v>
      </c>
      <c r="I84" s="949" t="str">
        <f>IFERROR(VLOOKUP(H84,'Schedule 4'!$J$670:$K$1217,2,0),"-")</f>
        <v>-</v>
      </c>
      <c r="J84" s="425"/>
      <c r="K84" s="971" t="s">
        <v>6486</v>
      </c>
      <c r="L84" s="949" t="str">
        <f>IFERROR(VLOOKUP(K84,'Schedule 4'!$J$670:$K$1217,2,0),"-")</f>
        <v>-</v>
      </c>
      <c r="M84" s="425"/>
      <c r="N84" s="971" t="s">
        <v>5060</v>
      </c>
      <c r="O84" s="949" t="str">
        <f>IFERROR(VLOOKUP(N84,'Schedule 4'!$J$670:$K$1217,2,0),"-")</f>
        <v>-</v>
      </c>
      <c r="P84" s="425"/>
      <c r="Q84" s="971" t="s">
        <v>6487</v>
      </c>
      <c r="R84" s="949" t="str">
        <f>IFERROR(VLOOKUP(Q84,'Schedule 4'!$J$670:$K$1217,2,0),"-")</f>
        <v>-</v>
      </c>
      <c r="S84" s="425"/>
    </row>
    <row r="85" spans="2:19" x14ac:dyDescent="0.3">
      <c r="B85" s="971" t="s">
        <v>5290</v>
      </c>
      <c r="C85" s="949" t="str">
        <f>IFERROR(VLOOKUP(B85,'Schedule 4'!$J$670:$K$1217,2,0),"-")</f>
        <v>-</v>
      </c>
      <c r="D85" s="425"/>
      <c r="E85" s="971" t="s">
        <v>6488</v>
      </c>
      <c r="F85" s="949" t="str">
        <f>IFERROR(VLOOKUP(E85,'Schedule 4'!$J$670:$K$1217,2,0),"-")</f>
        <v>-</v>
      </c>
      <c r="G85" s="425"/>
      <c r="H85" s="971" t="s">
        <v>680</v>
      </c>
      <c r="I85" s="949" t="str">
        <f>IFERROR(VLOOKUP(H85,'Schedule 4'!$J$670:$K$1217,2,0),"-")</f>
        <v>-</v>
      </c>
      <c r="J85" s="425"/>
      <c r="K85" s="971" t="s">
        <v>6489</v>
      </c>
      <c r="L85" s="949" t="str">
        <f>IFERROR(VLOOKUP(K85,'Schedule 4'!$J$670:$K$1217,2,0),"-")</f>
        <v>-</v>
      </c>
      <c r="M85" s="425"/>
      <c r="N85" s="971" t="s">
        <v>4988</v>
      </c>
      <c r="O85" s="949" t="str">
        <f>IFERROR(VLOOKUP(N85,'Schedule 4'!$J$670:$K$1217,2,0),"-")</f>
        <v>-</v>
      </c>
      <c r="P85" s="425"/>
      <c r="Q85" s="971" t="s">
        <v>6490</v>
      </c>
      <c r="R85" s="949" t="str">
        <f>IFERROR(VLOOKUP(Q85,'Schedule 4'!$J$670:$K$1217,2,0),"-")</f>
        <v>-</v>
      </c>
      <c r="S85" s="425"/>
    </row>
    <row r="86" spans="2:19" x14ac:dyDescent="0.3">
      <c r="B86" s="971" t="s">
        <v>5293</v>
      </c>
      <c r="C86" s="949" t="str">
        <f>IFERROR(VLOOKUP(B86,'Schedule 4'!$J$670:$K$1217,2,0),"-")</f>
        <v>-</v>
      </c>
      <c r="D86" s="425"/>
      <c r="E86" s="971" t="s">
        <v>6491</v>
      </c>
      <c r="F86" s="949" t="str">
        <f>IFERROR(VLOOKUP(E86,'Schedule 4'!$J$670:$K$1217,2,0),"-")</f>
        <v>-</v>
      </c>
      <c r="G86" s="425"/>
      <c r="H86" s="971" t="s">
        <v>642</v>
      </c>
      <c r="I86" s="949" t="str">
        <f>IFERROR(VLOOKUP(H86,'Schedule 4'!$J$670:$K$1217,2,0),"-")</f>
        <v>-</v>
      </c>
      <c r="J86" s="425"/>
      <c r="K86" s="971" t="s">
        <v>6492</v>
      </c>
      <c r="L86" s="949" t="str">
        <f>IFERROR(VLOOKUP(K86,'Schedule 4'!$J$670:$K$1217,2,0),"-")</f>
        <v>-</v>
      </c>
      <c r="M86" s="425"/>
      <c r="N86" s="971" t="s">
        <v>4986</v>
      </c>
      <c r="O86" s="949" t="str">
        <f>IFERROR(VLOOKUP(N86,'Schedule 4'!$J$670:$K$1217,2,0),"-")</f>
        <v>-</v>
      </c>
      <c r="P86" s="425"/>
      <c r="Q86" s="971" t="s">
        <v>6493</v>
      </c>
      <c r="R86" s="949" t="str">
        <f>IFERROR(VLOOKUP(Q86,'Schedule 4'!$J$670:$K$1217,2,0),"-")</f>
        <v>-</v>
      </c>
      <c r="S86" s="425"/>
    </row>
    <row r="87" spans="2:19" x14ac:dyDescent="0.3">
      <c r="B87" s="971" t="s">
        <v>5296</v>
      </c>
      <c r="C87" s="949" t="str">
        <f>IFERROR(VLOOKUP(B87,'Schedule 4'!$J$670:$K$1217,2,0),"-")</f>
        <v>-</v>
      </c>
      <c r="D87" s="425"/>
      <c r="E87" s="971" t="s">
        <v>6494</v>
      </c>
      <c r="F87" s="949" t="str">
        <f>IFERROR(VLOOKUP(E87,'Schedule 4'!$J$670:$K$1217,2,0),"-")</f>
        <v>-</v>
      </c>
      <c r="G87" s="425"/>
      <c r="H87" s="971" t="s">
        <v>573</v>
      </c>
      <c r="I87" s="949" t="str">
        <f>IFERROR(VLOOKUP(H87,'Schedule 4'!$J$670:$K$1217,2,0),"-")</f>
        <v>-</v>
      </c>
      <c r="J87" s="425"/>
      <c r="K87" s="971" t="s">
        <v>6495</v>
      </c>
      <c r="L87" s="949" t="str">
        <f>IFERROR(VLOOKUP(K87,'Schedule 4'!$J$670:$K$1217,2,0),"-")</f>
        <v>-</v>
      </c>
      <c r="M87" s="425"/>
      <c r="N87" s="971" t="s">
        <v>4983</v>
      </c>
      <c r="O87" s="949" t="str">
        <f>IFERROR(VLOOKUP(N87,'Schedule 4'!$J$670:$K$1217,2,0),"-")</f>
        <v>-</v>
      </c>
      <c r="P87" s="425"/>
      <c r="Q87" s="971" t="s">
        <v>6496</v>
      </c>
      <c r="R87" s="949" t="str">
        <f>IFERROR(VLOOKUP(Q87,'Schedule 4'!$J$670:$K$1217,2,0),"-")</f>
        <v>-</v>
      </c>
      <c r="S87" s="425"/>
    </row>
    <row r="88" spans="2:19" x14ac:dyDescent="0.3">
      <c r="B88" s="971" t="s">
        <v>5162</v>
      </c>
      <c r="C88" s="949" t="str">
        <f>IFERROR(VLOOKUP(B88,'Schedule 4'!$J$670:$K$1217,2,0),"-")</f>
        <v>-</v>
      </c>
      <c r="D88" s="425"/>
      <c r="E88" s="971" t="s">
        <v>6497</v>
      </c>
      <c r="F88" s="949" t="str">
        <f>IFERROR(VLOOKUP(E88,'Schedule 4'!$J$670:$K$1217,2,0),"-")</f>
        <v>-</v>
      </c>
      <c r="G88" s="425"/>
      <c r="H88" s="971" t="s">
        <v>546</v>
      </c>
      <c r="I88" s="949" t="str">
        <f>IFERROR(VLOOKUP(H88,'Schedule 4'!$J$670:$K$1217,2,0),"-")</f>
        <v>-</v>
      </c>
      <c r="J88" s="425"/>
      <c r="K88" s="971" t="s">
        <v>6498</v>
      </c>
      <c r="L88" s="949" t="str">
        <f>IFERROR(VLOOKUP(K88,'Schedule 4'!$J$670:$K$1217,2,0),"-")</f>
        <v>-</v>
      </c>
      <c r="M88" s="425"/>
      <c r="N88" s="971" t="s">
        <v>4980</v>
      </c>
      <c r="O88" s="949" t="str">
        <f>IFERROR(VLOOKUP(N88,'Schedule 4'!$J$670:$K$1217,2,0),"-")</f>
        <v>-</v>
      </c>
      <c r="P88" s="425"/>
      <c r="Q88" s="971" t="s">
        <v>6499</v>
      </c>
      <c r="R88" s="949" t="str">
        <f>IFERROR(VLOOKUP(Q88,'Schedule 4'!$J$670:$K$1217,2,0),"-")</f>
        <v>-</v>
      </c>
      <c r="S88" s="425"/>
    </row>
    <row r="89" spans="2:19" x14ac:dyDescent="0.3">
      <c r="B89" s="971" t="s">
        <v>5159</v>
      </c>
      <c r="C89" s="949" t="str">
        <f>IFERROR(VLOOKUP(B89,'Schedule 4'!$J$670:$K$1217,2,0),"-")</f>
        <v>-</v>
      </c>
      <c r="D89" s="425"/>
      <c r="E89" s="971" t="s">
        <v>6500</v>
      </c>
      <c r="F89" s="949" t="str">
        <f>IFERROR(VLOOKUP(E89,'Schedule 4'!$J$670:$K$1217,2,0),"-")</f>
        <v>-</v>
      </c>
      <c r="G89" s="425"/>
      <c r="H89" s="971" t="s">
        <v>5891</v>
      </c>
      <c r="I89" s="949" t="str">
        <f>IFERROR(VLOOKUP(H89,'Schedule 4'!$J$670:$K$1217,2,0),"-")</f>
        <v>-</v>
      </c>
      <c r="J89" s="425"/>
      <c r="K89" s="971" t="s">
        <v>6501</v>
      </c>
      <c r="L89" s="949" t="str">
        <f>IFERROR(VLOOKUP(K89,'Schedule 4'!$J$670:$K$1217,2,0),"-")</f>
        <v>-</v>
      </c>
      <c r="M89" s="425"/>
      <c r="N89" s="971" t="s">
        <v>4977</v>
      </c>
      <c r="O89" s="949" t="str">
        <f>IFERROR(VLOOKUP(N89,'Schedule 4'!$J$670:$K$1217,2,0),"-")</f>
        <v>-</v>
      </c>
      <c r="P89" s="425"/>
      <c r="Q89" s="971" t="s">
        <v>6502</v>
      </c>
      <c r="R89" s="949" t="str">
        <f>IFERROR(VLOOKUP(Q89,'Schedule 4'!$J$670:$K$1217,2,0),"-")</f>
        <v>-</v>
      </c>
      <c r="S89" s="425"/>
    </row>
    <row r="90" spans="2:19" x14ac:dyDescent="0.3">
      <c r="B90" s="971" t="s">
        <v>5617</v>
      </c>
      <c r="C90" s="949" t="str">
        <f>IFERROR(VLOOKUP(B90,'Schedule 4'!$J$670:$K$1217,2,0),"-")</f>
        <v>-</v>
      </c>
      <c r="D90" s="425"/>
      <c r="E90" s="971" t="s">
        <v>6503</v>
      </c>
      <c r="F90" s="949" t="str">
        <f>IFERROR(VLOOKUP(E90,'Schedule 4'!$J$670:$K$1217,2,0),"-")</f>
        <v>-</v>
      </c>
      <c r="G90" s="425"/>
      <c r="H90" s="971" t="s">
        <v>6504</v>
      </c>
      <c r="I90" s="949" t="str">
        <f>IFERROR(VLOOKUP(H90,'Schedule 4'!$J$670:$K$1217,2,0),"-")</f>
        <v>-</v>
      </c>
      <c r="J90" s="425"/>
      <c r="K90" s="971" t="s">
        <v>6505</v>
      </c>
      <c r="L90" s="949" t="str">
        <f>IFERROR(VLOOKUP(K90,'Schedule 4'!$J$670:$K$1217,2,0),"-")</f>
        <v>-</v>
      </c>
      <c r="M90" s="425"/>
      <c r="N90" s="971" t="s">
        <v>6506</v>
      </c>
      <c r="O90" s="949" t="str">
        <f>IFERROR(VLOOKUP(N90,'Schedule 4'!$J$670:$K$1217,2,0),"-")</f>
        <v>-</v>
      </c>
      <c r="P90" s="425"/>
      <c r="Q90" s="971" t="s">
        <v>6507</v>
      </c>
      <c r="R90" s="949" t="str">
        <f>IFERROR(VLOOKUP(Q90,'Schedule 4'!$J$670:$K$1217,2,0),"-")</f>
        <v>-</v>
      </c>
      <c r="S90" s="425"/>
    </row>
    <row r="91" spans="2:19" x14ac:dyDescent="0.3">
      <c r="B91" s="971" t="s">
        <v>5614</v>
      </c>
      <c r="C91" s="949" t="str">
        <f>IFERROR(VLOOKUP(B91,'Schedule 4'!$J$670:$K$1217,2,0),"-")</f>
        <v>-</v>
      </c>
      <c r="D91" s="425"/>
      <c r="E91" s="971" t="s">
        <v>6508</v>
      </c>
      <c r="F91" s="949" t="str">
        <f>IFERROR(VLOOKUP(E91,'Schedule 4'!$J$670:$K$1217,2,0),"-")</f>
        <v>-</v>
      </c>
      <c r="G91" s="425"/>
      <c r="H91" s="971" t="s">
        <v>6509</v>
      </c>
      <c r="I91" s="949" t="str">
        <f>IFERROR(VLOOKUP(H91,'Schedule 4'!$J$670:$K$1217,2,0),"-")</f>
        <v>-</v>
      </c>
      <c r="J91" s="425"/>
      <c r="K91" s="971" t="s">
        <v>6510</v>
      </c>
      <c r="L91" s="949" t="str">
        <f>IFERROR(VLOOKUP(K91,'Schedule 4'!$J$670:$K$1217,2,0),"-")</f>
        <v>-</v>
      </c>
      <c r="M91" s="425"/>
      <c r="N91" s="971" t="s">
        <v>6511</v>
      </c>
      <c r="O91" s="949" t="str">
        <f>IFERROR(VLOOKUP(N91,'Schedule 4'!$J$670:$K$1217,2,0),"-")</f>
        <v>-</v>
      </c>
      <c r="P91" s="425"/>
      <c r="Q91" s="971" t="s">
        <v>6512</v>
      </c>
      <c r="R91" s="949" t="str">
        <f>IFERROR(VLOOKUP(Q91,'Schedule 4'!$J$670:$K$1217,2,0),"-")</f>
        <v>-</v>
      </c>
      <c r="S91" s="425"/>
    </row>
    <row r="92" spans="2:19" x14ac:dyDescent="0.3">
      <c r="B92" s="971" t="s">
        <v>5611</v>
      </c>
      <c r="C92" s="949" t="str">
        <f>IFERROR(VLOOKUP(B92,'Schedule 4'!$J$670:$K$1217,2,0),"-")</f>
        <v>-</v>
      </c>
      <c r="D92" s="425"/>
      <c r="E92" s="971" t="s">
        <v>6513</v>
      </c>
      <c r="F92" s="949" t="str">
        <f>IFERROR(VLOOKUP(E92,'Schedule 4'!$J$670:$K$1217,2,0),"-")</f>
        <v>-</v>
      </c>
      <c r="G92" s="425"/>
      <c r="H92" s="971" t="s">
        <v>6514</v>
      </c>
      <c r="I92" s="949" t="str">
        <f>IFERROR(VLOOKUP(H92,'Schedule 4'!$J$670:$K$1217,2,0),"-")</f>
        <v>-</v>
      </c>
      <c r="J92" s="425"/>
      <c r="K92" s="971" t="s">
        <v>6515</v>
      </c>
      <c r="L92" s="949" t="str">
        <f>IFERROR(VLOOKUP(K92,'Schedule 4'!$J$670:$K$1217,2,0),"-")</f>
        <v>-</v>
      </c>
      <c r="M92" s="425"/>
      <c r="N92" s="971" t="s">
        <v>6516</v>
      </c>
      <c r="O92" s="949" t="str">
        <f>IFERROR(VLOOKUP(N92,'Schedule 4'!$J$670:$K$1217,2,0),"-")</f>
        <v>-</v>
      </c>
      <c r="P92" s="425"/>
      <c r="Q92" s="971" t="s">
        <v>6517</v>
      </c>
      <c r="R92" s="949" t="str">
        <f>IFERROR(VLOOKUP(Q92,'Schedule 4'!$J$670:$K$1217,2,0),"-")</f>
        <v>-</v>
      </c>
      <c r="S92" s="425"/>
    </row>
    <row r="93" spans="2:19" x14ac:dyDescent="0.3">
      <c r="B93" s="971" t="s">
        <v>5608</v>
      </c>
      <c r="C93" s="949" t="str">
        <f>IFERROR(VLOOKUP(B93,'Schedule 4'!$J$670:$K$1217,2,0),"-")</f>
        <v>-</v>
      </c>
      <c r="D93" s="425"/>
      <c r="E93" s="971" t="s">
        <v>6518</v>
      </c>
      <c r="F93" s="949" t="str">
        <f>IFERROR(VLOOKUP(E93,'Schedule 4'!$J$670:$K$1217,2,0),"-")</f>
        <v>-</v>
      </c>
      <c r="G93" s="425"/>
      <c r="H93" s="971" t="s">
        <v>6519</v>
      </c>
      <c r="I93" s="949" t="str">
        <f>IFERROR(VLOOKUP(H93,'Schedule 4'!$J$670:$K$1217,2,0),"-")</f>
        <v>-</v>
      </c>
      <c r="J93" s="425"/>
      <c r="K93" s="971" t="s">
        <v>6520</v>
      </c>
      <c r="L93" s="949" t="str">
        <f>IFERROR(VLOOKUP(K93,'Schedule 4'!$J$670:$K$1217,2,0),"-")</f>
        <v>-</v>
      </c>
      <c r="M93" s="425"/>
      <c r="N93" s="971" t="s">
        <v>740</v>
      </c>
      <c r="O93" s="949" t="str">
        <f>IFERROR(VLOOKUP(N93,'Schedule 4'!$J$670:$K$1217,2,0),"-")</f>
        <v>-</v>
      </c>
      <c r="P93" s="425"/>
      <c r="Q93" s="971" t="s">
        <v>6521</v>
      </c>
      <c r="R93" s="949" t="str">
        <f>IFERROR(VLOOKUP(Q93,'Schedule 4'!$J$670:$K$1217,2,0),"-")</f>
        <v>-</v>
      </c>
      <c r="S93" s="425"/>
    </row>
    <row r="94" spans="2:19" x14ac:dyDescent="0.3">
      <c r="B94" s="971" t="s">
        <v>5489</v>
      </c>
      <c r="C94" s="949" t="str">
        <f>IFERROR(VLOOKUP(B94,'Schedule 4'!$J$670:$K$1217,2,0),"-")</f>
        <v>-</v>
      </c>
      <c r="D94" s="425"/>
      <c r="E94" s="971" t="s">
        <v>6522</v>
      </c>
      <c r="F94" s="949" t="str">
        <f>IFERROR(VLOOKUP(E94,'Schedule 4'!$J$670:$K$1217,2,0),"-")</f>
        <v>-</v>
      </c>
      <c r="G94" s="425"/>
      <c r="H94" s="971" t="s">
        <v>6523</v>
      </c>
      <c r="I94" s="949" t="str">
        <f>IFERROR(VLOOKUP(H94,'Schedule 4'!$J$670:$K$1217,2,0),"-")</f>
        <v>-</v>
      </c>
      <c r="J94" s="425"/>
      <c r="K94" s="971" t="s">
        <v>6524</v>
      </c>
      <c r="L94" s="949" t="str">
        <f>IFERROR(VLOOKUP(K94,'Schedule 4'!$J$670:$K$1217,2,0),"-")</f>
        <v>-</v>
      </c>
      <c r="M94" s="425"/>
      <c r="N94" s="971" t="s">
        <v>738</v>
      </c>
      <c r="O94" s="949" t="str">
        <f>IFERROR(VLOOKUP(N94,'Schedule 4'!$J$670:$K$1217,2,0),"-")</f>
        <v>-</v>
      </c>
      <c r="P94" s="425"/>
      <c r="Q94" s="971" t="s">
        <v>6525</v>
      </c>
      <c r="R94" s="949" t="str">
        <f>IFERROR(VLOOKUP(Q94,'Schedule 4'!$J$670:$K$1217,2,0),"-")</f>
        <v>-</v>
      </c>
      <c r="S94" s="425"/>
    </row>
    <row r="95" spans="2:19" x14ac:dyDescent="0.3">
      <c r="B95" s="971" t="s">
        <v>5486</v>
      </c>
      <c r="C95" s="949" t="str">
        <f>IFERROR(VLOOKUP(B95,'Schedule 4'!$J$670:$K$1217,2,0),"-")</f>
        <v>-</v>
      </c>
      <c r="D95" s="425"/>
      <c r="E95" s="971" t="s">
        <v>6526</v>
      </c>
      <c r="F95" s="949" t="str">
        <f>IFERROR(VLOOKUP(E95,'Schedule 4'!$J$670:$K$1217,2,0),"-")</f>
        <v>-</v>
      </c>
      <c r="G95" s="425"/>
      <c r="H95" s="971" t="s">
        <v>6527</v>
      </c>
      <c r="I95" s="949" t="str">
        <f>IFERROR(VLOOKUP(H95,'Schedule 4'!$J$670:$K$1217,2,0),"-")</f>
        <v>-</v>
      </c>
      <c r="J95" s="425"/>
      <c r="K95" s="971" t="s">
        <v>6528</v>
      </c>
      <c r="L95" s="949" t="str">
        <f>IFERROR(VLOOKUP(K95,'Schedule 4'!$J$670:$K$1217,2,0),"-")</f>
        <v>-</v>
      </c>
      <c r="M95" s="425"/>
      <c r="N95" s="971" t="s">
        <v>674</v>
      </c>
      <c r="O95" s="949" t="str">
        <f>IFERROR(VLOOKUP(N95,'Schedule 4'!$J$670:$K$1217,2,0),"-")</f>
        <v>-</v>
      </c>
      <c r="P95" s="425"/>
      <c r="Q95" s="971" t="s">
        <v>6529</v>
      </c>
      <c r="R95" s="949" t="str">
        <f>IFERROR(VLOOKUP(Q95,'Schedule 4'!$J$670:$K$1217,2,0),"-")</f>
        <v>-</v>
      </c>
      <c r="S95" s="425"/>
    </row>
    <row r="96" spans="2:19" x14ac:dyDescent="0.3">
      <c r="B96" s="971" t="s">
        <v>5484</v>
      </c>
      <c r="C96" s="949" t="str">
        <f>IFERROR(VLOOKUP(B96,'Schedule 4'!$J$670:$K$1217,2,0),"-")</f>
        <v>-</v>
      </c>
      <c r="D96" s="425"/>
      <c r="E96" s="971" t="s">
        <v>6530</v>
      </c>
      <c r="F96" s="949" t="str">
        <f>IFERROR(VLOOKUP(E96,'Schedule 4'!$J$670:$K$1217,2,0),"-")</f>
        <v>-</v>
      </c>
      <c r="G96" s="425"/>
      <c r="H96" s="971" t="s">
        <v>6531</v>
      </c>
      <c r="I96" s="949" t="str">
        <f>IFERROR(VLOOKUP(H96,'Schedule 4'!$J$670:$K$1217,2,0),"-")</f>
        <v>-</v>
      </c>
      <c r="J96" s="425"/>
      <c r="K96" s="971" t="s">
        <v>6532</v>
      </c>
      <c r="L96" s="949" t="str">
        <f>IFERROR(VLOOKUP(K96,'Schedule 4'!$J$670:$K$1217,2,0),"-")</f>
        <v>-</v>
      </c>
      <c r="M96" s="425"/>
      <c r="N96" s="971" t="s">
        <v>628</v>
      </c>
      <c r="O96" s="949" t="str">
        <f>IFERROR(VLOOKUP(N96,'Schedule 4'!$J$670:$K$1217,2,0),"-")</f>
        <v>-</v>
      </c>
      <c r="P96" s="425"/>
      <c r="Q96" s="971" t="s">
        <v>6533</v>
      </c>
      <c r="R96" s="949" t="str">
        <f>IFERROR(VLOOKUP(Q96,'Schedule 4'!$J$670:$K$1217,2,0),"-")</f>
        <v>-</v>
      </c>
      <c r="S96" s="425"/>
    </row>
    <row r="97" spans="2:19" x14ac:dyDescent="0.3">
      <c r="B97" s="971" t="s">
        <v>5603</v>
      </c>
      <c r="C97" s="949" t="str">
        <f>IFERROR(VLOOKUP(B97,'Schedule 4'!$J$670:$K$1217,2,0),"-")</f>
        <v>-</v>
      </c>
      <c r="D97" s="425"/>
      <c r="E97" s="971" t="s">
        <v>6534</v>
      </c>
      <c r="F97" s="949" t="str">
        <f>IFERROR(VLOOKUP(E97,'Schedule 4'!$J$670:$K$1217,2,0),"-")</f>
        <v>-</v>
      </c>
      <c r="G97" s="425"/>
      <c r="H97" s="971" t="s">
        <v>6535</v>
      </c>
      <c r="I97" s="949" t="str">
        <f>IFERROR(VLOOKUP(H97,'Schedule 4'!$J$670:$K$1217,2,0),"-")</f>
        <v>-</v>
      </c>
      <c r="J97" s="425"/>
      <c r="K97" s="971" t="s">
        <v>6536</v>
      </c>
      <c r="L97" s="949" t="str">
        <f>IFERROR(VLOOKUP(K97,'Schedule 4'!$J$670:$K$1217,2,0),"-")</f>
        <v>-</v>
      </c>
      <c r="M97" s="425"/>
      <c r="N97" s="971" t="s">
        <v>6537</v>
      </c>
      <c r="O97" s="949" t="str">
        <f>IFERROR(VLOOKUP(N97,'Schedule 4'!$J$670:$K$1217,2,0),"-")</f>
        <v>-</v>
      </c>
      <c r="P97" s="425"/>
      <c r="Q97" s="971" t="s">
        <v>6538</v>
      </c>
      <c r="R97" s="949" t="str">
        <f>IFERROR(VLOOKUP(Q97,'Schedule 4'!$J$670:$K$1217,2,0),"-")</f>
        <v>-</v>
      </c>
      <c r="S97" s="425"/>
    </row>
    <row r="98" spans="2:19" x14ac:dyDescent="0.3">
      <c r="B98" s="971" t="s">
        <v>5606</v>
      </c>
      <c r="C98" s="949" t="str">
        <f>IFERROR(VLOOKUP(B98,'Schedule 4'!$J$670:$K$1217,2,0),"-")</f>
        <v>-</v>
      </c>
      <c r="D98" s="425"/>
      <c r="E98" s="971" t="s">
        <v>6539</v>
      </c>
      <c r="F98" s="949" t="str">
        <f>IFERROR(VLOOKUP(E98,'Schedule 4'!$J$670:$K$1217,2,0),"-")</f>
        <v>-</v>
      </c>
      <c r="G98" s="425"/>
      <c r="H98" s="971" t="s">
        <v>6540</v>
      </c>
      <c r="I98" s="949" t="str">
        <f>IFERROR(VLOOKUP(H98,'Schedule 4'!$J$670:$K$1217,2,0),"-")</f>
        <v>-</v>
      </c>
      <c r="J98" s="425"/>
      <c r="K98" s="971" t="s">
        <v>6541</v>
      </c>
      <c r="L98" s="949" t="str">
        <f>IFERROR(VLOOKUP(K98,'Schedule 4'!$J$670:$K$1217,2,0),"-")</f>
        <v>-</v>
      </c>
      <c r="M98" s="425"/>
      <c r="N98" s="971" t="s">
        <v>6542</v>
      </c>
      <c r="O98" s="949" t="str">
        <f>IFERROR(VLOOKUP(N98,'Schedule 4'!$J$670:$K$1217,2,0),"-")</f>
        <v>-</v>
      </c>
      <c r="P98" s="425"/>
      <c r="Q98" s="971" t="s">
        <v>6543</v>
      </c>
      <c r="R98" s="949" t="str">
        <f>IFERROR(VLOOKUP(Q98,'Schedule 4'!$J$670:$K$1217,2,0),"-")</f>
        <v>-</v>
      </c>
      <c r="S98" s="425"/>
    </row>
    <row r="99" spans="2:19" x14ac:dyDescent="0.3">
      <c r="B99" s="971" t="s">
        <v>5753</v>
      </c>
      <c r="C99" s="949" t="str">
        <f>IFERROR(VLOOKUP(B99,'Schedule 4'!$J$670:$K$1217,2,0),"-")</f>
        <v>-</v>
      </c>
      <c r="D99" s="425"/>
      <c r="E99" s="971" t="s">
        <v>6544</v>
      </c>
      <c r="F99" s="949" t="str">
        <f>IFERROR(VLOOKUP(E99,'Schedule 4'!$J$670:$K$1217,2,0),"-")</f>
        <v>-</v>
      </c>
      <c r="G99" s="425"/>
      <c r="H99" s="971" t="s">
        <v>6545</v>
      </c>
      <c r="I99" s="949" t="str">
        <f>IFERROR(VLOOKUP(H99,'Schedule 4'!$J$670:$K$1217,2,0),"-")</f>
        <v>-</v>
      </c>
      <c r="J99" s="425"/>
      <c r="K99" s="971" t="s">
        <v>6546</v>
      </c>
      <c r="L99" s="949" t="str">
        <f>IFERROR(VLOOKUP(K99,'Schedule 4'!$J$670:$K$1217,2,0),"-")</f>
        <v>-</v>
      </c>
      <c r="M99" s="425"/>
      <c r="N99" s="971" t="s">
        <v>6547</v>
      </c>
      <c r="O99" s="949" t="str">
        <f>IFERROR(VLOOKUP(N99,'Schedule 4'!$J$670:$K$1217,2,0),"-")</f>
        <v>-</v>
      </c>
      <c r="P99" s="425"/>
      <c r="Q99" s="971" t="s">
        <v>6548</v>
      </c>
      <c r="R99" s="949" t="str">
        <f>IFERROR(VLOOKUP(Q99,'Schedule 4'!$J$670:$K$1217,2,0),"-")</f>
        <v>-</v>
      </c>
      <c r="S99" s="425"/>
    </row>
    <row r="100" spans="2:19" x14ac:dyDescent="0.3">
      <c r="B100" s="971" t="s">
        <v>5755</v>
      </c>
      <c r="C100" s="949" t="str">
        <f>IFERROR(VLOOKUP(B100,'Schedule 4'!$J$670:$K$1217,2,0),"-")</f>
        <v>-</v>
      </c>
      <c r="D100" s="425"/>
      <c r="E100" s="971" t="s">
        <v>6549</v>
      </c>
      <c r="F100" s="949" t="str">
        <f>IFERROR(VLOOKUP(E100,'Schedule 4'!$J$670:$K$1217,2,0),"-")</f>
        <v>-</v>
      </c>
      <c r="G100" s="425"/>
      <c r="H100" s="971" t="s">
        <v>6550</v>
      </c>
      <c r="I100" s="949" t="str">
        <f>IFERROR(VLOOKUP(H100,'Schedule 4'!$J$670:$K$1217,2,0),"-")</f>
        <v>-</v>
      </c>
      <c r="J100" s="425"/>
      <c r="K100" s="971" t="s">
        <v>6551</v>
      </c>
      <c r="L100" s="949" t="str">
        <f>IFERROR(VLOOKUP(K100,'Schedule 4'!$J$670:$K$1217,2,0),"-")</f>
        <v>-</v>
      </c>
      <c r="M100" s="425"/>
      <c r="N100" s="971" t="s">
        <v>6552</v>
      </c>
      <c r="O100" s="949" t="str">
        <f>IFERROR(VLOOKUP(N100,'Schedule 4'!$J$670:$K$1217,2,0),"-")</f>
        <v>-</v>
      </c>
      <c r="P100" s="425"/>
      <c r="Q100" s="971" t="s">
        <v>6553</v>
      </c>
      <c r="R100" s="949" t="str">
        <f>IFERROR(VLOOKUP(Q100,'Schedule 4'!$J$670:$K$1217,2,0),"-")</f>
        <v>-</v>
      </c>
      <c r="S100" s="425"/>
    </row>
    <row r="101" spans="2:19" x14ac:dyDescent="0.3">
      <c r="B101" s="971" t="s">
        <v>5758</v>
      </c>
      <c r="C101" s="949" t="str">
        <f>IFERROR(VLOOKUP(B101,'Schedule 4'!$J$670:$K$1217,2,0),"-")</f>
        <v>-</v>
      </c>
      <c r="D101" s="425"/>
      <c r="E101" s="971" t="s">
        <v>6554</v>
      </c>
      <c r="F101" s="949" t="str">
        <f>IFERROR(VLOOKUP(E101,'Schedule 4'!$J$670:$K$1217,2,0),"-")</f>
        <v>-</v>
      </c>
      <c r="G101" s="425"/>
      <c r="H101" s="971" t="s">
        <v>6555</v>
      </c>
      <c r="I101" s="949" t="str">
        <f>IFERROR(VLOOKUP(H101,'Schedule 4'!$J$670:$K$1217,2,0),"-")</f>
        <v>-</v>
      </c>
      <c r="J101" s="425"/>
      <c r="K101" s="971" t="s">
        <v>6556</v>
      </c>
      <c r="L101" s="949" t="str">
        <f>IFERROR(VLOOKUP(K101,'Schedule 4'!$J$670:$K$1217,2,0),"-")</f>
        <v>-</v>
      </c>
      <c r="M101" s="425"/>
      <c r="N101" s="971" t="s">
        <v>6557</v>
      </c>
      <c r="O101" s="949" t="str">
        <f>IFERROR(VLOOKUP(N101,'Schedule 4'!$J$670:$K$1217,2,0),"-")</f>
        <v>-</v>
      </c>
      <c r="P101" s="425"/>
      <c r="Q101" s="971" t="s">
        <v>6558</v>
      </c>
      <c r="R101" s="949" t="str">
        <f>IFERROR(VLOOKUP(Q101,'Schedule 4'!$J$670:$K$1217,2,0),"-")</f>
        <v>-</v>
      </c>
      <c r="S101" s="425"/>
    </row>
    <row r="102" spans="2:19" x14ac:dyDescent="0.3">
      <c r="B102" s="971" t="s">
        <v>5761</v>
      </c>
      <c r="C102" s="949" t="str">
        <f>IFERROR(VLOOKUP(B102,'Schedule 4'!$J$670:$K$1217,2,0),"-")</f>
        <v>-</v>
      </c>
      <c r="D102" s="425"/>
      <c r="E102" s="971" t="s">
        <v>6559</v>
      </c>
      <c r="F102" s="949" t="str">
        <f>IFERROR(VLOOKUP(E102,'Schedule 4'!$J$670:$K$1217,2,0),"-")</f>
        <v>-</v>
      </c>
      <c r="G102" s="425"/>
      <c r="H102" s="971" t="s">
        <v>6560</v>
      </c>
      <c r="I102" s="949" t="str">
        <f>IFERROR(VLOOKUP(H102,'Schedule 4'!$J$670:$K$1217,2,0),"-")</f>
        <v>-</v>
      </c>
      <c r="J102" s="425"/>
      <c r="K102" s="971" t="s">
        <v>6561</v>
      </c>
      <c r="L102" s="949" t="str">
        <f>IFERROR(VLOOKUP(K102,'Schedule 4'!$J$670:$K$1217,2,0),"-")</f>
        <v>-</v>
      </c>
      <c r="M102" s="425"/>
      <c r="N102" s="971" t="s">
        <v>6562</v>
      </c>
      <c r="O102" s="949" t="str">
        <f>IFERROR(VLOOKUP(N102,'Schedule 4'!$J$670:$K$1217,2,0),"-")</f>
        <v>-</v>
      </c>
      <c r="P102" s="425"/>
      <c r="Q102" s="971" t="s">
        <v>6563</v>
      </c>
      <c r="R102" s="949" t="str">
        <f>IFERROR(VLOOKUP(Q102,'Schedule 4'!$J$670:$K$1217,2,0),"-")</f>
        <v>-</v>
      </c>
      <c r="S102" s="425"/>
    </row>
    <row r="103" spans="2:19" x14ac:dyDescent="0.3">
      <c r="B103" s="971" t="s">
        <v>5764</v>
      </c>
      <c r="C103" s="949" t="str">
        <f>IFERROR(VLOOKUP(B103,'Schedule 4'!$J$670:$K$1217,2,0),"-")</f>
        <v>-</v>
      </c>
      <c r="D103" s="425"/>
      <c r="E103" s="971" t="s">
        <v>6564</v>
      </c>
      <c r="F103" s="949" t="str">
        <f>IFERROR(VLOOKUP(E103,'Schedule 4'!$J$670:$K$1217,2,0),"-")</f>
        <v>-</v>
      </c>
      <c r="G103" s="425"/>
      <c r="H103" s="971" t="s">
        <v>6565</v>
      </c>
      <c r="I103" s="949" t="str">
        <f>IFERROR(VLOOKUP(H103,'Schedule 4'!$J$670:$K$1217,2,0),"-")</f>
        <v>-</v>
      </c>
      <c r="J103" s="425"/>
      <c r="K103" s="971" t="s">
        <v>6566</v>
      </c>
      <c r="L103" s="949" t="str">
        <f>IFERROR(VLOOKUP(K103,'Schedule 4'!$J$670:$K$1217,2,0),"-")</f>
        <v>-</v>
      </c>
      <c r="M103" s="425"/>
      <c r="N103" s="971" t="s">
        <v>6567</v>
      </c>
      <c r="O103" s="949" t="str">
        <f>IFERROR(VLOOKUP(N103,'Schedule 4'!$J$670:$K$1217,2,0),"-")</f>
        <v>-</v>
      </c>
      <c r="P103" s="425"/>
      <c r="Q103" s="971" t="s">
        <v>6568</v>
      </c>
      <c r="R103" s="949" t="str">
        <f>IFERROR(VLOOKUP(Q103,'Schedule 4'!$J$670:$K$1217,2,0),"-")</f>
        <v>-</v>
      </c>
      <c r="S103" s="425"/>
    </row>
    <row r="104" spans="2:19" x14ac:dyDescent="0.3">
      <c r="B104" s="971" t="s">
        <v>5328</v>
      </c>
      <c r="C104" s="949" t="str">
        <f>IFERROR(VLOOKUP(B104,'Schedule 4'!$J$670:$K$1217,2,0),"-")</f>
        <v>-</v>
      </c>
      <c r="D104" s="425"/>
      <c r="E104" s="971" t="s">
        <v>6569</v>
      </c>
      <c r="F104" s="949" t="str">
        <f>IFERROR(VLOOKUP(E104,'Schedule 4'!$J$670:$K$1217,2,0),"-")</f>
        <v>-</v>
      </c>
      <c r="G104" s="425"/>
      <c r="H104" s="971" t="s">
        <v>5767</v>
      </c>
      <c r="I104" s="949" t="str">
        <f>IFERROR(VLOOKUP(H104,'Schedule 4'!$J$670:$K$1217,2,0),"-")</f>
        <v>-</v>
      </c>
      <c r="J104" s="425"/>
      <c r="K104" s="971" t="s">
        <v>6570</v>
      </c>
      <c r="L104" s="949" t="str">
        <f>IFERROR(VLOOKUP(K104,'Schedule 4'!$J$670:$K$1217,2,0),"-")</f>
        <v>-</v>
      </c>
      <c r="M104" s="425"/>
      <c r="N104" s="971" t="s">
        <v>5576</v>
      </c>
      <c r="O104" s="949" t="str">
        <f>IFERROR(VLOOKUP(N104,'Schedule 4'!$J$670:$K$1217,2,0),"-")</f>
        <v>-</v>
      </c>
      <c r="P104" s="425"/>
      <c r="Q104" s="971" t="s">
        <v>6571</v>
      </c>
      <c r="R104" s="949" t="str">
        <f>IFERROR(VLOOKUP(Q104,'Schedule 4'!$J$670:$K$1217,2,0),"-")</f>
        <v>-</v>
      </c>
      <c r="S104" s="425"/>
    </row>
    <row r="105" spans="2:19" x14ac:dyDescent="0.3">
      <c r="B105" s="971" t="s">
        <v>5331</v>
      </c>
      <c r="C105" s="949" t="str">
        <f>IFERROR(VLOOKUP(B105,'Schedule 4'!$J$670:$K$1217,2,0),"-")</f>
        <v>-</v>
      </c>
      <c r="D105" s="425"/>
      <c r="E105" s="971" t="s">
        <v>6572</v>
      </c>
      <c r="F105" s="949" t="str">
        <f>IFERROR(VLOOKUP(E105,'Schedule 4'!$J$670:$K$1217,2,0),"-")</f>
        <v>-</v>
      </c>
      <c r="G105" s="425"/>
      <c r="H105" s="971" t="s">
        <v>5770</v>
      </c>
      <c r="I105" s="949" t="str">
        <f>IFERROR(VLOOKUP(H105,'Schedule 4'!$J$670:$K$1217,2,0),"-")</f>
        <v>-</v>
      </c>
      <c r="J105" s="425"/>
      <c r="K105" s="971" t="s">
        <v>6573</v>
      </c>
      <c r="L105" s="949" t="str">
        <f>IFERROR(VLOOKUP(K105,'Schedule 4'!$J$670:$K$1217,2,0),"-")</f>
        <v>-</v>
      </c>
      <c r="M105" s="425"/>
      <c r="N105" s="971" t="s">
        <v>5703</v>
      </c>
      <c r="O105" s="949" t="str">
        <f>IFERROR(VLOOKUP(N105,'Schedule 4'!$J$670:$K$1217,2,0),"-")</f>
        <v>-</v>
      </c>
      <c r="P105" s="425"/>
      <c r="Q105" s="971" t="s">
        <v>6574</v>
      </c>
      <c r="R105" s="949" t="str">
        <f>IFERROR(VLOOKUP(Q105,'Schedule 4'!$J$670:$K$1217,2,0),"-")</f>
        <v>-</v>
      </c>
      <c r="S105" s="425"/>
    </row>
    <row r="106" spans="2:19" x14ac:dyDescent="0.3">
      <c r="B106" s="971" t="s">
        <v>5467</v>
      </c>
      <c r="C106" s="949" t="str">
        <f>IFERROR(VLOOKUP(B106,'Schedule 4'!$J$670:$K$1217,2,0),"-")</f>
        <v>-</v>
      </c>
      <c r="D106" s="425"/>
      <c r="E106" s="971" t="s">
        <v>6575</v>
      </c>
      <c r="F106" s="949" t="str">
        <f>IFERROR(VLOOKUP(E106,'Schedule 4'!$J$670:$K$1217,2,0),"-")</f>
        <v>-</v>
      </c>
      <c r="G106" s="425"/>
      <c r="H106" s="971" t="s">
        <v>5772</v>
      </c>
      <c r="I106" s="949" t="str">
        <f>IFERROR(VLOOKUP(H106,'Schedule 4'!$J$670:$K$1217,2,0),"-")</f>
        <v>-</v>
      </c>
      <c r="J106" s="425"/>
      <c r="K106" s="971" t="s">
        <v>6576</v>
      </c>
      <c r="L106" s="949" t="str">
        <f>IFERROR(VLOOKUP(K106,'Schedule 4'!$J$670:$K$1217,2,0),"-")</f>
        <v>-</v>
      </c>
      <c r="M106" s="425"/>
      <c r="N106" s="971" t="s">
        <v>5701</v>
      </c>
      <c r="O106" s="949" t="str">
        <f>IFERROR(VLOOKUP(N106,'Schedule 4'!$J$670:$K$1217,2,0),"-")</f>
        <v>-</v>
      </c>
      <c r="P106" s="425"/>
      <c r="Q106" s="971" t="s">
        <v>6577</v>
      </c>
      <c r="R106" s="949" t="str">
        <f>IFERROR(VLOOKUP(Q106,'Schedule 4'!$J$670:$K$1217,2,0),"-")</f>
        <v>-</v>
      </c>
      <c r="S106" s="425"/>
    </row>
    <row r="107" spans="2:19" x14ac:dyDescent="0.3">
      <c r="B107" s="971" t="s">
        <v>5470</v>
      </c>
      <c r="C107" s="949" t="str">
        <f>IFERROR(VLOOKUP(B107,'Schedule 4'!$J$670:$K$1217,2,0),"-")</f>
        <v>-</v>
      </c>
      <c r="D107" s="425"/>
      <c r="E107" s="971" t="s">
        <v>6578</v>
      </c>
      <c r="F107" s="949" t="str">
        <f>IFERROR(VLOOKUP(E107,'Schedule 4'!$J$670:$K$1217,2,0),"-")</f>
        <v>-</v>
      </c>
      <c r="G107" s="425"/>
      <c r="H107" s="971" t="s">
        <v>5775</v>
      </c>
      <c r="I107" s="949" t="str">
        <f>IFERROR(VLOOKUP(H107,'Schedule 4'!$J$670:$K$1217,2,0),"-")</f>
        <v>-</v>
      </c>
      <c r="J107" s="425"/>
      <c r="K107" s="971" t="s">
        <v>6579</v>
      </c>
      <c r="L107" s="949" t="str">
        <f>IFERROR(VLOOKUP(K107,'Schedule 4'!$J$670:$K$1217,2,0),"-")</f>
        <v>-</v>
      </c>
      <c r="M107" s="425"/>
      <c r="N107" s="971" t="s">
        <v>5699</v>
      </c>
      <c r="O107" s="949" t="str">
        <f>IFERROR(VLOOKUP(N107,'Schedule 4'!$J$670:$K$1217,2,0),"-")</f>
        <v>-</v>
      </c>
      <c r="P107" s="425"/>
      <c r="Q107" s="971" t="s">
        <v>6580</v>
      </c>
      <c r="R107" s="949" t="str">
        <f>IFERROR(VLOOKUP(Q107,'Schedule 4'!$J$670:$K$1217,2,0),"-")</f>
        <v>-</v>
      </c>
      <c r="S107" s="425"/>
    </row>
    <row r="108" spans="2:19" x14ac:dyDescent="0.3">
      <c r="B108" s="971" t="s">
        <v>5473</v>
      </c>
      <c r="C108" s="949" t="str">
        <f>IFERROR(VLOOKUP(B108,'Schedule 4'!$J$670:$K$1217,2,0),"-")</f>
        <v>-</v>
      </c>
      <c r="D108" s="425"/>
      <c r="E108" s="971" t="s">
        <v>6581</v>
      </c>
      <c r="F108" s="949" t="str">
        <f>IFERROR(VLOOKUP(E108,'Schedule 4'!$J$670:$K$1217,2,0),"-")</f>
        <v>-</v>
      </c>
      <c r="G108" s="425"/>
      <c r="H108" s="971" t="s">
        <v>5778</v>
      </c>
      <c r="I108" s="949" t="str">
        <f>IFERROR(VLOOKUP(H108,'Schedule 4'!$J$670:$K$1217,2,0),"-")</f>
        <v>-</v>
      </c>
      <c r="J108" s="425"/>
      <c r="K108" s="971" t="s">
        <v>6582</v>
      </c>
      <c r="L108" s="949" t="str">
        <f>IFERROR(VLOOKUP(K108,'Schedule 4'!$J$670:$K$1217,2,0),"-")</f>
        <v>-</v>
      </c>
      <c r="M108" s="425"/>
      <c r="N108" s="971" t="s">
        <v>5696</v>
      </c>
      <c r="O108" s="949" t="str">
        <f>IFERROR(VLOOKUP(N108,'Schedule 4'!$J$670:$K$1217,2,0),"-")</f>
        <v>-</v>
      </c>
      <c r="P108" s="425"/>
      <c r="Q108" s="971" t="s">
        <v>6583</v>
      </c>
      <c r="R108" s="949" t="str">
        <f>IFERROR(VLOOKUP(Q108,'Schedule 4'!$J$670:$K$1217,2,0),"-")</f>
        <v>-</v>
      </c>
      <c r="S108" s="425"/>
    </row>
    <row r="109" spans="2:19" x14ac:dyDescent="0.3">
      <c r="B109" s="971" t="s">
        <v>5476</v>
      </c>
      <c r="C109" s="949" t="str">
        <f>IFERROR(VLOOKUP(B109,'Schedule 4'!$J$670:$K$1217,2,0),"-")</f>
        <v>-</v>
      </c>
      <c r="D109" s="425"/>
      <c r="E109" s="971" t="s">
        <v>6584</v>
      </c>
      <c r="F109" s="949" t="str">
        <f>IFERROR(VLOOKUP(E109,'Schedule 4'!$J$670:$K$1217,2,0),"-")</f>
        <v>-</v>
      </c>
      <c r="G109" s="425"/>
      <c r="H109" s="971" t="s">
        <v>5879</v>
      </c>
      <c r="I109" s="949" t="str">
        <f>IFERROR(VLOOKUP(H109,'Schedule 4'!$J$670:$K$1217,2,0),"-")</f>
        <v>-</v>
      </c>
      <c r="J109" s="425"/>
      <c r="K109" s="971" t="s">
        <v>6585</v>
      </c>
      <c r="L109" s="949" t="str">
        <f>IFERROR(VLOOKUP(K109,'Schedule 4'!$J$670:$K$1217,2,0),"-")</f>
        <v>-</v>
      </c>
      <c r="M109" s="425"/>
      <c r="N109" s="971" t="s">
        <v>5693</v>
      </c>
      <c r="O109" s="949" t="str">
        <f>IFERROR(VLOOKUP(N109,'Schedule 4'!$J$670:$K$1217,2,0),"-")</f>
        <v>-</v>
      </c>
      <c r="P109" s="425"/>
      <c r="Q109" s="971" t="s">
        <v>6586</v>
      </c>
      <c r="R109" s="949" t="str">
        <f>IFERROR(VLOOKUP(Q109,'Schedule 4'!$J$670:$K$1217,2,0),"-")</f>
        <v>-</v>
      </c>
      <c r="S109" s="425"/>
    </row>
    <row r="110" spans="2:19" x14ac:dyDescent="0.3">
      <c r="B110" s="971" t="s">
        <v>5479</v>
      </c>
      <c r="C110" s="949" t="str">
        <f>IFERROR(VLOOKUP(B110,'Schedule 4'!$J$670:$K$1217,2,0),"-")</f>
        <v>-</v>
      </c>
      <c r="D110" s="425"/>
      <c r="E110" s="971" t="s">
        <v>6587</v>
      </c>
      <c r="F110" s="949" t="str">
        <f>IFERROR(VLOOKUP(E110,'Schedule 4'!$J$670:$K$1217,2,0),"-")</f>
        <v>-</v>
      </c>
      <c r="G110" s="425"/>
      <c r="H110" s="971" t="s">
        <v>5882</v>
      </c>
      <c r="I110" s="949" t="str">
        <f>IFERROR(VLOOKUP(H110,'Schedule 4'!$J$670:$K$1217,2,0),"-")</f>
        <v>-</v>
      </c>
      <c r="J110" s="425"/>
      <c r="K110" s="971" t="s">
        <v>6588</v>
      </c>
      <c r="L110" s="949" t="str">
        <f>IFERROR(VLOOKUP(K110,'Schedule 4'!$J$670:$K$1217,2,0),"-")</f>
        <v>-</v>
      </c>
      <c r="M110" s="425"/>
      <c r="N110" s="971" t="s">
        <v>5690</v>
      </c>
      <c r="O110" s="949" t="str">
        <f>IFERROR(VLOOKUP(N110,'Schedule 4'!$J$670:$K$1217,2,0),"-")</f>
        <v>-</v>
      </c>
      <c r="P110" s="425"/>
      <c r="Q110" s="971" t="s">
        <v>6589</v>
      </c>
      <c r="R110" s="949" t="str">
        <f>IFERROR(VLOOKUP(Q110,'Schedule 4'!$J$670:$K$1217,2,0),"-")</f>
        <v>-</v>
      </c>
      <c r="S110" s="425"/>
    </row>
    <row r="111" spans="2:19" x14ac:dyDescent="0.3">
      <c r="B111" s="971" t="s">
        <v>5481</v>
      </c>
      <c r="C111" s="949" t="str">
        <f>IFERROR(VLOOKUP(B111,'Schedule 4'!$J$670:$K$1217,2,0),"-")</f>
        <v>-</v>
      </c>
      <c r="D111" s="425"/>
      <c r="E111" s="971" t="s">
        <v>6590</v>
      </c>
      <c r="F111" s="949" t="str">
        <f>IFERROR(VLOOKUP(E111,'Schedule 4'!$J$670:$K$1217,2,0),"-")</f>
        <v>-</v>
      </c>
      <c r="G111" s="425"/>
      <c r="H111" s="971" t="s">
        <v>5885</v>
      </c>
      <c r="I111" s="949" t="str">
        <f>IFERROR(VLOOKUP(H111,'Schedule 4'!$J$670:$K$1217,2,0),"-")</f>
        <v>-</v>
      </c>
      <c r="J111" s="425"/>
      <c r="K111" s="971" t="s">
        <v>6591</v>
      </c>
      <c r="L111" s="949" t="str">
        <f>IFERROR(VLOOKUP(K111,'Schedule 4'!$J$670:$K$1217,2,0),"-")</f>
        <v>-</v>
      </c>
      <c r="M111" s="425"/>
      <c r="N111" s="971" t="s">
        <v>5687</v>
      </c>
      <c r="O111" s="949" t="str">
        <f>IFERROR(VLOOKUP(N111,'Schedule 4'!$J$670:$K$1217,2,0),"-")</f>
        <v>-</v>
      </c>
      <c r="P111" s="425"/>
      <c r="Q111" s="971" t="s">
        <v>6592</v>
      </c>
      <c r="R111" s="949" t="str">
        <f>IFERROR(VLOOKUP(Q111,'Schedule 4'!$J$670:$K$1217,2,0),"-")</f>
        <v>-</v>
      </c>
      <c r="S111" s="425"/>
    </row>
    <row r="112" spans="2:19" x14ac:dyDescent="0.3">
      <c r="B112" s="971" t="s">
        <v>5594</v>
      </c>
      <c r="C112" s="949" t="str">
        <f>IFERROR(VLOOKUP(B112,'Schedule 4'!$J$670:$K$1217,2,0),"-")</f>
        <v>-</v>
      </c>
      <c r="D112" s="425"/>
      <c r="E112" s="971" t="s">
        <v>6593</v>
      </c>
      <c r="F112" s="949" t="str">
        <f>IFERROR(VLOOKUP(E112,'Schedule 4'!$J$670:$K$1217,2,0),"-")</f>
        <v>-</v>
      </c>
      <c r="G112" s="425"/>
      <c r="H112" s="971" t="s">
        <v>5888</v>
      </c>
      <c r="I112" s="949" t="str">
        <f>IFERROR(VLOOKUP(H112,'Schedule 4'!$J$670:$K$1217,2,0),"-")</f>
        <v>-</v>
      </c>
      <c r="J112" s="425"/>
      <c r="K112" s="971" t="s">
        <v>6594</v>
      </c>
      <c r="L112" s="949" t="str">
        <f>IFERROR(VLOOKUP(K112,'Schedule 4'!$J$670:$K$1217,2,0),"-")</f>
        <v>-</v>
      </c>
      <c r="M112" s="425"/>
      <c r="N112" s="971" t="s">
        <v>5684</v>
      </c>
      <c r="O112" s="949" t="str">
        <f>IFERROR(VLOOKUP(N112,'Schedule 4'!$J$670:$K$1217,2,0),"-")</f>
        <v>-</v>
      </c>
      <c r="P112" s="425"/>
      <c r="Q112" s="971" t="s">
        <v>6595</v>
      </c>
      <c r="R112" s="949" t="str">
        <f>IFERROR(VLOOKUP(Q112,'Schedule 4'!$J$670:$K$1217,2,0),"-")</f>
        <v>-</v>
      </c>
      <c r="S112" s="425"/>
    </row>
    <row r="113" spans="2:19" x14ac:dyDescent="0.3">
      <c r="B113" s="971" t="s">
        <v>5597</v>
      </c>
      <c r="C113" s="949" t="str">
        <f>IFERROR(VLOOKUP(B113,'Schedule 4'!$J$670:$K$1217,2,0),"-")</f>
        <v>-</v>
      </c>
      <c r="D113" s="425"/>
      <c r="E113" s="971" t="s">
        <v>6596</v>
      </c>
      <c r="F113" s="949" t="str">
        <f>IFERROR(VLOOKUP(E113,'Schedule 4'!$J$670:$K$1217,2,0),"-")</f>
        <v>-</v>
      </c>
      <c r="G113" s="425"/>
      <c r="H113" s="971" t="s">
        <v>585</v>
      </c>
      <c r="I113" s="949" t="str">
        <f>IFERROR(VLOOKUP(H113,'Schedule 4'!$J$670:$K$1217,2,0),"-")</f>
        <v>-</v>
      </c>
      <c r="J113" s="425"/>
      <c r="K113" s="971" t="s">
        <v>6597</v>
      </c>
      <c r="L113" s="949" t="str">
        <f>IFERROR(VLOOKUP(K113,'Schedule 4'!$J$670:$K$1217,2,0),"-")</f>
        <v>-</v>
      </c>
      <c r="M113" s="425"/>
      <c r="N113" s="971" t="s">
        <v>5682</v>
      </c>
      <c r="O113" s="949" t="str">
        <f>IFERROR(VLOOKUP(N113,'Schedule 4'!$J$670:$K$1217,2,0),"-")</f>
        <v>-</v>
      </c>
      <c r="P113" s="425"/>
      <c r="Q113" s="971" t="s">
        <v>6598</v>
      </c>
      <c r="R113" s="949" t="str">
        <f>IFERROR(VLOOKUP(Q113,'Schedule 4'!$J$670:$K$1217,2,0),"-")</f>
        <v>-</v>
      </c>
      <c r="S113" s="425"/>
    </row>
    <row r="114" spans="2:19" x14ac:dyDescent="0.3">
      <c r="B114" s="971" t="s">
        <v>5600</v>
      </c>
      <c r="C114" s="949" t="str">
        <f>IFERROR(VLOOKUP(B114,'Schedule 4'!$J$670:$K$1217,2,0),"-")</f>
        <v>-</v>
      </c>
      <c r="D114" s="425"/>
      <c r="E114" s="971" t="s">
        <v>6599</v>
      </c>
      <c r="F114" s="949" t="str">
        <f>IFERROR(VLOOKUP(E114,'Schedule 4'!$J$670:$K$1217,2,0),"-")</f>
        <v>-</v>
      </c>
      <c r="G114" s="425"/>
      <c r="H114" s="971" t="s">
        <v>622</v>
      </c>
      <c r="I114" s="949" t="str">
        <f>IFERROR(VLOOKUP(H114,'Schedule 4'!$J$670:$K$1217,2,0),"-")</f>
        <v>-</v>
      </c>
      <c r="J114" s="425"/>
      <c r="K114" s="971" t="s">
        <v>6600</v>
      </c>
      <c r="L114" s="949" t="str">
        <f>IFERROR(VLOOKUP(K114,'Schedule 4'!$J$670:$K$1217,2,0),"-")</f>
        <v>-</v>
      </c>
      <c r="M114" s="425"/>
      <c r="N114" s="971" t="s">
        <v>5833</v>
      </c>
      <c r="O114" s="949" t="str">
        <f>IFERROR(VLOOKUP(N114,'Schedule 4'!$J$670:$K$1217,2,0),"-")</f>
        <v>-</v>
      </c>
      <c r="P114" s="425"/>
      <c r="Q114" s="971" t="s">
        <v>6601</v>
      </c>
      <c r="R114" s="949" t="str">
        <f>IFERROR(VLOOKUP(Q114,'Schedule 4'!$J$670:$K$1217,2,0),"-")</f>
        <v>-</v>
      </c>
      <c r="S114" s="425"/>
    </row>
    <row r="115" spans="2:19" x14ac:dyDescent="0.3">
      <c r="B115" s="971" t="s">
        <v>650</v>
      </c>
      <c r="C115" s="949" t="str">
        <f>IFERROR(VLOOKUP(B115,'Schedule 4'!$J$670:$K$1217,2,0),"-")</f>
        <v>-</v>
      </c>
      <c r="D115" s="425"/>
      <c r="E115" s="971" t="s">
        <v>6602</v>
      </c>
      <c r="F115" s="949" t="str">
        <f>IFERROR(VLOOKUP(E115,'Schedule 4'!$J$670:$K$1217,2,0),"-")</f>
        <v>-</v>
      </c>
      <c r="G115" s="425"/>
      <c r="H115" s="971" t="s">
        <v>5039</v>
      </c>
      <c r="I115" s="949" t="str">
        <f>IFERROR(VLOOKUP(H115,'Schedule 4'!$J$670:$K$1217,2,0),"-")</f>
        <v>-</v>
      </c>
      <c r="J115" s="425"/>
      <c r="K115" s="971" t="s">
        <v>610</v>
      </c>
      <c r="L115" s="949" t="str">
        <f>IFERROR(VLOOKUP(K115,'Schedule 4'!$J$670:$K$1217,2,0),"-")</f>
        <v>-</v>
      </c>
      <c r="M115" s="425"/>
      <c r="N115" s="971" t="s">
        <v>5410</v>
      </c>
      <c r="O115" s="949" t="str">
        <f>IFERROR(VLOOKUP(N115,'Schedule 4'!$J$670:$K$1217,2,0),"-")</f>
        <v>-</v>
      </c>
      <c r="P115" s="425"/>
      <c r="Q115" s="971" t="s">
        <v>6603</v>
      </c>
      <c r="R115" s="949" t="str">
        <f>IFERROR(VLOOKUP(Q115,'Schedule 4'!$J$670:$K$1217,2,0),"-")</f>
        <v>-</v>
      </c>
      <c r="S115" s="425"/>
    </row>
    <row r="116" spans="2:19" x14ac:dyDescent="0.3">
      <c r="B116" s="971" t="s">
        <v>620</v>
      </c>
      <c r="C116" s="949" t="str">
        <f>IFERROR(VLOOKUP(B116,'Schedule 4'!$J$670:$K$1217,2,0),"-")</f>
        <v>-</v>
      </c>
      <c r="D116" s="425"/>
      <c r="E116" s="971" t="s">
        <v>6604</v>
      </c>
      <c r="F116" s="949" t="str">
        <f>IFERROR(VLOOKUP(E116,'Schedule 4'!$J$670:$K$1217,2,0),"-")</f>
        <v>-</v>
      </c>
      <c r="G116" s="425"/>
      <c r="H116" s="971" t="s">
        <v>5036</v>
      </c>
      <c r="I116" s="949" t="str">
        <f>IFERROR(VLOOKUP(H116,'Schedule 4'!$J$670:$K$1217,2,0),"-")</f>
        <v>-</v>
      </c>
      <c r="J116" s="425"/>
      <c r="K116" s="971" t="s">
        <v>563</v>
      </c>
      <c r="L116" s="949" t="str">
        <f>IFERROR(VLOOKUP(K116,'Schedule 4'!$J$670:$K$1217,2,0),"-")</f>
        <v>-</v>
      </c>
      <c r="M116" s="425"/>
      <c r="N116" s="971" t="s">
        <v>5407</v>
      </c>
      <c r="O116" s="949" t="str">
        <f>IFERROR(VLOOKUP(N116,'Schedule 4'!$J$670:$K$1217,2,0),"-")</f>
        <v>-</v>
      </c>
      <c r="P116" s="425"/>
      <c r="Q116" s="971" t="s">
        <v>6605</v>
      </c>
      <c r="R116" s="949" t="str">
        <f>IFERROR(VLOOKUP(Q116,'Schedule 4'!$J$670:$K$1217,2,0),"-")</f>
        <v>-</v>
      </c>
      <c r="S116" s="425"/>
    </row>
    <row r="117" spans="2:19" x14ac:dyDescent="0.3">
      <c r="B117" s="971" t="s">
        <v>556</v>
      </c>
      <c r="C117" s="949" t="str">
        <f>IFERROR(VLOOKUP(B117,'Schedule 4'!$J$670:$K$1217,2,0),"-")</f>
        <v>-</v>
      </c>
      <c r="D117" s="425"/>
      <c r="E117" s="971" t="s">
        <v>6606</v>
      </c>
      <c r="F117" s="949" t="str">
        <f>IFERROR(VLOOKUP(E117,'Schedule 4'!$J$670:$K$1217,2,0),"-")</f>
        <v>-</v>
      </c>
      <c r="G117" s="425"/>
      <c r="H117" s="971" t="s">
        <v>4956</v>
      </c>
      <c r="I117" s="949" t="str">
        <f>IFERROR(VLOOKUP(H117,'Schedule 4'!$J$670:$K$1217,2,0),"-")</f>
        <v>-</v>
      </c>
      <c r="J117" s="425"/>
      <c r="K117" s="971" t="s">
        <v>5933</v>
      </c>
      <c r="L117" s="949" t="str">
        <f>IFERROR(VLOOKUP(K117,'Schedule 4'!$J$670:$K$1217,2,0),"-")</f>
        <v>-</v>
      </c>
      <c r="M117" s="425"/>
      <c r="N117" s="971" t="s">
        <v>5205</v>
      </c>
      <c r="O117" s="949" t="str">
        <f>IFERROR(VLOOKUP(N117,'Schedule 4'!$J$670:$K$1217,2,0),"-")</f>
        <v>-</v>
      </c>
      <c r="P117" s="425"/>
      <c r="Q117" s="971" t="s">
        <v>6607</v>
      </c>
      <c r="R117" s="949" t="str">
        <f>IFERROR(VLOOKUP(Q117,'Schedule 4'!$J$670:$K$1217,2,0),"-")</f>
        <v>-</v>
      </c>
      <c r="S117" s="425"/>
    </row>
    <row r="118" spans="2:19" x14ac:dyDescent="0.3">
      <c r="B118" s="971" t="s">
        <v>5876</v>
      </c>
      <c r="C118" s="949" t="str">
        <f>IFERROR(VLOOKUP(B118,'Schedule 4'!$J$670:$K$1217,2,0),"-")</f>
        <v>-</v>
      </c>
      <c r="D118" s="425"/>
      <c r="E118" s="971" t="s">
        <v>6608</v>
      </c>
      <c r="F118" s="949" t="str">
        <f>IFERROR(VLOOKUP(E118,'Schedule 4'!$J$670:$K$1217,2,0),"-")</f>
        <v>-</v>
      </c>
      <c r="G118" s="425"/>
      <c r="H118" s="971" t="s">
        <v>4953</v>
      </c>
      <c r="I118" s="949" t="str">
        <f>IFERROR(VLOOKUP(H118,'Schedule 4'!$J$670:$K$1217,2,0),"-")</f>
        <v>-</v>
      </c>
      <c r="J118" s="425"/>
      <c r="K118" s="971" t="s">
        <v>5930</v>
      </c>
      <c r="L118" s="949" t="str">
        <f>IFERROR(VLOOKUP(K118,'Schedule 4'!$J$670:$K$1217,2,0),"-")</f>
        <v>-</v>
      </c>
      <c r="M118" s="425"/>
      <c r="N118" s="971" t="s">
        <v>5203</v>
      </c>
      <c r="O118" s="949" t="str">
        <f>IFERROR(VLOOKUP(N118,'Schedule 4'!$J$670:$K$1217,2,0),"-")</f>
        <v>-</v>
      </c>
      <c r="P118" s="425"/>
      <c r="Q118" s="971" t="s">
        <v>6609</v>
      </c>
      <c r="R118" s="949" t="str">
        <f>IFERROR(VLOOKUP(Q118,'Schedule 4'!$J$670:$K$1217,2,0),"-")</f>
        <v>-</v>
      </c>
      <c r="S118" s="425"/>
    </row>
    <row r="119" spans="2:19" x14ac:dyDescent="0.3">
      <c r="B119" s="971" t="s">
        <v>5873</v>
      </c>
      <c r="C119" s="949" t="str">
        <f>IFERROR(VLOOKUP(B119,'Schedule 4'!$J$670:$K$1217,2,0),"-")</f>
        <v>-</v>
      </c>
      <c r="D119" s="425"/>
      <c r="E119" s="971" t="s">
        <v>6610</v>
      </c>
      <c r="F119" s="949" t="str">
        <f>IFERROR(VLOOKUP(E119,'Schedule 4'!$J$670:$K$1217,2,0),"-")</f>
        <v>-</v>
      </c>
      <c r="G119" s="425"/>
      <c r="H119" s="971" t="s">
        <v>4950</v>
      </c>
      <c r="I119" s="949" t="str">
        <f>IFERROR(VLOOKUP(H119,'Schedule 4'!$J$670:$K$1217,2,0),"-")</f>
        <v>-</v>
      </c>
      <c r="J119" s="425"/>
      <c r="K119" s="971" t="s">
        <v>5927</v>
      </c>
      <c r="L119" s="949" t="str">
        <f>IFERROR(VLOOKUP(K119,'Schedule 4'!$J$670:$K$1217,2,0),"-")</f>
        <v>-</v>
      </c>
      <c r="M119" s="425"/>
      <c r="N119" s="971" t="s">
        <v>5200</v>
      </c>
      <c r="O119" s="949" t="str">
        <f>IFERROR(VLOOKUP(N119,'Schedule 4'!$J$670:$K$1217,2,0),"-")</f>
        <v>-</v>
      </c>
      <c r="P119" s="425"/>
      <c r="Q119" s="971" t="s">
        <v>6611</v>
      </c>
      <c r="R119" s="949" t="str">
        <f>IFERROR(VLOOKUP(Q119,'Schedule 4'!$J$670:$K$1217,2,0),"-")</f>
        <v>-</v>
      </c>
      <c r="S119" s="425"/>
    </row>
    <row r="120" spans="2:19" x14ac:dyDescent="0.3">
      <c r="B120" s="971" t="s">
        <v>5870</v>
      </c>
      <c r="C120" s="949" t="str">
        <f>IFERROR(VLOOKUP(B120,'Schedule 4'!$J$670:$K$1217,2,0),"-")</f>
        <v>-</v>
      </c>
      <c r="D120" s="425"/>
      <c r="E120" s="971" t="s">
        <v>6612</v>
      </c>
      <c r="F120" s="949" t="str">
        <f>IFERROR(VLOOKUP(E120,'Schedule 4'!$J$670:$K$1217,2,0),"-")</f>
        <v>-</v>
      </c>
      <c r="G120" s="425"/>
      <c r="H120" s="971" t="s">
        <v>4947</v>
      </c>
      <c r="I120" s="949" t="str">
        <f>IFERROR(VLOOKUP(H120,'Schedule 4'!$J$670:$K$1217,2,0),"-")</f>
        <v>-</v>
      </c>
      <c r="J120" s="425"/>
      <c r="K120" s="971" t="s">
        <v>5924</v>
      </c>
      <c r="L120" s="949" t="str">
        <f>IFERROR(VLOOKUP(K120,'Schedule 4'!$J$670:$K$1217,2,0),"-")</f>
        <v>-</v>
      </c>
      <c r="M120" s="425"/>
      <c r="N120" s="971" t="s">
        <v>5197</v>
      </c>
      <c r="O120" s="949" t="str">
        <f>IFERROR(VLOOKUP(N120,'Schedule 4'!$J$670:$K$1217,2,0),"-")</f>
        <v>-</v>
      </c>
      <c r="P120" s="425"/>
      <c r="Q120" s="971" t="s">
        <v>6613</v>
      </c>
      <c r="R120" s="949" t="str">
        <f>IFERROR(VLOOKUP(Q120,'Schedule 4'!$J$670:$K$1217,2,0),"-")</f>
        <v>-</v>
      </c>
      <c r="S120" s="425"/>
    </row>
    <row r="121" spans="2:19" x14ac:dyDescent="0.3">
      <c r="B121" s="971" t="s">
        <v>5867</v>
      </c>
      <c r="C121" s="949" t="str">
        <f>IFERROR(VLOOKUP(B121,'Schedule 4'!$J$670:$K$1217,2,0),"-")</f>
        <v>-</v>
      </c>
      <c r="D121" s="425"/>
      <c r="E121" s="971" t="s">
        <v>6614</v>
      </c>
      <c r="F121" s="949" t="str">
        <f>IFERROR(VLOOKUP(E121,'Schedule 4'!$J$670:$K$1217,2,0),"-")</f>
        <v>-</v>
      </c>
      <c r="G121" s="425"/>
      <c r="H121" s="971" t="s">
        <v>4909</v>
      </c>
      <c r="I121" s="949" t="str">
        <f>IFERROR(VLOOKUP(H121,'Schedule 4'!$J$670:$K$1217,2,0),"-")</f>
        <v>-</v>
      </c>
      <c r="J121" s="425"/>
      <c r="K121" s="971" t="s">
        <v>5921</v>
      </c>
      <c r="L121" s="949" t="str">
        <f>IFERROR(VLOOKUP(K121,'Schedule 4'!$J$670:$K$1217,2,0),"-")</f>
        <v>-</v>
      </c>
      <c r="M121" s="425"/>
      <c r="N121" s="971" t="s">
        <v>5194</v>
      </c>
      <c r="O121" s="949" t="str">
        <f>IFERROR(VLOOKUP(N121,'Schedule 4'!$J$670:$K$1217,2,0),"-")</f>
        <v>-</v>
      </c>
      <c r="P121" s="425"/>
      <c r="Q121" s="971" t="s">
        <v>6615</v>
      </c>
      <c r="R121" s="949" t="str">
        <f>IFERROR(VLOOKUP(Q121,'Schedule 4'!$J$670:$K$1217,2,0),"-")</f>
        <v>-</v>
      </c>
      <c r="S121" s="425"/>
    </row>
    <row r="122" spans="2:19" x14ac:dyDescent="0.3">
      <c r="B122" s="971" t="s">
        <v>5864</v>
      </c>
      <c r="C122" s="949" t="str">
        <f>IFERROR(VLOOKUP(B122,'Schedule 4'!$J$670:$K$1217,2,0),"-")</f>
        <v>-</v>
      </c>
      <c r="D122" s="425"/>
      <c r="E122" s="971" t="s">
        <v>6616</v>
      </c>
      <c r="F122" s="949" t="str">
        <f>IFERROR(VLOOKUP(E122,'Schedule 4'!$J$670:$K$1217,2,0),"-")</f>
        <v>-</v>
      </c>
      <c r="G122" s="425"/>
      <c r="H122" s="971" t="s">
        <v>4906</v>
      </c>
      <c r="I122" s="949" t="str">
        <f>IFERROR(VLOOKUP(H122,'Schedule 4'!$J$670:$K$1217,2,0),"-")</f>
        <v>-</v>
      </c>
      <c r="J122" s="425"/>
      <c r="K122" s="971" t="s">
        <v>5918</v>
      </c>
      <c r="L122" s="949" t="str">
        <f>IFERROR(VLOOKUP(K122,'Schedule 4'!$J$670:$K$1217,2,0),"-")</f>
        <v>-</v>
      </c>
      <c r="M122" s="425"/>
      <c r="N122" s="971" t="s">
        <v>5191</v>
      </c>
      <c r="O122" s="949" t="str">
        <f>IFERROR(VLOOKUP(N122,'Schedule 4'!$J$670:$K$1217,2,0),"-")</f>
        <v>-</v>
      </c>
      <c r="P122" s="425"/>
      <c r="Q122" s="971" t="s">
        <v>6617</v>
      </c>
      <c r="R122" s="949" t="str">
        <f>IFERROR(VLOOKUP(Q122,'Schedule 4'!$J$670:$K$1217,2,0),"-")</f>
        <v>-</v>
      </c>
      <c r="S122" s="425"/>
    </row>
    <row r="123" spans="2:19" x14ac:dyDescent="0.3">
      <c r="B123" s="971" t="s">
        <v>5735</v>
      </c>
      <c r="C123" s="949" t="str">
        <f>IFERROR(VLOOKUP(B123,'Schedule 4'!$J$670:$K$1217,2,0),"-")</f>
        <v>-</v>
      </c>
      <c r="D123" s="425"/>
      <c r="E123" s="971" t="s">
        <v>6618</v>
      </c>
      <c r="F123" s="949" t="str">
        <f>IFERROR(VLOOKUP(E123,'Schedule 4'!$J$670:$K$1217,2,0),"-")</f>
        <v>-</v>
      </c>
      <c r="G123" s="425"/>
      <c r="H123" s="971" t="s">
        <v>4903</v>
      </c>
      <c r="I123" s="949" t="str">
        <f>IFERROR(VLOOKUP(H123,'Schedule 4'!$J$670:$K$1217,2,0),"-")</f>
        <v>-</v>
      </c>
      <c r="J123" s="425"/>
      <c r="K123" s="971" t="s">
        <v>5915</v>
      </c>
      <c r="L123" s="949" t="str">
        <f>IFERROR(VLOOKUP(K123,'Schedule 4'!$J$670:$K$1217,2,0),"-")</f>
        <v>-</v>
      </c>
      <c r="M123" s="425"/>
      <c r="N123" s="971" t="s">
        <v>5188</v>
      </c>
      <c r="O123" s="949" t="str">
        <f>IFERROR(VLOOKUP(N123,'Schedule 4'!$J$670:$K$1217,2,0),"-")</f>
        <v>-</v>
      </c>
      <c r="P123" s="425"/>
      <c r="Q123" s="971" t="s">
        <v>6619</v>
      </c>
      <c r="R123" s="949" t="str">
        <f>IFERROR(VLOOKUP(Q123,'Schedule 4'!$J$670:$K$1217,2,0),"-")</f>
        <v>-</v>
      </c>
      <c r="S123" s="425"/>
    </row>
    <row r="124" spans="2:19" x14ac:dyDescent="0.3">
      <c r="B124" s="971" t="s">
        <v>5732</v>
      </c>
      <c r="C124" s="949" t="str">
        <f>IFERROR(VLOOKUP(B124,'Schedule 4'!$J$670:$K$1217,2,0),"-")</f>
        <v>-</v>
      </c>
      <c r="D124" s="425"/>
      <c r="E124" s="971" t="s">
        <v>6620</v>
      </c>
      <c r="F124" s="949" t="str">
        <f>IFERROR(VLOOKUP(E124,'Schedule 4'!$J$670:$K$1217,2,0),"-")</f>
        <v>-</v>
      </c>
      <c r="G124" s="425"/>
      <c r="H124" s="971" t="s">
        <v>4900</v>
      </c>
      <c r="I124" s="949" t="str">
        <f>IFERROR(VLOOKUP(H124,'Schedule 4'!$J$670:$K$1217,2,0),"-")</f>
        <v>-</v>
      </c>
      <c r="J124" s="425"/>
      <c r="K124" s="971" t="s">
        <v>5806</v>
      </c>
      <c r="L124" s="949" t="str">
        <f>IFERROR(VLOOKUP(K124,'Schedule 4'!$J$670:$K$1217,2,0),"-")</f>
        <v>-</v>
      </c>
      <c r="M124" s="425"/>
      <c r="N124" s="971" t="s">
        <v>5089</v>
      </c>
      <c r="O124" s="949" t="str">
        <f>IFERROR(VLOOKUP(N124,'Schedule 4'!$J$670:$K$1217,2,0),"-")</f>
        <v>-</v>
      </c>
      <c r="P124" s="425"/>
      <c r="Q124" s="971" t="s">
        <v>6621</v>
      </c>
      <c r="R124" s="949" t="str">
        <f>IFERROR(VLOOKUP(Q124,'Schedule 4'!$J$670:$K$1217,2,0),"-")</f>
        <v>-</v>
      </c>
      <c r="S124" s="425"/>
    </row>
    <row r="125" spans="2:19" x14ac:dyDescent="0.3">
      <c r="B125" s="971" t="s">
        <v>5729</v>
      </c>
      <c r="C125" s="949" t="str">
        <f>IFERROR(VLOOKUP(B125,'Schedule 4'!$J$670:$K$1217,2,0),"-")</f>
        <v>-</v>
      </c>
      <c r="D125" s="425"/>
      <c r="E125" s="971" t="s">
        <v>6622</v>
      </c>
      <c r="F125" s="949" t="str">
        <f>IFERROR(VLOOKUP(E125,'Schedule 4'!$J$670:$K$1217,2,0),"-")</f>
        <v>-</v>
      </c>
      <c r="G125" s="425"/>
      <c r="H125" s="971" t="s">
        <v>4897</v>
      </c>
      <c r="I125" s="949" t="str">
        <f>IFERROR(VLOOKUP(H125,'Schedule 4'!$J$670:$K$1217,2,0),"-")</f>
        <v>-</v>
      </c>
      <c r="J125" s="425"/>
      <c r="K125" s="971" t="s">
        <v>5803</v>
      </c>
      <c r="L125" s="949" t="str">
        <f>IFERROR(VLOOKUP(K125,'Schedule 4'!$J$670:$K$1217,2,0),"-")</f>
        <v>-</v>
      </c>
      <c r="M125" s="425"/>
      <c r="N125" s="971" t="s">
        <v>5086</v>
      </c>
      <c r="O125" s="949" t="str">
        <f>IFERROR(VLOOKUP(N125,'Schedule 4'!$J$670:$K$1217,2,0),"-")</f>
        <v>-</v>
      </c>
      <c r="P125" s="425"/>
      <c r="Q125" s="971" t="s">
        <v>6623</v>
      </c>
      <c r="R125" s="949" t="str">
        <f>IFERROR(VLOOKUP(Q125,'Schedule 4'!$J$670:$K$1217,2,0),"-")</f>
        <v>-</v>
      </c>
      <c r="S125" s="425"/>
    </row>
    <row r="126" spans="2:19" x14ac:dyDescent="0.3">
      <c r="B126" s="971" t="s">
        <v>5726</v>
      </c>
      <c r="C126" s="949" t="str">
        <f>IFERROR(VLOOKUP(B126,'Schedule 4'!$J$670:$K$1217,2,0),"-")</f>
        <v>-</v>
      </c>
      <c r="D126" s="425"/>
      <c r="E126" s="971" t="s">
        <v>6624</v>
      </c>
      <c r="F126" s="949" t="str">
        <f>IFERROR(VLOOKUP(E126,'Schedule 4'!$J$670:$K$1217,2,0),"-")</f>
        <v>-</v>
      </c>
      <c r="G126" s="425"/>
      <c r="H126" s="971" t="s">
        <v>4894</v>
      </c>
      <c r="I126" s="949" t="str">
        <f>IFERROR(VLOOKUP(H126,'Schedule 4'!$J$670:$K$1217,2,0),"-")</f>
        <v>-</v>
      </c>
      <c r="J126" s="425"/>
      <c r="K126" s="971" t="s">
        <v>5800</v>
      </c>
      <c r="L126" s="949" t="str">
        <f>IFERROR(VLOOKUP(K126,'Schedule 4'!$J$670:$K$1217,2,0),"-")</f>
        <v>-</v>
      </c>
      <c r="M126" s="425"/>
      <c r="N126" s="971" t="s">
        <v>5084</v>
      </c>
      <c r="O126" s="949" t="str">
        <f>IFERROR(VLOOKUP(N126,'Schedule 4'!$J$670:$K$1217,2,0),"-")</f>
        <v>-</v>
      </c>
      <c r="P126" s="425"/>
      <c r="Q126" s="971" t="s">
        <v>6625</v>
      </c>
      <c r="R126" s="949" t="str">
        <f>IFERROR(VLOOKUP(Q126,'Schedule 4'!$J$670:$K$1217,2,0),"-")</f>
        <v>-</v>
      </c>
      <c r="S126" s="425"/>
    </row>
    <row r="127" spans="2:19" x14ac:dyDescent="0.3">
      <c r="B127" s="971" t="s">
        <v>5639</v>
      </c>
      <c r="C127" s="949" t="str">
        <f>IFERROR(VLOOKUP(B127,'Schedule 4'!$J$670:$K$1217,2,0),"-")</f>
        <v>-</v>
      </c>
      <c r="D127" s="425"/>
      <c r="E127" s="971" t="s">
        <v>6626</v>
      </c>
      <c r="F127" s="949" t="str">
        <f>IFERROR(VLOOKUP(E127,'Schedule 4'!$J$670:$K$1217,2,0),"-")</f>
        <v>-</v>
      </c>
      <c r="G127" s="425"/>
      <c r="H127" s="971" t="s">
        <v>4891</v>
      </c>
      <c r="I127" s="949" t="str">
        <f>IFERROR(VLOOKUP(H127,'Schedule 4'!$J$670:$K$1217,2,0),"-")</f>
        <v>-</v>
      </c>
      <c r="J127" s="425"/>
      <c r="K127" s="971" t="s">
        <v>5797</v>
      </c>
      <c r="L127" s="949" t="str">
        <f>IFERROR(VLOOKUP(K127,'Schedule 4'!$J$670:$K$1217,2,0),"-")</f>
        <v>-</v>
      </c>
      <c r="M127" s="425"/>
      <c r="N127" s="971" t="s">
        <v>5081</v>
      </c>
      <c r="O127" s="949" t="str">
        <f>IFERROR(VLOOKUP(N127,'Schedule 4'!$J$670:$K$1217,2,0),"-")</f>
        <v>-</v>
      </c>
      <c r="P127" s="425"/>
      <c r="Q127" s="971" t="s">
        <v>6627</v>
      </c>
      <c r="R127" s="949" t="str">
        <f>IFERROR(VLOOKUP(Q127,'Schedule 4'!$J$670:$K$1217,2,0),"-")</f>
        <v>-</v>
      </c>
      <c r="S127" s="425"/>
    </row>
    <row r="128" spans="2:19" x14ac:dyDescent="0.3">
      <c r="B128" s="971" t="s">
        <v>5861</v>
      </c>
      <c r="C128" s="949" t="str">
        <f>IFERROR(VLOOKUP(B128,'Schedule 4'!$J$670:$K$1217,2,0),"-")</f>
        <v>-</v>
      </c>
      <c r="D128" s="425"/>
      <c r="E128" s="971" t="s">
        <v>6628</v>
      </c>
      <c r="F128" s="949" t="str">
        <f>IFERROR(VLOOKUP(E128,'Schedule 4'!$J$670:$K$1217,2,0),"-")</f>
        <v>-</v>
      </c>
      <c r="G128" s="425"/>
      <c r="H128" s="971" t="s">
        <v>4839</v>
      </c>
      <c r="I128" s="949" t="str">
        <f>IFERROR(VLOOKUP(H128,'Schedule 4'!$J$670:$K$1217,2,0),"-")</f>
        <v>-</v>
      </c>
      <c r="J128" s="425"/>
      <c r="K128" s="971" t="s">
        <v>5912</v>
      </c>
      <c r="L128" s="949" t="str">
        <f>IFERROR(VLOOKUP(K128,'Schedule 4'!$J$670:$K$1217,2,0),"-")</f>
        <v>-</v>
      </c>
      <c r="M128" s="425"/>
      <c r="N128" s="971" t="s">
        <v>4854</v>
      </c>
      <c r="O128" s="949" t="str">
        <f>IFERROR(VLOOKUP(N128,'Schedule 4'!$J$670:$K$1217,2,0),"-")</f>
        <v>-</v>
      </c>
      <c r="P128" s="425"/>
      <c r="Q128" s="971" t="s">
        <v>6629</v>
      </c>
      <c r="R128" s="949" t="str">
        <f>IFERROR(VLOOKUP(Q128,'Schedule 4'!$J$670:$K$1217,2,0),"-")</f>
        <v>-</v>
      </c>
      <c r="S128" s="425"/>
    </row>
    <row r="129" spans="2:19" x14ac:dyDescent="0.3">
      <c r="B129" s="971" t="s">
        <v>5858</v>
      </c>
      <c r="C129" s="949" t="str">
        <f>IFERROR(VLOOKUP(B129,'Schedule 4'!$J$670:$K$1217,2,0),"-")</f>
        <v>-</v>
      </c>
      <c r="D129" s="425"/>
      <c r="E129" s="971" t="s">
        <v>6630</v>
      </c>
      <c r="F129" s="949" t="str">
        <f>IFERROR(VLOOKUP(E129,'Schedule 4'!$J$670:$K$1217,2,0),"-")</f>
        <v>-</v>
      </c>
      <c r="G129" s="425"/>
      <c r="H129" s="971" t="s">
        <v>4837</v>
      </c>
      <c r="I129" s="949" t="str">
        <f>IFERROR(VLOOKUP(H129,'Schedule 4'!$J$670:$K$1217,2,0),"-")</f>
        <v>-</v>
      </c>
      <c r="J129" s="425"/>
      <c r="K129" s="971" t="s">
        <v>5794</v>
      </c>
      <c r="L129" s="949" t="str">
        <f>IFERROR(VLOOKUP(K129,'Schedule 4'!$J$670:$K$1217,2,0),"-")</f>
        <v>-</v>
      </c>
      <c r="M129" s="425"/>
      <c r="N129" s="971" t="s">
        <v>4851</v>
      </c>
      <c r="O129" s="949" t="str">
        <f>IFERROR(VLOOKUP(N129,'Schedule 4'!$J$670:$K$1217,2,0),"-")</f>
        <v>-</v>
      </c>
      <c r="P129" s="425"/>
      <c r="Q129" s="971" t="s">
        <v>6631</v>
      </c>
      <c r="R129" s="949" t="str">
        <f>IFERROR(VLOOKUP(Q129,'Schedule 4'!$J$670:$K$1217,2,0),"-")</f>
        <v>-</v>
      </c>
      <c r="S129" s="425"/>
    </row>
    <row r="130" spans="2:19" x14ac:dyDescent="0.3">
      <c r="B130" s="971" t="s">
        <v>5723</v>
      </c>
      <c r="C130" s="949" t="str">
        <f>IFERROR(VLOOKUP(B130,'Schedule 4'!$J$670:$K$1217,2,0),"-")</f>
        <v>-</v>
      </c>
      <c r="D130" s="425"/>
      <c r="E130" s="971" t="s">
        <v>6632</v>
      </c>
      <c r="F130" s="949" t="str">
        <f>IFERROR(VLOOKUP(E130,'Schedule 4'!$J$670:$K$1217,2,0),"-")</f>
        <v>-</v>
      </c>
      <c r="G130" s="425"/>
      <c r="H130" s="971" t="s">
        <v>4834</v>
      </c>
      <c r="I130" s="949" t="str">
        <f>IFERROR(VLOOKUP(H130,'Schedule 4'!$J$670:$K$1217,2,0),"-")</f>
        <v>-</v>
      </c>
      <c r="J130" s="425"/>
      <c r="K130" s="971" t="s">
        <v>5791</v>
      </c>
      <c r="L130" s="949" t="str">
        <f>IFERROR(VLOOKUP(K130,'Schedule 4'!$J$670:$K$1217,2,0),"-")</f>
        <v>-</v>
      </c>
      <c r="M130" s="425"/>
      <c r="N130" s="971" t="s">
        <v>4848</v>
      </c>
      <c r="O130" s="949" t="str">
        <f>IFERROR(VLOOKUP(N130,'Schedule 4'!$J$670:$K$1217,2,0),"-")</f>
        <v>-</v>
      </c>
      <c r="P130" s="425"/>
      <c r="Q130" s="971" t="s">
        <v>6633</v>
      </c>
      <c r="R130" s="949" t="str">
        <f>IFERROR(VLOOKUP(Q130,'Schedule 4'!$J$670:$K$1217,2,0),"-")</f>
        <v>-</v>
      </c>
      <c r="S130" s="425"/>
    </row>
    <row r="131" spans="2:19" x14ac:dyDescent="0.3">
      <c r="B131" s="971" t="s">
        <v>5720</v>
      </c>
      <c r="C131" s="949" t="str">
        <f>IFERROR(VLOOKUP(B131,'Schedule 4'!$J$670:$K$1217,2,0),"-")</f>
        <v>-</v>
      </c>
      <c r="D131" s="425"/>
      <c r="E131" s="971" t="s">
        <v>6634</v>
      </c>
      <c r="F131" s="949" t="str">
        <f>IFERROR(VLOOKUP(E131,'Schedule 4'!$J$670:$K$1217,2,0),"-")</f>
        <v>-</v>
      </c>
      <c r="G131" s="425"/>
      <c r="H131" s="971" t="s">
        <v>4831</v>
      </c>
      <c r="I131" s="949" t="str">
        <f>IFERROR(VLOOKUP(H131,'Schedule 4'!$J$670:$K$1217,2,0),"-")</f>
        <v>-</v>
      </c>
      <c r="J131" s="425"/>
      <c r="K131" s="971" t="s">
        <v>5788</v>
      </c>
      <c r="L131" s="949" t="str">
        <f>IFERROR(VLOOKUP(K131,'Schedule 4'!$J$670:$K$1217,2,0),"-")</f>
        <v>-</v>
      </c>
      <c r="M131" s="425"/>
      <c r="N131" s="971" t="s">
        <v>4845</v>
      </c>
      <c r="O131" s="949" t="str">
        <f>IFERROR(VLOOKUP(N131,'Schedule 4'!$J$670:$K$1217,2,0),"-")</f>
        <v>-</v>
      </c>
      <c r="P131" s="425"/>
      <c r="Q131" s="971" t="s">
        <v>6635</v>
      </c>
      <c r="R131" s="949" t="str">
        <f>IFERROR(VLOOKUP(Q131,'Schedule 4'!$J$670:$K$1217,2,0),"-")</f>
        <v>-</v>
      </c>
      <c r="S131" s="425"/>
    </row>
    <row r="132" spans="2:19" x14ac:dyDescent="0.3">
      <c r="B132" s="971" t="s">
        <v>5717</v>
      </c>
      <c r="C132" s="949" t="str">
        <f>IFERROR(VLOOKUP(B132,'Schedule 4'!$J$670:$K$1217,2,0),"-")</f>
        <v>-</v>
      </c>
      <c r="D132" s="425"/>
      <c r="E132" s="971" t="s">
        <v>6636</v>
      </c>
      <c r="F132" s="949" t="str">
        <f>IFERROR(VLOOKUP(E132,'Schedule 4'!$J$670:$K$1217,2,0),"-")</f>
        <v>-</v>
      </c>
      <c r="G132" s="425"/>
      <c r="H132" s="971" t="s">
        <v>4828</v>
      </c>
      <c r="I132" s="949" t="str">
        <f>IFERROR(VLOOKUP(H132,'Schedule 4'!$J$670:$K$1217,2,0),"-")</f>
        <v>-</v>
      </c>
      <c r="J132" s="425"/>
      <c r="K132" s="971" t="s">
        <v>5785</v>
      </c>
      <c r="L132" s="949" t="str">
        <f>IFERROR(VLOOKUP(K132,'Schedule 4'!$J$670:$K$1217,2,0),"-")</f>
        <v>-</v>
      </c>
      <c r="M132" s="425"/>
      <c r="N132" s="971" t="s">
        <v>4842</v>
      </c>
      <c r="O132" s="949" t="str">
        <f>IFERROR(VLOOKUP(N132,'Schedule 4'!$J$670:$K$1217,2,0),"-")</f>
        <v>-</v>
      </c>
      <c r="P132" s="425"/>
      <c r="Q132" s="971" t="s">
        <v>6637</v>
      </c>
      <c r="R132" s="949" t="str">
        <f>IFERROR(VLOOKUP(Q132,'Schedule 4'!$J$670:$K$1217,2,0),"-")</f>
        <v>-</v>
      </c>
      <c r="S132" s="425"/>
    </row>
    <row r="133" spans="2:19" x14ac:dyDescent="0.3">
      <c r="B133" s="971" t="s">
        <v>5714</v>
      </c>
      <c r="C133" s="949" t="str">
        <f>IFERROR(VLOOKUP(B133,'Schedule 4'!$J$670:$K$1217,2,0),"-")</f>
        <v>-</v>
      </c>
      <c r="D133" s="425"/>
      <c r="E133" s="971" t="s">
        <v>6638</v>
      </c>
      <c r="F133" s="949" t="str">
        <f>IFERROR(VLOOKUP(E133,'Schedule 4'!$J$670:$K$1217,2,0),"-")</f>
        <v>-</v>
      </c>
      <c r="G133" s="425"/>
      <c r="H133" s="971" t="s">
        <v>4825</v>
      </c>
      <c r="I133" s="949" t="str">
        <f>IFERROR(VLOOKUP(H133,'Schedule 4'!$J$670:$K$1217,2,0),"-")</f>
        <v>-</v>
      </c>
      <c r="J133" s="425"/>
      <c r="K133" s="971" t="s">
        <v>5783</v>
      </c>
      <c r="L133" s="949" t="str">
        <f>IFERROR(VLOOKUP(K133,'Schedule 4'!$J$670:$K$1217,2,0),"-")</f>
        <v>-</v>
      </c>
      <c r="M133" s="425"/>
      <c r="N133" s="971" t="s">
        <v>4795</v>
      </c>
      <c r="O133" s="949" t="str">
        <f>IFERROR(VLOOKUP(N133,'Schedule 4'!$J$670:$K$1217,2,0),"-")</f>
        <v>-</v>
      </c>
      <c r="P133" s="425"/>
      <c r="Q133" s="971" t="s">
        <v>6639</v>
      </c>
      <c r="R133" s="949" t="str">
        <f>IFERROR(VLOOKUP(Q133,'Schedule 4'!$J$670:$K$1217,2,0),"-")</f>
        <v>-</v>
      </c>
      <c r="S133" s="425"/>
    </row>
    <row r="134" spans="2:19" x14ac:dyDescent="0.3">
      <c r="B134" s="971" t="s">
        <v>5636</v>
      </c>
      <c r="C134" s="949" t="str">
        <f>IFERROR(VLOOKUP(B134,'Schedule 4'!$J$670:$K$1217,2,0),"-")</f>
        <v>-</v>
      </c>
      <c r="D134" s="425"/>
      <c r="E134" s="971" t="s">
        <v>6640</v>
      </c>
      <c r="F134" s="949" t="str">
        <f>IFERROR(VLOOKUP(E134,'Schedule 4'!$J$670:$K$1217,2,0),"-")</f>
        <v>-</v>
      </c>
      <c r="G134" s="425"/>
      <c r="H134" s="971" t="s">
        <v>4822</v>
      </c>
      <c r="I134" s="949" t="str">
        <f>IFERROR(VLOOKUP(H134,'Schedule 4'!$J$670:$K$1217,2,0),"-")</f>
        <v>-</v>
      </c>
      <c r="J134" s="425"/>
      <c r="K134" s="971" t="s">
        <v>5780</v>
      </c>
      <c r="L134" s="949" t="str">
        <f>IFERROR(VLOOKUP(K134,'Schedule 4'!$J$670:$K$1217,2,0),"-")</f>
        <v>-</v>
      </c>
      <c r="M134" s="425"/>
      <c r="N134" s="971" t="s">
        <v>4792</v>
      </c>
      <c r="O134" s="949" t="str">
        <f>IFERROR(VLOOKUP(N134,'Schedule 4'!$J$670:$K$1217,2,0),"-")</f>
        <v>-</v>
      </c>
      <c r="P134" s="425"/>
      <c r="Q134" s="971" t="s">
        <v>6641</v>
      </c>
      <c r="R134" s="949" t="str">
        <f>IFERROR(VLOOKUP(Q134,'Schedule 4'!$J$670:$K$1217,2,0),"-")</f>
        <v>-</v>
      </c>
      <c r="S134" s="425"/>
    </row>
    <row r="135" spans="2:19" x14ac:dyDescent="0.3">
      <c r="B135" s="971" t="s">
        <v>5633</v>
      </c>
      <c r="C135" s="949" t="str">
        <f>IFERROR(VLOOKUP(B135,'Schedule 4'!$J$670:$K$1217,2,0),"-")</f>
        <v>-</v>
      </c>
      <c r="D135" s="425"/>
      <c r="E135" s="971" t="s">
        <v>6642</v>
      </c>
      <c r="F135" s="949" t="str">
        <f>IFERROR(VLOOKUP(E135,'Schedule 4'!$J$670:$K$1217,2,0),"-")</f>
        <v>-</v>
      </c>
      <c r="G135" s="425"/>
      <c r="H135" s="971" t="s">
        <v>4782</v>
      </c>
      <c r="I135" s="949" t="str">
        <f>IFERROR(VLOOKUP(H135,'Schedule 4'!$J$670:$K$1217,2,0),"-")</f>
        <v>-</v>
      </c>
      <c r="J135" s="425"/>
      <c r="K135" s="971" t="s">
        <v>5671</v>
      </c>
      <c r="L135" s="949" t="str">
        <f>IFERROR(VLOOKUP(K135,'Schedule 4'!$J$670:$K$1217,2,0),"-")</f>
        <v>-</v>
      </c>
      <c r="M135" s="425"/>
      <c r="N135" s="971" t="s">
        <v>4790</v>
      </c>
      <c r="O135" s="949" t="str">
        <f>IFERROR(VLOOKUP(N135,'Schedule 4'!$J$670:$K$1217,2,0),"-")</f>
        <v>-</v>
      </c>
      <c r="P135" s="425"/>
      <c r="Q135" s="971" t="s">
        <v>6643</v>
      </c>
      <c r="R135" s="949" t="str">
        <f>IFERROR(VLOOKUP(Q135,'Schedule 4'!$J$670:$K$1217,2,0),"-")</f>
        <v>-</v>
      </c>
      <c r="S135" s="425"/>
    </row>
    <row r="136" spans="2:19" x14ac:dyDescent="0.3">
      <c r="B136" s="971" t="s">
        <v>5630</v>
      </c>
      <c r="C136" s="949" t="str">
        <f>IFERROR(VLOOKUP(B136,'Schedule 4'!$J$670:$K$1217,2,0),"-")</f>
        <v>-</v>
      </c>
      <c r="D136" s="425"/>
      <c r="E136" s="971" t="s">
        <v>6644</v>
      </c>
      <c r="F136" s="949" t="str">
        <f>IFERROR(VLOOKUP(E136,'Schedule 4'!$J$670:$K$1217,2,0),"-")</f>
        <v>-</v>
      </c>
      <c r="G136" s="425"/>
      <c r="H136" s="971" t="s">
        <v>4779</v>
      </c>
      <c r="I136" s="949" t="str">
        <f>IFERROR(VLOOKUP(H136,'Schedule 4'!$J$670:$K$1217,2,0),"-")</f>
        <v>-</v>
      </c>
      <c r="J136" s="425"/>
      <c r="K136" s="971" t="s">
        <v>5668</v>
      </c>
      <c r="L136" s="949" t="str">
        <f>IFERROR(VLOOKUP(K136,'Schedule 4'!$J$670:$K$1217,2,0),"-")</f>
        <v>-</v>
      </c>
      <c r="M136" s="425"/>
      <c r="N136" s="971" t="s">
        <v>4788</v>
      </c>
      <c r="O136" s="949" t="str">
        <f>IFERROR(VLOOKUP(N136,'Schedule 4'!$J$670:$K$1217,2,0),"-")</f>
        <v>-</v>
      </c>
      <c r="P136" s="425"/>
      <c r="Q136" s="971" t="s">
        <v>6645</v>
      </c>
      <c r="R136" s="949" t="str">
        <f>IFERROR(VLOOKUP(Q136,'Schedule 4'!$J$670:$K$1217,2,0),"-")</f>
        <v>-</v>
      </c>
      <c r="S136" s="425"/>
    </row>
    <row r="137" spans="2:19" x14ac:dyDescent="0.3">
      <c r="B137" s="971" t="s">
        <v>5627</v>
      </c>
      <c r="C137" s="949" t="str">
        <f>IFERROR(VLOOKUP(B137,'Schedule 4'!$J$670:$K$1217,2,0),"-")</f>
        <v>-</v>
      </c>
      <c r="D137" s="425"/>
      <c r="E137" s="971" t="s">
        <v>6646</v>
      </c>
      <c r="F137" s="949" t="str">
        <f>IFERROR(VLOOKUP(E137,'Schedule 4'!$J$670:$K$1217,2,0),"-")</f>
        <v>-</v>
      </c>
      <c r="G137" s="425"/>
      <c r="H137" s="971" t="s">
        <v>4776</v>
      </c>
      <c r="I137" s="949" t="str">
        <f>IFERROR(VLOOKUP(H137,'Schedule 4'!$J$670:$K$1217,2,0),"-")</f>
        <v>-</v>
      </c>
      <c r="J137" s="425"/>
      <c r="K137" s="971" t="s">
        <v>5665</v>
      </c>
      <c r="L137" s="949" t="str">
        <f>IFERROR(VLOOKUP(K137,'Schedule 4'!$J$670:$K$1217,2,0),"-")</f>
        <v>-</v>
      </c>
      <c r="M137" s="425"/>
      <c r="N137" s="971" t="s">
        <v>4785</v>
      </c>
      <c r="O137" s="949" t="str">
        <f>IFERROR(VLOOKUP(N137,'Schedule 4'!$J$670:$K$1217,2,0),"-")</f>
        <v>-</v>
      </c>
      <c r="P137" s="425"/>
      <c r="Q137" s="971" t="s">
        <v>6647</v>
      </c>
      <c r="R137" s="949" t="str">
        <f>IFERROR(VLOOKUP(Q137,'Schedule 4'!$J$670:$K$1217,2,0),"-")</f>
        <v>-</v>
      </c>
      <c r="S137" s="425"/>
    </row>
    <row r="138" spans="2:19" x14ac:dyDescent="0.3">
      <c r="B138" s="971" t="s">
        <v>5625</v>
      </c>
      <c r="C138" s="949" t="str">
        <f>IFERROR(VLOOKUP(B138,'Schedule 4'!$J$670:$K$1217,2,0),"-")</f>
        <v>-</v>
      </c>
      <c r="D138" s="425"/>
      <c r="E138" s="971" t="s">
        <v>6648</v>
      </c>
      <c r="F138" s="949" t="str">
        <f>IFERROR(VLOOKUP(E138,'Schedule 4'!$J$670:$K$1217,2,0),"-")</f>
        <v>-</v>
      </c>
      <c r="G138" s="425"/>
      <c r="H138" s="971" t="s">
        <v>4774</v>
      </c>
      <c r="I138" s="949" t="str">
        <f>IFERROR(VLOOKUP(H138,'Schedule 4'!$J$670:$K$1217,2,0),"-")</f>
        <v>-</v>
      </c>
      <c r="J138" s="425"/>
      <c r="K138" s="971" t="s">
        <v>5529</v>
      </c>
      <c r="L138" s="949" t="str">
        <f>IFERROR(VLOOKUP(K138,'Schedule 4'!$J$670:$K$1217,2,0),"-")</f>
        <v>-</v>
      </c>
      <c r="M138" s="425"/>
      <c r="N138" s="971" t="s">
        <v>4741</v>
      </c>
      <c r="O138" s="949" t="str">
        <f>IFERROR(VLOOKUP(N138,'Schedule 4'!$J$670:$K$1217,2,0),"-")</f>
        <v>-</v>
      </c>
      <c r="P138" s="425"/>
      <c r="Q138" s="971" t="s">
        <v>6649</v>
      </c>
      <c r="R138" s="949" t="str">
        <f>IFERROR(VLOOKUP(Q138,'Schedule 4'!$J$670:$K$1217,2,0),"-")</f>
        <v>-</v>
      </c>
      <c r="S138" s="425"/>
    </row>
    <row r="139" spans="2:19" x14ac:dyDescent="0.3">
      <c r="B139" s="971" t="s">
        <v>5622</v>
      </c>
      <c r="C139" s="949" t="str">
        <f>IFERROR(VLOOKUP(B139,'Schedule 4'!$J$670:$K$1217,2,0),"-")</f>
        <v>-</v>
      </c>
      <c r="D139" s="425"/>
      <c r="E139" s="971" t="s">
        <v>6650</v>
      </c>
      <c r="F139" s="949" t="str">
        <f>IFERROR(VLOOKUP(E139,'Schedule 4'!$J$670:$K$1217,2,0),"-")</f>
        <v>-</v>
      </c>
      <c r="G139" s="425"/>
      <c r="H139" s="971" t="s">
        <v>4771</v>
      </c>
      <c r="I139" s="949" t="str">
        <f>IFERROR(VLOOKUP(H139,'Schedule 4'!$J$670:$K$1217,2,0),"-")</f>
        <v>-</v>
      </c>
      <c r="J139" s="425"/>
      <c r="K139" s="971" t="s">
        <v>5527</v>
      </c>
      <c r="L139" s="949" t="str">
        <f>IFERROR(VLOOKUP(K139,'Schedule 4'!$J$670:$K$1217,2,0),"-")</f>
        <v>-</v>
      </c>
      <c r="M139" s="425"/>
      <c r="N139" s="971" t="s">
        <v>4738</v>
      </c>
      <c r="O139" s="949" t="str">
        <f>IFERROR(VLOOKUP(N139,'Schedule 4'!$J$670:$K$1217,2,0),"-")</f>
        <v>-</v>
      </c>
      <c r="P139" s="425"/>
      <c r="Q139" s="971" t="s">
        <v>6651</v>
      </c>
      <c r="R139" s="949" t="str">
        <f>IFERROR(VLOOKUP(Q139,'Schedule 4'!$J$670:$K$1217,2,0),"-")</f>
        <v>-</v>
      </c>
      <c r="S139" s="425"/>
    </row>
    <row r="140" spans="2:19" x14ac:dyDescent="0.3">
      <c r="B140" s="971" t="s">
        <v>5619</v>
      </c>
      <c r="C140" s="949" t="str">
        <f>IFERROR(VLOOKUP(B140,'Schedule 4'!$J$670:$K$1217,2,0),"-")</f>
        <v>-</v>
      </c>
      <c r="D140" s="425"/>
      <c r="E140" s="971" t="s">
        <v>6652</v>
      </c>
      <c r="F140" s="949" t="str">
        <f>IFERROR(VLOOKUP(E140,'Schedule 4'!$J$670:$K$1217,2,0),"-")</f>
        <v>-</v>
      </c>
      <c r="G140" s="425"/>
      <c r="H140" s="971" t="s">
        <v>4768</v>
      </c>
      <c r="I140" s="949" t="str">
        <f>IFERROR(VLOOKUP(H140,'Schedule 4'!$J$670:$K$1217,2,0),"-")</f>
        <v>-</v>
      </c>
      <c r="J140" s="425"/>
      <c r="K140" s="971" t="s">
        <v>5524</v>
      </c>
      <c r="L140" s="949" t="str">
        <f>IFERROR(VLOOKUP(K140,'Schedule 4'!$J$670:$K$1217,2,0),"-")</f>
        <v>-</v>
      </c>
      <c r="M140" s="425"/>
      <c r="N140" s="971" t="s">
        <v>4735</v>
      </c>
      <c r="O140" s="949" t="str">
        <f>IFERROR(VLOOKUP(N140,'Schedule 4'!$J$670:$K$1217,2,0),"-")</f>
        <v>-</v>
      </c>
      <c r="P140" s="425"/>
      <c r="Q140" s="971" t="s">
        <v>6653</v>
      </c>
      <c r="R140" s="949" t="str">
        <f>IFERROR(VLOOKUP(Q140,'Schedule 4'!$J$670:$K$1217,2,0),"-")</f>
        <v>-</v>
      </c>
      <c r="S140" s="425"/>
    </row>
    <row r="141" spans="2:19" x14ac:dyDescent="0.3">
      <c r="B141" s="971" t="s">
        <v>5492</v>
      </c>
      <c r="C141" s="949" t="str">
        <f>IFERROR(VLOOKUP(B141,'Schedule 4'!$J$670:$K$1217,2,0),"-")</f>
        <v>-</v>
      </c>
      <c r="D141" s="425"/>
      <c r="E141" s="971" t="s">
        <v>6654</v>
      </c>
      <c r="F141" s="949" t="str">
        <f>IFERROR(VLOOKUP(E141,'Schedule 4'!$J$670:$K$1217,2,0),"-")</f>
        <v>-</v>
      </c>
      <c r="G141" s="425"/>
      <c r="H141" s="971" t="s">
        <v>6655</v>
      </c>
      <c r="I141" s="949" t="str">
        <f>IFERROR(VLOOKUP(H141,'Schedule 4'!$J$670:$K$1217,2,0),"-")</f>
        <v>-</v>
      </c>
      <c r="J141" s="425"/>
      <c r="K141" s="971" t="s">
        <v>6656</v>
      </c>
      <c r="L141" s="949" t="str">
        <f>IFERROR(VLOOKUP(K141,'Schedule 4'!$J$670:$K$1217,2,0),"-")</f>
        <v>-</v>
      </c>
      <c r="M141" s="425"/>
      <c r="N141" s="971" t="s">
        <v>6657</v>
      </c>
      <c r="O141" s="949" t="str">
        <f>IFERROR(VLOOKUP(N141,'Schedule 4'!$J$670:$K$1217,2,0),"-")</f>
        <v>-</v>
      </c>
      <c r="P141" s="425"/>
      <c r="Q141" s="971" t="s">
        <v>6658</v>
      </c>
      <c r="R141" s="949" t="str">
        <f>IFERROR(VLOOKUP(Q141,'Schedule 4'!$J$670:$K$1217,2,0),"-")</f>
        <v>-</v>
      </c>
      <c r="S141" s="425"/>
    </row>
    <row r="142" spans="2:19" x14ac:dyDescent="0.3">
      <c r="B142" s="971" t="s">
        <v>5350</v>
      </c>
      <c r="C142" s="949" t="str">
        <f>IFERROR(VLOOKUP(B142,'Schedule 4'!$J$670:$K$1217,2,0),"-")</f>
        <v>-</v>
      </c>
      <c r="D142" s="425"/>
      <c r="E142" s="971" t="s">
        <v>6659</v>
      </c>
      <c r="F142" s="949" t="str">
        <f>IFERROR(VLOOKUP(E142,'Schedule 4'!$J$670:$K$1217,2,0),"-")</f>
        <v>-</v>
      </c>
      <c r="G142" s="425"/>
      <c r="H142" s="971" t="s">
        <v>6660</v>
      </c>
      <c r="I142" s="949" t="str">
        <f>IFERROR(VLOOKUP(H142,'Schedule 4'!$J$670:$K$1217,2,0),"-")</f>
        <v>-</v>
      </c>
      <c r="J142" s="425"/>
      <c r="K142" s="971" t="s">
        <v>6661</v>
      </c>
      <c r="L142" s="949" t="str">
        <f>IFERROR(VLOOKUP(K142,'Schedule 4'!$J$670:$K$1217,2,0),"-")</f>
        <v>-</v>
      </c>
      <c r="M142" s="425"/>
      <c r="N142" s="971" t="s">
        <v>5426</v>
      </c>
      <c r="O142" s="949" t="str">
        <f>IFERROR(VLOOKUP(N142,'Schedule 4'!$J$670:$K$1217,2,0),"-")</f>
        <v>-</v>
      </c>
      <c r="P142" s="425"/>
      <c r="Q142" s="971" t="s">
        <v>6662</v>
      </c>
      <c r="R142" s="949" t="str">
        <f>IFERROR(VLOOKUP(Q142,'Schedule 4'!$J$670:$K$1217,2,0),"-")</f>
        <v>-</v>
      </c>
      <c r="S142" s="425"/>
    </row>
    <row r="143" spans="2:19" x14ac:dyDescent="0.3">
      <c r="B143" s="971" t="s">
        <v>5347</v>
      </c>
      <c r="C143" s="949" t="str">
        <f>IFERROR(VLOOKUP(B143,'Schedule 4'!$J$670:$K$1217,2,0),"-")</f>
        <v>-</v>
      </c>
      <c r="D143" s="425"/>
      <c r="E143" s="971" t="s">
        <v>6663</v>
      </c>
      <c r="F143" s="949" t="str">
        <f>IFERROR(VLOOKUP(E143,'Schedule 4'!$J$670:$K$1217,2,0),"-")</f>
        <v>-</v>
      </c>
      <c r="G143" s="425"/>
      <c r="H143" s="971" t="s">
        <v>6664</v>
      </c>
      <c r="I143" s="949" t="str">
        <f>IFERROR(VLOOKUP(H143,'Schedule 4'!$J$670:$K$1217,2,0),"-")</f>
        <v>-</v>
      </c>
      <c r="J143" s="425"/>
      <c r="K143" s="971" t="s">
        <v>6665</v>
      </c>
      <c r="L143" s="949" t="str">
        <f>IFERROR(VLOOKUP(K143,'Schedule 4'!$J$670:$K$1217,2,0),"-")</f>
        <v>-</v>
      </c>
      <c r="M143" s="425"/>
      <c r="N143" s="971" t="s">
        <v>5424</v>
      </c>
      <c r="O143" s="949" t="str">
        <f>IFERROR(VLOOKUP(N143,'Schedule 4'!$J$670:$K$1217,2,0),"-")</f>
        <v>-</v>
      </c>
      <c r="P143" s="425"/>
      <c r="Q143" s="971" t="s">
        <v>6666</v>
      </c>
      <c r="R143" s="949" t="str">
        <f>IFERROR(VLOOKUP(Q143,'Schedule 4'!$J$670:$K$1217,2,0),"-")</f>
        <v>-</v>
      </c>
      <c r="S143" s="425"/>
    </row>
    <row r="144" spans="2:19" x14ac:dyDescent="0.3">
      <c r="B144" s="971" t="s">
        <v>5345</v>
      </c>
      <c r="C144" s="949" t="str">
        <f>IFERROR(VLOOKUP(B144,'Schedule 4'!$J$670:$K$1217,2,0),"-")</f>
        <v>-</v>
      </c>
      <c r="D144" s="425"/>
      <c r="E144" s="971" t="s">
        <v>6667</v>
      </c>
      <c r="F144" s="949" t="str">
        <f>IFERROR(VLOOKUP(E144,'Schedule 4'!$J$670:$K$1217,2,0),"-")</f>
        <v>-</v>
      </c>
      <c r="G144" s="425"/>
      <c r="H144" s="971" t="s">
        <v>6668</v>
      </c>
      <c r="I144" s="949" t="str">
        <f>IFERROR(VLOOKUP(H144,'Schedule 4'!$J$670:$K$1217,2,0),"-")</f>
        <v>-</v>
      </c>
      <c r="J144" s="425"/>
      <c r="K144" s="971" t="s">
        <v>6669</v>
      </c>
      <c r="L144" s="949" t="str">
        <f>IFERROR(VLOOKUP(K144,'Schedule 4'!$J$670:$K$1217,2,0),"-")</f>
        <v>-</v>
      </c>
      <c r="M144" s="425"/>
      <c r="N144" s="971" t="s">
        <v>5421</v>
      </c>
      <c r="O144" s="949" t="str">
        <f>IFERROR(VLOOKUP(N144,'Schedule 4'!$J$670:$K$1217,2,0),"-")</f>
        <v>-</v>
      </c>
      <c r="P144" s="425"/>
      <c r="Q144" s="971" t="s">
        <v>6670</v>
      </c>
      <c r="R144" s="949" t="str">
        <f>IFERROR(VLOOKUP(Q144,'Schedule 4'!$J$670:$K$1217,2,0),"-")</f>
        <v>-</v>
      </c>
      <c r="S144" s="425"/>
    </row>
    <row r="145" spans="2:19" x14ac:dyDescent="0.3">
      <c r="B145" s="971" t="s">
        <v>5343</v>
      </c>
      <c r="C145" s="949" t="str">
        <f>IFERROR(VLOOKUP(B145,'Schedule 4'!$J$670:$K$1217,2,0),"-")</f>
        <v>-</v>
      </c>
      <c r="D145" s="425"/>
      <c r="E145" s="971" t="s">
        <v>6671</v>
      </c>
      <c r="F145" s="949" t="str">
        <f>IFERROR(VLOOKUP(E145,'Schedule 4'!$J$670:$K$1217,2,0),"-")</f>
        <v>-</v>
      </c>
      <c r="G145" s="425"/>
      <c r="H145" s="971" t="s">
        <v>6672</v>
      </c>
      <c r="I145" s="949" t="str">
        <f>IFERROR(VLOOKUP(H145,'Schedule 4'!$J$670:$K$1217,2,0),"-")</f>
        <v>-</v>
      </c>
      <c r="J145" s="425"/>
      <c r="K145" s="971" t="s">
        <v>6673</v>
      </c>
      <c r="L145" s="949" t="str">
        <f>IFERROR(VLOOKUP(K145,'Schedule 4'!$J$670:$K$1217,2,0),"-")</f>
        <v>-</v>
      </c>
      <c r="M145" s="425"/>
      <c r="N145" s="971" t="s">
        <v>5418</v>
      </c>
      <c r="O145" s="949" t="str">
        <f>IFERROR(VLOOKUP(N145,'Schedule 4'!$J$670:$K$1217,2,0),"-")</f>
        <v>-</v>
      </c>
      <c r="P145" s="425"/>
      <c r="Q145" s="971" t="s">
        <v>6674</v>
      </c>
      <c r="R145" s="949" t="str">
        <f>IFERROR(VLOOKUP(Q145,'Schedule 4'!$J$670:$K$1217,2,0),"-")</f>
        <v>-</v>
      </c>
      <c r="S145" s="425"/>
    </row>
    <row r="146" spans="2:19" x14ac:dyDescent="0.3">
      <c r="B146" s="971" t="s">
        <v>5340</v>
      </c>
      <c r="C146" s="949" t="str">
        <f>IFERROR(VLOOKUP(B146,'Schedule 4'!$J$670:$K$1217,2,0),"-")</f>
        <v>-</v>
      </c>
      <c r="D146" s="425"/>
      <c r="E146" s="971" t="s">
        <v>6675</v>
      </c>
      <c r="F146" s="949" t="str">
        <f>IFERROR(VLOOKUP(E146,'Schedule 4'!$J$670:$K$1217,2,0),"-")</f>
        <v>-</v>
      </c>
      <c r="G146" s="425"/>
      <c r="H146" s="971" t="s">
        <v>6676</v>
      </c>
      <c r="I146" s="949" t="str">
        <f>IFERROR(VLOOKUP(H146,'Schedule 4'!$J$670:$K$1217,2,0),"-")</f>
        <v>-</v>
      </c>
      <c r="J146" s="425"/>
      <c r="K146" s="971" t="s">
        <v>6677</v>
      </c>
      <c r="L146" s="949" t="str">
        <f>IFERROR(VLOOKUP(K146,'Schedule 4'!$J$670:$K$1217,2,0),"-")</f>
        <v>-</v>
      </c>
      <c r="M146" s="425"/>
      <c r="N146" s="971" t="s">
        <v>5416</v>
      </c>
      <c r="O146" s="949" t="str">
        <f>IFERROR(VLOOKUP(N146,'Schedule 4'!$J$670:$K$1217,2,0),"-")</f>
        <v>-</v>
      </c>
      <c r="P146" s="425"/>
      <c r="Q146" s="971" t="s">
        <v>6678</v>
      </c>
      <c r="R146" s="949" t="str">
        <f>IFERROR(VLOOKUP(Q146,'Schedule 4'!$J$670:$K$1217,2,0),"-")</f>
        <v>-</v>
      </c>
      <c r="S146" s="425"/>
    </row>
    <row r="147" spans="2:19" x14ac:dyDescent="0.3">
      <c r="B147" s="971" t="s">
        <v>5337</v>
      </c>
      <c r="C147" s="949" t="str">
        <f>IFERROR(VLOOKUP(B147,'Schedule 4'!$J$670:$K$1217,2,0),"-")</f>
        <v>-</v>
      </c>
      <c r="D147" s="425"/>
      <c r="E147" s="971" t="s">
        <v>6679</v>
      </c>
      <c r="F147" s="949" t="str">
        <f>IFERROR(VLOOKUP(E147,'Schedule 4'!$J$670:$K$1217,2,0),"-")</f>
        <v>-</v>
      </c>
      <c r="G147" s="425"/>
      <c r="H147" s="971" t="s">
        <v>6680</v>
      </c>
      <c r="I147" s="949" t="str">
        <f>IFERROR(VLOOKUP(H147,'Schedule 4'!$J$670:$K$1217,2,0),"-")</f>
        <v>-</v>
      </c>
      <c r="J147" s="425"/>
      <c r="K147" s="971" t="s">
        <v>6681</v>
      </c>
      <c r="L147" s="949" t="str">
        <f>IFERROR(VLOOKUP(K147,'Schedule 4'!$J$670:$K$1217,2,0),"-")</f>
        <v>-</v>
      </c>
      <c r="M147" s="425"/>
      <c r="N147" s="971" t="s">
        <v>5413</v>
      </c>
      <c r="O147" s="949" t="str">
        <f>IFERROR(VLOOKUP(N147,'Schedule 4'!$J$670:$K$1217,2,0),"-")</f>
        <v>-</v>
      </c>
      <c r="P147" s="425"/>
      <c r="Q147" s="971" t="s">
        <v>6682</v>
      </c>
      <c r="R147" s="949" t="str">
        <f>IFERROR(VLOOKUP(Q147,'Schedule 4'!$J$670:$K$1217,2,0),"-")</f>
        <v>-</v>
      </c>
      <c r="S147" s="425"/>
    </row>
    <row r="148" spans="2:19" x14ac:dyDescent="0.3">
      <c r="B148" s="971" t="s">
        <v>5334</v>
      </c>
      <c r="C148" s="949" t="str">
        <f>IFERROR(VLOOKUP(B148,'Schedule 4'!$J$670:$K$1217,2,0),"-")</f>
        <v>-</v>
      </c>
      <c r="D148" s="425"/>
      <c r="E148" s="971" t="s">
        <v>6683</v>
      </c>
      <c r="F148" s="949" t="str">
        <f>IFERROR(VLOOKUP(E148,'Schedule 4'!$J$670:$K$1217,2,0),"-")</f>
        <v>-</v>
      </c>
      <c r="G148" s="425"/>
      <c r="H148" s="971" t="s">
        <v>6684</v>
      </c>
      <c r="I148" s="949" t="str">
        <f>IFERROR(VLOOKUP(H148,'Schedule 4'!$J$670:$K$1217,2,0),"-")</f>
        <v>-</v>
      </c>
      <c r="J148" s="425"/>
      <c r="K148" s="971" t="s">
        <v>6685</v>
      </c>
      <c r="L148" s="949" t="str">
        <f>IFERROR(VLOOKUP(K148,'Schedule 4'!$J$670:$K$1217,2,0),"-")</f>
        <v>-</v>
      </c>
      <c r="M148" s="425"/>
      <c r="N148" s="971" t="s">
        <v>5208</v>
      </c>
      <c r="O148" s="949" t="str">
        <f>IFERROR(VLOOKUP(N148,'Schedule 4'!$J$670:$K$1217,2,0),"-")</f>
        <v>-</v>
      </c>
      <c r="P148" s="425"/>
      <c r="Q148" s="971" t="s">
        <v>6686</v>
      </c>
      <c r="R148" s="949" t="str">
        <f>IFERROR(VLOOKUP(Q148,'Schedule 4'!$J$670:$K$1217,2,0),"-")</f>
        <v>-</v>
      </c>
      <c r="S148" s="425"/>
    </row>
    <row r="149" spans="2:19" x14ac:dyDescent="0.3">
      <c r="B149" s="971" t="s">
        <v>5846</v>
      </c>
      <c r="C149" s="949" t="str">
        <f>IFERROR(VLOOKUP(B149,'Schedule 4'!$J$670:$K$1217,2,0),"-")</f>
        <v>-</v>
      </c>
      <c r="D149" s="425"/>
      <c r="E149" s="971" t="s">
        <v>6687</v>
      </c>
      <c r="F149" s="949" t="str">
        <f>IFERROR(VLOOKUP(E149,'Schedule 4'!$J$670:$K$1217,2,0),"-")</f>
        <v>-</v>
      </c>
      <c r="G149" s="425"/>
      <c r="H149" s="971" t="s">
        <v>6688</v>
      </c>
      <c r="I149" s="949" t="str">
        <f>IFERROR(VLOOKUP(H149,'Schedule 4'!$J$670:$K$1217,2,0),"-")</f>
        <v>-</v>
      </c>
      <c r="J149" s="425"/>
      <c r="K149" s="971" t="s">
        <v>6689</v>
      </c>
      <c r="L149" s="949" t="str">
        <f>IFERROR(VLOOKUP(K149,'Schedule 4'!$J$670:$K$1217,2,0),"-")</f>
        <v>-</v>
      </c>
      <c r="M149" s="425"/>
      <c r="N149" s="971" t="s">
        <v>5706</v>
      </c>
      <c r="O149" s="949" t="str">
        <f>IFERROR(VLOOKUP(N149,'Schedule 4'!$J$670:$K$1217,2,0),"-")</f>
        <v>-</v>
      </c>
      <c r="P149" s="425"/>
      <c r="Q149" s="971" t="s">
        <v>6690</v>
      </c>
      <c r="R149" s="949" t="str">
        <f>IFERROR(VLOOKUP(Q149,'Schedule 4'!$J$670:$K$1217,2,0),"-")</f>
        <v>-</v>
      </c>
      <c r="S149" s="425"/>
    </row>
    <row r="150" spans="2:19" x14ac:dyDescent="0.3">
      <c r="B150" s="971" t="s">
        <v>5849</v>
      </c>
      <c r="C150" s="949" t="str">
        <f>IFERROR(VLOOKUP(B150,'Schedule 4'!$J$670:$K$1217,2,0),"-")</f>
        <v>-</v>
      </c>
      <c r="D150" s="425"/>
      <c r="E150" s="971" t="s">
        <v>6691</v>
      </c>
      <c r="F150" s="949" t="str">
        <f>IFERROR(VLOOKUP(E150,'Schedule 4'!$J$670:$K$1217,2,0),"-")</f>
        <v>-</v>
      </c>
      <c r="G150" s="425"/>
      <c r="H150" s="971" t="s">
        <v>6692</v>
      </c>
      <c r="I150" s="949" t="str">
        <f>IFERROR(VLOOKUP(H150,'Schedule 4'!$J$670:$K$1217,2,0),"-")</f>
        <v>-</v>
      </c>
      <c r="J150" s="425"/>
      <c r="K150" s="971" t="s">
        <v>6693</v>
      </c>
      <c r="L150" s="949" t="str">
        <f>IFERROR(VLOOKUP(K150,'Schedule 4'!$J$670:$K$1217,2,0),"-")</f>
        <v>-</v>
      </c>
      <c r="M150" s="425"/>
      <c r="N150" s="971" t="s">
        <v>5709</v>
      </c>
      <c r="O150" s="949" t="str">
        <f>IFERROR(VLOOKUP(N150,'Schedule 4'!$J$670:$K$1217,2,0),"-")</f>
        <v>-</v>
      </c>
      <c r="P150" s="425"/>
      <c r="Q150" s="971" t="s">
        <v>6694</v>
      </c>
      <c r="R150" s="949" t="str">
        <f>IFERROR(VLOOKUP(Q150,'Schedule 4'!$J$670:$K$1217,2,0),"-")</f>
        <v>-</v>
      </c>
      <c r="S150" s="425"/>
    </row>
    <row r="151" spans="2:19" x14ac:dyDescent="0.3">
      <c r="B151" s="971" t="s">
        <v>5852</v>
      </c>
      <c r="C151" s="949" t="str">
        <f>IFERROR(VLOOKUP(B151,'Schedule 4'!$J$670:$K$1217,2,0),"-")</f>
        <v>-</v>
      </c>
      <c r="D151" s="425"/>
      <c r="E151" s="971" t="s">
        <v>6695</v>
      </c>
      <c r="F151" s="949" t="str">
        <f>IFERROR(VLOOKUP(E151,'Schedule 4'!$J$670:$K$1217,2,0),"-")</f>
        <v>-</v>
      </c>
      <c r="G151" s="425"/>
      <c r="H151" s="971" t="s">
        <v>6696</v>
      </c>
      <c r="I151" s="949" t="str">
        <f>IFERROR(VLOOKUP(H151,'Schedule 4'!$J$670:$K$1217,2,0),"-")</f>
        <v>-</v>
      </c>
      <c r="J151" s="425"/>
      <c r="K151" s="971" t="s">
        <v>6697</v>
      </c>
      <c r="L151" s="949" t="str">
        <f>IFERROR(VLOOKUP(K151,'Schedule 4'!$J$670:$K$1217,2,0),"-")</f>
        <v>-</v>
      </c>
      <c r="M151" s="425"/>
      <c r="N151" s="971" t="s">
        <v>5711</v>
      </c>
      <c r="O151" s="949" t="str">
        <f>IFERROR(VLOOKUP(N151,'Schedule 4'!$J$670:$K$1217,2,0),"-")</f>
        <v>-</v>
      </c>
      <c r="P151" s="425"/>
      <c r="Q151" s="971" t="s">
        <v>6698</v>
      </c>
      <c r="R151" s="949" t="str">
        <f>IFERROR(VLOOKUP(Q151,'Schedule 4'!$J$670:$K$1217,2,0),"-")</f>
        <v>-</v>
      </c>
      <c r="S151" s="425"/>
    </row>
    <row r="152" spans="2:19" x14ac:dyDescent="0.3">
      <c r="B152" s="971" t="s">
        <v>548</v>
      </c>
      <c r="C152" s="949" t="str">
        <f>IFERROR(VLOOKUP(B152,'Schedule 4'!$J$670:$K$1217,2,0),"-")</f>
        <v>-</v>
      </c>
      <c r="D152" s="425"/>
      <c r="E152" s="971" t="s">
        <v>6699</v>
      </c>
      <c r="F152" s="949" t="str">
        <f>IFERROR(VLOOKUP(E152,'Schedule 4'!$J$670:$K$1217,2,0),"-")</f>
        <v>-</v>
      </c>
      <c r="G152" s="425"/>
      <c r="H152" s="971" t="s">
        <v>6700</v>
      </c>
      <c r="I152" s="949" t="str">
        <f>IFERROR(VLOOKUP(H152,'Schedule 4'!$J$670:$K$1217,2,0),"-")</f>
        <v>-</v>
      </c>
      <c r="J152" s="425"/>
      <c r="K152" s="971" t="s">
        <v>6701</v>
      </c>
      <c r="L152" s="949" t="str">
        <f>IFERROR(VLOOKUP(K152,'Schedule 4'!$J$670:$K$1217,2,0),"-")</f>
        <v>-</v>
      </c>
      <c r="M152" s="425"/>
      <c r="N152" s="971" t="s">
        <v>6702</v>
      </c>
      <c r="O152" s="949" t="str">
        <f>IFERROR(VLOOKUP(N152,'Schedule 4'!$J$670:$K$1217,2,0),"-")</f>
        <v>-</v>
      </c>
      <c r="P152" s="425"/>
      <c r="Q152" s="971" t="s">
        <v>6703</v>
      </c>
      <c r="R152" s="949" t="str">
        <f>IFERROR(VLOOKUP(Q152,'Schedule 4'!$J$670:$K$1217,2,0),"-")</f>
        <v>-</v>
      </c>
      <c r="S152" s="425"/>
    </row>
    <row r="153" spans="2:19" x14ac:dyDescent="0.3">
      <c r="B153" s="971" t="s">
        <v>608</v>
      </c>
      <c r="C153" s="949" t="str">
        <f>IFERROR(VLOOKUP(B153,'Schedule 4'!$J$670:$K$1217,2,0),"-")</f>
        <v>-</v>
      </c>
      <c r="D153" s="425"/>
      <c r="E153" s="971" t="s">
        <v>6704</v>
      </c>
      <c r="F153" s="949" t="str">
        <f>IFERROR(VLOOKUP(E153,'Schedule 4'!$J$670:$K$1217,2,0),"-")</f>
        <v>-</v>
      </c>
      <c r="G153" s="425"/>
      <c r="H153" s="971" t="s">
        <v>6705</v>
      </c>
      <c r="I153" s="949" t="str">
        <f>IFERROR(VLOOKUP(H153,'Schedule 4'!$J$670:$K$1217,2,0),"-")</f>
        <v>-</v>
      </c>
      <c r="J153" s="425"/>
      <c r="K153" s="971" t="s">
        <v>6706</v>
      </c>
      <c r="L153" s="949" t="str">
        <f>IFERROR(VLOOKUP(K153,'Schedule 4'!$J$670:$K$1217,2,0),"-")</f>
        <v>-</v>
      </c>
      <c r="M153" s="425"/>
      <c r="N153" s="971" t="s">
        <v>5835</v>
      </c>
      <c r="O153" s="949" t="str">
        <f>IFERROR(VLOOKUP(N153,'Schedule 4'!$J$670:$K$1217,2,0),"-")</f>
        <v>-</v>
      </c>
      <c r="P153" s="425"/>
      <c r="Q153" s="971" t="s">
        <v>6707</v>
      </c>
      <c r="R153" s="949" t="str">
        <f>IFERROR(VLOOKUP(Q153,'Schedule 4'!$J$670:$K$1217,2,0),"-")</f>
        <v>-</v>
      </c>
      <c r="S153" s="425"/>
    </row>
    <row r="154" spans="2:19" x14ac:dyDescent="0.3">
      <c r="B154" s="971" t="s">
        <v>640</v>
      </c>
      <c r="C154" s="949" t="str">
        <f>IFERROR(VLOOKUP(B154,'Schedule 4'!$J$670:$K$1217,2,0),"-")</f>
        <v>-</v>
      </c>
      <c r="D154" s="425"/>
      <c r="E154" s="971" t="s">
        <v>6708</v>
      </c>
      <c r="F154" s="949" t="str">
        <f>IFERROR(VLOOKUP(E154,'Schedule 4'!$J$670:$K$1217,2,0),"-")</f>
        <v>-</v>
      </c>
      <c r="G154" s="425"/>
      <c r="H154" s="971" t="s">
        <v>6709</v>
      </c>
      <c r="I154" s="949" t="str">
        <f>IFERROR(VLOOKUP(H154,'Schedule 4'!$J$670:$K$1217,2,0),"-")</f>
        <v>-</v>
      </c>
      <c r="J154" s="425"/>
      <c r="K154" s="971" t="s">
        <v>6710</v>
      </c>
      <c r="L154" s="949" t="str">
        <f>IFERROR(VLOOKUP(K154,'Schedule 4'!$J$670:$K$1217,2,0),"-")</f>
        <v>-</v>
      </c>
      <c r="M154" s="425"/>
      <c r="N154" s="971" t="s">
        <v>5838</v>
      </c>
      <c r="O154" s="949" t="str">
        <f>IFERROR(VLOOKUP(N154,'Schedule 4'!$J$670:$K$1217,2,0),"-")</f>
        <v>-</v>
      </c>
      <c r="P154" s="425"/>
      <c r="Q154" s="971" t="s">
        <v>6711</v>
      </c>
      <c r="R154" s="949" t="str">
        <f>IFERROR(VLOOKUP(Q154,'Schedule 4'!$J$670:$K$1217,2,0),"-")</f>
        <v>-</v>
      </c>
      <c r="S154" s="425"/>
    </row>
    <row r="155" spans="2:19" x14ac:dyDescent="0.3">
      <c r="B155" s="971" t="s">
        <v>654</v>
      </c>
      <c r="C155" s="949" t="str">
        <f>IFERROR(VLOOKUP(B155,'Schedule 4'!$J$670:$K$1217,2,0),"-")</f>
        <v>-</v>
      </c>
      <c r="D155" s="425"/>
      <c r="E155" s="971" t="s">
        <v>6712</v>
      </c>
      <c r="F155" s="949" t="str">
        <f>IFERROR(VLOOKUP(E155,'Schedule 4'!$J$670:$K$1217,2,0),"-")</f>
        <v>-</v>
      </c>
      <c r="G155" s="425"/>
      <c r="H155" s="971" t="s">
        <v>6713</v>
      </c>
      <c r="I155" s="949" t="str">
        <f>IFERROR(VLOOKUP(H155,'Schedule 4'!$J$670:$K$1217,2,0),"-")</f>
        <v>-</v>
      </c>
      <c r="J155" s="425"/>
      <c r="K155" s="971" t="s">
        <v>6714</v>
      </c>
      <c r="L155" s="949" t="str">
        <f>IFERROR(VLOOKUP(K155,'Schedule 4'!$J$670:$K$1217,2,0),"-")</f>
        <v>-</v>
      </c>
      <c r="M155" s="425"/>
      <c r="N155" s="971" t="s">
        <v>5841</v>
      </c>
      <c r="O155" s="949" t="str">
        <f>IFERROR(VLOOKUP(N155,'Schedule 4'!$J$670:$K$1217,2,0),"-")</f>
        <v>-</v>
      </c>
      <c r="P155" s="425"/>
      <c r="Q155" s="971" t="s">
        <v>6715</v>
      </c>
      <c r="R155" s="949" t="str">
        <f>IFERROR(VLOOKUP(Q155,'Schedule 4'!$J$670:$K$1217,2,0),"-")</f>
        <v>-</v>
      </c>
      <c r="S155" s="425"/>
    </row>
    <row r="156" spans="2:19" x14ac:dyDescent="0.3">
      <c r="B156" s="971" t="s">
        <v>704</v>
      </c>
      <c r="C156" s="949" t="str">
        <f>IFERROR(VLOOKUP(B156,'Schedule 4'!$J$670:$K$1217,2,0),"-")</f>
        <v>-</v>
      </c>
      <c r="D156" s="425"/>
      <c r="E156" s="971" t="s">
        <v>6716</v>
      </c>
      <c r="F156" s="949" t="str">
        <f>IFERROR(VLOOKUP(E156,'Schedule 4'!$J$670:$K$1217,2,0),"-")</f>
        <v>-</v>
      </c>
      <c r="G156" s="425"/>
      <c r="H156" s="971" t="s">
        <v>6717</v>
      </c>
      <c r="I156" s="949" t="str">
        <f>IFERROR(VLOOKUP(H156,'Schedule 4'!$J$670:$K$1217,2,0),"-")</f>
        <v>-</v>
      </c>
      <c r="J156" s="425"/>
      <c r="K156" s="971" t="s">
        <v>6718</v>
      </c>
      <c r="L156" s="949" t="str">
        <f>IFERROR(VLOOKUP(K156,'Schedule 4'!$J$670:$K$1217,2,0),"-")</f>
        <v>-</v>
      </c>
      <c r="M156" s="425"/>
      <c r="N156" s="971" t="s">
        <v>5843</v>
      </c>
      <c r="O156" s="949" t="str">
        <f>IFERROR(VLOOKUP(N156,'Schedule 4'!$J$670:$K$1217,2,0),"-")</f>
        <v>-</v>
      </c>
      <c r="P156" s="425"/>
      <c r="Q156" s="971" t="s">
        <v>6719</v>
      </c>
      <c r="R156" s="949" t="str">
        <f>IFERROR(VLOOKUP(Q156,'Schedule 4'!$J$670:$K$1217,2,0),"-")</f>
        <v>-</v>
      </c>
      <c r="S156" s="425"/>
    </row>
    <row r="157" spans="2:19" x14ac:dyDescent="0.3">
      <c r="B157" s="971" t="s">
        <v>5352</v>
      </c>
      <c r="C157" s="949" t="str">
        <f>IFERROR(VLOOKUP(B157,'Schedule 4'!$J$670:$K$1217,2,0),"-")</f>
        <v>-</v>
      </c>
      <c r="D157" s="425"/>
      <c r="E157" s="971" t="s">
        <v>6720</v>
      </c>
      <c r="F157" s="949" t="str">
        <f>IFERROR(VLOOKUP(E157,'Schedule 4'!$J$670:$K$1217,2,0),"-")</f>
        <v>-</v>
      </c>
      <c r="G157" s="425"/>
      <c r="H157" s="971" t="s">
        <v>4713</v>
      </c>
      <c r="I157" s="949" t="str">
        <f>IFERROR(VLOOKUP(H157,'Schedule 4'!$J$670:$K$1217,2,0),"-")</f>
        <v>-</v>
      </c>
      <c r="J157" s="425"/>
      <c r="K157" s="971" t="s">
        <v>5661</v>
      </c>
      <c r="L157" s="949" t="str">
        <f>IFERROR(VLOOKUP(K157,'Schedule 4'!$J$670:$K$1217,2,0),"-")</f>
        <v>-</v>
      </c>
      <c r="M157" s="425"/>
      <c r="N157" s="971" t="s">
        <v>4857</v>
      </c>
      <c r="O157" s="949" t="str">
        <f>IFERROR(VLOOKUP(N157,'Schedule 4'!$J$670:$K$1217,2,0),"-")</f>
        <v>-</v>
      </c>
      <c r="P157" s="425"/>
      <c r="Q157" s="971" t="s">
        <v>6721</v>
      </c>
      <c r="R157" s="949" t="str">
        <f>IFERROR(VLOOKUP(Q157,'Schedule 4'!$J$670:$K$1217,2,0),"-")</f>
        <v>-</v>
      </c>
      <c r="S157" s="425"/>
    </row>
    <row r="158" spans="2:19" x14ac:dyDescent="0.3">
      <c r="B158" s="971" t="s">
        <v>5355</v>
      </c>
      <c r="C158" s="949" t="str">
        <f>IFERROR(VLOOKUP(B158,'Schedule 4'!$J$670:$K$1217,2,0),"-")</f>
        <v>-</v>
      </c>
      <c r="D158" s="425"/>
      <c r="E158" s="971" t="s">
        <v>6722</v>
      </c>
      <c r="F158" s="949" t="str">
        <f>IFERROR(VLOOKUP(E158,'Schedule 4'!$J$670:$K$1217,2,0),"-")</f>
        <v>-</v>
      </c>
      <c r="G158" s="425"/>
      <c r="H158" s="971" t="s">
        <v>4717</v>
      </c>
      <c r="I158" s="949" t="str">
        <f>IFERROR(VLOOKUP(H158,'Schedule 4'!$J$670:$K$1217,2,0),"-")</f>
        <v>-</v>
      </c>
      <c r="J158" s="425"/>
      <c r="K158" s="971" t="s">
        <v>5663</v>
      </c>
      <c r="L158" s="949" t="str">
        <f>IFERROR(VLOOKUP(K158,'Schedule 4'!$J$670:$K$1217,2,0),"-")</f>
        <v>-</v>
      </c>
      <c r="M158" s="425"/>
      <c r="N158" s="971" t="s">
        <v>4860</v>
      </c>
      <c r="O158" s="949" t="str">
        <f>IFERROR(VLOOKUP(N158,'Schedule 4'!$J$670:$K$1217,2,0),"-")</f>
        <v>-</v>
      </c>
      <c r="P158" s="425"/>
      <c r="Q158" s="971" t="s">
        <v>6723</v>
      </c>
      <c r="R158" s="949" t="str">
        <f>IFERROR(VLOOKUP(Q158,'Schedule 4'!$J$670:$K$1217,2,0),"-")</f>
        <v>-</v>
      </c>
      <c r="S158" s="425"/>
    </row>
    <row r="159" spans="2:19" x14ac:dyDescent="0.3">
      <c r="B159" s="971" t="s">
        <v>5357</v>
      </c>
      <c r="C159" s="949" t="str">
        <f>IFERROR(VLOOKUP(B159,'Schedule 4'!$J$670:$K$1217,2,0),"-")</f>
        <v>-</v>
      </c>
      <c r="D159" s="425"/>
      <c r="E159" s="971" t="s">
        <v>6724</v>
      </c>
      <c r="F159" s="949" t="str">
        <f>IFERROR(VLOOKUP(E159,'Schedule 4'!$J$670:$K$1217,2,0),"-")</f>
        <v>-</v>
      </c>
      <c r="G159" s="425"/>
      <c r="H159" s="971" t="s">
        <v>4720</v>
      </c>
      <c r="I159" s="949" t="str">
        <f>IFERROR(VLOOKUP(H159,'Schedule 4'!$J$670:$K$1217,2,0),"-")</f>
        <v>-</v>
      </c>
      <c r="J159" s="425"/>
      <c r="K159" s="971" t="s">
        <v>5809</v>
      </c>
      <c r="L159" s="949" t="str">
        <f>IFERROR(VLOOKUP(K159,'Schedule 4'!$J$670:$K$1217,2,0),"-")</f>
        <v>-</v>
      </c>
      <c r="M159" s="425"/>
      <c r="N159" s="971" t="s">
        <v>4862</v>
      </c>
      <c r="O159" s="949" t="str">
        <f>IFERROR(VLOOKUP(N159,'Schedule 4'!$J$670:$K$1217,2,0),"-")</f>
        <v>-</v>
      </c>
      <c r="P159" s="425"/>
      <c r="Q159" s="971" t="s">
        <v>6725</v>
      </c>
      <c r="R159" s="949" t="str">
        <f>IFERROR(VLOOKUP(Q159,'Schedule 4'!$J$670:$K$1217,2,0),"-")</f>
        <v>-</v>
      </c>
      <c r="S159" s="425"/>
    </row>
    <row r="160" spans="2:19" x14ac:dyDescent="0.3">
      <c r="B160" s="971" t="s">
        <v>5360</v>
      </c>
      <c r="C160" s="949" t="str">
        <f>IFERROR(VLOOKUP(B160,'Schedule 4'!$J$670:$K$1217,2,0),"-")</f>
        <v>-</v>
      </c>
      <c r="D160" s="425"/>
      <c r="E160" s="971" t="s">
        <v>6726</v>
      </c>
      <c r="F160" s="949" t="str">
        <f>IFERROR(VLOOKUP(E160,'Schedule 4'!$J$670:$K$1217,2,0),"-")</f>
        <v>-</v>
      </c>
      <c r="G160" s="425"/>
      <c r="H160" s="971" t="s">
        <v>4723</v>
      </c>
      <c r="I160" s="949" t="str">
        <f>IFERROR(VLOOKUP(H160,'Schedule 4'!$J$670:$K$1217,2,0),"-")</f>
        <v>-</v>
      </c>
      <c r="J160" s="425"/>
      <c r="K160" s="971" t="s">
        <v>5812</v>
      </c>
      <c r="L160" s="949" t="str">
        <f>IFERROR(VLOOKUP(K160,'Schedule 4'!$J$670:$K$1217,2,0),"-")</f>
        <v>-</v>
      </c>
      <c r="M160" s="425"/>
      <c r="N160" s="971" t="s">
        <v>4864</v>
      </c>
      <c r="O160" s="949" t="str">
        <f>IFERROR(VLOOKUP(N160,'Schedule 4'!$J$670:$K$1217,2,0),"-")</f>
        <v>-</v>
      </c>
      <c r="P160" s="425"/>
      <c r="Q160" s="971" t="s">
        <v>6727</v>
      </c>
      <c r="R160" s="949" t="str">
        <f>IFERROR(VLOOKUP(Q160,'Schedule 4'!$J$670:$K$1217,2,0),"-")</f>
        <v>-</v>
      </c>
      <c r="S160" s="425"/>
    </row>
    <row r="161" spans="2:19" x14ac:dyDescent="0.3">
      <c r="B161" s="971" t="s">
        <v>5363</v>
      </c>
      <c r="C161" s="949" t="str">
        <f>IFERROR(VLOOKUP(B161,'Schedule 4'!$J$670:$K$1217,2,0),"-")</f>
        <v>-</v>
      </c>
      <c r="D161" s="425"/>
      <c r="E161" s="971" t="s">
        <v>6728</v>
      </c>
      <c r="F161" s="949" t="str">
        <f>IFERROR(VLOOKUP(E161,'Schedule 4'!$J$670:$K$1217,2,0),"-")</f>
        <v>-</v>
      </c>
      <c r="G161" s="425"/>
      <c r="H161" s="971" t="s">
        <v>4726</v>
      </c>
      <c r="I161" s="949" t="str">
        <f>IFERROR(VLOOKUP(H161,'Schedule 4'!$J$670:$K$1217,2,0),"-")</f>
        <v>-</v>
      </c>
      <c r="J161" s="425"/>
      <c r="K161" s="971" t="s">
        <v>5814</v>
      </c>
      <c r="L161" s="949" t="str">
        <f>IFERROR(VLOOKUP(K161,'Schedule 4'!$J$670:$K$1217,2,0),"-")</f>
        <v>-</v>
      </c>
      <c r="M161" s="425"/>
      <c r="N161" s="971" t="s">
        <v>4911</v>
      </c>
      <c r="O161" s="949" t="str">
        <f>IFERROR(VLOOKUP(N161,'Schedule 4'!$J$670:$K$1217,2,0),"-")</f>
        <v>-</v>
      </c>
      <c r="P161" s="425"/>
      <c r="Q161" s="971" t="s">
        <v>6729</v>
      </c>
      <c r="R161" s="949" t="str">
        <f>IFERROR(VLOOKUP(Q161,'Schedule 4'!$J$670:$K$1217,2,0),"-")</f>
        <v>-</v>
      </c>
      <c r="S161" s="425"/>
    </row>
    <row r="162" spans="2:19" x14ac:dyDescent="0.3">
      <c r="B162" s="971" t="s">
        <v>5365</v>
      </c>
      <c r="C162" s="949" t="str">
        <f>IFERROR(VLOOKUP(B162,'Schedule 4'!$J$670:$K$1217,2,0),"-")</f>
        <v>-</v>
      </c>
      <c r="D162" s="425"/>
      <c r="E162" s="971" t="s">
        <v>6730</v>
      </c>
      <c r="F162" s="949" t="str">
        <f>IFERROR(VLOOKUP(E162,'Schedule 4'!$J$670:$K$1217,2,0),"-")</f>
        <v>-</v>
      </c>
      <c r="G162" s="425"/>
      <c r="H162" s="971" t="s">
        <v>4729</v>
      </c>
      <c r="I162" s="949" t="str">
        <f>IFERROR(VLOOKUP(H162,'Schedule 4'!$J$670:$K$1217,2,0),"-")</f>
        <v>-</v>
      </c>
      <c r="J162" s="425"/>
      <c r="K162" s="971" t="s">
        <v>5817</v>
      </c>
      <c r="L162" s="949" t="str">
        <f>IFERROR(VLOOKUP(K162,'Schedule 4'!$J$670:$K$1217,2,0),"-")</f>
        <v>-</v>
      </c>
      <c r="M162" s="425"/>
      <c r="N162" s="971" t="s">
        <v>4914</v>
      </c>
      <c r="O162" s="949" t="str">
        <f>IFERROR(VLOOKUP(N162,'Schedule 4'!$J$670:$K$1217,2,0),"-")</f>
        <v>-</v>
      </c>
      <c r="P162" s="425"/>
      <c r="Q162" s="971" t="s">
        <v>6731</v>
      </c>
      <c r="R162" s="949" t="str">
        <f>IFERROR(VLOOKUP(Q162,'Schedule 4'!$J$670:$K$1217,2,0),"-")</f>
        <v>-</v>
      </c>
      <c r="S162" s="425"/>
    </row>
    <row r="163" spans="2:19" x14ac:dyDescent="0.3">
      <c r="B163" s="971" t="s">
        <v>5368</v>
      </c>
      <c r="C163" s="949" t="str">
        <f>IFERROR(VLOOKUP(B163,'Schedule 4'!$J$670:$K$1217,2,0),"-")</f>
        <v>-</v>
      </c>
      <c r="D163" s="425"/>
      <c r="E163" s="971" t="s">
        <v>6732</v>
      </c>
      <c r="F163" s="949" t="str">
        <f>IFERROR(VLOOKUP(E163,'Schedule 4'!$J$670:$K$1217,2,0),"-")</f>
        <v>-</v>
      </c>
      <c r="G163" s="425"/>
      <c r="H163" s="971" t="s">
        <v>4732</v>
      </c>
      <c r="I163" s="949" t="str">
        <f>IFERROR(VLOOKUP(H163,'Schedule 4'!$J$670:$K$1217,2,0),"-")</f>
        <v>-</v>
      </c>
      <c r="J163" s="425"/>
      <c r="K163" s="971" t="s">
        <v>5820</v>
      </c>
      <c r="L163" s="949" t="str">
        <f>IFERROR(VLOOKUP(K163,'Schedule 4'!$J$670:$K$1217,2,0),"-")</f>
        <v>-</v>
      </c>
      <c r="M163" s="425"/>
      <c r="N163" s="971" t="s">
        <v>4917</v>
      </c>
      <c r="O163" s="949" t="str">
        <f>IFERROR(VLOOKUP(N163,'Schedule 4'!$J$670:$K$1217,2,0),"-")</f>
        <v>-</v>
      </c>
      <c r="P163" s="425"/>
      <c r="Q163" s="971" t="s">
        <v>6733</v>
      </c>
      <c r="R163" s="949" t="str">
        <f>IFERROR(VLOOKUP(Q163,'Schedule 4'!$J$670:$K$1217,2,0),"-")</f>
        <v>-</v>
      </c>
      <c r="S163" s="425"/>
    </row>
    <row r="164" spans="2:19" x14ac:dyDescent="0.3">
      <c r="B164" s="971" t="s">
        <v>5495</v>
      </c>
      <c r="C164" s="949" t="str">
        <f>IFERROR(VLOOKUP(B164,'Schedule 4'!$J$670:$K$1217,2,0),"-")</f>
        <v>-</v>
      </c>
      <c r="D164" s="425"/>
      <c r="E164" s="971" t="s">
        <v>6734</v>
      </c>
      <c r="F164" s="949" t="str">
        <f>IFERROR(VLOOKUP(E164,'Schedule 4'!$J$670:$K$1217,2,0),"-")</f>
        <v>-</v>
      </c>
      <c r="G164" s="425"/>
      <c r="H164" s="971" t="s">
        <v>4744</v>
      </c>
      <c r="I164" s="949" t="str">
        <f>IFERROR(VLOOKUP(H164,'Schedule 4'!$J$670:$K$1217,2,0),"-")</f>
        <v>-</v>
      </c>
      <c r="J164" s="425"/>
      <c r="K164" s="971" t="s">
        <v>5823</v>
      </c>
      <c r="L164" s="949" t="str">
        <f>IFERROR(VLOOKUP(K164,'Schedule 4'!$J$670:$K$1217,2,0),"-")</f>
        <v>-</v>
      </c>
      <c r="M164" s="425"/>
      <c r="N164" s="971" t="s">
        <v>4920</v>
      </c>
      <c r="O164" s="949" t="str">
        <f>IFERROR(VLOOKUP(N164,'Schedule 4'!$J$670:$K$1217,2,0),"-")</f>
        <v>-</v>
      </c>
      <c r="P164" s="425"/>
      <c r="Q164" s="971" t="s">
        <v>6735</v>
      </c>
      <c r="R164" s="949" t="str">
        <f>IFERROR(VLOOKUP(Q164,'Schedule 4'!$J$670:$K$1217,2,0),"-")</f>
        <v>-</v>
      </c>
      <c r="S164" s="425"/>
    </row>
    <row r="165" spans="2:19" x14ac:dyDescent="0.3">
      <c r="B165" s="971" t="s">
        <v>5498</v>
      </c>
      <c r="C165" s="949" t="str">
        <f>IFERROR(VLOOKUP(B165,'Schedule 4'!$J$670:$K$1217,2,0),"-")</f>
        <v>-</v>
      </c>
      <c r="D165" s="425"/>
      <c r="E165" s="971" t="s">
        <v>6736</v>
      </c>
      <c r="F165" s="949" t="str">
        <f>IFERROR(VLOOKUP(E165,'Schedule 4'!$J$670:$K$1217,2,0),"-")</f>
        <v>-</v>
      </c>
      <c r="G165" s="425"/>
      <c r="H165" s="971" t="s">
        <v>4747</v>
      </c>
      <c r="I165" s="949" t="str">
        <f>IFERROR(VLOOKUP(H165,'Schedule 4'!$J$670:$K$1217,2,0),"-")</f>
        <v>-</v>
      </c>
      <c r="J165" s="425"/>
      <c r="K165" s="971" t="s">
        <v>5826</v>
      </c>
      <c r="L165" s="949" t="str">
        <f>IFERROR(VLOOKUP(K165,'Schedule 4'!$J$670:$K$1217,2,0),"-")</f>
        <v>-</v>
      </c>
      <c r="M165" s="425"/>
      <c r="N165" s="971" t="s">
        <v>4922</v>
      </c>
      <c r="O165" s="949" t="str">
        <f>IFERROR(VLOOKUP(N165,'Schedule 4'!$J$670:$K$1217,2,0),"-")</f>
        <v>-</v>
      </c>
      <c r="P165" s="425"/>
      <c r="Q165" s="971" t="s">
        <v>6737</v>
      </c>
      <c r="R165" s="949" t="str">
        <f>IFERROR(VLOOKUP(Q165,'Schedule 4'!$J$670:$K$1217,2,0),"-")</f>
        <v>-</v>
      </c>
      <c r="S165" s="425"/>
    </row>
    <row r="166" spans="2:19" x14ac:dyDescent="0.3">
      <c r="B166" s="971" t="s">
        <v>5501</v>
      </c>
      <c r="C166" s="949" t="str">
        <f>IFERROR(VLOOKUP(B166,'Schedule 4'!$J$670:$K$1217,2,0),"-")</f>
        <v>-</v>
      </c>
      <c r="D166" s="425"/>
      <c r="E166" s="971" t="s">
        <v>6738</v>
      </c>
      <c r="F166" s="949" t="str">
        <f>IFERROR(VLOOKUP(E166,'Schedule 4'!$J$670:$K$1217,2,0),"-")</f>
        <v>-</v>
      </c>
      <c r="G166" s="425"/>
      <c r="H166" s="971" t="s">
        <v>4750</v>
      </c>
      <c r="I166" s="949" t="str">
        <f>IFERROR(VLOOKUP(H166,'Schedule 4'!$J$670:$K$1217,2,0),"-")</f>
        <v>-</v>
      </c>
      <c r="J166" s="425"/>
      <c r="K166" s="971" t="s">
        <v>5894</v>
      </c>
      <c r="L166" s="949" t="str">
        <f>IFERROR(VLOOKUP(K166,'Schedule 4'!$J$670:$K$1217,2,0),"-")</f>
        <v>-</v>
      </c>
      <c r="M166" s="425"/>
      <c r="N166" s="971" t="s">
        <v>4990</v>
      </c>
      <c r="O166" s="949" t="str">
        <f>IFERROR(VLOOKUP(N166,'Schedule 4'!$J$670:$K$1217,2,0),"-")</f>
        <v>-</v>
      </c>
      <c r="P166" s="425"/>
      <c r="Q166" s="971" t="s">
        <v>6739</v>
      </c>
      <c r="R166" s="949" t="str">
        <f>IFERROR(VLOOKUP(Q166,'Schedule 4'!$J$670:$K$1217,2,0),"-")</f>
        <v>-</v>
      </c>
      <c r="S166" s="425"/>
    </row>
    <row r="167" spans="2:19" x14ac:dyDescent="0.3">
      <c r="B167" s="971" t="s">
        <v>5504</v>
      </c>
      <c r="C167" s="949" t="str">
        <f>IFERROR(VLOOKUP(B167,'Schedule 4'!$J$670:$K$1217,2,0),"-")</f>
        <v>-</v>
      </c>
      <c r="D167" s="425"/>
      <c r="E167" s="971" t="s">
        <v>6740</v>
      </c>
      <c r="F167" s="949" t="str">
        <f>IFERROR(VLOOKUP(E167,'Schedule 4'!$J$670:$K$1217,2,0),"-")</f>
        <v>-</v>
      </c>
      <c r="G167" s="425"/>
      <c r="H167" s="971" t="s">
        <v>4753</v>
      </c>
      <c r="I167" s="949" t="str">
        <f>IFERROR(VLOOKUP(H167,'Schedule 4'!$J$670:$K$1217,2,0),"-")</f>
        <v>-</v>
      </c>
      <c r="J167" s="425"/>
      <c r="K167" s="971" t="s">
        <v>5897</v>
      </c>
      <c r="L167" s="949" t="str">
        <f>IFERROR(VLOOKUP(K167,'Schedule 4'!$J$670:$K$1217,2,0),"-")</f>
        <v>-</v>
      </c>
      <c r="M167" s="425"/>
      <c r="N167" s="971" t="s">
        <v>4993</v>
      </c>
      <c r="O167" s="949" t="str">
        <f>IFERROR(VLOOKUP(N167,'Schedule 4'!$J$670:$K$1217,2,0),"-")</f>
        <v>-</v>
      </c>
      <c r="P167" s="425"/>
      <c r="Q167" s="971" t="s">
        <v>6741</v>
      </c>
      <c r="R167" s="949" t="str">
        <f>IFERROR(VLOOKUP(Q167,'Schedule 4'!$J$670:$K$1217,2,0),"-")</f>
        <v>-</v>
      </c>
      <c r="S167" s="425"/>
    </row>
    <row r="168" spans="2:19" x14ac:dyDescent="0.3">
      <c r="B168" s="971" t="s">
        <v>5506</v>
      </c>
      <c r="C168" s="949" t="str">
        <f>IFERROR(VLOOKUP(B168,'Schedule 4'!$J$670:$K$1217,2,0),"-")</f>
        <v>-</v>
      </c>
      <c r="D168" s="425"/>
      <c r="E168" s="971" t="s">
        <v>6742</v>
      </c>
      <c r="F168" s="949" t="str">
        <f>IFERROR(VLOOKUP(E168,'Schedule 4'!$J$670:$K$1217,2,0),"-")</f>
        <v>-</v>
      </c>
      <c r="G168" s="425"/>
      <c r="H168" s="971" t="s">
        <v>4756</v>
      </c>
      <c r="I168" s="949" t="str">
        <f>IFERROR(VLOOKUP(H168,'Schedule 4'!$J$670:$K$1217,2,0),"-")</f>
        <v>-</v>
      </c>
      <c r="J168" s="425"/>
      <c r="K168" s="971" t="s">
        <v>5900</v>
      </c>
      <c r="L168" s="949" t="str">
        <f>IFERROR(VLOOKUP(K168,'Schedule 4'!$J$670:$K$1217,2,0),"-")</f>
        <v>-</v>
      </c>
      <c r="M168" s="425"/>
      <c r="N168" s="971" t="s">
        <v>4996</v>
      </c>
      <c r="O168" s="949" t="str">
        <f>IFERROR(VLOOKUP(N168,'Schedule 4'!$J$670:$K$1217,2,0),"-")</f>
        <v>-</v>
      </c>
      <c r="P168" s="425"/>
      <c r="Q168" s="971" t="s">
        <v>6743</v>
      </c>
      <c r="R168" s="949" t="str">
        <f>IFERROR(VLOOKUP(Q168,'Schedule 4'!$J$670:$K$1217,2,0),"-")</f>
        <v>-</v>
      </c>
      <c r="S168" s="425"/>
    </row>
    <row r="169" spans="2:19" x14ac:dyDescent="0.3">
      <c r="B169" s="971" t="s">
        <v>5508</v>
      </c>
      <c r="C169" s="949" t="str">
        <f>IFERROR(VLOOKUP(B169,'Schedule 4'!$J$670:$K$1217,2,0),"-")</f>
        <v>-</v>
      </c>
      <c r="D169" s="425"/>
      <c r="E169" s="971" t="s">
        <v>6744</v>
      </c>
      <c r="F169" s="949" t="str">
        <f>IFERROR(VLOOKUP(E169,'Schedule 4'!$J$670:$K$1217,2,0),"-")</f>
        <v>-</v>
      </c>
      <c r="G169" s="425"/>
      <c r="H169" s="971" t="s">
        <v>4759</v>
      </c>
      <c r="I169" s="949" t="str">
        <f>IFERROR(VLOOKUP(H169,'Schedule 4'!$J$670:$K$1217,2,0),"-")</f>
        <v>-</v>
      </c>
      <c r="J169" s="425"/>
      <c r="K169" s="971" t="s">
        <v>614</v>
      </c>
      <c r="L169" s="949" t="str">
        <f>IFERROR(VLOOKUP(K169,'Schedule 4'!$J$670:$K$1217,2,0),"-")</f>
        <v>-</v>
      </c>
      <c r="M169" s="425"/>
      <c r="N169" s="971" t="s">
        <v>5078</v>
      </c>
      <c r="O169" s="949" t="str">
        <f>IFERROR(VLOOKUP(N169,'Schedule 4'!$J$670:$K$1217,2,0),"-")</f>
        <v>-</v>
      </c>
      <c r="P169" s="425"/>
      <c r="Q169" s="971" t="s">
        <v>6745</v>
      </c>
      <c r="R169" s="949" t="str">
        <f>IFERROR(VLOOKUP(Q169,'Schedule 4'!$J$670:$K$1217,2,0),"-")</f>
        <v>-</v>
      </c>
      <c r="S169" s="425"/>
    </row>
    <row r="170" spans="2:19" x14ac:dyDescent="0.3">
      <c r="B170" s="971" t="s">
        <v>5641</v>
      </c>
      <c r="C170" s="949" t="str">
        <f>IFERROR(VLOOKUP(B170,'Schedule 4'!$J$670:$K$1217,2,0),"-")</f>
        <v>-</v>
      </c>
      <c r="D170" s="425"/>
      <c r="E170" s="971" t="s">
        <v>6746</v>
      </c>
      <c r="F170" s="949" t="str">
        <f>IFERROR(VLOOKUP(E170,'Schedule 4'!$J$670:$K$1217,2,0),"-")</f>
        <v>-</v>
      </c>
      <c r="G170" s="425"/>
      <c r="H170" s="971" t="s">
        <v>4762</v>
      </c>
      <c r="I170" s="949" t="str">
        <f>IFERROR(VLOOKUP(H170,'Schedule 4'!$J$670:$K$1217,2,0),"-")</f>
        <v>-</v>
      </c>
      <c r="J170" s="425"/>
      <c r="K170" s="971" t="s">
        <v>5903</v>
      </c>
      <c r="L170" s="949" t="str">
        <f>IFERROR(VLOOKUP(K170,'Schedule 4'!$J$670:$K$1217,2,0),"-")</f>
        <v>-</v>
      </c>
      <c r="M170" s="425"/>
      <c r="N170" s="971" t="s">
        <v>5211</v>
      </c>
      <c r="O170" s="949" t="str">
        <f>IFERROR(VLOOKUP(N170,'Schedule 4'!$J$670:$K$1217,2,0),"-")</f>
        <v>-</v>
      </c>
      <c r="P170" s="425"/>
      <c r="Q170" s="971" t="s">
        <v>6747</v>
      </c>
      <c r="R170" s="949" t="str">
        <f>IFERROR(VLOOKUP(Q170,'Schedule 4'!$J$670:$K$1217,2,0),"-")</f>
        <v>-</v>
      </c>
      <c r="S170" s="425"/>
    </row>
    <row r="171" spans="2:19" x14ac:dyDescent="0.3">
      <c r="B171" s="971" t="s">
        <v>5644</v>
      </c>
      <c r="C171" s="949" t="str">
        <f>IFERROR(VLOOKUP(B171,'Schedule 4'!$J$670:$K$1217,2,0),"-")</f>
        <v>-</v>
      </c>
      <c r="D171" s="425"/>
      <c r="E171" s="971" t="s">
        <v>6748</v>
      </c>
      <c r="F171" s="949" t="str">
        <f>IFERROR(VLOOKUP(E171,'Schedule 4'!$J$670:$K$1217,2,0),"-")</f>
        <v>-</v>
      </c>
      <c r="G171" s="425"/>
      <c r="H171" s="971" t="s">
        <v>4765</v>
      </c>
      <c r="I171" s="949" t="str">
        <f>IFERROR(VLOOKUP(H171,'Schedule 4'!$J$670:$K$1217,2,0),"-")</f>
        <v>-</v>
      </c>
      <c r="J171" s="425"/>
      <c r="K171" s="971" t="s">
        <v>5906</v>
      </c>
      <c r="L171" s="949" t="str">
        <f>IFERROR(VLOOKUP(K171,'Schedule 4'!$J$670:$K$1217,2,0),"-")</f>
        <v>-</v>
      </c>
      <c r="M171" s="425"/>
      <c r="N171" s="971" t="s">
        <v>5213</v>
      </c>
      <c r="O171" s="949" t="str">
        <f>IFERROR(VLOOKUP(N171,'Schedule 4'!$J$670:$K$1217,2,0),"-")</f>
        <v>-</v>
      </c>
      <c r="P171" s="425"/>
      <c r="Q171" s="971" t="s">
        <v>6749</v>
      </c>
      <c r="R171" s="949" t="str">
        <f>IFERROR(VLOOKUP(Q171,'Schedule 4'!$J$670:$K$1217,2,0),"-")</f>
        <v>-</v>
      </c>
      <c r="S171" s="425"/>
    </row>
    <row r="172" spans="2:19" x14ac:dyDescent="0.3">
      <c r="B172" s="971" t="s">
        <v>5647</v>
      </c>
      <c r="C172" s="949" t="str">
        <f>IFERROR(VLOOKUP(B172,'Schedule 4'!$J$670:$K$1217,2,0),"-")</f>
        <v>-</v>
      </c>
      <c r="D172" s="425"/>
      <c r="E172" s="971" t="s">
        <v>6750</v>
      </c>
      <c r="F172" s="949" t="str">
        <f>IFERROR(VLOOKUP(E172,'Schedule 4'!$J$670:$K$1217,2,0),"-")</f>
        <v>-</v>
      </c>
      <c r="G172" s="425"/>
      <c r="H172" s="971" t="s">
        <v>4798</v>
      </c>
      <c r="I172" s="949" t="str">
        <f>IFERROR(VLOOKUP(H172,'Schedule 4'!$J$670:$K$1217,2,0),"-")</f>
        <v>-</v>
      </c>
      <c r="J172" s="425"/>
      <c r="K172" s="971" t="s">
        <v>5909</v>
      </c>
      <c r="L172" s="949" t="str">
        <f>IFERROR(VLOOKUP(K172,'Schedule 4'!$J$670:$K$1217,2,0),"-")</f>
        <v>-</v>
      </c>
      <c r="M172" s="425"/>
      <c r="N172" s="971" t="s">
        <v>5215</v>
      </c>
      <c r="O172" s="949" t="str">
        <f>IFERROR(VLOOKUP(N172,'Schedule 4'!$J$670:$K$1217,2,0),"-")</f>
        <v>-</v>
      </c>
      <c r="P172" s="425"/>
      <c r="Q172" s="971" t="s">
        <v>6751</v>
      </c>
      <c r="R172" s="949" t="str">
        <f>IFERROR(VLOOKUP(Q172,'Schedule 4'!$J$670:$K$1217,2,0),"-")</f>
        <v>-</v>
      </c>
      <c r="S172" s="425"/>
    </row>
    <row r="173" spans="2:19" x14ac:dyDescent="0.3">
      <c r="B173" s="971" t="s">
        <v>5650</v>
      </c>
      <c r="C173" s="949" t="str">
        <f>IFERROR(VLOOKUP(B173,'Schedule 4'!$J$670:$K$1217,2,0),"-")</f>
        <v>-</v>
      </c>
      <c r="D173" s="425"/>
      <c r="E173" s="971" t="s">
        <v>6752</v>
      </c>
      <c r="F173" s="949" t="str">
        <f>IFERROR(VLOOKUP(E173,'Schedule 4'!$J$670:$K$1217,2,0),"-")</f>
        <v>-</v>
      </c>
      <c r="G173" s="425"/>
      <c r="H173" s="971" t="s">
        <v>4801</v>
      </c>
      <c r="I173" s="949" t="str">
        <f>IFERROR(VLOOKUP(H173,'Schedule 4'!$J$670:$K$1217,2,0),"-")</f>
        <v>-</v>
      </c>
      <c r="J173" s="425"/>
      <c r="K173" s="971" t="s">
        <v>565</v>
      </c>
      <c r="L173" s="949" t="str">
        <f>IFERROR(VLOOKUP(K173,'Schedule 4'!$J$670:$K$1217,2,0),"-")</f>
        <v>-</v>
      </c>
      <c r="M173" s="425"/>
      <c r="N173" s="971" t="s">
        <v>5428</v>
      </c>
      <c r="O173" s="949" t="str">
        <f>IFERROR(VLOOKUP(N173,'Schedule 4'!$J$670:$K$1217,2,0),"-")</f>
        <v>-</v>
      </c>
      <c r="P173" s="425"/>
      <c r="Q173" s="971" t="s">
        <v>6753</v>
      </c>
      <c r="R173" s="949" t="str">
        <f>IFERROR(VLOOKUP(Q173,'Schedule 4'!$J$670:$K$1217,2,0),"-")</f>
        <v>-</v>
      </c>
      <c r="S173" s="425"/>
    </row>
    <row r="174" spans="2:19" x14ac:dyDescent="0.3">
      <c r="B174" s="971" t="s">
        <v>5653</v>
      </c>
      <c r="C174" s="949" t="str">
        <f>IFERROR(VLOOKUP(B174,'Schedule 4'!$J$670:$K$1217,2,0),"-")</f>
        <v>-</v>
      </c>
      <c r="D174" s="425"/>
      <c r="E174" s="971" t="s">
        <v>6754</v>
      </c>
      <c r="F174" s="949" t="str">
        <f>IFERROR(VLOOKUP(E174,'Schedule 4'!$J$670:$K$1217,2,0),"-")</f>
        <v>-</v>
      </c>
      <c r="G174" s="425"/>
      <c r="H174" s="971" t="s">
        <v>4804</v>
      </c>
      <c r="I174" s="949" t="str">
        <f>IFERROR(VLOOKUP(H174,'Schedule 4'!$J$670:$K$1217,2,0),"-")</f>
        <v>-</v>
      </c>
      <c r="J174" s="425"/>
      <c r="K174" s="971" t="s">
        <v>626</v>
      </c>
      <c r="L174" s="949" t="str">
        <f>IFERROR(VLOOKUP(K174,'Schedule 4'!$J$670:$K$1217,2,0),"-")</f>
        <v>-</v>
      </c>
      <c r="M174" s="425"/>
      <c r="N174" s="971" t="s">
        <v>5431</v>
      </c>
      <c r="O174" s="949" t="str">
        <f>IFERROR(VLOOKUP(N174,'Schedule 4'!$J$670:$K$1217,2,0),"-")</f>
        <v>-</v>
      </c>
      <c r="P174" s="425"/>
      <c r="Q174" s="971" t="s">
        <v>6755</v>
      </c>
      <c r="R174" s="949" t="str">
        <f>IFERROR(VLOOKUP(Q174,'Schedule 4'!$J$670:$K$1217,2,0),"-")</f>
        <v>-</v>
      </c>
      <c r="S174" s="425"/>
    </row>
    <row r="175" spans="2:19" x14ac:dyDescent="0.3">
      <c r="B175" s="971" t="s">
        <v>5656</v>
      </c>
      <c r="C175" s="949" t="str">
        <f>IFERROR(VLOOKUP(B175,'Schedule 4'!$J$670:$K$1217,2,0),"-")</f>
        <v>-</v>
      </c>
      <c r="D175" s="425"/>
      <c r="E175" s="971" t="s">
        <v>6756</v>
      </c>
      <c r="F175" s="949" t="str">
        <f>IFERROR(VLOOKUP(E175,'Schedule 4'!$J$670:$K$1217,2,0),"-")</f>
        <v>-</v>
      </c>
      <c r="G175" s="425"/>
      <c r="H175" s="971" t="s">
        <v>4807</v>
      </c>
      <c r="I175" s="949" t="str">
        <f>IFERROR(VLOOKUP(H175,'Schedule 4'!$J$670:$K$1217,2,0),"-")</f>
        <v>-</v>
      </c>
      <c r="J175" s="425"/>
      <c r="K175" s="971" t="s">
        <v>656</v>
      </c>
      <c r="L175" s="949" t="str">
        <f>IFERROR(VLOOKUP(K175,'Schedule 4'!$J$670:$K$1217,2,0),"-")</f>
        <v>-</v>
      </c>
      <c r="M175" s="425"/>
      <c r="N175" s="971" t="s">
        <v>5433</v>
      </c>
      <c r="O175" s="949" t="str">
        <f>IFERROR(VLOOKUP(N175,'Schedule 4'!$J$670:$K$1217,2,0),"-")</f>
        <v>-</v>
      </c>
      <c r="P175" s="425"/>
      <c r="Q175" s="971" t="s">
        <v>6757</v>
      </c>
      <c r="R175" s="949" t="str">
        <f>IFERROR(VLOOKUP(Q175,'Schedule 4'!$J$670:$K$1217,2,0),"-")</f>
        <v>-</v>
      </c>
      <c r="S175" s="425"/>
    </row>
    <row r="176" spans="2:19" x14ac:dyDescent="0.3">
      <c r="B176" s="971" t="s">
        <v>5658</v>
      </c>
      <c r="C176" s="949" t="str">
        <f>IFERROR(VLOOKUP(B176,'Schedule 4'!$J$670:$K$1217,2,0),"-")</f>
        <v>-</v>
      </c>
      <c r="D176" s="425"/>
      <c r="E176" s="971" t="s">
        <v>6758</v>
      </c>
      <c r="F176" s="949" t="str">
        <f>IFERROR(VLOOKUP(E176,'Schedule 4'!$J$670:$K$1217,2,0),"-")</f>
        <v>-</v>
      </c>
      <c r="G176" s="425"/>
      <c r="H176" s="971" t="s">
        <v>4810</v>
      </c>
      <c r="I176" s="949" t="str">
        <f>IFERROR(VLOOKUP(H176,'Schedule 4'!$J$670:$K$1217,2,0),"-")</f>
        <v>-</v>
      </c>
      <c r="J176" s="425"/>
      <c r="K176" s="971" t="s">
        <v>672</v>
      </c>
      <c r="L176" s="949" t="str">
        <f>IFERROR(VLOOKUP(K176,'Schedule 4'!$J$670:$K$1217,2,0),"-")</f>
        <v>-</v>
      </c>
      <c r="M176" s="425"/>
      <c r="N176" s="971" t="s">
        <v>5435</v>
      </c>
      <c r="O176" s="949" t="str">
        <f>IFERROR(VLOOKUP(N176,'Schedule 4'!$J$670:$K$1217,2,0),"-")</f>
        <v>-</v>
      </c>
      <c r="P176" s="425"/>
      <c r="Q176" s="971" t="s">
        <v>6759</v>
      </c>
      <c r="R176" s="949" t="str">
        <f>IFERROR(VLOOKUP(Q176,'Schedule 4'!$J$670:$K$1217,2,0),"-")</f>
        <v>-</v>
      </c>
      <c r="S176" s="425"/>
    </row>
    <row r="177" spans="2:19" x14ac:dyDescent="0.3">
      <c r="B177" s="971" t="s">
        <v>5738</v>
      </c>
      <c r="C177" s="949" t="str">
        <f>IFERROR(VLOOKUP(B177,'Schedule 4'!$J$670:$K$1217,2,0),"-")</f>
        <v>-</v>
      </c>
      <c r="D177" s="425"/>
      <c r="E177" s="971" t="s">
        <v>6760</v>
      </c>
      <c r="F177" s="949" t="str">
        <f>IFERROR(VLOOKUP(E177,'Schedule 4'!$J$670:$K$1217,2,0),"-")</f>
        <v>-</v>
      </c>
      <c r="G177" s="425"/>
      <c r="H177" s="971" t="s">
        <v>4813</v>
      </c>
      <c r="I177" s="949" t="str">
        <f>IFERROR(VLOOKUP(H177,'Schedule 4'!$J$670:$K$1217,2,0),"-")</f>
        <v>-</v>
      </c>
      <c r="J177" s="425"/>
      <c r="K177" s="971" t="s">
        <v>689</v>
      </c>
      <c r="L177" s="949" t="str">
        <f>IFERROR(VLOOKUP(K177,'Schedule 4'!$J$670:$K$1217,2,0),"-")</f>
        <v>-</v>
      </c>
      <c r="M177" s="425"/>
      <c r="N177" s="971" t="s">
        <v>5438</v>
      </c>
      <c r="O177" s="949" t="str">
        <f>IFERROR(VLOOKUP(N177,'Schedule 4'!$J$670:$K$1217,2,0),"-")</f>
        <v>-</v>
      </c>
      <c r="P177" s="425"/>
      <c r="Q177" s="971" t="s">
        <v>6761</v>
      </c>
      <c r="R177" s="949" t="str">
        <f>IFERROR(VLOOKUP(Q177,'Schedule 4'!$J$670:$K$1217,2,0),"-")</f>
        <v>-</v>
      </c>
      <c r="S177" s="425"/>
    </row>
    <row r="178" spans="2:19" x14ac:dyDescent="0.3">
      <c r="B178" s="971" t="s">
        <v>5741</v>
      </c>
      <c r="C178" s="949" t="str">
        <f>IFERROR(VLOOKUP(B178,'Schedule 4'!$J$670:$K$1217,2,0),"-")</f>
        <v>-</v>
      </c>
      <c r="D178" s="425"/>
      <c r="E178" s="971" t="s">
        <v>6762</v>
      </c>
      <c r="F178" s="949" t="str">
        <f>IFERROR(VLOOKUP(E178,'Schedule 4'!$J$670:$K$1217,2,0),"-")</f>
        <v>-</v>
      </c>
      <c r="G178" s="425"/>
      <c r="H178" s="971" t="s">
        <v>4816</v>
      </c>
      <c r="I178" s="949" t="str">
        <f>IFERROR(VLOOKUP(H178,'Schedule 4'!$J$670:$K$1217,2,0),"-")</f>
        <v>-</v>
      </c>
      <c r="J178" s="425"/>
      <c r="K178" s="971" t="s">
        <v>736</v>
      </c>
      <c r="L178" s="949" t="str">
        <f>IFERROR(VLOOKUP(K178,'Schedule 4'!$J$670:$K$1217,2,0),"-")</f>
        <v>-</v>
      </c>
      <c r="M178" s="425"/>
      <c r="N178" s="971" t="s">
        <v>5441</v>
      </c>
      <c r="O178" s="949" t="str">
        <f>IFERROR(VLOOKUP(N178,'Schedule 4'!$J$670:$K$1217,2,0),"-")</f>
        <v>-</v>
      </c>
      <c r="P178" s="425"/>
      <c r="Q178" s="971" t="s">
        <v>6763</v>
      </c>
      <c r="R178" s="949" t="str">
        <f>IFERROR(VLOOKUP(Q178,'Schedule 4'!$J$670:$K$1217,2,0),"-")</f>
        <v>-</v>
      </c>
      <c r="S178" s="425"/>
    </row>
    <row r="179" spans="2:19" x14ac:dyDescent="0.3">
      <c r="B179" s="971" t="s">
        <v>5744</v>
      </c>
      <c r="C179" s="949" t="str">
        <f>IFERROR(VLOOKUP(B179,'Schedule 4'!$J$670:$K$1217,2,0),"-")</f>
        <v>-</v>
      </c>
      <c r="D179" s="425"/>
      <c r="E179" s="971" t="s">
        <v>6764</v>
      </c>
      <c r="F179" s="949" t="str">
        <f>IFERROR(VLOOKUP(E179,'Schedule 4'!$J$670:$K$1217,2,0),"-")</f>
        <v>-</v>
      </c>
      <c r="G179" s="425"/>
      <c r="H179" s="971" t="s">
        <v>4819</v>
      </c>
      <c r="I179" s="949" t="str">
        <f>IFERROR(VLOOKUP(H179,'Schedule 4'!$J$670:$K$1217,2,0),"-")</f>
        <v>-</v>
      </c>
      <c r="J179" s="425"/>
      <c r="K179" s="971" t="s">
        <v>730</v>
      </c>
      <c r="L179" s="949" t="str">
        <f>IFERROR(VLOOKUP(K179,'Schedule 4'!$J$670:$K$1217,2,0),"-")</f>
        <v>-</v>
      </c>
      <c r="M179" s="425"/>
      <c r="N179" s="971" t="s">
        <v>5443</v>
      </c>
      <c r="O179" s="949" t="str">
        <f>IFERROR(VLOOKUP(N179,'Schedule 4'!$J$670:$K$1217,2,0),"-")</f>
        <v>-</v>
      </c>
      <c r="P179" s="425"/>
      <c r="Q179" s="971" t="s">
        <v>6765</v>
      </c>
      <c r="R179" s="949" t="str">
        <f>IFERROR(VLOOKUP(Q179,'Schedule 4'!$J$670:$K$1217,2,0),"-")</f>
        <v>-</v>
      </c>
      <c r="S179" s="425"/>
    </row>
    <row r="180" spans="2:19" x14ac:dyDescent="0.3">
      <c r="B180" s="971" t="s">
        <v>5747</v>
      </c>
      <c r="C180" s="949" t="str">
        <f>IFERROR(VLOOKUP(B180,'Schedule 4'!$J$670:$K$1217,2,0),"-")</f>
        <v>-</v>
      </c>
      <c r="D180" s="425"/>
      <c r="E180" s="971" t="s">
        <v>6766</v>
      </c>
      <c r="F180" s="949" t="str">
        <f>IFERROR(VLOOKUP(E180,'Schedule 4'!$J$670:$K$1217,2,0),"-")</f>
        <v>-</v>
      </c>
      <c r="G180" s="425"/>
      <c r="H180" s="971" t="s">
        <v>512</v>
      </c>
      <c r="I180" s="949" t="str">
        <f>IFERROR(VLOOKUP(H180,'Schedule 4'!$J$670:$K$1217,2,0),"-")</f>
        <v>-</v>
      </c>
      <c r="J180" s="425"/>
      <c r="K180" s="971" t="s">
        <v>6767</v>
      </c>
      <c r="L180" s="949" t="str">
        <f>IFERROR(VLOOKUP(K180,'Schedule 4'!$J$670:$K$1217,2,0),"-")</f>
        <v>-</v>
      </c>
      <c r="M180" s="425"/>
      <c r="N180" s="971" t="s">
        <v>5578</v>
      </c>
      <c r="O180" s="949" t="str">
        <f>IFERROR(VLOOKUP(N180,'Schedule 4'!$J$670:$K$1217,2,0),"-")</f>
        <v>-</v>
      </c>
      <c r="P180" s="425"/>
      <c r="Q180" s="971" t="s">
        <v>6768</v>
      </c>
      <c r="R180" s="949" t="str">
        <f>IFERROR(VLOOKUP(Q180,'Schedule 4'!$J$670:$K$1217,2,0),"-")</f>
        <v>-</v>
      </c>
      <c r="S180" s="425"/>
    </row>
    <row r="181" spans="2:19" x14ac:dyDescent="0.3">
      <c r="B181" s="971" t="s">
        <v>5750</v>
      </c>
      <c r="C181" s="949" t="str">
        <f>IFERROR(VLOOKUP(B181,'Schedule 4'!$J$670:$K$1217,2,0),"-")</f>
        <v>-</v>
      </c>
      <c r="D181" s="425"/>
      <c r="E181" s="971" t="s">
        <v>6769</v>
      </c>
      <c r="F181" s="949" t="str">
        <f>IFERROR(VLOOKUP(E181,'Schedule 4'!$J$670:$K$1217,2,0),"-")</f>
        <v>-</v>
      </c>
      <c r="G181" s="425"/>
      <c r="H181" s="971" t="s">
        <v>4867</v>
      </c>
      <c r="I181" s="949" t="str">
        <f>IFERROR(VLOOKUP(H181,'Schedule 4'!$J$670:$K$1217,2,0),"-")</f>
        <v>-</v>
      </c>
      <c r="J181" s="425"/>
      <c r="K181" s="971" t="s">
        <v>6770</v>
      </c>
      <c r="L181" s="949" t="str">
        <f>IFERROR(VLOOKUP(K181,'Schedule 4'!$J$670:$K$1217,2,0),"-")</f>
        <v>-</v>
      </c>
      <c r="M181" s="425"/>
      <c r="N181" s="971" t="s">
        <v>5580</v>
      </c>
      <c r="O181" s="949" t="str">
        <f>IFERROR(VLOOKUP(N181,'Schedule 4'!$J$670:$K$1217,2,0),"-")</f>
        <v>-</v>
      </c>
      <c r="P181" s="425"/>
      <c r="Q181" s="971" t="s">
        <v>6771</v>
      </c>
      <c r="R181" s="949" t="str">
        <f>IFERROR(VLOOKUP(Q181,'Schedule 4'!$J$670:$K$1217,2,0),"-")</f>
        <v>-</v>
      </c>
      <c r="S181" s="425"/>
    </row>
    <row r="182" spans="2:19" x14ac:dyDescent="0.3">
      <c r="B182" s="971" t="s">
        <v>5855</v>
      </c>
      <c r="C182" s="949" t="str">
        <f>IFERROR(VLOOKUP(B182,'Schedule 4'!$J$670:$K$1217,2,0),"-")</f>
        <v>-</v>
      </c>
      <c r="D182" s="425"/>
      <c r="E182" s="971" t="s">
        <v>6772</v>
      </c>
      <c r="F182" s="949" t="str">
        <f>IFERROR(VLOOKUP(E182,'Schedule 4'!$J$670:$K$1217,2,0),"-")</f>
        <v>-</v>
      </c>
      <c r="G182" s="425"/>
      <c r="H182" s="971" t="s">
        <v>4870</v>
      </c>
      <c r="I182" s="949" t="str">
        <f>IFERROR(VLOOKUP(H182,'Schedule 4'!$J$670:$K$1217,2,0),"-")</f>
        <v>-</v>
      </c>
      <c r="J182" s="425"/>
      <c r="K182" s="971" t="s">
        <v>6773</v>
      </c>
      <c r="L182" s="949" t="str">
        <f>IFERROR(VLOOKUP(K182,'Schedule 4'!$J$670:$K$1217,2,0),"-")</f>
        <v>-</v>
      </c>
      <c r="M182" s="425"/>
      <c r="N182" s="971" t="s">
        <v>5582</v>
      </c>
      <c r="O182" s="949" t="str">
        <f>IFERROR(VLOOKUP(N182,'Schedule 4'!$J$670:$K$1217,2,0),"-")</f>
        <v>-</v>
      </c>
      <c r="P182" s="425"/>
      <c r="Q182" s="971" t="s">
        <v>6774</v>
      </c>
      <c r="R182" s="949" t="str">
        <f>IFERROR(VLOOKUP(Q182,'Schedule 4'!$J$670:$K$1217,2,0),"-")</f>
        <v>-</v>
      </c>
      <c r="S182" s="425"/>
    </row>
    <row r="183" spans="2:19" x14ac:dyDescent="0.3">
      <c r="B183" s="971" t="s">
        <v>5522</v>
      </c>
      <c r="C183" s="949" t="str">
        <f>IFERROR(VLOOKUP(B183,'Schedule 4'!$J$670:$K$1217,2,0),"-")</f>
        <v>-</v>
      </c>
      <c r="D183" s="425"/>
      <c r="E183" s="971" t="s">
        <v>6775</v>
      </c>
      <c r="F183" s="949" t="str">
        <f>IFERROR(VLOOKUP(E183,'Schedule 4'!$J$670:$K$1217,2,0),"-")</f>
        <v>-</v>
      </c>
      <c r="G183" s="425"/>
      <c r="H183" s="971" t="s">
        <v>4959</v>
      </c>
      <c r="I183" s="949" t="str">
        <f>IFERROR(VLOOKUP(H183,'Schedule 4'!$J$670:$K$1217,2,0),"-")</f>
        <v>-</v>
      </c>
      <c r="J183" s="425"/>
      <c r="K183" s="971" t="s">
        <v>6776</v>
      </c>
      <c r="L183" s="949" t="str">
        <f>IFERROR(VLOOKUP(K183,'Schedule 4'!$J$670:$K$1217,2,0),"-")</f>
        <v>-</v>
      </c>
      <c r="M183" s="425"/>
      <c r="N183" s="971" t="s">
        <v>5591</v>
      </c>
      <c r="O183" s="949" t="str">
        <f>IFERROR(VLOOKUP(N183,'Schedule 4'!$J$670:$K$1217,2,0),"-")</f>
        <v>-</v>
      </c>
      <c r="P183" s="425"/>
      <c r="Q183" s="971" t="s">
        <v>6777</v>
      </c>
      <c r="R183" s="949" t="str">
        <f>IFERROR(VLOOKUP(Q183,'Schedule 4'!$J$670:$K$1217,2,0),"-")</f>
        <v>-</v>
      </c>
      <c r="S183" s="425"/>
    </row>
    <row r="184" spans="2:19" x14ac:dyDescent="0.3">
      <c r="B184" s="971" t="s">
        <v>5520</v>
      </c>
      <c r="C184" s="949" t="str">
        <f>IFERROR(VLOOKUP(B184,'Schedule 4'!$J$670:$K$1217,2,0),"-")</f>
        <v>-</v>
      </c>
      <c r="D184" s="425"/>
      <c r="E184" s="971" t="s">
        <v>6778</v>
      </c>
      <c r="F184" s="949" t="str">
        <f>IFERROR(VLOOKUP(E184,'Schedule 4'!$J$670:$K$1217,2,0),"-")</f>
        <v>-</v>
      </c>
      <c r="G184" s="425"/>
      <c r="H184" s="971" t="s">
        <v>4888</v>
      </c>
      <c r="I184" s="949" t="str">
        <f>IFERROR(VLOOKUP(H184,'Schedule 4'!$J$670:$K$1217,2,0),"-")</f>
        <v>-</v>
      </c>
      <c r="J184" s="425"/>
      <c r="K184" s="971" t="s">
        <v>6779</v>
      </c>
      <c r="L184" s="949" t="str">
        <f>IFERROR(VLOOKUP(K184,'Schedule 4'!$J$670:$K$1217,2,0),"-")</f>
        <v>-</v>
      </c>
      <c r="M184" s="425"/>
      <c r="N184" s="971" t="s">
        <v>5589</v>
      </c>
      <c r="O184" s="949" t="str">
        <f>IFERROR(VLOOKUP(N184,'Schedule 4'!$J$670:$K$1217,2,0),"-")</f>
        <v>-</v>
      </c>
      <c r="P184" s="425"/>
      <c r="Q184" s="971" t="s">
        <v>6780</v>
      </c>
      <c r="R184" s="949" t="str">
        <f>IFERROR(VLOOKUP(Q184,'Schedule 4'!$J$670:$K$1217,2,0),"-")</f>
        <v>-</v>
      </c>
      <c r="S184" s="425"/>
    </row>
    <row r="185" spans="2:19" x14ac:dyDescent="0.3">
      <c r="B185" s="971" t="s">
        <v>5517</v>
      </c>
      <c r="C185" s="949" t="str">
        <f>IFERROR(VLOOKUP(B185,'Schedule 4'!$J$670:$K$1217,2,0),"-")</f>
        <v>-</v>
      </c>
      <c r="D185" s="425"/>
      <c r="E185" s="971" t="s">
        <v>6781</v>
      </c>
      <c r="F185" s="949" t="str">
        <f>IFERROR(VLOOKUP(E185,'Schedule 4'!$J$670:$K$1217,2,0),"-")</f>
        <v>-</v>
      </c>
      <c r="G185" s="425"/>
      <c r="H185" s="971" t="s">
        <v>4885</v>
      </c>
      <c r="I185" s="949" t="str">
        <f>IFERROR(VLOOKUP(H185,'Schedule 4'!$J$670:$K$1217,2,0),"-")</f>
        <v>-</v>
      </c>
      <c r="J185" s="425"/>
      <c r="K185" s="971" t="s">
        <v>6782</v>
      </c>
      <c r="L185" s="949" t="str">
        <f>IFERROR(VLOOKUP(K185,'Schedule 4'!$J$670:$K$1217,2,0),"-")</f>
        <v>-</v>
      </c>
      <c r="M185" s="425"/>
      <c r="N185" s="971" t="s">
        <v>5586</v>
      </c>
      <c r="O185" s="949" t="str">
        <f>IFERROR(VLOOKUP(N185,'Schedule 4'!$J$670:$K$1217,2,0),"-")</f>
        <v>-</v>
      </c>
      <c r="P185" s="425"/>
      <c r="Q185" s="971" t="s">
        <v>6783</v>
      </c>
      <c r="R185" s="949" t="str">
        <f>IFERROR(VLOOKUP(Q185,'Schedule 4'!$J$670:$K$1217,2,0),"-")</f>
        <v>-</v>
      </c>
      <c r="S185" s="425"/>
    </row>
    <row r="186" spans="2:19" x14ac:dyDescent="0.3">
      <c r="B186" s="971" t="s">
        <v>5515</v>
      </c>
      <c r="C186" s="949" t="str">
        <f>IFERROR(VLOOKUP(B186,'Schedule 4'!$J$670:$K$1217,2,0),"-")</f>
        <v>-</v>
      </c>
      <c r="D186" s="425"/>
      <c r="E186" s="971" t="s">
        <v>6784</v>
      </c>
      <c r="F186" s="949" t="str">
        <f>IFERROR(VLOOKUP(E186,'Schedule 4'!$J$670:$K$1217,2,0),"-")</f>
        <v>-</v>
      </c>
      <c r="G186" s="425"/>
      <c r="H186" s="971" t="s">
        <v>4882</v>
      </c>
      <c r="I186" s="949" t="str">
        <f>IFERROR(VLOOKUP(H186,'Schedule 4'!$J$670:$K$1217,2,0),"-")</f>
        <v>-</v>
      </c>
      <c r="J186" s="425"/>
      <c r="K186" s="971" t="s">
        <v>6785</v>
      </c>
      <c r="L186" s="949" t="str">
        <f>IFERROR(VLOOKUP(K186,'Schedule 4'!$J$670:$K$1217,2,0),"-")</f>
        <v>-</v>
      </c>
      <c r="M186" s="425"/>
      <c r="N186" s="971" t="s">
        <v>5584</v>
      </c>
      <c r="O186" s="949" t="str">
        <f>IFERROR(VLOOKUP(N186,'Schedule 4'!$J$670:$K$1217,2,0),"-")</f>
        <v>-</v>
      </c>
      <c r="P186" s="425"/>
      <c r="Q186" s="971" t="s">
        <v>6786</v>
      </c>
      <c r="R186" s="949" t="str">
        <f>IFERROR(VLOOKUP(Q186,'Schedule 4'!$J$670:$K$1217,2,0),"-")</f>
        <v>-</v>
      </c>
      <c r="S186" s="425"/>
    </row>
    <row r="187" spans="2:19" x14ac:dyDescent="0.3">
      <c r="B187" s="971" t="s">
        <v>5513</v>
      </c>
      <c r="C187" s="949" t="str">
        <f>IFERROR(VLOOKUP(B187,'Schedule 4'!$J$670:$K$1217,2,0),"-")</f>
        <v>-</v>
      </c>
      <c r="D187" s="425"/>
      <c r="E187" s="971" t="s">
        <v>6787</v>
      </c>
      <c r="F187" s="949" t="str">
        <f>IFERROR(VLOOKUP(E187,'Schedule 4'!$J$670:$K$1217,2,0),"-")</f>
        <v>-</v>
      </c>
      <c r="G187" s="425"/>
      <c r="H187" s="971" t="s">
        <v>4879</v>
      </c>
      <c r="I187" s="949" t="str">
        <f>IFERROR(VLOOKUP(H187,'Schedule 4'!$J$670:$K$1217,2,0),"-")</f>
        <v>-</v>
      </c>
      <c r="J187" s="425"/>
      <c r="K187" s="971" t="s">
        <v>6788</v>
      </c>
      <c r="L187" s="949" t="str">
        <f>IFERROR(VLOOKUP(K187,'Schedule 4'!$J$670:$K$1217,2,0),"-")</f>
        <v>-</v>
      </c>
      <c r="M187" s="425"/>
      <c r="N187" s="971" t="s">
        <v>5449</v>
      </c>
      <c r="O187" s="949" t="str">
        <f>IFERROR(VLOOKUP(N187,'Schedule 4'!$J$670:$K$1217,2,0),"-")</f>
        <v>-</v>
      </c>
      <c r="P187" s="425"/>
      <c r="Q187" s="971" t="s">
        <v>6789</v>
      </c>
      <c r="R187" s="949" t="str">
        <f>IFERROR(VLOOKUP(Q187,'Schedule 4'!$J$670:$K$1217,2,0),"-")</f>
        <v>-</v>
      </c>
      <c r="S187" s="425"/>
    </row>
    <row r="188" spans="2:19" x14ac:dyDescent="0.3">
      <c r="B188" s="971" t="s">
        <v>5511</v>
      </c>
      <c r="C188" s="949" t="str">
        <f>IFERROR(VLOOKUP(B188,'Schedule 4'!$J$670:$K$1217,2,0),"-")</f>
        <v>-</v>
      </c>
      <c r="D188" s="425"/>
      <c r="E188" s="971" t="s">
        <v>6790</v>
      </c>
      <c r="F188" s="949" t="str">
        <f>IFERROR(VLOOKUP(E188,'Schedule 4'!$J$670:$K$1217,2,0),"-")</f>
        <v>-</v>
      </c>
      <c r="G188" s="425"/>
      <c r="H188" s="971" t="s">
        <v>4876</v>
      </c>
      <c r="I188" s="949" t="str">
        <f>IFERROR(VLOOKUP(H188,'Schedule 4'!$J$670:$K$1217,2,0),"-")</f>
        <v>-</v>
      </c>
      <c r="J188" s="425"/>
      <c r="K188" s="971" t="s">
        <v>6791</v>
      </c>
      <c r="L188" s="949" t="str">
        <f>IFERROR(VLOOKUP(K188,'Schedule 4'!$J$670:$K$1217,2,0),"-")</f>
        <v>-</v>
      </c>
      <c r="M188" s="425"/>
      <c r="N188" s="971" t="s">
        <v>5447</v>
      </c>
      <c r="O188" s="949" t="str">
        <f>IFERROR(VLOOKUP(N188,'Schedule 4'!$J$670:$K$1217,2,0),"-")</f>
        <v>-</v>
      </c>
      <c r="P188" s="425"/>
      <c r="Q188" s="971" t="s">
        <v>6792</v>
      </c>
      <c r="R188" s="949" t="str">
        <f>IFERROR(VLOOKUP(Q188,'Schedule 4'!$J$670:$K$1217,2,0),"-")</f>
        <v>-</v>
      </c>
      <c r="S188" s="425"/>
    </row>
    <row r="189" spans="2:19" x14ac:dyDescent="0.3">
      <c r="B189" s="972" t="s">
        <v>5371</v>
      </c>
      <c r="C189" s="973" t="str">
        <f>IFERROR(VLOOKUP(B189,'Schedule 4'!$J$670:$K$1217,2,0),"-")</f>
        <v>-</v>
      </c>
      <c r="D189" s="425"/>
      <c r="E189" s="972" t="s">
        <v>6793</v>
      </c>
      <c r="F189" s="973" t="str">
        <f>IFERROR(VLOOKUP(E189,'Schedule 4'!$J$670:$K$1217,2,0),"-")</f>
        <v>-</v>
      </c>
      <c r="G189" s="425"/>
      <c r="H189" s="972" t="s">
        <v>4873</v>
      </c>
      <c r="I189" s="973" t="str">
        <f>IFERROR(VLOOKUP(H189,'Schedule 4'!$J$670:$K$1217,2,0),"-")</f>
        <v>-</v>
      </c>
      <c r="J189" s="425"/>
      <c r="K189" s="972" t="s">
        <v>6794</v>
      </c>
      <c r="L189" s="973" t="str">
        <f>IFERROR(VLOOKUP(K189,'Schedule 4'!$J$670:$K$1217,2,0),"-")</f>
        <v>-</v>
      </c>
      <c r="M189" s="425"/>
      <c r="N189" s="972" t="s">
        <v>5445</v>
      </c>
      <c r="O189" s="973" t="str">
        <f>IFERROR(VLOOKUP(N189,'Schedule 4'!$J$670:$K$1217,2,0),"-")</f>
        <v>-</v>
      </c>
      <c r="P189" s="425"/>
      <c r="Q189" s="972" t="s">
        <v>6795</v>
      </c>
      <c r="R189" s="973" t="str">
        <f>IFERROR(VLOOKUP(Q189,'Schedule 4'!$J$670:$K$1217,2,0),"-")</f>
        <v>-</v>
      </c>
      <c r="S189" s="425"/>
    </row>
    <row r="191" spans="2:19" x14ac:dyDescent="0.3">
      <c r="B191" s="974">
        <f>COUNTA(B$4:B$189)</f>
        <v>186</v>
      </c>
      <c r="C191" s="974">
        <f>COUNTIF(C$4:C$189,"&gt;0")</f>
        <v>0</v>
      </c>
      <c r="E191" s="974">
        <f>COUNTA(E$4:E$189)</f>
        <v>186</v>
      </c>
      <c r="F191" s="974">
        <f>COUNTIF(F$4:F$189,"&gt;0")</f>
        <v>0</v>
      </c>
      <c r="H191" s="974">
        <f>COUNTA(H$4:H$189)</f>
        <v>186</v>
      </c>
      <c r="I191" s="974">
        <f>COUNTIF(I$4:I$189,"&gt;0")</f>
        <v>0</v>
      </c>
      <c r="K191" s="974">
        <f>COUNTA(K$4:K$189)</f>
        <v>186</v>
      </c>
      <c r="L191" s="974">
        <f>COUNTIF(L$4:L$189,"&gt;0")</f>
        <v>0</v>
      </c>
      <c r="N191" s="974">
        <f>COUNTA(N$4:N$189)</f>
        <v>186</v>
      </c>
      <c r="O191" s="974">
        <f>COUNTIF(O$4:O$189,"&gt;0")</f>
        <v>0</v>
      </c>
      <c r="Q191" s="974">
        <f>COUNTA(Q$4:Q$189)</f>
        <v>186</v>
      </c>
      <c r="R191" s="974">
        <f>COUNTIF(R$4:R$189,"&gt;0")</f>
        <v>0</v>
      </c>
    </row>
    <row r="194" spans="2:17" s="975" customFormat="1" ht="28.65" customHeight="1" x14ac:dyDescent="0.3">
      <c r="B194" s="60" t="s">
        <v>6796</v>
      </c>
      <c r="C194" s="1750" t="s">
        <v>6797</v>
      </c>
      <c r="D194" s="1751"/>
      <c r="E194" s="60" t="s">
        <v>6798</v>
      </c>
      <c r="F194" s="132"/>
      <c r="H194" s="60" t="s">
        <v>6796</v>
      </c>
      <c r="I194" s="1750" t="s">
        <v>6797</v>
      </c>
      <c r="J194" s="1751"/>
      <c r="K194" s="60" t="s">
        <v>6798</v>
      </c>
      <c r="N194" s="60" t="s">
        <v>6796</v>
      </c>
      <c r="O194" s="1750" t="s">
        <v>6797</v>
      </c>
      <c r="P194" s="1751"/>
      <c r="Q194" s="60" t="s">
        <v>6798</v>
      </c>
    </row>
    <row r="195" spans="2:17" x14ac:dyDescent="0.3">
      <c r="B195" s="916">
        <v>45809</v>
      </c>
      <c r="C195" s="1752">
        <f>COUNTIF($B$4:$R$189,$B195)</f>
        <v>0</v>
      </c>
      <c r="D195" s="1753"/>
      <c r="E195" s="976">
        <f>COUNTIFS($B$4:$B$189,"*©*",$C$4:$C$189,$B195,$C$4:$C$189,"&gt;10")+COUNTIFS($E$4:$E$189,"*©*",$F$4:$F$189,$B195,$F$4:$F$189,"&gt;10")+COUNTIFS($H$4:$H$189,"*©*",$I$4:$I$189,$B195,$I$4:$I$189,"&gt;10")+COUNTIFS($K$4:$K$189,"*©*",$L$4:$L$189,$B195,$L$4:$L$189,"&gt;10")+COUNTIFS($N$4:$N$189,"*©*",$O$4:$O$189,$B195,$O$4:$O$189,"&gt;10")+COUNTIFS($Q$4:$Q$189,"*©*",$R$4:$R$189,$B195,$R$4:$R$189,"&gt;10")</f>
        <v>0</v>
      </c>
      <c r="H195" s="916">
        <v>46174</v>
      </c>
      <c r="I195" s="1752">
        <f>COUNTIF($B$4:$R$189,$H195)</f>
        <v>0</v>
      </c>
      <c r="J195" s="1753"/>
      <c r="K195" s="976">
        <f>COUNTIFS($B$4:$B$189,"*©*",$C$4:$C$189,$H195,$C$4:$C$189,"&gt;10")+COUNTIFS($E$4:$E$189,"*©*",$F$4:$F$189,$H195,$F$4:$F$189,"&gt;10")+COUNTIFS($H$4:$H$189,"*©*",$I$4:$I$189,$H195,$I$4:$I$189,"&gt;10")+COUNTIFS($K$4:$K$189,"*©*",$L$4:$L$189,$H195,$L$4:$L$189,"&gt;10")+COUNTIFS($N$4:$N$189,"*©*",$O$4:$O$189,$H195,$O$4:$O$189,"&gt;10")+COUNTIFS($Q$4:$Q$189,"*©*",$R$4:$R$189,$H195,$R$4:$R$189,"&gt;10")</f>
        <v>0</v>
      </c>
      <c r="N195" s="916">
        <v>46539</v>
      </c>
      <c r="O195" s="1752">
        <f>COUNTIF($B$4:$R$189,$N195)</f>
        <v>0</v>
      </c>
      <c r="P195" s="1753"/>
      <c r="Q195" s="976">
        <f>COUNTIFS($B$4:$B$189,"*©*",$C$4:$C$189,$N195,$C$4:$C$189,"&gt;10")+COUNTIFS($E$4:$E$189,"*©*",$F$4:$F$189,$N195,$F$4:$F$189,"&gt;10")+COUNTIFS($H$4:$H$189,"*©*",$I$4:$I$189,$N195,$I$4:$I$189,"&gt;10")+COUNTIFS($K$4:$K$189,"*©*",$L$4:$L$189,$N195,$L$4:$L$189,"&gt;10")+COUNTIFS($N$4:$N$189,"*©*",$O$4:$O$189,$N195,$O$4:$O$189,"&gt;10")+COUNTIFS($Q$4:$Q$189,"*©*",$R$4:$R$189,$N195,$R$4:$R$189,"&gt;10")</f>
        <v>0</v>
      </c>
    </row>
    <row r="196" spans="2:17" x14ac:dyDescent="0.3">
      <c r="B196" s="916">
        <v>45839</v>
      </c>
      <c r="C196" s="1752">
        <f t="shared" ref="C196:C206" si="0">COUNTIF($B$4:$R$189,$B196)</f>
        <v>0</v>
      </c>
      <c r="D196" s="1753"/>
      <c r="E196" s="976">
        <f t="shared" ref="E196:E206" si="1">COUNTIFS($B$4:$B$189,"*©*",$C$4:$C$189,$B196,$C$4:$C$189,"&gt;10")+COUNTIFS($E$4:$E$189,"*©*",$F$4:$F$189,$B196,$F$4:$F$189,"&gt;10")+COUNTIFS($H$4:$H$189,"*©*",$I$4:$I$189,$B196,$I$4:$I$189,"&gt;10")+COUNTIFS($K$4:$K$189,"*©*",$L$4:$L$189,$B196,$L$4:$L$189,"&gt;10")+COUNTIFS($N$4:$N$189,"*©*",$O$4:$O$189,$B196,$O$4:$O$189,"&gt;10")+COUNTIFS($Q$4:$Q$189,"*©*",$R$4:$R$189,$B196,$R$4:$R$189,"&gt;10")</f>
        <v>0</v>
      </c>
      <c r="H196" s="916">
        <v>46204</v>
      </c>
      <c r="I196" s="1752">
        <f t="shared" ref="I196:I206" si="2">COUNTIF($B$4:$R$189,$H196)</f>
        <v>0</v>
      </c>
      <c r="J196" s="1753"/>
      <c r="K196" s="976">
        <f t="shared" ref="K196:K206" si="3">COUNTIFS($B$4:$B$189,"*©*",$C$4:$C$189,$H196,$C$4:$C$189,"&gt;10")+COUNTIFS($E$4:$E$189,"*©*",$F$4:$F$189,$H196,$F$4:$F$189,"&gt;10")+COUNTIFS($H$4:$H$189,"*©*",$I$4:$I$189,$H196,$I$4:$I$189,"&gt;10")+COUNTIFS($K$4:$K$189,"*©*",$L$4:$L$189,$H196,$L$4:$L$189,"&gt;10")+COUNTIFS($N$4:$N$189,"*©*",$O$4:$O$189,$H196,$O$4:$O$189,"&gt;10")+COUNTIFS($Q$4:$Q$189,"*©*",$R$4:$R$189,$H196,$R$4:$R$189,"&gt;10")</f>
        <v>0</v>
      </c>
      <c r="N196" s="916">
        <v>46569</v>
      </c>
      <c r="O196" s="1752">
        <f t="shared" ref="O196:O206" si="4">COUNTIF($B$4:$R$189,$N196)</f>
        <v>0</v>
      </c>
      <c r="P196" s="1753"/>
      <c r="Q196" s="976">
        <f t="shared" ref="Q196:Q206" si="5">COUNTIFS($B$4:$B$189,"*©*",$C$4:$C$189,$N196,$C$4:$C$189,"&gt;10")+COUNTIFS($E$4:$E$189,"*©*",$F$4:$F$189,$N196,$F$4:$F$189,"&gt;10")+COUNTIFS($H$4:$H$189,"*©*",$I$4:$I$189,$N196,$I$4:$I$189,"&gt;10")+COUNTIFS($K$4:$K$189,"*©*",$L$4:$L$189,$N196,$L$4:$L$189,"&gt;10")+COUNTIFS($N$4:$N$189,"*©*",$O$4:$O$189,$N196,$O$4:$O$189,"&gt;10")+COUNTIFS($Q$4:$Q$189,"*©*",$R$4:$R$189,$N196,$R$4:$R$189,"&gt;10")</f>
        <v>0</v>
      </c>
    </row>
    <row r="197" spans="2:17" x14ac:dyDescent="0.3">
      <c r="B197" s="916">
        <v>45870</v>
      </c>
      <c r="C197" s="1752">
        <f t="shared" si="0"/>
        <v>0</v>
      </c>
      <c r="D197" s="1753"/>
      <c r="E197" s="976">
        <f t="shared" si="1"/>
        <v>0</v>
      </c>
      <c r="H197" s="916">
        <v>46235</v>
      </c>
      <c r="I197" s="1752">
        <f t="shared" si="2"/>
        <v>0</v>
      </c>
      <c r="J197" s="1753"/>
      <c r="K197" s="976">
        <f t="shared" si="3"/>
        <v>0</v>
      </c>
      <c r="N197" s="916">
        <v>46600</v>
      </c>
      <c r="O197" s="1752">
        <f t="shared" si="4"/>
        <v>0</v>
      </c>
      <c r="P197" s="1753"/>
      <c r="Q197" s="976">
        <f t="shared" si="5"/>
        <v>0</v>
      </c>
    </row>
    <row r="198" spans="2:17" x14ac:dyDescent="0.3">
      <c r="B198" s="916">
        <v>45901</v>
      </c>
      <c r="C198" s="1752">
        <f t="shared" si="0"/>
        <v>0</v>
      </c>
      <c r="D198" s="1753"/>
      <c r="E198" s="976">
        <f t="shared" si="1"/>
        <v>0</v>
      </c>
      <c r="H198" s="916">
        <v>46266</v>
      </c>
      <c r="I198" s="1752">
        <f t="shared" si="2"/>
        <v>0</v>
      </c>
      <c r="J198" s="1753"/>
      <c r="K198" s="976">
        <f t="shared" si="3"/>
        <v>0</v>
      </c>
      <c r="N198" s="916">
        <v>46631</v>
      </c>
      <c r="O198" s="1752">
        <f t="shared" si="4"/>
        <v>0</v>
      </c>
      <c r="P198" s="1753"/>
      <c r="Q198" s="976">
        <f t="shared" si="5"/>
        <v>0</v>
      </c>
    </row>
    <row r="199" spans="2:17" x14ac:dyDescent="0.3">
      <c r="B199" s="916">
        <v>45931</v>
      </c>
      <c r="C199" s="1752">
        <f t="shared" si="0"/>
        <v>0</v>
      </c>
      <c r="D199" s="1753"/>
      <c r="E199" s="976">
        <f t="shared" si="1"/>
        <v>0</v>
      </c>
      <c r="H199" s="916">
        <v>46296</v>
      </c>
      <c r="I199" s="1752">
        <f t="shared" si="2"/>
        <v>0</v>
      </c>
      <c r="J199" s="1753"/>
      <c r="K199" s="976">
        <f t="shared" si="3"/>
        <v>0</v>
      </c>
      <c r="N199" s="916">
        <v>46661</v>
      </c>
      <c r="O199" s="1752">
        <f t="shared" si="4"/>
        <v>0</v>
      </c>
      <c r="P199" s="1753"/>
      <c r="Q199" s="976">
        <f t="shared" si="5"/>
        <v>0</v>
      </c>
    </row>
    <row r="200" spans="2:17" x14ac:dyDescent="0.3">
      <c r="B200" s="916">
        <v>45962</v>
      </c>
      <c r="C200" s="1752">
        <f t="shared" si="0"/>
        <v>0</v>
      </c>
      <c r="D200" s="1753"/>
      <c r="E200" s="976">
        <f t="shared" si="1"/>
        <v>0</v>
      </c>
      <c r="H200" s="916">
        <v>46327</v>
      </c>
      <c r="I200" s="1752">
        <f t="shared" si="2"/>
        <v>0</v>
      </c>
      <c r="J200" s="1753"/>
      <c r="K200" s="976">
        <f t="shared" si="3"/>
        <v>0</v>
      </c>
      <c r="N200" s="916">
        <v>46692</v>
      </c>
      <c r="O200" s="1752">
        <f t="shared" si="4"/>
        <v>0</v>
      </c>
      <c r="P200" s="1753"/>
      <c r="Q200" s="976">
        <f t="shared" si="5"/>
        <v>0</v>
      </c>
    </row>
    <row r="201" spans="2:17" x14ac:dyDescent="0.3">
      <c r="B201" s="916">
        <v>45992</v>
      </c>
      <c r="C201" s="1752">
        <f t="shared" si="0"/>
        <v>0</v>
      </c>
      <c r="D201" s="1753"/>
      <c r="E201" s="976">
        <f t="shared" si="1"/>
        <v>0</v>
      </c>
      <c r="H201" s="916">
        <v>46357</v>
      </c>
      <c r="I201" s="1752">
        <f t="shared" si="2"/>
        <v>0</v>
      </c>
      <c r="J201" s="1753"/>
      <c r="K201" s="976">
        <f t="shared" si="3"/>
        <v>0</v>
      </c>
      <c r="N201" s="916">
        <v>46722</v>
      </c>
      <c r="O201" s="1752">
        <f t="shared" si="4"/>
        <v>0</v>
      </c>
      <c r="P201" s="1753"/>
      <c r="Q201" s="976">
        <f t="shared" si="5"/>
        <v>0</v>
      </c>
    </row>
    <row r="202" spans="2:17" x14ac:dyDescent="0.3">
      <c r="B202" s="916">
        <v>46023</v>
      </c>
      <c r="C202" s="1752">
        <f t="shared" si="0"/>
        <v>0</v>
      </c>
      <c r="D202" s="1753"/>
      <c r="E202" s="976">
        <f t="shared" si="1"/>
        <v>0</v>
      </c>
      <c r="H202" s="916">
        <v>46388</v>
      </c>
      <c r="I202" s="1752">
        <f t="shared" si="2"/>
        <v>0</v>
      </c>
      <c r="J202" s="1753"/>
      <c r="K202" s="976">
        <f t="shared" si="3"/>
        <v>0</v>
      </c>
      <c r="N202" s="916">
        <v>46753</v>
      </c>
      <c r="O202" s="1752">
        <f t="shared" si="4"/>
        <v>0</v>
      </c>
      <c r="P202" s="1753"/>
      <c r="Q202" s="976">
        <f t="shared" si="5"/>
        <v>0</v>
      </c>
    </row>
    <row r="203" spans="2:17" x14ac:dyDescent="0.3">
      <c r="B203" s="916">
        <v>46054</v>
      </c>
      <c r="C203" s="1752">
        <f t="shared" si="0"/>
        <v>0</v>
      </c>
      <c r="D203" s="1753"/>
      <c r="E203" s="976">
        <f t="shared" si="1"/>
        <v>0</v>
      </c>
      <c r="H203" s="916">
        <v>46419</v>
      </c>
      <c r="I203" s="1752">
        <f t="shared" si="2"/>
        <v>0</v>
      </c>
      <c r="J203" s="1753"/>
      <c r="K203" s="976">
        <f t="shared" si="3"/>
        <v>0</v>
      </c>
      <c r="N203" s="916">
        <v>46784</v>
      </c>
      <c r="O203" s="1752">
        <f t="shared" si="4"/>
        <v>0</v>
      </c>
      <c r="P203" s="1753"/>
      <c r="Q203" s="976">
        <f t="shared" si="5"/>
        <v>0</v>
      </c>
    </row>
    <row r="204" spans="2:17" x14ac:dyDescent="0.3">
      <c r="B204" s="916">
        <v>46082</v>
      </c>
      <c r="C204" s="1752">
        <f>COUNTIF($B$4:$R$189,$B204)</f>
        <v>0</v>
      </c>
      <c r="D204" s="1753"/>
      <c r="E204" s="976">
        <f t="shared" si="1"/>
        <v>0</v>
      </c>
      <c r="H204" s="916">
        <v>46447</v>
      </c>
      <c r="I204" s="1752">
        <f t="shared" si="2"/>
        <v>0</v>
      </c>
      <c r="J204" s="1753"/>
      <c r="K204" s="976">
        <f t="shared" si="3"/>
        <v>0</v>
      </c>
      <c r="N204" s="916">
        <v>46813</v>
      </c>
      <c r="O204" s="1752">
        <f t="shared" si="4"/>
        <v>0</v>
      </c>
      <c r="P204" s="1753"/>
      <c r="Q204" s="976">
        <f t="shared" si="5"/>
        <v>0</v>
      </c>
    </row>
    <row r="205" spans="2:17" x14ac:dyDescent="0.3">
      <c r="B205" s="916">
        <v>46113</v>
      </c>
      <c r="C205" s="1752">
        <f t="shared" si="0"/>
        <v>0</v>
      </c>
      <c r="D205" s="1753"/>
      <c r="E205" s="976">
        <f t="shared" si="1"/>
        <v>0</v>
      </c>
      <c r="H205" s="916">
        <v>46478</v>
      </c>
      <c r="I205" s="1752">
        <f t="shared" si="2"/>
        <v>0</v>
      </c>
      <c r="J205" s="1753"/>
      <c r="K205" s="976">
        <f t="shared" si="3"/>
        <v>0</v>
      </c>
      <c r="N205" s="916">
        <v>46844</v>
      </c>
      <c r="O205" s="1752">
        <f t="shared" si="4"/>
        <v>0</v>
      </c>
      <c r="P205" s="1753"/>
      <c r="Q205" s="976">
        <f t="shared" si="5"/>
        <v>0</v>
      </c>
    </row>
    <row r="206" spans="2:17" x14ac:dyDescent="0.3">
      <c r="B206" s="916">
        <v>46143</v>
      </c>
      <c r="C206" s="1752">
        <f t="shared" si="0"/>
        <v>0</v>
      </c>
      <c r="D206" s="1753"/>
      <c r="E206" s="976">
        <f t="shared" si="1"/>
        <v>0</v>
      </c>
      <c r="H206" s="916">
        <v>46508</v>
      </c>
      <c r="I206" s="1752">
        <f t="shared" si="2"/>
        <v>0</v>
      </c>
      <c r="J206" s="1753"/>
      <c r="K206" s="976">
        <f t="shared" si="3"/>
        <v>0</v>
      </c>
      <c r="N206" s="916">
        <v>46874</v>
      </c>
      <c r="O206" s="1752">
        <f t="shared" si="4"/>
        <v>0</v>
      </c>
      <c r="P206" s="1753"/>
      <c r="Q206" s="976">
        <f t="shared" si="5"/>
        <v>0</v>
      </c>
    </row>
    <row r="209" spans="2:5" x14ac:dyDescent="0.3">
      <c r="B209" s="1754" t="s">
        <v>3041</v>
      </c>
      <c r="C209" s="1754"/>
      <c r="D209" s="1754"/>
      <c r="E209" s="977">
        <f>SUM(C195:D206,I195:J206,O195:P206)</f>
        <v>0</v>
      </c>
    </row>
    <row r="210" spans="2:5" x14ac:dyDescent="0.3">
      <c r="B210" s="1754" t="s">
        <v>3042</v>
      </c>
      <c r="C210" s="1754"/>
      <c r="D210" s="1754"/>
      <c r="E210" s="977">
        <f>SUM(E195:E206,K195:K206,Q195:Q206)</f>
        <v>0</v>
      </c>
    </row>
  </sheetData>
  <mergeCells count="47">
    <mergeCell ref="Q3:R3"/>
    <mergeCell ref="B3:C3"/>
    <mergeCell ref="E3:F3"/>
    <mergeCell ref="H3:I3"/>
    <mergeCell ref="K3:L3"/>
    <mergeCell ref="N3:O3"/>
    <mergeCell ref="C203:D203"/>
    <mergeCell ref="C204:D204"/>
    <mergeCell ref="C205:D205"/>
    <mergeCell ref="C206:D206"/>
    <mergeCell ref="C200:D200"/>
    <mergeCell ref="C201:D201"/>
    <mergeCell ref="C202:D202"/>
    <mergeCell ref="I197:J197"/>
    <mergeCell ref="I198:J198"/>
    <mergeCell ref="I199:J199"/>
    <mergeCell ref="I194:J194"/>
    <mergeCell ref="I195:J195"/>
    <mergeCell ref="I196:J196"/>
    <mergeCell ref="I206:J206"/>
    <mergeCell ref="I203:J203"/>
    <mergeCell ref="I204:J204"/>
    <mergeCell ref="I205:J205"/>
    <mergeCell ref="I200:J200"/>
    <mergeCell ref="I201:J201"/>
    <mergeCell ref="I202:J202"/>
    <mergeCell ref="O201:P201"/>
    <mergeCell ref="O202:P202"/>
    <mergeCell ref="O197:P197"/>
    <mergeCell ref="O198:P198"/>
    <mergeCell ref="O199:P199"/>
    <mergeCell ref="O194:P194"/>
    <mergeCell ref="O195:P195"/>
    <mergeCell ref="O196:P196"/>
    <mergeCell ref="B209:D209"/>
    <mergeCell ref="B210:D210"/>
    <mergeCell ref="O206:P206"/>
    <mergeCell ref="C194:D194"/>
    <mergeCell ref="C195:D195"/>
    <mergeCell ref="C196:D196"/>
    <mergeCell ref="C197:D197"/>
    <mergeCell ref="C198:D198"/>
    <mergeCell ref="C199:D199"/>
    <mergeCell ref="O203:P203"/>
    <mergeCell ref="O204:P204"/>
    <mergeCell ref="O205:P205"/>
    <mergeCell ref="O200:P200"/>
  </mergeCells>
  <printOptions horizontalCentered="1"/>
  <pageMargins left="0.51181102362204722" right="0.31496062992125984" top="0.15748031496062992" bottom="0.51181102362204722" header="0.31496062992125984" footer="0.31496062992125984"/>
  <pageSetup paperSize="9" scale="5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AFDA-420C-492A-B7D3-B11C51DB9178}">
  <sheetPr codeName="Sheet10"/>
  <dimension ref="B1:Q1235"/>
  <sheetViews>
    <sheetView view="pageBreakPreview" topLeftCell="B1" zoomScale="70" zoomScaleNormal="80" zoomScaleSheetLayoutView="70" workbookViewId="0">
      <pane ySplit="6" topLeftCell="A1205" activePane="bottomLeft" state="frozen"/>
      <selection activeCell="H327" sqref="H327"/>
      <selection pane="bottomLeft" activeCell="F1229" sqref="F1229"/>
    </sheetView>
  </sheetViews>
  <sheetFormatPr defaultColWidth="9.109375" defaultRowHeight="14.4" x14ac:dyDescent="0.3"/>
  <cols>
    <col min="1" max="1" width="2" style="132" customWidth="1"/>
    <col min="2" max="2" width="12.5546875" style="132" customWidth="1"/>
    <col min="3" max="3" width="60.5546875" style="132" customWidth="1"/>
    <col min="4" max="4" width="10.5546875" style="132" customWidth="1"/>
    <col min="5" max="5" width="12.5546875" style="132" customWidth="1"/>
    <col min="6" max="6" width="12.5546875" style="968" customWidth="1"/>
    <col min="7" max="7" width="23.109375" style="132" customWidth="1"/>
    <col min="8" max="8" width="12.5546875" style="132" customWidth="1"/>
    <col min="9" max="9" width="10.5546875" style="132" customWidth="1"/>
    <col min="10" max="10" width="24.5546875" style="132" customWidth="1"/>
    <col min="11" max="11" width="19.5546875" style="132" bestFit="1" customWidth="1"/>
    <col min="12" max="12" width="20.44140625" style="132" customWidth="1"/>
    <col min="13" max="13" width="10.5546875" style="132" customWidth="1"/>
    <col min="14" max="14" width="4" style="132" bestFit="1" customWidth="1"/>
    <col min="15" max="15" width="9.88671875" style="132" bestFit="1" customWidth="1"/>
    <col min="16" max="16384" width="9.109375" style="132"/>
  </cols>
  <sheetData>
    <row r="1" spans="2:17" ht="8.25" customHeight="1" x14ac:dyDescent="0.3"/>
    <row r="2" spans="2:17" ht="42" customHeight="1" x14ac:dyDescent="0.3">
      <c r="B2" s="315"/>
      <c r="C2" s="309" t="s">
        <v>141</v>
      </c>
      <c r="D2" s="310"/>
      <c r="E2" s="310"/>
      <c r="F2" s="1037"/>
      <c r="G2" s="311"/>
      <c r="H2" s="311"/>
      <c r="I2" s="531"/>
      <c r="J2" s="532"/>
    </row>
    <row r="3" spans="2:17" ht="18" customHeight="1" x14ac:dyDescent="0.3">
      <c r="B3" s="317"/>
      <c r="C3" s="312"/>
      <c r="D3" s="312"/>
      <c r="E3" s="312"/>
      <c r="F3" s="1043"/>
      <c r="H3" s="308" t="str">
        <f>'Schedule 4'!$H$3</f>
        <v>2-Jul-25
2-Jul-25</v>
      </c>
      <c r="I3" s="318"/>
      <c r="J3" s="522"/>
    </row>
    <row r="4" spans="2:17" ht="15.6" x14ac:dyDescent="0.3">
      <c r="B4" s="293" t="s">
        <v>6799</v>
      </c>
      <c r="C4" s="294"/>
      <c r="D4" s="294"/>
      <c r="E4" s="294"/>
      <c r="F4" s="1044"/>
      <c r="G4" s="295"/>
      <c r="H4" s="292"/>
      <c r="I4" s="520"/>
      <c r="J4" s="133" t="str">
        <f>'Schedule 1'!J4</f>
        <v>IPC - 34</v>
      </c>
    </row>
    <row r="5" spans="2:17" ht="15.6" x14ac:dyDescent="0.3">
      <c r="B5" s="245" t="s">
        <v>762</v>
      </c>
      <c r="C5" s="246"/>
      <c r="D5" s="246"/>
      <c r="E5" s="246"/>
      <c r="F5" s="1045"/>
      <c r="G5" s="246"/>
      <c r="H5" s="246"/>
      <c r="I5" s="247"/>
      <c r="J5" s="522"/>
    </row>
    <row r="6" spans="2:17" ht="31.5" customHeight="1" x14ac:dyDescent="0.3">
      <c r="B6" s="134" t="s">
        <v>498</v>
      </c>
      <c r="C6" s="135" t="s">
        <v>176</v>
      </c>
      <c r="D6" s="136" t="s">
        <v>500</v>
      </c>
      <c r="E6" s="137" t="s">
        <v>501</v>
      </c>
      <c r="F6" s="344" t="s">
        <v>502</v>
      </c>
      <c r="G6" s="137" t="s">
        <v>763</v>
      </c>
      <c r="H6" s="134" t="s">
        <v>504</v>
      </c>
      <c r="I6" s="136" t="s">
        <v>764</v>
      </c>
      <c r="J6" s="523" t="s">
        <v>507</v>
      </c>
    </row>
    <row r="7" spans="2:17" ht="7.5" customHeight="1" x14ac:dyDescent="0.3">
      <c r="B7" s="124"/>
      <c r="C7" s="142"/>
      <c r="D7" s="143"/>
      <c r="E7" s="144"/>
      <c r="F7" s="1038"/>
      <c r="G7" s="144"/>
      <c r="H7" s="290"/>
      <c r="I7" s="141"/>
      <c r="J7" s="524"/>
    </row>
    <row r="8" spans="2:17" ht="15.6" x14ac:dyDescent="0.3">
      <c r="B8" s="574">
        <v>501</v>
      </c>
      <c r="C8" s="575" t="s">
        <v>371</v>
      </c>
      <c r="D8" s="579"/>
      <c r="E8" s="291"/>
      <c r="F8" s="1046"/>
      <c r="G8" s="291"/>
      <c r="H8" s="291"/>
      <c r="I8" s="576"/>
      <c r="J8" s="500"/>
    </row>
    <row r="9" spans="2:17" ht="31.2" x14ac:dyDescent="0.3">
      <c r="B9" s="124" t="s">
        <v>6800</v>
      </c>
      <c r="C9" s="581" t="s">
        <v>6801</v>
      </c>
      <c r="D9" s="127" t="s">
        <v>190</v>
      </c>
      <c r="E9" s="125" t="s">
        <v>515</v>
      </c>
      <c r="F9" s="490">
        <v>1</v>
      </c>
      <c r="G9" s="296" t="s">
        <v>6802</v>
      </c>
      <c r="H9" s="596">
        <v>45639</v>
      </c>
      <c r="I9" s="131" t="s">
        <v>931</v>
      </c>
      <c r="J9" s="494" t="s">
        <v>6803</v>
      </c>
      <c r="K9" s="132" t="s">
        <v>6804</v>
      </c>
      <c r="Q9" s="481"/>
    </row>
    <row r="10" spans="2:17" ht="31.2" x14ac:dyDescent="0.3">
      <c r="B10" s="145" t="s">
        <v>6800</v>
      </c>
      <c r="C10" s="577" t="s">
        <v>6801</v>
      </c>
      <c r="D10" s="43" t="s">
        <v>190</v>
      </c>
      <c r="E10" s="126" t="s">
        <v>515</v>
      </c>
      <c r="F10" s="504">
        <v>1</v>
      </c>
      <c r="G10" s="248" t="s">
        <v>6805</v>
      </c>
      <c r="H10" s="542" t="s">
        <v>6806</v>
      </c>
      <c r="I10" s="319" t="s">
        <v>931</v>
      </c>
      <c r="J10" s="494" t="s">
        <v>6807</v>
      </c>
      <c r="K10" s="132" t="s">
        <v>6808</v>
      </c>
      <c r="Q10" s="481"/>
    </row>
    <row r="11" spans="2:17" ht="31.2" x14ac:dyDescent="0.3">
      <c r="B11" s="145" t="s">
        <v>6800</v>
      </c>
      <c r="C11" s="577" t="s">
        <v>6801</v>
      </c>
      <c r="D11" s="43" t="s">
        <v>190</v>
      </c>
      <c r="E11" s="126" t="s">
        <v>515</v>
      </c>
      <c r="F11" s="504">
        <v>1</v>
      </c>
      <c r="G11" s="248" t="s">
        <v>6809</v>
      </c>
      <c r="H11" s="542" t="s">
        <v>6810</v>
      </c>
      <c r="I11" s="319" t="s">
        <v>931</v>
      </c>
      <c r="J11" s="494" t="s">
        <v>6811</v>
      </c>
      <c r="K11" s="132" t="s">
        <v>6812</v>
      </c>
      <c r="Q11" s="481"/>
    </row>
    <row r="12" spans="2:17" ht="31.2" x14ac:dyDescent="0.3">
      <c r="B12" s="31" t="s">
        <v>6800</v>
      </c>
      <c r="C12" s="130" t="s">
        <v>6801</v>
      </c>
      <c r="D12" s="43" t="s">
        <v>190</v>
      </c>
      <c r="E12" s="126" t="s">
        <v>515</v>
      </c>
      <c r="F12" s="504">
        <v>1</v>
      </c>
      <c r="G12" s="248" t="s">
        <v>6813</v>
      </c>
      <c r="H12" s="542">
        <v>45642</v>
      </c>
      <c r="I12" s="319" t="s">
        <v>931</v>
      </c>
      <c r="J12" s="494" t="s">
        <v>6814</v>
      </c>
      <c r="K12" s="132" t="s">
        <v>6815</v>
      </c>
      <c r="Q12" s="481"/>
    </row>
    <row r="13" spans="2:17" ht="31.2" x14ac:dyDescent="0.3">
      <c r="B13" s="145" t="s">
        <v>6800</v>
      </c>
      <c r="C13" s="577" t="s">
        <v>6801</v>
      </c>
      <c r="D13" s="43" t="s">
        <v>190</v>
      </c>
      <c r="E13" s="126" t="s">
        <v>515</v>
      </c>
      <c r="F13" s="504">
        <v>1</v>
      </c>
      <c r="G13" s="248" t="s">
        <v>6816</v>
      </c>
      <c r="H13" s="542" t="s">
        <v>6817</v>
      </c>
      <c r="I13" s="319" t="s">
        <v>931</v>
      </c>
      <c r="J13" s="494" t="s">
        <v>6818</v>
      </c>
      <c r="K13" s="132" t="s">
        <v>6819</v>
      </c>
      <c r="Q13" s="481"/>
    </row>
    <row r="14" spans="2:17" ht="31.2" x14ac:dyDescent="0.3">
      <c r="B14" s="145" t="s">
        <v>6800</v>
      </c>
      <c r="C14" s="577" t="s">
        <v>6801</v>
      </c>
      <c r="D14" s="43" t="s">
        <v>190</v>
      </c>
      <c r="E14" s="126" t="s">
        <v>515</v>
      </c>
      <c r="F14" s="504">
        <v>1</v>
      </c>
      <c r="G14" s="248" t="s">
        <v>6820</v>
      </c>
      <c r="H14" s="542">
        <v>45639</v>
      </c>
      <c r="I14" s="319" t="s">
        <v>931</v>
      </c>
      <c r="J14" s="494" t="s">
        <v>6821</v>
      </c>
      <c r="K14" s="132" t="s">
        <v>6822</v>
      </c>
    </row>
    <row r="15" spans="2:17" ht="31.2" x14ac:dyDescent="0.3">
      <c r="B15" s="145" t="s">
        <v>6800</v>
      </c>
      <c r="C15" s="577" t="s">
        <v>6801</v>
      </c>
      <c r="D15" s="43" t="s">
        <v>190</v>
      </c>
      <c r="E15" s="126" t="s">
        <v>515</v>
      </c>
      <c r="F15" s="504">
        <v>1</v>
      </c>
      <c r="G15" s="248" t="s">
        <v>6823</v>
      </c>
      <c r="H15" s="542">
        <v>45650</v>
      </c>
      <c r="I15" s="319" t="s">
        <v>931</v>
      </c>
      <c r="J15" s="494" t="s">
        <v>6824</v>
      </c>
      <c r="K15" s="132" t="s">
        <v>6825</v>
      </c>
    </row>
    <row r="16" spans="2:17" ht="31.2" x14ac:dyDescent="0.3">
      <c r="B16" s="31" t="s">
        <v>6800</v>
      </c>
      <c r="C16" s="130" t="s">
        <v>6801</v>
      </c>
      <c r="D16" s="43" t="s">
        <v>190</v>
      </c>
      <c r="E16" s="126" t="s">
        <v>515</v>
      </c>
      <c r="F16" s="504">
        <v>1</v>
      </c>
      <c r="G16" s="248" t="s">
        <v>6826</v>
      </c>
      <c r="H16" s="542" t="s">
        <v>6827</v>
      </c>
      <c r="I16" s="319" t="s">
        <v>931</v>
      </c>
      <c r="J16" s="494" t="s">
        <v>6828</v>
      </c>
      <c r="K16" s="132" t="s">
        <v>6829</v>
      </c>
    </row>
    <row r="17" spans="2:11" ht="31.2" x14ac:dyDescent="0.3">
      <c r="B17" s="145" t="s">
        <v>6800</v>
      </c>
      <c r="C17" s="577" t="s">
        <v>6801</v>
      </c>
      <c r="D17" s="43" t="s">
        <v>190</v>
      </c>
      <c r="E17" s="126" t="s">
        <v>515</v>
      </c>
      <c r="F17" s="504">
        <v>1</v>
      </c>
      <c r="G17" s="248" t="s">
        <v>6830</v>
      </c>
      <c r="H17" s="542">
        <v>45651</v>
      </c>
      <c r="I17" s="319" t="s">
        <v>931</v>
      </c>
      <c r="J17" s="494" t="s">
        <v>6831</v>
      </c>
      <c r="K17" s="132" t="s">
        <v>6832</v>
      </c>
    </row>
    <row r="18" spans="2:11" ht="31.2" x14ac:dyDescent="0.3">
      <c r="B18" s="31" t="s">
        <v>6800</v>
      </c>
      <c r="C18" s="130" t="s">
        <v>6801</v>
      </c>
      <c r="D18" s="43" t="s">
        <v>190</v>
      </c>
      <c r="E18" s="126" t="s">
        <v>515</v>
      </c>
      <c r="F18" s="504">
        <v>1</v>
      </c>
      <c r="G18" s="248" t="s">
        <v>6833</v>
      </c>
      <c r="H18" s="542">
        <v>45651</v>
      </c>
      <c r="I18" s="319" t="s">
        <v>931</v>
      </c>
      <c r="J18" s="494" t="s">
        <v>6834</v>
      </c>
      <c r="K18" s="132" t="s">
        <v>6835</v>
      </c>
    </row>
    <row r="19" spans="2:11" ht="31.2" x14ac:dyDescent="0.3">
      <c r="B19" s="145" t="s">
        <v>6800</v>
      </c>
      <c r="C19" s="577" t="s">
        <v>6801</v>
      </c>
      <c r="D19" s="43" t="s">
        <v>190</v>
      </c>
      <c r="E19" s="126" t="s">
        <v>515</v>
      </c>
      <c r="F19" s="504">
        <v>1</v>
      </c>
      <c r="G19" s="248" t="s">
        <v>6836</v>
      </c>
      <c r="H19" s="542">
        <v>45652</v>
      </c>
      <c r="I19" s="319" t="s">
        <v>931</v>
      </c>
      <c r="J19" s="494" t="s">
        <v>6837</v>
      </c>
      <c r="K19" s="132" t="s">
        <v>6838</v>
      </c>
    </row>
    <row r="20" spans="2:11" ht="31.2" x14ac:dyDescent="0.3">
      <c r="B20" s="145" t="s">
        <v>6800</v>
      </c>
      <c r="C20" s="577" t="s">
        <v>6801</v>
      </c>
      <c r="D20" s="43" t="s">
        <v>190</v>
      </c>
      <c r="E20" s="126" t="s">
        <v>515</v>
      </c>
      <c r="F20" s="504">
        <v>1</v>
      </c>
      <c r="G20" s="248" t="s">
        <v>6839</v>
      </c>
      <c r="H20" s="542">
        <v>45654</v>
      </c>
      <c r="I20" s="319" t="s">
        <v>931</v>
      </c>
      <c r="J20" s="494" t="s">
        <v>6840</v>
      </c>
      <c r="K20" s="132" t="s">
        <v>6841</v>
      </c>
    </row>
    <row r="21" spans="2:11" ht="31.2" x14ac:dyDescent="0.3">
      <c r="B21" s="145" t="s">
        <v>6800</v>
      </c>
      <c r="C21" s="577" t="s">
        <v>6801</v>
      </c>
      <c r="D21" s="43" t="s">
        <v>190</v>
      </c>
      <c r="E21" s="126" t="s">
        <v>515</v>
      </c>
      <c r="F21" s="504">
        <v>1</v>
      </c>
      <c r="G21" s="248" t="s">
        <v>6842</v>
      </c>
      <c r="H21" s="542" t="s">
        <v>3146</v>
      </c>
      <c r="I21" s="319" t="s">
        <v>931</v>
      </c>
      <c r="J21" s="494" t="s">
        <v>6843</v>
      </c>
      <c r="K21" s="132" t="s">
        <v>6844</v>
      </c>
    </row>
    <row r="22" spans="2:11" ht="31.2" x14ac:dyDescent="0.3">
      <c r="B22" s="145" t="s">
        <v>6800</v>
      </c>
      <c r="C22" s="577" t="s">
        <v>6801</v>
      </c>
      <c r="D22" s="43" t="s">
        <v>190</v>
      </c>
      <c r="E22" s="126" t="s">
        <v>515</v>
      </c>
      <c r="F22" s="504">
        <v>1</v>
      </c>
      <c r="G22" s="248" t="s">
        <v>6845</v>
      </c>
      <c r="H22" s="542">
        <v>45655</v>
      </c>
      <c r="I22" s="319" t="s">
        <v>931</v>
      </c>
      <c r="J22" s="494" t="s">
        <v>6846</v>
      </c>
      <c r="K22" s="132" t="s">
        <v>6847</v>
      </c>
    </row>
    <row r="23" spans="2:11" ht="31.2" x14ac:dyDescent="0.3">
      <c r="B23" s="145" t="s">
        <v>6800</v>
      </c>
      <c r="C23" s="577" t="s">
        <v>6801</v>
      </c>
      <c r="D23" s="43" t="s">
        <v>190</v>
      </c>
      <c r="E23" s="126" t="s">
        <v>515</v>
      </c>
      <c r="F23" s="504">
        <v>1</v>
      </c>
      <c r="G23" s="248" t="s">
        <v>6848</v>
      </c>
      <c r="H23" s="542">
        <v>45655</v>
      </c>
      <c r="I23" s="319" t="s">
        <v>931</v>
      </c>
      <c r="J23" s="494" t="s">
        <v>6849</v>
      </c>
      <c r="K23" s="132" t="s">
        <v>6850</v>
      </c>
    </row>
    <row r="24" spans="2:11" ht="31.2" x14ac:dyDescent="0.3">
      <c r="B24" s="145" t="s">
        <v>6800</v>
      </c>
      <c r="C24" s="577" t="s">
        <v>6801</v>
      </c>
      <c r="D24" s="43" t="s">
        <v>190</v>
      </c>
      <c r="E24" s="126" t="s">
        <v>515</v>
      </c>
      <c r="F24" s="504">
        <v>1</v>
      </c>
      <c r="G24" s="248" t="s">
        <v>6851</v>
      </c>
      <c r="H24" s="542">
        <v>45655</v>
      </c>
      <c r="I24" s="319" t="s">
        <v>931</v>
      </c>
      <c r="J24" s="494" t="s">
        <v>6852</v>
      </c>
      <c r="K24" s="132" t="s">
        <v>6853</v>
      </c>
    </row>
    <row r="25" spans="2:11" ht="31.2" x14ac:dyDescent="0.3">
      <c r="B25" s="145" t="s">
        <v>6800</v>
      </c>
      <c r="C25" s="577" t="s">
        <v>6801</v>
      </c>
      <c r="D25" s="43" t="s">
        <v>190</v>
      </c>
      <c r="E25" s="126" t="s">
        <v>515</v>
      </c>
      <c r="F25" s="504">
        <v>1</v>
      </c>
      <c r="G25" s="248" t="s">
        <v>6854</v>
      </c>
      <c r="H25" s="542">
        <v>45656</v>
      </c>
      <c r="I25" s="319" t="s">
        <v>931</v>
      </c>
      <c r="J25" s="494" t="s">
        <v>6855</v>
      </c>
      <c r="K25" s="132" t="s">
        <v>6856</v>
      </c>
    </row>
    <row r="26" spans="2:11" ht="31.2" x14ac:dyDescent="0.3">
      <c r="B26" s="145" t="s">
        <v>6800</v>
      </c>
      <c r="C26" s="577" t="s">
        <v>6801</v>
      </c>
      <c r="D26" s="43" t="s">
        <v>190</v>
      </c>
      <c r="E26" s="126" t="s">
        <v>515</v>
      </c>
      <c r="F26" s="504">
        <v>1</v>
      </c>
      <c r="G26" s="302" t="s">
        <v>6857</v>
      </c>
      <c r="H26" s="542">
        <v>45657</v>
      </c>
      <c r="I26" s="319" t="s">
        <v>931</v>
      </c>
      <c r="J26" s="494" t="s">
        <v>6858</v>
      </c>
      <c r="K26" s="132" t="s">
        <v>6859</v>
      </c>
    </row>
    <row r="27" spans="2:11" ht="31.2" x14ac:dyDescent="0.3">
      <c r="B27" s="145" t="s">
        <v>6800</v>
      </c>
      <c r="C27" s="577" t="s">
        <v>6801</v>
      </c>
      <c r="D27" s="43" t="s">
        <v>190</v>
      </c>
      <c r="E27" s="126" t="s">
        <v>515</v>
      </c>
      <c r="F27" s="504">
        <v>1</v>
      </c>
      <c r="G27" s="302" t="s">
        <v>6860</v>
      </c>
      <c r="H27" s="542">
        <v>45656</v>
      </c>
      <c r="I27" s="319" t="s">
        <v>1326</v>
      </c>
      <c r="J27" s="494" t="s">
        <v>6861</v>
      </c>
      <c r="K27" s="132" t="s">
        <v>6862</v>
      </c>
    </row>
    <row r="28" spans="2:11" ht="31.2" x14ac:dyDescent="0.3">
      <c r="B28" s="145" t="s">
        <v>6800</v>
      </c>
      <c r="C28" s="577" t="s">
        <v>6801</v>
      </c>
      <c r="D28" s="43" t="s">
        <v>190</v>
      </c>
      <c r="E28" s="126" t="s">
        <v>515</v>
      </c>
      <c r="F28" s="504">
        <v>1</v>
      </c>
      <c r="G28" s="302" t="s">
        <v>6863</v>
      </c>
      <c r="H28" s="542">
        <v>45660</v>
      </c>
      <c r="I28" s="319" t="s">
        <v>1326</v>
      </c>
      <c r="J28" s="494" t="s">
        <v>6864</v>
      </c>
      <c r="K28" s="132" t="s">
        <v>6865</v>
      </c>
    </row>
    <row r="29" spans="2:11" ht="31.2" x14ac:dyDescent="0.3">
      <c r="B29" s="145" t="s">
        <v>6800</v>
      </c>
      <c r="C29" s="577" t="s">
        <v>6801</v>
      </c>
      <c r="D29" s="43" t="s">
        <v>190</v>
      </c>
      <c r="E29" s="126" t="s">
        <v>515</v>
      </c>
      <c r="F29" s="504">
        <v>1</v>
      </c>
      <c r="G29" s="302" t="s">
        <v>6866</v>
      </c>
      <c r="H29" s="542">
        <v>45660</v>
      </c>
      <c r="I29" s="319" t="s">
        <v>1326</v>
      </c>
      <c r="J29" s="494" t="s">
        <v>6867</v>
      </c>
      <c r="K29" s="132" t="s">
        <v>6868</v>
      </c>
    </row>
    <row r="30" spans="2:11" ht="31.2" x14ac:dyDescent="0.3">
      <c r="B30" s="145" t="s">
        <v>6800</v>
      </c>
      <c r="C30" s="577" t="s">
        <v>6801</v>
      </c>
      <c r="D30" s="43" t="s">
        <v>190</v>
      </c>
      <c r="E30" s="126" t="s">
        <v>515</v>
      </c>
      <c r="F30" s="504">
        <v>1</v>
      </c>
      <c r="G30" s="302" t="s">
        <v>6869</v>
      </c>
      <c r="H30" s="542">
        <v>45660</v>
      </c>
      <c r="I30" s="319" t="s">
        <v>1326</v>
      </c>
      <c r="J30" s="494" t="s">
        <v>6870</v>
      </c>
      <c r="K30" s="132" t="s">
        <v>6871</v>
      </c>
    </row>
    <row r="31" spans="2:11" ht="31.2" x14ac:dyDescent="0.3">
      <c r="B31" s="145" t="s">
        <v>6800</v>
      </c>
      <c r="C31" s="577" t="s">
        <v>6801</v>
      </c>
      <c r="D31" s="43" t="s">
        <v>190</v>
      </c>
      <c r="E31" s="126" t="s">
        <v>515</v>
      </c>
      <c r="F31" s="504">
        <v>1</v>
      </c>
      <c r="G31" s="302" t="s">
        <v>6872</v>
      </c>
      <c r="H31" s="542" t="s">
        <v>6873</v>
      </c>
      <c r="I31" s="319" t="s">
        <v>1326</v>
      </c>
      <c r="J31" s="494" t="s">
        <v>6874</v>
      </c>
      <c r="K31" s="132" t="s">
        <v>6875</v>
      </c>
    </row>
    <row r="32" spans="2:11" ht="31.2" x14ac:dyDescent="0.3">
      <c r="B32" s="145" t="s">
        <v>6800</v>
      </c>
      <c r="C32" s="577" t="s">
        <v>6801</v>
      </c>
      <c r="D32" s="43" t="s">
        <v>190</v>
      </c>
      <c r="E32" s="126" t="s">
        <v>515</v>
      </c>
      <c r="F32" s="504">
        <v>1</v>
      </c>
      <c r="G32" s="302" t="s">
        <v>6876</v>
      </c>
      <c r="H32" s="542" t="s">
        <v>6877</v>
      </c>
      <c r="I32" s="319" t="s">
        <v>1326</v>
      </c>
      <c r="J32" s="494" t="s">
        <v>6878</v>
      </c>
      <c r="K32" s="132" t="s">
        <v>6879</v>
      </c>
    </row>
    <row r="33" spans="2:11" ht="31.2" x14ac:dyDescent="0.3">
      <c r="B33" s="145" t="s">
        <v>6800</v>
      </c>
      <c r="C33" s="577" t="s">
        <v>6801</v>
      </c>
      <c r="D33" s="43" t="s">
        <v>190</v>
      </c>
      <c r="E33" s="126" t="s">
        <v>515</v>
      </c>
      <c r="F33" s="504">
        <v>1</v>
      </c>
      <c r="G33" s="302" t="s">
        <v>6880</v>
      </c>
      <c r="H33" s="542">
        <v>45663</v>
      </c>
      <c r="I33" s="319" t="s">
        <v>1326</v>
      </c>
      <c r="J33" s="494" t="s">
        <v>6881</v>
      </c>
      <c r="K33" s="132" t="s">
        <v>6882</v>
      </c>
    </row>
    <row r="34" spans="2:11" ht="31.2" x14ac:dyDescent="0.3">
      <c r="B34" s="145" t="s">
        <v>6800</v>
      </c>
      <c r="C34" s="577" t="s">
        <v>6801</v>
      </c>
      <c r="D34" s="43" t="s">
        <v>190</v>
      </c>
      <c r="E34" s="126" t="s">
        <v>515</v>
      </c>
      <c r="F34" s="504">
        <v>1</v>
      </c>
      <c r="G34" s="302" t="s">
        <v>6883</v>
      </c>
      <c r="H34" s="542" t="s">
        <v>6884</v>
      </c>
      <c r="I34" s="319" t="s">
        <v>1326</v>
      </c>
      <c r="J34" s="494" t="s">
        <v>6885</v>
      </c>
      <c r="K34" s="132" t="s">
        <v>6886</v>
      </c>
    </row>
    <row r="35" spans="2:11" ht="31.2" x14ac:dyDescent="0.3">
      <c r="B35" s="145" t="s">
        <v>6800</v>
      </c>
      <c r="C35" s="577" t="s">
        <v>6801</v>
      </c>
      <c r="D35" s="43" t="s">
        <v>190</v>
      </c>
      <c r="E35" s="126" t="s">
        <v>515</v>
      </c>
      <c r="F35" s="504">
        <v>1</v>
      </c>
      <c r="G35" s="302" t="s">
        <v>6887</v>
      </c>
      <c r="H35" s="542">
        <v>45664</v>
      </c>
      <c r="I35" s="319" t="s">
        <v>1326</v>
      </c>
      <c r="J35" s="494" t="s">
        <v>6888</v>
      </c>
      <c r="K35" s="132" t="s">
        <v>6889</v>
      </c>
    </row>
    <row r="36" spans="2:11" ht="31.2" x14ac:dyDescent="0.3">
      <c r="B36" s="145" t="s">
        <v>6800</v>
      </c>
      <c r="C36" s="577" t="s">
        <v>6801</v>
      </c>
      <c r="D36" s="43" t="s">
        <v>190</v>
      </c>
      <c r="E36" s="126" t="s">
        <v>515</v>
      </c>
      <c r="F36" s="504">
        <v>1</v>
      </c>
      <c r="G36" s="302" t="s">
        <v>6890</v>
      </c>
      <c r="H36" s="542">
        <v>45664</v>
      </c>
      <c r="I36" s="319" t="s">
        <v>1326</v>
      </c>
      <c r="J36" s="494" t="s">
        <v>6891</v>
      </c>
      <c r="K36" s="132" t="s">
        <v>6892</v>
      </c>
    </row>
    <row r="37" spans="2:11" ht="31.2" x14ac:dyDescent="0.3">
      <c r="B37" s="145" t="s">
        <v>6800</v>
      </c>
      <c r="C37" s="577" t="s">
        <v>6801</v>
      </c>
      <c r="D37" s="43" t="s">
        <v>190</v>
      </c>
      <c r="E37" s="126" t="s">
        <v>515</v>
      </c>
      <c r="F37" s="504">
        <v>1</v>
      </c>
      <c r="G37" s="302" t="s">
        <v>6893</v>
      </c>
      <c r="H37" s="542">
        <v>45664</v>
      </c>
      <c r="I37" s="319" t="s">
        <v>1326</v>
      </c>
      <c r="J37" s="494" t="s">
        <v>6894</v>
      </c>
      <c r="K37" s="132" t="s">
        <v>6895</v>
      </c>
    </row>
    <row r="38" spans="2:11" ht="31.2" x14ac:dyDescent="0.3">
      <c r="B38" s="145" t="s">
        <v>6800</v>
      </c>
      <c r="C38" s="577" t="s">
        <v>6801</v>
      </c>
      <c r="D38" s="43" t="s">
        <v>190</v>
      </c>
      <c r="E38" s="126" t="s">
        <v>515</v>
      </c>
      <c r="F38" s="504">
        <v>1</v>
      </c>
      <c r="G38" s="302" t="s">
        <v>6896</v>
      </c>
      <c r="H38" s="542">
        <v>45664</v>
      </c>
      <c r="I38" s="319" t="s">
        <v>1326</v>
      </c>
      <c r="J38" s="494" t="s">
        <v>6897</v>
      </c>
      <c r="K38" s="132" t="s">
        <v>6898</v>
      </c>
    </row>
    <row r="39" spans="2:11" ht="31.2" x14ac:dyDescent="0.3">
      <c r="B39" s="145" t="s">
        <v>6800</v>
      </c>
      <c r="C39" s="577" t="s">
        <v>6801</v>
      </c>
      <c r="D39" s="43" t="s">
        <v>190</v>
      </c>
      <c r="E39" s="126" t="s">
        <v>515</v>
      </c>
      <c r="F39" s="504">
        <v>1</v>
      </c>
      <c r="G39" s="302" t="s">
        <v>6899</v>
      </c>
      <c r="H39" s="542">
        <v>45665</v>
      </c>
      <c r="I39" s="319" t="s">
        <v>1326</v>
      </c>
      <c r="J39" s="494" t="s">
        <v>6900</v>
      </c>
      <c r="K39" s="132" t="s">
        <v>6901</v>
      </c>
    </row>
    <row r="40" spans="2:11" ht="31.2" x14ac:dyDescent="0.3">
      <c r="B40" s="145" t="s">
        <v>6800</v>
      </c>
      <c r="C40" s="577" t="s">
        <v>6801</v>
      </c>
      <c r="D40" s="43" t="s">
        <v>190</v>
      </c>
      <c r="E40" s="126" t="s">
        <v>515</v>
      </c>
      <c r="F40" s="504">
        <v>1</v>
      </c>
      <c r="G40" s="302" t="s">
        <v>6902</v>
      </c>
      <c r="H40" s="542">
        <v>45665</v>
      </c>
      <c r="I40" s="319" t="s">
        <v>1326</v>
      </c>
      <c r="J40" s="494" t="s">
        <v>6903</v>
      </c>
      <c r="K40" s="132" t="s">
        <v>6904</v>
      </c>
    </row>
    <row r="41" spans="2:11" ht="31.2" x14ac:dyDescent="0.3">
      <c r="B41" s="145" t="s">
        <v>6800</v>
      </c>
      <c r="C41" s="577" t="s">
        <v>6801</v>
      </c>
      <c r="D41" s="43" t="s">
        <v>190</v>
      </c>
      <c r="E41" s="126" t="s">
        <v>515</v>
      </c>
      <c r="F41" s="504">
        <v>1</v>
      </c>
      <c r="G41" s="302" t="s">
        <v>6905</v>
      </c>
      <c r="H41" s="542">
        <v>45665</v>
      </c>
      <c r="I41" s="319" t="s">
        <v>1326</v>
      </c>
      <c r="J41" s="494" t="s">
        <v>6906</v>
      </c>
      <c r="K41" s="132" t="s">
        <v>6907</v>
      </c>
    </row>
    <row r="42" spans="2:11" ht="31.2" x14ac:dyDescent="0.3">
      <c r="B42" s="145" t="s">
        <v>6800</v>
      </c>
      <c r="C42" s="577" t="s">
        <v>6801</v>
      </c>
      <c r="D42" s="43" t="s">
        <v>190</v>
      </c>
      <c r="E42" s="126" t="s">
        <v>515</v>
      </c>
      <c r="F42" s="504">
        <v>1</v>
      </c>
      <c r="G42" s="302" t="s">
        <v>6908</v>
      </c>
      <c r="H42" s="542">
        <v>45667</v>
      </c>
      <c r="I42" s="319" t="s">
        <v>1326</v>
      </c>
      <c r="J42" s="494" t="s">
        <v>6909</v>
      </c>
      <c r="K42" s="132" t="s">
        <v>6910</v>
      </c>
    </row>
    <row r="43" spans="2:11" ht="31.2" x14ac:dyDescent="0.3">
      <c r="B43" s="145" t="s">
        <v>6800</v>
      </c>
      <c r="C43" s="577" t="s">
        <v>6801</v>
      </c>
      <c r="D43" s="43" t="s">
        <v>190</v>
      </c>
      <c r="E43" s="126" t="s">
        <v>515</v>
      </c>
      <c r="F43" s="504">
        <v>1</v>
      </c>
      <c r="G43" s="302" t="s">
        <v>6911</v>
      </c>
      <c r="H43" s="542">
        <v>45670</v>
      </c>
      <c r="I43" s="319" t="s">
        <v>1326</v>
      </c>
      <c r="J43" s="494" t="s">
        <v>6912</v>
      </c>
      <c r="K43" s="132" t="s">
        <v>6913</v>
      </c>
    </row>
    <row r="44" spans="2:11" ht="31.2" x14ac:dyDescent="0.3">
      <c r="B44" s="145" t="s">
        <v>6800</v>
      </c>
      <c r="C44" s="577" t="s">
        <v>6801</v>
      </c>
      <c r="D44" s="43" t="s">
        <v>190</v>
      </c>
      <c r="E44" s="126" t="s">
        <v>515</v>
      </c>
      <c r="F44" s="504">
        <v>1</v>
      </c>
      <c r="G44" s="302" t="s">
        <v>6914</v>
      </c>
      <c r="H44" s="542" t="s">
        <v>6915</v>
      </c>
      <c r="I44" s="319" t="s">
        <v>1326</v>
      </c>
      <c r="J44" s="494" t="s">
        <v>6916</v>
      </c>
      <c r="K44" s="132" t="s">
        <v>6917</v>
      </c>
    </row>
    <row r="45" spans="2:11" ht="31.2" x14ac:dyDescent="0.3">
      <c r="B45" s="145" t="s">
        <v>6800</v>
      </c>
      <c r="C45" s="577" t="s">
        <v>6801</v>
      </c>
      <c r="D45" s="43" t="s">
        <v>190</v>
      </c>
      <c r="E45" s="126" t="s">
        <v>515</v>
      </c>
      <c r="F45" s="504">
        <v>1</v>
      </c>
      <c r="G45" s="302" t="s">
        <v>6918</v>
      </c>
      <c r="H45" s="542">
        <v>45680</v>
      </c>
      <c r="I45" s="319" t="s">
        <v>1326</v>
      </c>
      <c r="J45" s="494" t="s">
        <v>6919</v>
      </c>
      <c r="K45" s="132" t="s">
        <v>6920</v>
      </c>
    </row>
    <row r="46" spans="2:11" ht="31.2" x14ac:dyDescent="0.3">
      <c r="B46" s="145" t="s">
        <v>6800</v>
      </c>
      <c r="C46" s="577" t="s">
        <v>6801</v>
      </c>
      <c r="D46" s="43" t="s">
        <v>190</v>
      </c>
      <c r="E46" s="126" t="s">
        <v>515</v>
      </c>
      <c r="F46" s="504">
        <v>1</v>
      </c>
      <c r="G46" s="302" t="s">
        <v>6921</v>
      </c>
      <c r="H46" s="542">
        <v>45672</v>
      </c>
      <c r="I46" s="319" t="s">
        <v>1326</v>
      </c>
      <c r="J46" s="494" t="s">
        <v>6922</v>
      </c>
      <c r="K46" s="132" t="s">
        <v>6923</v>
      </c>
    </row>
    <row r="47" spans="2:11" ht="31.2" x14ac:dyDescent="0.3">
      <c r="B47" s="145" t="s">
        <v>6800</v>
      </c>
      <c r="C47" s="577" t="s">
        <v>6801</v>
      </c>
      <c r="D47" s="43" t="s">
        <v>190</v>
      </c>
      <c r="E47" s="126" t="s">
        <v>515</v>
      </c>
      <c r="F47" s="504">
        <v>1</v>
      </c>
      <c r="G47" s="302" t="s">
        <v>6924</v>
      </c>
      <c r="H47" s="542">
        <v>45670</v>
      </c>
      <c r="I47" s="319" t="s">
        <v>1326</v>
      </c>
      <c r="J47" s="494" t="s">
        <v>6925</v>
      </c>
      <c r="K47" s="132" t="s">
        <v>6926</v>
      </c>
    </row>
    <row r="48" spans="2:11" ht="31.2" x14ac:dyDescent="0.3">
      <c r="B48" s="145" t="s">
        <v>6800</v>
      </c>
      <c r="C48" s="577" t="s">
        <v>6801</v>
      </c>
      <c r="D48" s="43" t="s">
        <v>190</v>
      </c>
      <c r="E48" s="126" t="s">
        <v>515</v>
      </c>
      <c r="F48" s="504">
        <v>1</v>
      </c>
      <c r="G48" s="302" t="s">
        <v>6927</v>
      </c>
      <c r="H48" s="542">
        <v>45672</v>
      </c>
      <c r="I48" s="319" t="s">
        <v>1326</v>
      </c>
      <c r="J48" s="494" t="s">
        <v>6928</v>
      </c>
      <c r="K48" s="132" t="s">
        <v>6929</v>
      </c>
    </row>
    <row r="49" spans="2:11" ht="31.2" x14ac:dyDescent="0.3">
      <c r="B49" s="145" t="s">
        <v>6800</v>
      </c>
      <c r="C49" s="577" t="s">
        <v>6801</v>
      </c>
      <c r="D49" s="43" t="s">
        <v>190</v>
      </c>
      <c r="E49" s="126" t="s">
        <v>515</v>
      </c>
      <c r="F49" s="504">
        <v>1</v>
      </c>
      <c r="G49" s="302" t="s">
        <v>6930</v>
      </c>
      <c r="H49" s="542">
        <v>45673</v>
      </c>
      <c r="I49" s="319" t="s">
        <v>1326</v>
      </c>
      <c r="J49" s="494" t="s">
        <v>6931</v>
      </c>
      <c r="K49" s="132" t="s">
        <v>6932</v>
      </c>
    </row>
    <row r="50" spans="2:11" ht="31.2" x14ac:dyDescent="0.3">
      <c r="B50" s="145" t="s">
        <v>6800</v>
      </c>
      <c r="C50" s="577" t="s">
        <v>6801</v>
      </c>
      <c r="D50" s="43" t="s">
        <v>190</v>
      </c>
      <c r="E50" s="126" t="s">
        <v>515</v>
      </c>
      <c r="F50" s="504">
        <v>1</v>
      </c>
      <c r="G50" s="302" t="s">
        <v>6933</v>
      </c>
      <c r="H50" s="542">
        <v>45673</v>
      </c>
      <c r="I50" s="319" t="s">
        <v>1326</v>
      </c>
      <c r="J50" s="494" t="s">
        <v>6934</v>
      </c>
      <c r="K50" s="132" t="s">
        <v>6935</v>
      </c>
    </row>
    <row r="51" spans="2:11" ht="31.2" x14ac:dyDescent="0.3">
      <c r="B51" s="145" t="s">
        <v>6800</v>
      </c>
      <c r="C51" s="577" t="s">
        <v>6801</v>
      </c>
      <c r="D51" s="43" t="s">
        <v>190</v>
      </c>
      <c r="E51" s="126" t="s">
        <v>515</v>
      </c>
      <c r="F51" s="504">
        <v>1</v>
      </c>
      <c r="G51" s="302" t="s">
        <v>6936</v>
      </c>
      <c r="H51" s="542">
        <v>45675</v>
      </c>
      <c r="I51" s="319" t="s">
        <v>1326</v>
      </c>
      <c r="J51" s="494" t="s">
        <v>6937</v>
      </c>
      <c r="K51" s="132" t="s">
        <v>6938</v>
      </c>
    </row>
    <row r="52" spans="2:11" ht="31.2" x14ac:dyDescent="0.3">
      <c r="B52" s="145" t="s">
        <v>6800</v>
      </c>
      <c r="C52" s="577" t="s">
        <v>6801</v>
      </c>
      <c r="D52" s="43" t="s">
        <v>190</v>
      </c>
      <c r="E52" s="126" t="s">
        <v>515</v>
      </c>
      <c r="F52" s="504">
        <v>1</v>
      </c>
      <c r="G52" s="302" t="s">
        <v>6939</v>
      </c>
      <c r="H52" s="542">
        <v>45674</v>
      </c>
      <c r="I52" s="319" t="s">
        <v>1326</v>
      </c>
      <c r="J52" s="494" t="s">
        <v>6940</v>
      </c>
      <c r="K52" s="132" t="s">
        <v>6941</v>
      </c>
    </row>
    <row r="53" spans="2:11" ht="31.2" x14ac:dyDescent="0.3">
      <c r="B53" s="145" t="s">
        <v>6800</v>
      </c>
      <c r="C53" s="577" t="s">
        <v>6801</v>
      </c>
      <c r="D53" s="43" t="s">
        <v>190</v>
      </c>
      <c r="E53" s="126" t="s">
        <v>515</v>
      </c>
      <c r="F53" s="504">
        <v>1</v>
      </c>
      <c r="G53" s="302" t="s">
        <v>6942</v>
      </c>
      <c r="H53" s="542">
        <v>45677</v>
      </c>
      <c r="I53" s="319" t="s">
        <v>1326</v>
      </c>
      <c r="J53" s="494" t="s">
        <v>6943</v>
      </c>
      <c r="K53" s="132" t="s">
        <v>6944</v>
      </c>
    </row>
    <row r="54" spans="2:11" ht="31.2" x14ac:dyDescent="0.3">
      <c r="B54" s="145" t="s">
        <v>6800</v>
      </c>
      <c r="C54" s="577" t="s">
        <v>6801</v>
      </c>
      <c r="D54" s="43" t="s">
        <v>190</v>
      </c>
      <c r="E54" s="126" t="s">
        <v>515</v>
      </c>
      <c r="F54" s="504">
        <v>1</v>
      </c>
      <c r="G54" s="302" t="s">
        <v>6945</v>
      </c>
      <c r="H54" s="542">
        <v>45678</v>
      </c>
      <c r="I54" s="319" t="s">
        <v>1326</v>
      </c>
      <c r="J54" s="494" t="s">
        <v>6946</v>
      </c>
      <c r="K54" s="132" t="s">
        <v>6947</v>
      </c>
    </row>
    <row r="55" spans="2:11" ht="31.2" x14ac:dyDescent="0.3">
      <c r="B55" s="145" t="s">
        <v>6800</v>
      </c>
      <c r="C55" s="577" t="s">
        <v>6801</v>
      </c>
      <c r="D55" s="43" t="s">
        <v>190</v>
      </c>
      <c r="E55" s="126" t="s">
        <v>515</v>
      </c>
      <c r="F55" s="504">
        <v>1</v>
      </c>
      <c r="G55" s="302" t="s">
        <v>6948</v>
      </c>
      <c r="H55" s="542" t="s">
        <v>6949</v>
      </c>
      <c r="I55" s="319" t="s">
        <v>1326</v>
      </c>
      <c r="J55" s="494" t="s">
        <v>6950</v>
      </c>
      <c r="K55" s="132" t="s">
        <v>6951</v>
      </c>
    </row>
    <row r="56" spans="2:11" ht="31.2" x14ac:dyDescent="0.3">
      <c r="B56" s="145" t="s">
        <v>6800</v>
      </c>
      <c r="C56" s="577" t="s">
        <v>6801</v>
      </c>
      <c r="D56" s="43" t="s">
        <v>190</v>
      </c>
      <c r="E56" s="126" t="s">
        <v>515</v>
      </c>
      <c r="F56" s="504">
        <v>1</v>
      </c>
      <c r="G56" s="302" t="s">
        <v>6952</v>
      </c>
      <c r="H56" s="542">
        <v>45680</v>
      </c>
      <c r="I56" s="319" t="s">
        <v>1326</v>
      </c>
      <c r="J56" s="494" t="s">
        <v>6953</v>
      </c>
      <c r="K56" s="132" t="s">
        <v>6954</v>
      </c>
    </row>
    <row r="57" spans="2:11" ht="31.2" x14ac:dyDescent="0.3">
      <c r="B57" s="145" t="s">
        <v>6800</v>
      </c>
      <c r="C57" s="577" t="s">
        <v>6801</v>
      </c>
      <c r="D57" s="43" t="s">
        <v>190</v>
      </c>
      <c r="E57" s="126" t="s">
        <v>515</v>
      </c>
      <c r="F57" s="504">
        <v>1</v>
      </c>
      <c r="G57" s="302" t="s">
        <v>6955</v>
      </c>
      <c r="H57" s="542">
        <v>45679</v>
      </c>
      <c r="I57" s="319" t="s">
        <v>1326</v>
      </c>
      <c r="J57" s="494" t="s">
        <v>6956</v>
      </c>
      <c r="K57" s="132" t="s">
        <v>6957</v>
      </c>
    </row>
    <row r="58" spans="2:11" ht="31.2" x14ac:dyDescent="0.3">
      <c r="B58" s="145" t="s">
        <v>6800</v>
      </c>
      <c r="C58" s="577" t="s">
        <v>6801</v>
      </c>
      <c r="D58" s="43" t="s">
        <v>190</v>
      </c>
      <c r="E58" s="126" t="s">
        <v>515</v>
      </c>
      <c r="F58" s="504">
        <v>1</v>
      </c>
      <c r="G58" s="302" t="s">
        <v>6958</v>
      </c>
      <c r="H58" s="542">
        <v>45685</v>
      </c>
      <c r="I58" s="319" t="s">
        <v>1326</v>
      </c>
      <c r="J58" s="494" t="s">
        <v>6959</v>
      </c>
      <c r="K58" s="132" t="s">
        <v>6960</v>
      </c>
    </row>
    <row r="59" spans="2:11" ht="31.2" x14ac:dyDescent="0.3">
      <c r="B59" s="145" t="s">
        <v>6800</v>
      </c>
      <c r="C59" s="577" t="s">
        <v>6801</v>
      </c>
      <c r="D59" s="43" t="s">
        <v>190</v>
      </c>
      <c r="E59" s="126" t="s">
        <v>515</v>
      </c>
      <c r="F59" s="504">
        <v>1</v>
      </c>
      <c r="G59" s="302" t="s">
        <v>6961</v>
      </c>
      <c r="H59" s="542">
        <v>45681</v>
      </c>
      <c r="I59" s="319" t="s">
        <v>1326</v>
      </c>
      <c r="J59" s="494" t="s">
        <v>6962</v>
      </c>
      <c r="K59" s="132" t="s">
        <v>6963</v>
      </c>
    </row>
    <row r="60" spans="2:11" ht="31.2" x14ac:dyDescent="0.3">
      <c r="B60" s="145" t="s">
        <v>6800</v>
      </c>
      <c r="C60" s="577" t="s">
        <v>6801</v>
      </c>
      <c r="D60" s="43" t="s">
        <v>190</v>
      </c>
      <c r="E60" s="126" t="s">
        <v>515</v>
      </c>
      <c r="F60" s="504">
        <v>1</v>
      </c>
      <c r="G60" s="302" t="s">
        <v>6964</v>
      </c>
      <c r="H60" s="542">
        <v>45681</v>
      </c>
      <c r="I60" s="319" t="s">
        <v>1326</v>
      </c>
      <c r="J60" s="494" t="s">
        <v>6965</v>
      </c>
      <c r="K60" s="132" t="s">
        <v>6966</v>
      </c>
    </row>
    <row r="61" spans="2:11" ht="31.2" x14ac:dyDescent="0.3">
      <c r="B61" s="145" t="s">
        <v>6800</v>
      </c>
      <c r="C61" s="577" t="s">
        <v>6801</v>
      </c>
      <c r="D61" s="43" t="s">
        <v>190</v>
      </c>
      <c r="E61" s="126" t="s">
        <v>515</v>
      </c>
      <c r="F61" s="504">
        <v>1</v>
      </c>
      <c r="G61" s="302" t="s">
        <v>6967</v>
      </c>
      <c r="H61" s="542" t="s">
        <v>6968</v>
      </c>
      <c r="I61" s="319" t="s">
        <v>1326</v>
      </c>
      <c r="J61" s="494" t="s">
        <v>6969</v>
      </c>
      <c r="K61" s="132" t="s">
        <v>6970</v>
      </c>
    </row>
    <row r="62" spans="2:11" ht="31.2" x14ac:dyDescent="0.3">
      <c r="B62" s="145" t="s">
        <v>6800</v>
      </c>
      <c r="C62" s="577" t="s">
        <v>6801</v>
      </c>
      <c r="D62" s="43" t="s">
        <v>190</v>
      </c>
      <c r="E62" s="126" t="s">
        <v>515</v>
      </c>
      <c r="F62" s="504">
        <v>1</v>
      </c>
      <c r="G62" s="302" t="s">
        <v>6971</v>
      </c>
      <c r="H62" s="542">
        <v>45684</v>
      </c>
      <c r="I62" s="319" t="s">
        <v>1326</v>
      </c>
      <c r="J62" s="494" t="s">
        <v>6972</v>
      </c>
      <c r="K62" s="132" t="s">
        <v>6973</v>
      </c>
    </row>
    <row r="63" spans="2:11" ht="31.2" x14ac:dyDescent="0.3">
      <c r="B63" s="145" t="s">
        <v>6800</v>
      </c>
      <c r="C63" s="577" t="s">
        <v>6801</v>
      </c>
      <c r="D63" s="43" t="s">
        <v>190</v>
      </c>
      <c r="E63" s="126" t="s">
        <v>515</v>
      </c>
      <c r="F63" s="504">
        <v>1</v>
      </c>
      <c r="G63" s="302" t="s">
        <v>6974</v>
      </c>
      <c r="H63" s="542">
        <v>45684</v>
      </c>
      <c r="I63" s="319" t="s">
        <v>1326</v>
      </c>
      <c r="J63" s="494" t="s">
        <v>6975</v>
      </c>
      <c r="K63" s="132" t="s">
        <v>6976</v>
      </c>
    </row>
    <row r="64" spans="2:11" ht="31.2" x14ac:dyDescent="0.3">
      <c r="B64" s="145" t="s">
        <v>6800</v>
      </c>
      <c r="C64" s="577" t="s">
        <v>6801</v>
      </c>
      <c r="D64" s="43" t="s">
        <v>190</v>
      </c>
      <c r="E64" s="126" t="s">
        <v>515</v>
      </c>
      <c r="F64" s="504">
        <v>1</v>
      </c>
      <c r="G64" s="302" t="s">
        <v>6977</v>
      </c>
      <c r="H64" s="542">
        <v>45686</v>
      </c>
      <c r="I64" s="319" t="s">
        <v>1326</v>
      </c>
      <c r="J64" s="494" t="s">
        <v>6978</v>
      </c>
      <c r="K64" s="132" t="s">
        <v>6979</v>
      </c>
    </row>
    <row r="65" spans="2:12" ht="31.2" x14ac:dyDescent="0.3">
      <c r="B65" s="145" t="s">
        <v>6800</v>
      </c>
      <c r="C65" s="577" t="s">
        <v>6801</v>
      </c>
      <c r="D65" s="43" t="s">
        <v>190</v>
      </c>
      <c r="E65" s="126" t="s">
        <v>515</v>
      </c>
      <c r="F65" s="504">
        <v>1</v>
      </c>
      <c r="G65" s="302" t="s">
        <v>6980</v>
      </c>
      <c r="H65" s="542">
        <v>45686</v>
      </c>
      <c r="I65" s="319" t="s">
        <v>1326</v>
      </c>
      <c r="J65" s="494" t="s">
        <v>6981</v>
      </c>
      <c r="K65" s="132" t="s">
        <v>6982</v>
      </c>
    </row>
    <row r="66" spans="2:12" ht="31.2" x14ac:dyDescent="0.3">
      <c r="B66" s="145" t="s">
        <v>6800</v>
      </c>
      <c r="C66" s="577" t="s">
        <v>6801</v>
      </c>
      <c r="D66" s="43" t="s">
        <v>190</v>
      </c>
      <c r="E66" s="126" t="s">
        <v>515</v>
      </c>
      <c r="F66" s="504">
        <v>1</v>
      </c>
      <c r="G66" s="302" t="s">
        <v>6983</v>
      </c>
      <c r="H66" s="542">
        <v>45686</v>
      </c>
      <c r="I66" s="319" t="s">
        <v>1326</v>
      </c>
      <c r="J66" s="494" t="s">
        <v>6984</v>
      </c>
      <c r="K66" s="132" t="s">
        <v>6985</v>
      </c>
    </row>
    <row r="67" spans="2:12" ht="31.2" x14ac:dyDescent="0.3">
      <c r="B67" s="145" t="s">
        <v>6800</v>
      </c>
      <c r="C67" s="577" t="s">
        <v>6801</v>
      </c>
      <c r="D67" s="43" t="s">
        <v>190</v>
      </c>
      <c r="E67" s="126" t="s">
        <v>515</v>
      </c>
      <c r="F67" s="504">
        <v>1</v>
      </c>
      <c r="G67" s="302" t="s">
        <v>6986</v>
      </c>
      <c r="H67" s="542">
        <v>45687</v>
      </c>
      <c r="I67" s="319" t="s">
        <v>1326</v>
      </c>
      <c r="J67" s="494" t="s">
        <v>6987</v>
      </c>
      <c r="K67" s="132" t="s">
        <v>6988</v>
      </c>
    </row>
    <row r="68" spans="2:12" ht="31.2" x14ac:dyDescent="0.3">
      <c r="B68" s="145" t="s">
        <v>6800</v>
      </c>
      <c r="C68" s="577" t="s">
        <v>6801</v>
      </c>
      <c r="D68" s="43" t="s">
        <v>190</v>
      </c>
      <c r="E68" s="126" t="s">
        <v>515</v>
      </c>
      <c r="F68" s="504">
        <v>1</v>
      </c>
      <c r="G68" s="302" t="s">
        <v>6989</v>
      </c>
      <c r="H68" s="542">
        <v>45674</v>
      </c>
      <c r="I68" s="319" t="s">
        <v>1326</v>
      </c>
      <c r="J68" s="494" t="s">
        <v>6990</v>
      </c>
      <c r="K68" s="132" t="s">
        <v>6991</v>
      </c>
    </row>
    <row r="69" spans="2:12" s="597" customFormat="1" ht="31.2" x14ac:dyDescent="0.3">
      <c r="B69" s="145" t="s">
        <v>6800</v>
      </c>
      <c r="C69" s="577" t="s">
        <v>6801</v>
      </c>
      <c r="D69" s="43" t="s">
        <v>190</v>
      </c>
      <c r="E69" s="126" t="s">
        <v>515</v>
      </c>
      <c r="F69" s="504">
        <v>1</v>
      </c>
      <c r="G69" s="594" t="s">
        <v>6992</v>
      </c>
      <c r="H69" s="542">
        <v>45675</v>
      </c>
      <c r="I69" s="319" t="s">
        <v>1326</v>
      </c>
      <c r="J69" s="494" t="s">
        <v>6993</v>
      </c>
      <c r="K69" s="132" t="s">
        <v>6994</v>
      </c>
      <c r="L69" s="132"/>
    </row>
    <row r="70" spans="2:12" s="597" customFormat="1" ht="31.2" x14ac:dyDescent="0.3">
      <c r="B70" s="145" t="s">
        <v>6800</v>
      </c>
      <c r="C70" s="577" t="s">
        <v>6801</v>
      </c>
      <c r="D70" s="43" t="s">
        <v>190</v>
      </c>
      <c r="E70" s="126" t="s">
        <v>515</v>
      </c>
      <c r="F70" s="504">
        <v>1</v>
      </c>
      <c r="G70" s="594" t="s">
        <v>6995</v>
      </c>
      <c r="H70" s="542">
        <v>45657</v>
      </c>
      <c r="I70" s="319" t="s">
        <v>1326</v>
      </c>
      <c r="J70" s="494" t="s">
        <v>6996</v>
      </c>
      <c r="K70" s="132" t="s">
        <v>6997</v>
      </c>
      <c r="L70" s="132"/>
    </row>
    <row r="71" spans="2:12" s="597" customFormat="1" ht="31.2" x14ac:dyDescent="0.3">
      <c r="B71" s="145" t="s">
        <v>6800</v>
      </c>
      <c r="C71" s="577" t="s">
        <v>6801</v>
      </c>
      <c r="D71" s="43" t="s">
        <v>190</v>
      </c>
      <c r="E71" s="126" t="s">
        <v>515</v>
      </c>
      <c r="F71" s="504">
        <v>1</v>
      </c>
      <c r="G71" s="302" t="s">
        <v>6998</v>
      </c>
      <c r="H71" s="542">
        <v>45685</v>
      </c>
      <c r="I71" s="319" t="s">
        <v>1326</v>
      </c>
      <c r="J71" s="494" t="s">
        <v>6999</v>
      </c>
      <c r="K71" s="132" t="s">
        <v>7000</v>
      </c>
      <c r="L71" s="132"/>
    </row>
    <row r="72" spans="2:12" s="597" customFormat="1" ht="31.2" x14ac:dyDescent="0.3">
      <c r="B72" s="145" t="s">
        <v>6800</v>
      </c>
      <c r="C72" s="577" t="s">
        <v>6801</v>
      </c>
      <c r="D72" s="43" t="s">
        <v>190</v>
      </c>
      <c r="E72" s="126" t="s">
        <v>515</v>
      </c>
      <c r="F72" s="504">
        <v>1</v>
      </c>
      <c r="G72" s="302" t="s">
        <v>7001</v>
      </c>
      <c r="H72" s="542">
        <v>45686</v>
      </c>
      <c r="I72" s="319" t="s">
        <v>1326</v>
      </c>
      <c r="J72" s="494" t="s">
        <v>7002</v>
      </c>
      <c r="K72" s="132" t="s">
        <v>7003</v>
      </c>
      <c r="L72" s="132"/>
    </row>
    <row r="73" spans="2:12" s="597" customFormat="1" ht="31.2" x14ac:dyDescent="0.3">
      <c r="B73" s="145" t="s">
        <v>6800</v>
      </c>
      <c r="C73" s="577" t="s">
        <v>6801</v>
      </c>
      <c r="D73" s="43" t="s">
        <v>190</v>
      </c>
      <c r="E73" s="126" t="s">
        <v>515</v>
      </c>
      <c r="F73" s="504">
        <v>1</v>
      </c>
      <c r="G73" s="302" t="s">
        <v>7004</v>
      </c>
      <c r="H73" s="542">
        <v>45685</v>
      </c>
      <c r="I73" s="319" t="s">
        <v>1326</v>
      </c>
      <c r="J73" s="494" t="s">
        <v>7005</v>
      </c>
      <c r="K73" s="132" t="s">
        <v>7006</v>
      </c>
      <c r="L73" s="132"/>
    </row>
    <row r="74" spans="2:12" s="597" customFormat="1" ht="31.2" x14ac:dyDescent="0.3">
      <c r="B74" s="145" t="s">
        <v>6800</v>
      </c>
      <c r="C74" s="577" t="s">
        <v>6801</v>
      </c>
      <c r="D74" s="43" t="s">
        <v>190</v>
      </c>
      <c r="E74" s="126" t="s">
        <v>515</v>
      </c>
      <c r="F74" s="504">
        <v>1</v>
      </c>
      <c r="G74" s="302" t="s">
        <v>7007</v>
      </c>
      <c r="H74" s="542" t="s">
        <v>7008</v>
      </c>
      <c r="I74" s="319" t="s">
        <v>1326</v>
      </c>
      <c r="J74" s="494" t="s">
        <v>7009</v>
      </c>
      <c r="K74" s="132" t="s">
        <v>7010</v>
      </c>
      <c r="L74" s="132"/>
    </row>
    <row r="75" spans="2:12" s="597" customFormat="1" ht="31.2" x14ac:dyDescent="0.3">
      <c r="B75" s="145" t="s">
        <v>6800</v>
      </c>
      <c r="C75" s="577" t="s">
        <v>6801</v>
      </c>
      <c r="D75" s="43" t="s">
        <v>190</v>
      </c>
      <c r="E75" s="126" t="s">
        <v>515</v>
      </c>
      <c r="F75" s="504">
        <v>1</v>
      </c>
      <c r="G75" s="302" t="s">
        <v>7011</v>
      </c>
      <c r="H75" s="542">
        <v>45691</v>
      </c>
      <c r="I75" s="319" t="s">
        <v>1250</v>
      </c>
      <c r="J75" s="494" t="s">
        <v>7012</v>
      </c>
      <c r="K75" s="132" t="s">
        <v>7013</v>
      </c>
      <c r="L75" s="132"/>
    </row>
    <row r="76" spans="2:12" s="597" customFormat="1" ht="31.2" x14ac:dyDescent="0.3">
      <c r="B76" s="145" t="s">
        <v>6800</v>
      </c>
      <c r="C76" s="577" t="s">
        <v>6801</v>
      </c>
      <c r="D76" s="43" t="s">
        <v>190</v>
      </c>
      <c r="E76" s="126" t="s">
        <v>515</v>
      </c>
      <c r="F76" s="504">
        <v>1</v>
      </c>
      <c r="G76" s="302" t="s">
        <v>7014</v>
      </c>
      <c r="H76" s="542">
        <v>45692</v>
      </c>
      <c r="I76" s="319" t="s">
        <v>1250</v>
      </c>
      <c r="J76" s="494" t="s">
        <v>7015</v>
      </c>
      <c r="K76" s="132" t="s">
        <v>7016</v>
      </c>
      <c r="L76" s="132"/>
    </row>
    <row r="77" spans="2:12" s="597" customFormat="1" ht="31.2" x14ac:dyDescent="0.3">
      <c r="B77" s="145" t="s">
        <v>6800</v>
      </c>
      <c r="C77" s="577" t="s">
        <v>6801</v>
      </c>
      <c r="D77" s="43" t="s">
        <v>190</v>
      </c>
      <c r="E77" s="126" t="s">
        <v>515</v>
      </c>
      <c r="F77" s="504">
        <v>1</v>
      </c>
      <c r="G77" s="302" t="s">
        <v>7017</v>
      </c>
      <c r="H77" s="542" t="s">
        <v>7018</v>
      </c>
      <c r="I77" s="319" t="s">
        <v>1250</v>
      </c>
      <c r="J77" s="494" t="s">
        <v>7019</v>
      </c>
      <c r="K77" s="132" t="s">
        <v>7020</v>
      </c>
      <c r="L77" s="132"/>
    </row>
    <row r="78" spans="2:12" s="597" customFormat="1" ht="31.2" x14ac:dyDescent="0.3">
      <c r="B78" s="145" t="s">
        <v>6800</v>
      </c>
      <c r="C78" s="577" t="s">
        <v>6801</v>
      </c>
      <c r="D78" s="43" t="s">
        <v>190</v>
      </c>
      <c r="E78" s="126" t="s">
        <v>515</v>
      </c>
      <c r="F78" s="504">
        <v>1</v>
      </c>
      <c r="G78" s="302" t="s">
        <v>7021</v>
      </c>
      <c r="H78" s="542">
        <v>45692</v>
      </c>
      <c r="I78" s="319" t="s">
        <v>1250</v>
      </c>
      <c r="J78" s="494" t="s">
        <v>7022</v>
      </c>
      <c r="K78" s="132" t="s">
        <v>7023</v>
      </c>
      <c r="L78" s="132"/>
    </row>
    <row r="79" spans="2:12" s="597" customFormat="1" ht="31.2" x14ac:dyDescent="0.3">
      <c r="B79" s="145" t="s">
        <v>6800</v>
      </c>
      <c r="C79" s="577" t="s">
        <v>6801</v>
      </c>
      <c r="D79" s="43" t="s">
        <v>190</v>
      </c>
      <c r="E79" s="126" t="s">
        <v>515</v>
      </c>
      <c r="F79" s="504">
        <v>1</v>
      </c>
      <c r="G79" s="302" t="s">
        <v>7024</v>
      </c>
      <c r="H79" s="542" t="s">
        <v>7025</v>
      </c>
      <c r="I79" s="319" t="s">
        <v>1250</v>
      </c>
      <c r="J79" s="494" t="s">
        <v>7026</v>
      </c>
      <c r="K79" s="132" t="s">
        <v>7027</v>
      </c>
      <c r="L79" s="132"/>
    </row>
    <row r="80" spans="2:12" s="597" customFormat="1" ht="31.2" x14ac:dyDescent="0.3">
      <c r="B80" s="145" t="s">
        <v>6800</v>
      </c>
      <c r="C80" s="577" t="s">
        <v>6801</v>
      </c>
      <c r="D80" s="43" t="s">
        <v>190</v>
      </c>
      <c r="E80" s="126" t="s">
        <v>515</v>
      </c>
      <c r="F80" s="504">
        <v>1</v>
      </c>
      <c r="G80" s="302" t="s">
        <v>7028</v>
      </c>
      <c r="H80" s="542" t="s">
        <v>7029</v>
      </c>
      <c r="I80" s="319" t="s">
        <v>1250</v>
      </c>
      <c r="J80" s="494" t="s">
        <v>7030</v>
      </c>
      <c r="K80" s="132" t="s">
        <v>7031</v>
      </c>
      <c r="L80" s="132"/>
    </row>
    <row r="81" spans="2:12" s="597" customFormat="1" ht="31.2" x14ac:dyDescent="0.3">
      <c r="B81" s="145" t="s">
        <v>6800</v>
      </c>
      <c r="C81" s="577" t="s">
        <v>6801</v>
      </c>
      <c r="D81" s="43" t="s">
        <v>190</v>
      </c>
      <c r="E81" s="126" t="s">
        <v>515</v>
      </c>
      <c r="F81" s="504">
        <v>1</v>
      </c>
      <c r="G81" s="302" t="s">
        <v>7032</v>
      </c>
      <c r="H81" s="542">
        <v>45695</v>
      </c>
      <c r="I81" s="319" t="s">
        <v>1250</v>
      </c>
      <c r="J81" s="494" t="s">
        <v>7033</v>
      </c>
      <c r="K81" s="132" t="s">
        <v>7034</v>
      </c>
      <c r="L81" s="132"/>
    </row>
    <row r="82" spans="2:12" s="597" customFormat="1" ht="31.2" x14ac:dyDescent="0.3">
      <c r="B82" s="145" t="s">
        <v>6800</v>
      </c>
      <c r="C82" s="577" t="s">
        <v>6801</v>
      </c>
      <c r="D82" s="43" t="s">
        <v>190</v>
      </c>
      <c r="E82" s="126" t="s">
        <v>515</v>
      </c>
      <c r="F82" s="504">
        <v>1</v>
      </c>
      <c r="G82" s="302" t="s">
        <v>7035</v>
      </c>
      <c r="H82" s="542">
        <v>45704</v>
      </c>
      <c r="I82" s="319" t="s">
        <v>1250</v>
      </c>
      <c r="J82" s="494" t="s">
        <v>7036</v>
      </c>
      <c r="K82" s="132" t="s">
        <v>7037</v>
      </c>
      <c r="L82" s="132"/>
    </row>
    <row r="83" spans="2:12" s="597" customFormat="1" ht="31.2" x14ac:dyDescent="0.3">
      <c r="B83" s="145" t="s">
        <v>6800</v>
      </c>
      <c r="C83" s="577" t="s">
        <v>6801</v>
      </c>
      <c r="D83" s="43" t="s">
        <v>190</v>
      </c>
      <c r="E83" s="126" t="s">
        <v>515</v>
      </c>
      <c r="F83" s="504">
        <v>1</v>
      </c>
      <c r="G83" s="302" t="s">
        <v>7038</v>
      </c>
      <c r="H83" s="542" t="s">
        <v>7039</v>
      </c>
      <c r="I83" s="319" t="s">
        <v>1250</v>
      </c>
      <c r="J83" s="494" t="s">
        <v>7040</v>
      </c>
      <c r="K83" s="132" t="s">
        <v>7041</v>
      </c>
      <c r="L83" s="132"/>
    </row>
    <row r="84" spans="2:12" s="597" customFormat="1" ht="31.2" x14ac:dyDescent="0.3">
      <c r="B84" s="145" t="s">
        <v>6800</v>
      </c>
      <c r="C84" s="577" t="s">
        <v>6801</v>
      </c>
      <c r="D84" s="43" t="s">
        <v>190</v>
      </c>
      <c r="E84" s="126" t="s">
        <v>515</v>
      </c>
      <c r="F84" s="504">
        <v>1</v>
      </c>
      <c r="G84" s="302" t="s">
        <v>7042</v>
      </c>
      <c r="H84" s="542" t="s">
        <v>7043</v>
      </c>
      <c r="I84" s="319" t="s">
        <v>1250</v>
      </c>
      <c r="J84" s="494" t="s">
        <v>7044</v>
      </c>
      <c r="K84" s="132" t="s">
        <v>7045</v>
      </c>
      <c r="L84" s="132"/>
    </row>
    <row r="85" spans="2:12" s="597" customFormat="1" ht="31.2" x14ac:dyDescent="0.3">
      <c r="B85" s="145" t="s">
        <v>6800</v>
      </c>
      <c r="C85" s="577" t="s">
        <v>6801</v>
      </c>
      <c r="D85" s="43" t="s">
        <v>190</v>
      </c>
      <c r="E85" s="126" t="s">
        <v>515</v>
      </c>
      <c r="F85" s="504">
        <v>1</v>
      </c>
      <c r="G85" s="302" t="s">
        <v>7046</v>
      </c>
      <c r="H85" s="542" t="s">
        <v>7047</v>
      </c>
      <c r="I85" s="319" t="s">
        <v>1250</v>
      </c>
      <c r="J85" s="494" t="s">
        <v>7048</v>
      </c>
      <c r="K85" s="132" t="s">
        <v>7049</v>
      </c>
      <c r="L85" s="132"/>
    </row>
    <row r="86" spans="2:12" s="597" customFormat="1" ht="31.2" x14ac:dyDescent="0.3">
      <c r="B86" s="145" t="s">
        <v>6800</v>
      </c>
      <c r="C86" s="577" t="s">
        <v>6801</v>
      </c>
      <c r="D86" s="43" t="s">
        <v>190</v>
      </c>
      <c r="E86" s="126" t="s">
        <v>515</v>
      </c>
      <c r="F86" s="504">
        <v>1</v>
      </c>
      <c r="G86" s="302" t="s">
        <v>7050</v>
      </c>
      <c r="H86" s="542">
        <v>45700</v>
      </c>
      <c r="I86" s="319" t="s">
        <v>1250</v>
      </c>
      <c r="J86" s="494" t="s">
        <v>7051</v>
      </c>
      <c r="K86" s="132" t="s">
        <v>7052</v>
      </c>
      <c r="L86" s="132"/>
    </row>
    <row r="87" spans="2:12" s="597" customFormat="1" ht="31.2" x14ac:dyDescent="0.3">
      <c r="B87" s="145" t="s">
        <v>6800</v>
      </c>
      <c r="C87" s="577" t="s">
        <v>6801</v>
      </c>
      <c r="D87" s="43" t="s">
        <v>190</v>
      </c>
      <c r="E87" s="126" t="s">
        <v>515</v>
      </c>
      <c r="F87" s="504">
        <v>1</v>
      </c>
      <c r="G87" s="302" t="s">
        <v>7053</v>
      </c>
      <c r="H87" s="542">
        <v>45701</v>
      </c>
      <c r="I87" s="319" t="s">
        <v>1250</v>
      </c>
      <c r="J87" s="494" t="s">
        <v>7054</v>
      </c>
      <c r="K87" s="132" t="s">
        <v>7055</v>
      </c>
      <c r="L87" s="132"/>
    </row>
    <row r="88" spans="2:12" s="597" customFormat="1" ht="31.2" x14ac:dyDescent="0.3">
      <c r="B88" s="145" t="s">
        <v>6800</v>
      </c>
      <c r="C88" s="577" t="s">
        <v>6801</v>
      </c>
      <c r="D88" s="43" t="s">
        <v>190</v>
      </c>
      <c r="E88" s="126" t="s">
        <v>515</v>
      </c>
      <c r="F88" s="504">
        <v>1</v>
      </c>
      <c r="G88" s="302" t="s">
        <v>7056</v>
      </c>
      <c r="H88" s="542">
        <v>45701</v>
      </c>
      <c r="I88" s="319" t="s">
        <v>1250</v>
      </c>
      <c r="J88" s="494" t="s">
        <v>7057</v>
      </c>
      <c r="K88" s="132" t="s">
        <v>7058</v>
      </c>
      <c r="L88" s="132"/>
    </row>
    <row r="89" spans="2:12" s="597" customFormat="1" ht="31.2" x14ac:dyDescent="0.3">
      <c r="B89" s="145" t="s">
        <v>6800</v>
      </c>
      <c r="C89" s="577" t="s">
        <v>6801</v>
      </c>
      <c r="D89" s="43" t="s">
        <v>190</v>
      </c>
      <c r="E89" s="126" t="s">
        <v>515</v>
      </c>
      <c r="F89" s="504">
        <v>1</v>
      </c>
      <c r="G89" s="302" t="s">
        <v>7059</v>
      </c>
      <c r="H89" s="542">
        <v>45701</v>
      </c>
      <c r="I89" s="319" t="s">
        <v>1250</v>
      </c>
      <c r="J89" s="494" t="s">
        <v>7060</v>
      </c>
      <c r="K89" s="132" t="s">
        <v>7061</v>
      </c>
      <c r="L89" s="132"/>
    </row>
    <row r="90" spans="2:12" s="597" customFormat="1" ht="31.2" x14ac:dyDescent="0.3">
      <c r="B90" s="145" t="s">
        <v>6800</v>
      </c>
      <c r="C90" s="577" t="s">
        <v>6801</v>
      </c>
      <c r="D90" s="43" t="s">
        <v>190</v>
      </c>
      <c r="E90" s="126" t="s">
        <v>515</v>
      </c>
      <c r="F90" s="504">
        <v>1</v>
      </c>
      <c r="G90" s="302" t="s">
        <v>7062</v>
      </c>
      <c r="H90" s="542" t="s">
        <v>7063</v>
      </c>
      <c r="I90" s="319" t="s">
        <v>1250</v>
      </c>
      <c r="J90" s="494" t="s">
        <v>7064</v>
      </c>
      <c r="K90" s="132" t="s">
        <v>7065</v>
      </c>
      <c r="L90" s="132"/>
    </row>
    <row r="91" spans="2:12" s="597" customFormat="1" ht="31.2" x14ac:dyDescent="0.3">
      <c r="B91" s="145" t="s">
        <v>6800</v>
      </c>
      <c r="C91" s="577" t="s">
        <v>6801</v>
      </c>
      <c r="D91" s="43" t="s">
        <v>190</v>
      </c>
      <c r="E91" s="126" t="s">
        <v>515</v>
      </c>
      <c r="F91" s="504">
        <v>1</v>
      </c>
      <c r="G91" s="302" t="s">
        <v>7066</v>
      </c>
      <c r="H91" s="542">
        <v>45705</v>
      </c>
      <c r="I91" s="319" t="s">
        <v>1250</v>
      </c>
      <c r="J91" s="494" t="s">
        <v>7067</v>
      </c>
      <c r="K91" s="132" t="s">
        <v>7068</v>
      </c>
      <c r="L91" s="132"/>
    </row>
    <row r="92" spans="2:12" s="597" customFormat="1" ht="31.2" x14ac:dyDescent="0.3">
      <c r="B92" s="145" t="s">
        <v>6800</v>
      </c>
      <c r="C92" s="577" t="s">
        <v>6801</v>
      </c>
      <c r="D92" s="43" t="s">
        <v>190</v>
      </c>
      <c r="E92" s="126" t="s">
        <v>515</v>
      </c>
      <c r="F92" s="504">
        <v>1</v>
      </c>
      <c r="G92" s="302" t="s">
        <v>7069</v>
      </c>
      <c r="H92" s="542">
        <v>45705</v>
      </c>
      <c r="I92" s="319" t="s">
        <v>1250</v>
      </c>
      <c r="J92" s="494" t="s">
        <v>7070</v>
      </c>
      <c r="K92" s="132" t="s">
        <v>7071</v>
      </c>
      <c r="L92" s="132"/>
    </row>
    <row r="93" spans="2:12" s="597" customFormat="1" ht="31.2" x14ac:dyDescent="0.3">
      <c r="B93" s="145" t="s">
        <v>6800</v>
      </c>
      <c r="C93" s="577" t="s">
        <v>6801</v>
      </c>
      <c r="D93" s="43" t="s">
        <v>190</v>
      </c>
      <c r="E93" s="126" t="s">
        <v>515</v>
      </c>
      <c r="F93" s="504">
        <v>1</v>
      </c>
      <c r="G93" s="302" t="s">
        <v>7072</v>
      </c>
      <c r="H93" s="542">
        <v>45707</v>
      </c>
      <c r="I93" s="319" t="s">
        <v>1250</v>
      </c>
      <c r="J93" s="494" t="s">
        <v>7073</v>
      </c>
      <c r="K93" s="132" t="s">
        <v>7074</v>
      </c>
      <c r="L93" s="132"/>
    </row>
    <row r="94" spans="2:12" s="597" customFormat="1" ht="31.2" x14ac:dyDescent="0.3">
      <c r="B94" s="145" t="s">
        <v>6800</v>
      </c>
      <c r="C94" s="577" t="s">
        <v>6801</v>
      </c>
      <c r="D94" s="43" t="s">
        <v>190</v>
      </c>
      <c r="E94" s="126" t="s">
        <v>515</v>
      </c>
      <c r="F94" s="504">
        <v>1</v>
      </c>
      <c r="G94" s="302" t="s">
        <v>7075</v>
      </c>
      <c r="H94" s="542">
        <v>45709</v>
      </c>
      <c r="I94" s="319" t="s">
        <v>1250</v>
      </c>
      <c r="J94" s="494" t="s">
        <v>7076</v>
      </c>
      <c r="K94" s="132" t="s">
        <v>7077</v>
      </c>
      <c r="L94" s="132"/>
    </row>
    <row r="95" spans="2:12" s="597" customFormat="1" ht="31.2" x14ac:dyDescent="0.3">
      <c r="B95" s="145" t="s">
        <v>6800</v>
      </c>
      <c r="C95" s="577" t="s">
        <v>6801</v>
      </c>
      <c r="D95" s="43" t="s">
        <v>190</v>
      </c>
      <c r="E95" s="126" t="s">
        <v>515</v>
      </c>
      <c r="F95" s="504">
        <v>1</v>
      </c>
      <c r="G95" s="302" t="s">
        <v>7078</v>
      </c>
      <c r="H95" s="542">
        <v>45708</v>
      </c>
      <c r="I95" s="319" t="s">
        <v>1250</v>
      </c>
      <c r="J95" s="494" t="s">
        <v>7079</v>
      </c>
      <c r="K95" s="132" t="s">
        <v>7080</v>
      </c>
      <c r="L95" s="132"/>
    </row>
    <row r="96" spans="2:12" s="597" customFormat="1" ht="31.2" x14ac:dyDescent="0.3">
      <c r="B96" s="145" t="s">
        <v>6800</v>
      </c>
      <c r="C96" s="577" t="s">
        <v>6801</v>
      </c>
      <c r="D96" s="43" t="s">
        <v>190</v>
      </c>
      <c r="E96" s="126" t="s">
        <v>515</v>
      </c>
      <c r="F96" s="504">
        <v>1</v>
      </c>
      <c r="G96" s="302" t="s">
        <v>7081</v>
      </c>
      <c r="H96" s="542">
        <v>45708</v>
      </c>
      <c r="I96" s="319" t="s">
        <v>1250</v>
      </c>
      <c r="J96" s="494" t="s">
        <v>7082</v>
      </c>
      <c r="K96" s="132" t="s">
        <v>7083</v>
      </c>
      <c r="L96" s="132"/>
    </row>
    <row r="97" spans="2:12" s="597" customFormat="1" ht="31.2" x14ac:dyDescent="0.3">
      <c r="B97" s="145" t="s">
        <v>6800</v>
      </c>
      <c r="C97" s="577" t="s">
        <v>6801</v>
      </c>
      <c r="D97" s="43" t="s">
        <v>190</v>
      </c>
      <c r="E97" s="126" t="s">
        <v>515</v>
      </c>
      <c r="F97" s="504">
        <v>1</v>
      </c>
      <c r="G97" s="302" t="s">
        <v>7084</v>
      </c>
      <c r="H97" s="542">
        <v>45709</v>
      </c>
      <c r="I97" s="319" t="s">
        <v>1250</v>
      </c>
      <c r="J97" s="494" t="s">
        <v>7085</v>
      </c>
      <c r="K97" s="132" t="s">
        <v>7086</v>
      </c>
      <c r="L97" s="132"/>
    </row>
    <row r="98" spans="2:12" s="597" customFormat="1" ht="31.2" x14ac:dyDescent="0.3">
      <c r="B98" s="145" t="s">
        <v>6800</v>
      </c>
      <c r="C98" s="577" t="s">
        <v>6801</v>
      </c>
      <c r="D98" s="43" t="s">
        <v>190</v>
      </c>
      <c r="E98" s="126" t="s">
        <v>515</v>
      </c>
      <c r="F98" s="504">
        <v>1</v>
      </c>
      <c r="G98" s="302" t="s">
        <v>7087</v>
      </c>
      <c r="H98" s="542" t="s">
        <v>7088</v>
      </c>
      <c r="I98" s="319" t="s">
        <v>1250</v>
      </c>
      <c r="J98" s="494" t="s">
        <v>7089</v>
      </c>
      <c r="K98" s="132" t="s">
        <v>7090</v>
      </c>
      <c r="L98" s="132"/>
    </row>
    <row r="99" spans="2:12" s="597" customFormat="1" ht="31.2" x14ac:dyDescent="0.3">
      <c r="B99" s="145" t="s">
        <v>6800</v>
      </c>
      <c r="C99" s="577" t="s">
        <v>6801</v>
      </c>
      <c r="D99" s="43" t="s">
        <v>190</v>
      </c>
      <c r="E99" s="126" t="s">
        <v>515</v>
      </c>
      <c r="F99" s="504">
        <v>1</v>
      </c>
      <c r="G99" s="302" t="s">
        <v>7091</v>
      </c>
      <c r="H99" s="542">
        <v>45710</v>
      </c>
      <c r="I99" s="319" t="s">
        <v>1250</v>
      </c>
      <c r="J99" s="494" t="s">
        <v>7092</v>
      </c>
      <c r="K99" s="132" t="s">
        <v>7093</v>
      </c>
      <c r="L99" s="132"/>
    </row>
    <row r="100" spans="2:12" s="597" customFormat="1" ht="15.6" x14ac:dyDescent="0.3">
      <c r="B100" s="145" t="s">
        <v>6800</v>
      </c>
      <c r="C100" s="577" t="s">
        <v>6801</v>
      </c>
      <c r="D100" s="43" t="s">
        <v>190</v>
      </c>
      <c r="E100" s="126" t="s">
        <v>515</v>
      </c>
      <c r="F100" s="504">
        <v>1</v>
      </c>
      <c r="G100" s="302" t="s">
        <v>7094</v>
      </c>
      <c r="H100" s="542">
        <v>45712</v>
      </c>
      <c r="I100" s="319" t="s">
        <v>1250</v>
      </c>
      <c r="J100" s="494" t="s">
        <v>7095</v>
      </c>
      <c r="K100" s="132" t="s">
        <v>7096</v>
      </c>
      <c r="L100" s="132"/>
    </row>
    <row r="101" spans="2:12" s="597" customFormat="1" ht="31.2" x14ac:dyDescent="0.3">
      <c r="B101" s="145" t="s">
        <v>6800</v>
      </c>
      <c r="C101" s="577" t="s">
        <v>6801</v>
      </c>
      <c r="D101" s="43" t="s">
        <v>190</v>
      </c>
      <c r="E101" s="126" t="s">
        <v>515</v>
      </c>
      <c r="F101" s="504">
        <v>1</v>
      </c>
      <c r="G101" s="302" t="s">
        <v>7097</v>
      </c>
      <c r="H101" s="542">
        <v>45712</v>
      </c>
      <c r="I101" s="319" t="s">
        <v>1250</v>
      </c>
      <c r="J101" s="494" t="s">
        <v>7098</v>
      </c>
      <c r="K101" s="132" t="s">
        <v>7099</v>
      </c>
      <c r="L101" s="132"/>
    </row>
    <row r="102" spans="2:12" s="597" customFormat="1" ht="31.2" x14ac:dyDescent="0.3">
      <c r="B102" s="145" t="s">
        <v>6800</v>
      </c>
      <c r="C102" s="577" t="s">
        <v>6801</v>
      </c>
      <c r="D102" s="43" t="s">
        <v>190</v>
      </c>
      <c r="E102" s="126" t="s">
        <v>515</v>
      </c>
      <c r="F102" s="504">
        <v>1</v>
      </c>
      <c r="G102" s="302" t="s">
        <v>7100</v>
      </c>
      <c r="H102" s="542" t="s">
        <v>7101</v>
      </c>
      <c r="I102" s="319" t="s">
        <v>1250</v>
      </c>
      <c r="J102" s="494" t="s">
        <v>7102</v>
      </c>
      <c r="K102" s="132" t="s">
        <v>7103</v>
      </c>
      <c r="L102" s="132"/>
    </row>
    <row r="103" spans="2:12" s="597" customFormat="1" ht="31.2" x14ac:dyDescent="0.3">
      <c r="B103" s="145" t="s">
        <v>6800</v>
      </c>
      <c r="C103" s="577" t="s">
        <v>6801</v>
      </c>
      <c r="D103" s="43" t="s">
        <v>190</v>
      </c>
      <c r="E103" s="126" t="s">
        <v>515</v>
      </c>
      <c r="F103" s="504">
        <v>1</v>
      </c>
      <c r="G103" s="302" t="s">
        <v>7104</v>
      </c>
      <c r="H103" s="542" t="s">
        <v>7101</v>
      </c>
      <c r="I103" s="319" t="s">
        <v>1250</v>
      </c>
      <c r="J103" s="494" t="s">
        <v>7105</v>
      </c>
      <c r="K103" s="132" t="s">
        <v>7106</v>
      </c>
      <c r="L103" s="132"/>
    </row>
    <row r="104" spans="2:12" s="597" customFormat="1" ht="31.2" x14ac:dyDescent="0.3">
      <c r="B104" s="145" t="s">
        <v>6800</v>
      </c>
      <c r="C104" s="577" t="s">
        <v>6801</v>
      </c>
      <c r="D104" s="43" t="s">
        <v>190</v>
      </c>
      <c r="E104" s="126" t="s">
        <v>515</v>
      </c>
      <c r="F104" s="504">
        <v>1</v>
      </c>
      <c r="G104" s="302" t="s">
        <v>7107</v>
      </c>
      <c r="H104" s="542">
        <v>45713</v>
      </c>
      <c r="I104" s="319" t="s">
        <v>1250</v>
      </c>
      <c r="J104" s="494" t="s">
        <v>7108</v>
      </c>
      <c r="K104" s="132" t="s">
        <v>7109</v>
      </c>
      <c r="L104" s="132"/>
    </row>
    <row r="105" spans="2:12" s="597" customFormat="1" ht="31.2" x14ac:dyDescent="0.3">
      <c r="B105" s="145" t="s">
        <v>6800</v>
      </c>
      <c r="C105" s="577" t="s">
        <v>6801</v>
      </c>
      <c r="D105" s="43" t="s">
        <v>190</v>
      </c>
      <c r="E105" s="126" t="s">
        <v>515</v>
      </c>
      <c r="F105" s="504">
        <v>1</v>
      </c>
      <c r="G105" s="302" t="s">
        <v>7110</v>
      </c>
      <c r="H105" s="542" t="s">
        <v>7111</v>
      </c>
      <c r="I105" s="319" t="s">
        <v>1250</v>
      </c>
      <c r="J105" s="494" t="s">
        <v>7112</v>
      </c>
      <c r="K105" s="132" t="s">
        <v>7113</v>
      </c>
      <c r="L105" s="132"/>
    </row>
    <row r="106" spans="2:12" s="597" customFormat="1" ht="31.2" x14ac:dyDescent="0.3">
      <c r="B106" s="145" t="s">
        <v>6800</v>
      </c>
      <c r="C106" s="577" t="s">
        <v>6801</v>
      </c>
      <c r="D106" s="43" t="s">
        <v>190</v>
      </c>
      <c r="E106" s="126" t="s">
        <v>515</v>
      </c>
      <c r="F106" s="504">
        <v>1</v>
      </c>
      <c r="G106" s="302" t="s">
        <v>7114</v>
      </c>
      <c r="H106" s="542">
        <v>45714</v>
      </c>
      <c r="I106" s="319" t="s">
        <v>1250</v>
      </c>
      <c r="J106" s="494" t="s">
        <v>7115</v>
      </c>
      <c r="K106" s="132" t="s">
        <v>7116</v>
      </c>
      <c r="L106" s="132"/>
    </row>
    <row r="107" spans="2:12" s="597" customFormat="1" ht="31.2" x14ac:dyDescent="0.3">
      <c r="B107" s="145" t="s">
        <v>6800</v>
      </c>
      <c r="C107" s="577" t="s">
        <v>6801</v>
      </c>
      <c r="D107" s="43" t="s">
        <v>190</v>
      </c>
      <c r="E107" s="126" t="s">
        <v>515</v>
      </c>
      <c r="F107" s="504">
        <v>1</v>
      </c>
      <c r="G107" s="302" t="s">
        <v>7117</v>
      </c>
      <c r="H107" s="542">
        <v>45714</v>
      </c>
      <c r="I107" s="319" t="s">
        <v>1250</v>
      </c>
      <c r="J107" s="494" t="s">
        <v>7118</v>
      </c>
      <c r="K107" s="132" t="s">
        <v>7119</v>
      </c>
      <c r="L107" s="132"/>
    </row>
    <row r="108" spans="2:12" s="597" customFormat="1" ht="31.2" x14ac:dyDescent="0.3">
      <c r="B108" s="145" t="s">
        <v>6800</v>
      </c>
      <c r="C108" s="577" t="s">
        <v>6801</v>
      </c>
      <c r="D108" s="43" t="s">
        <v>190</v>
      </c>
      <c r="E108" s="126" t="s">
        <v>515</v>
      </c>
      <c r="F108" s="504">
        <v>1</v>
      </c>
      <c r="G108" s="302" t="s">
        <v>7120</v>
      </c>
      <c r="H108" s="542">
        <v>45714</v>
      </c>
      <c r="I108" s="319" t="s">
        <v>1250</v>
      </c>
      <c r="J108" s="494" t="s">
        <v>7121</v>
      </c>
      <c r="K108" s="132" t="s">
        <v>7122</v>
      </c>
      <c r="L108" s="132"/>
    </row>
    <row r="109" spans="2:12" s="597" customFormat="1" ht="31.2" x14ac:dyDescent="0.3">
      <c r="B109" s="145" t="s">
        <v>6800</v>
      </c>
      <c r="C109" s="577" t="s">
        <v>6801</v>
      </c>
      <c r="D109" s="43" t="s">
        <v>190</v>
      </c>
      <c r="E109" s="126" t="s">
        <v>515</v>
      </c>
      <c r="F109" s="504">
        <v>1</v>
      </c>
      <c r="G109" s="302" t="s">
        <v>7123</v>
      </c>
      <c r="H109" s="542">
        <v>45715</v>
      </c>
      <c r="I109" s="319" t="s">
        <v>1250</v>
      </c>
      <c r="J109" s="494" t="s">
        <v>7124</v>
      </c>
      <c r="K109" s="132" t="s">
        <v>7125</v>
      </c>
      <c r="L109" s="132"/>
    </row>
    <row r="110" spans="2:12" s="597" customFormat="1" ht="31.2" x14ac:dyDescent="0.3">
      <c r="B110" s="145" t="s">
        <v>6800</v>
      </c>
      <c r="C110" s="577" t="s">
        <v>6801</v>
      </c>
      <c r="D110" s="43" t="s">
        <v>190</v>
      </c>
      <c r="E110" s="126" t="s">
        <v>515</v>
      </c>
      <c r="F110" s="504">
        <v>1</v>
      </c>
      <c r="G110" s="302" t="s">
        <v>7126</v>
      </c>
      <c r="H110" s="542">
        <v>45716</v>
      </c>
      <c r="I110" s="319" t="s">
        <v>1250</v>
      </c>
      <c r="J110" s="494" t="s">
        <v>7127</v>
      </c>
      <c r="K110" s="132" t="s">
        <v>7128</v>
      </c>
      <c r="L110" s="132"/>
    </row>
    <row r="111" spans="2:12" s="597" customFormat="1" ht="31.2" x14ac:dyDescent="0.3">
      <c r="B111" s="145" t="s">
        <v>6800</v>
      </c>
      <c r="C111" s="577" t="s">
        <v>6801</v>
      </c>
      <c r="D111" s="43" t="s">
        <v>190</v>
      </c>
      <c r="E111" s="126" t="s">
        <v>515</v>
      </c>
      <c r="F111" s="504">
        <v>1</v>
      </c>
      <c r="G111" s="302" t="s">
        <v>7129</v>
      </c>
      <c r="H111" s="542">
        <v>45715</v>
      </c>
      <c r="I111" s="319" t="s">
        <v>1250</v>
      </c>
      <c r="J111" s="494" t="s">
        <v>7130</v>
      </c>
      <c r="K111" s="132" t="s">
        <v>7131</v>
      </c>
      <c r="L111" s="132"/>
    </row>
    <row r="112" spans="2:12" s="597" customFormat="1" ht="31.2" x14ac:dyDescent="0.3">
      <c r="B112" s="145" t="s">
        <v>6800</v>
      </c>
      <c r="C112" s="577" t="s">
        <v>6801</v>
      </c>
      <c r="D112" s="43" t="s">
        <v>190</v>
      </c>
      <c r="E112" s="126" t="s">
        <v>515</v>
      </c>
      <c r="F112" s="504">
        <v>1</v>
      </c>
      <c r="G112" s="302" t="s">
        <v>7132</v>
      </c>
      <c r="H112" s="542">
        <v>45715</v>
      </c>
      <c r="I112" s="319" t="s">
        <v>1250</v>
      </c>
      <c r="J112" s="494" t="s">
        <v>7133</v>
      </c>
      <c r="K112" s="132" t="s">
        <v>7134</v>
      </c>
      <c r="L112" s="132"/>
    </row>
    <row r="113" spans="2:12" s="597" customFormat="1" ht="31.2" x14ac:dyDescent="0.3">
      <c r="B113" s="145" t="s">
        <v>6800</v>
      </c>
      <c r="C113" s="577" t="s">
        <v>6801</v>
      </c>
      <c r="D113" s="43" t="s">
        <v>190</v>
      </c>
      <c r="E113" s="126" t="s">
        <v>515</v>
      </c>
      <c r="F113" s="504">
        <v>1</v>
      </c>
      <c r="G113" s="302" t="s">
        <v>7135</v>
      </c>
      <c r="H113" s="542">
        <v>45715</v>
      </c>
      <c r="I113" s="319" t="s">
        <v>1250</v>
      </c>
      <c r="J113" s="494" t="s">
        <v>7136</v>
      </c>
      <c r="K113" s="132" t="s">
        <v>7137</v>
      </c>
      <c r="L113" s="132"/>
    </row>
    <row r="114" spans="2:12" s="597" customFormat="1" ht="31.2" x14ac:dyDescent="0.3">
      <c r="B114" s="145" t="s">
        <v>6800</v>
      </c>
      <c r="C114" s="577" t="s">
        <v>6801</v>
      </c>
      <c r="D114" s="43" t="s">
        <v>190</v>
      </c>
      <c r="E114" s="126" t="s">
        <v>515</v>
      </c>
      <c r="F114" s="504">
        <v>1</v>
      </c>
      <c r="G114" s="302" t="s">
        <v>7138</v>
      </c>
      <c r="H114" s="542">
        <v>45716</v>
      </c>
      <c r="I114" s="319" t="s">
        <v>1250</v>
      </c>
      <c r="J114" s="494" t="s">
        <v>7139</v>
      </c>
      <c r="K114" s="132" t="s">
        <v>7140</v>
      </c>
      <c r="L114" s="132"/>
    </row>
    <row r="115" spans="2:12" s="597" customFormat="1" ht="31.2" x14ac:dyDescent="0.3">
      <c r="B115" s="145" t="s">
        <v>6800</v>
      </c>
      <c r="C115" s="577" t="s">
        <v>6801</v>
      </c>
      <c r="D115" s="43" t="s">
        <v>190</v>
      </c>
      <c r="E115" s="126" t="s">
        <v>515</v>
      </c>
      <c r="F115" s="504">
        <v>1</v>
      </c>
      <c r="G115" s="594" t="s">
        <v>7141</v>
      </c>
      <c r="H115" s="585">
        <v>45745</v>
      </c>
      <c r="I115" s="784" t="s">
        <v>934</v>
      </c>
      <c r="J115" s="494" t="s">
        <v>7142</v>
      </c>
      <c r="K115" s="132" t="s">
        <v>7143</v>
      </c>
      <c r="L115" s="132"/>
    </row>
    <row r="116" spans="2:12" s="597" customFormat="1" ht="31.2" x14ac:dyDescent="0.3">
      <c r="B116" s="145" t="s">
        <v>6800</v>
      </c>
      <c r="C116" s="577" t="s">
        <v>6801</v>
      </c>
      <c r="D116" s="43" t="s">
        <v>190</v>
      </c>
      <c r="E116" s="126" t="s">
        <v>515</v>
      </c>
      <c r="F116" s="504">
        <v>1</v>
      </c>
      <c r="G116" s="594" t="s">
        <v>7144</v>
      </c>
      <c r="H116" s="585">
        <v>45746</v>
      </c>
      <c r="I116" s="784" t="s">
        <v>934</v>
      </c>
      <c r="J116" s="494" t="s">
        <v>7145</v>
      </c>
      <c r="K116" s="132" t="s">
        <v>7146</v>
      </c>
      <c r="L116" s="132"/>
    </row>
    <row r="117" spans="2:12" s="597" customFormat="1" ht="31.2" x14ac:dyDescent="0.3">
      <c r="B117" s="145" t="s">
        <v>6800</v>
      </c>
      <c r="C117" s="577" t="s">
        <v>6801</v>
      </c>
      <c r="D117" s="43" t="s">
        <v>190</v>
      </c>
      <c r="E117" s="126" t="s">
        <v>515</v>
      </c>
      <c r="F117" s="504">
        <v>1</v>
      </c>
      <c r="G117" s="594" t="s">
        <v>7147</v>
      </c>
      <c r="H117" s="585">
        <v>45744</v>
      </c>
      <c r="I117" s="784" t="s">
        <v>934</v>
      </c>
      <c r="J117" s="494" t="s">
        <v>7148</v>
      </c>
      <c r="K117" s="132" t="s">
        <v>7149</v>
      </c>
      <c r="L117" s="132"/>
    </row>
    <row r="118" spans="2:12" s="597" customFormat="1" ht="31.2" x14ac:dyDescent="0.3">
      <c r="B118" s="145" t="s">
        <v>6800</v>
      </c>
      <c r="C118" s="577" t="s">
        <v>6801</v>
      </c>
      <c r="D118" s="43" t="s">
        <v>190</v>
      </c>
      <c r="E118" s="126" t="s">
        <v>515</v>
      </c>
      <c r="F118" s="504">
        <v>1</v>
      </c>
      <c r="G118" s="594" t="s">
        <v>7150</v>
      </c>
      <c r="H118" s="585">
        <v>45745</v>
      </c>
      <c r="I118" s="784" t="s">
        <v>934</v>
      </c>
      <c r="J118" s="494" t="s">
        <v>7151</v>
      </c>
      <c r="K118" s="132" t="s">
        <v>7152</v>
      </c>
      <c r="L118" s="132"/>
    </row>
    <row r="119" spans="2:12" s="597" customFormat="1" ht="31.2" x14ac:dyDescent="0.3">
      <c r="B119" s="145" t="s">
        <v>6800</v>
      </c>
      <c r="C119" s="577" t="s">
        <v>6801</v>
      </c>
      <c r="D119" s="43" t="s">
        <v>190</v>
      </c>
      <c r="E119" s="126" t="s">
        <v>515</v>
      </c>
      <c r="F119" s="504">
        <v>1</v>
      </c>
      <c r="G119" s="594" t="s">
        <v>7153</v>
      </c>
      <c r="H119" s="585">
        <v>45747</v>
      </c>
      <c r="I119" s="784" t="s">
        <v>934</v>
      </c>
      <c r="J119" s="494" t="s">
        <v>7154</v>
      </c>
      <c r="K119" s="132" t="s">
        <v>7155</v>
      </c>
      <c r="L119" s="132"/>
    </row>
    <row r="120" spans="2:12" s="597" customFormat="1" ht="31.2" x14ac:dyDescent="0.3">
      <c r="B120" s="145" t="s">
        <v>6800</v>
      </c>
      <c r="C120" s="577" t="s">
        <v>6801</v>
      </c>
      <c r="D120" s="43" t="s">
        <v>190</v>
      </c>
      <c r="E120" s="126" t="s">
        <v>515</v>
      </c>
      <c r="F120" s="504">
        <v>1</v>
      </c>
      <c r="G120" s="594" t="s">
        <v>7156</v>
      </c>
      <c r="H120" s="585">
        <v>45744</v>
      </c>
      <c r="I120" s="784" t="s">
        <v>934</v>
      </c>
      <c r="J120" s="494" t="s">
        <v>7157</v>
      </c>
      <c r="K120" s="132" t="s">
        <v>7158</v>
      </c>
      <c r="L120" s="132"/>
    </row>
    <row r="121" spans="2:12" s="597" customFormat="1" ht="31.2" x14ac:dyDescent="0.3">
      <c r="B121" s="145" t="s">
        <v>6800</v>
      </c>
      <c r="C121" s="577" t="s">
        <v>6801</v>
      </c>
      <c r="D121" s="43" t="s">
        <v>190</v>
      </c>
      <c r="E121" s="126" t="s">
        <v>515</v>
      </c>
      <c r="F121" s="504">
        <v>1</v>
      </c>
      <c r="G121" s="594" t="s">
        <v>7159</v>
      </c>
      <c r="H121" s="585">
        <v>45744</v>
      </c>
      <c r="I121" s="784" t="s">
        <v>934</v>
      </c>
      <c r="J121" s="494" t="s">
        <v>7160</v>
      </c>
      <c r="K121" s="132" t="s">
        <v>7161</v>
      </c>
      <c r="L121" s="132"/>
    </row>
    <row r="122" spans="2:12" s="597" customFormat="1" ht="31.2" x14ac:dyDescent="0.3">
      <c r="B122" s="145" t="s">
        <v>6800</v>
      </c>
      <c r="C122" s="577" t="s">
        <v>6801</v>
      </c>
      <c r="D122" s="43" t="s">
        <v>190</v>
      </c>
      <c r="E122" s="126" t="s">
        <v>515</v>
      </c>
      <c r="F122" s="504">
        <v>1</v>
      </c>
      <c r="G122" s="594" t="s">
        <v>7162</v>
      </c>
      <c r="H122" s="585">
        <v>45724</v>
      </c>
      <c r="I122" s="784" t="s">
        <v>934</v>
      </c>
      <c r="J122" s="494" t="s">
        <v>7163</v>
      </c>
      <c r="K122" s="132" t="s">
        <v>7164</v>
      </c>
      <c r="L122" s="132"/>
    </row>
    <row r="123" spans="2:12" s="597" customFormat="1" ht="31.2" x14ac:dyDescent="0.3">
      <c r="B123" s="145" t="s">
        <v>6800</v>
      </c>
      <c r="C123" s="577" t="s">
        <v>6801</v>
      </c>
      <c r="D123" s="43" t="s">
        <v>190</v>
      </c>
      <c r="E123" s="126" t="s">
        <v>515</v>
      </c>
      <c r="F123" s="504">
        <v>1</v>
      </c>
      <c r="G123" s="594" t="s">
        <v>7165</v>
      </c>
      <c r="H123" s="585" t="s">
        <v>7166</v>
      </c>
      <c r="I123" s="784" t="s">
        <v>934</v>
      </c>
      <c r="J123" s="494" t="s">
        <v>7167</v>
      </c>
      <c r="K123" s="132" t="s">
        <v>7168</v>
      </c>
      <c r="L123" s="132"/>
    </row>
    <row r="124" spans="2:12" s="597" customFormat="1" ht="31.2" x14ac:dyDescent="0.3">
      <c r="B124" s="145" t="s">
        <v>6800</v>
      </c>
      <c r="C124" s="577" t="s">
        <v>6801</v>
      </c>
      <c r="D124" s="43" t="s">
        <v>190</v>
      </c>
      <c r="E124" s="126" t="s">
        <v>515</v>
      </c>
      <c r="F124" s="504">
        <v>1</v>
      </c>
      <c r="G124" s="594" t="s">
        <v>7169</v>
      </c>
      <c r="H124" s="585">
        <v>45741</v>
      </c>
      <c r="I124" s="784" t="s">
        <v>934</v>
      </c>
      <c r="J124" s="494" t="s">
        <v>7170</v>
      </c>
      <c r="K124" s="132" t="s">
        <v>7171</v>
      </c>
      <c r="L124" s="132"/>
    </row>
    <row r="125" spans="2:12" s="597" customFormat="1" ht="31.2" x14ac:dyDescent="0.3">
      <c r="B125" s="145" t="s">
        <v>6800</v>
      </c>
      <c r="C125" s="577" t="s">
        <v>6801</v>
      </c>
      <c r="D125" s="43" t="s">
        <v>190</v>
      </c>
      <c r="E125" s="126" t="s">
        <v>515</v>
      </c>
      <c r="F125" s="504">
        <v>1</v>
      </c>
      <c r="G125" s="594" t="s">
        <v>7172</v>
      </c>
      <c r="H125" s="585" t="s">
        <v>7173</v>
      </c>
      <c r="I125" s="784" t="s">
        <v>934</v>
      </c>
      <c r="J125" s="494" t="s">
        <v>7174</v>
      </c>
      <c r="K125" s="132" t="s">
        <v>7175</v>
      </c>
      <c r="L125" s="132"/>
    </row>
    <row r="126" spans="2:12" s="597" customFormat="1" ht="31.2" x14ac:dyDescent="0.3">
      <c r="B126" s="145" t="s">
        <v>6800</v>
      </c>
      <c r="C126" s="577" t="s">
        <v>6801</v>
      </c>
      <c r="D126" s="43" t="s">
        <v>190</v>
      </c>
      <c r="E126" s="126" t="s">
        <v>515</v>
      </c>
      <c r="F126" s="504">
        <v>1</v>
      </c>
      <c r="G126" s="594" t="s">
        <v>7176</v>
      </c>
      <c r="H126" s="585">
        <v>45734</v>
      </c>
      <c r="I126" s="784" t="s">
        <v>934</v>
      </c>
      <c r="J126" s="494" t="s">
        <v>7177</v>
      </c>
      <c r="K126" s="132" t="s">
        <v>7178</v>
      </c>
      <c r="L126" s="132"/>
    </row>
    <row r="127" spans="2:12" s="597" customFormat="1" ht="31.2" x14ac:dyDescent="0.3">
      <c r="B127" s="145" t="s">
        <v>6800</v>
      </c>
      <c r="C127" s="577" t="s">
        <v>6801</v>
      </c>
      <c r="D127" s="43" t="s">
        <v>190</v>
      </c>
      <c r="E127" s="126" t="s">
        <v>515</v>
      </c>
      <c r="F127" s="504">
        <v>1</v>
      </c>
      <c r="G127" s="594" t="s">
        <v>7179</v>
      </c>
      <c r="H127" s="585">
        <v>45743</v>
      </c>
      <c r="I127" s="784" t="s">
        <v>934</v>
      </c>
      <c r="J127" s="494" t="s">
        <v>7180</v>
      </c>
      <c r="K127" s="132" t="s">
        <v>7181</v>
      </c>
      <c r="L127" s="132"/>
    </row>
    <row r="128" spans="2:12" s="597" customFormat="1" ht="31.2" x14ac:dyDescent="0.3">
      <c r="B128" s="145" t="s">
        <v>6800</v>
      </c>
      <c r="C128" s="577" t="s">
        <v>6801</v>
      </c>
      <c r="D128" s="43" t="s">
        <v>190</v>
      </c>
      <c r="E128" s="126" t="s">
        <v>515</v>
      </c>
      <c r="F128" s="504">
        <v>1</v>
      </c>
      <c r="G128" s="594" t="s">
        <v>7182</v>
      </c>
      <c r="H128" s="585">
        <v>45723</v>
      </c>
      <c r="I128" s="784" t="s">
        <v>934</v>
      </c>
      <c r="J128" s="494" t="s">
        <v>7183</v>
      </c>
      <c r="K128" s="132" t="s">
        <v>7184</v>
      </c>
      <c r="L128" s="132"/>
    </row>
    <row r="129" spans="2:12" s="597" customFormat="1" ht="31.2" x14ac:dyDescent="0.3">
      <c r="B129" s="145" t="s">
        <v>6800</v>
      </c>
      <c r="C129" s="577" t="s">
        <v>6801</v>
      </c>
      <c r="D129" s="43" t="s">
        <v>190</v>
      </c>
      <c r="E129" s="126" t="s">
        <v>515</v>
      </c>
      <c r="F129" s="504">
        <v>1</v>
      </c>
      <c r="G129" s="594" t="s">
        <v>7185</v>
      </c>
      <c r="H129" s="585" t="s">
        <v>7186</v>
      </c>
      <c r="I129" s="784" t="s">
        <v>934</v>
      </c>
      <c r="J129" s="494" t="s">
        <v>7187</v>
      </c>
      <c r="K129" s="132" t="s">
        <v>7188</v>
      </c>
      <c r="L129" s="132"/>
    </row>
    <row r="130" spans="2:12" s="597" customFormat="1" ht="31.2" x14ac:dyDescent="0.3">
      <c r="B130" s="145" t="s">
        <v>6800</v>
      </c>
      <c r="C130" s="577" t="s">
        <v>6801</v>
      </c>
      <c r="D130" s="43" t="s">
        <v>190</v>
      </c>
      <c r="E130" s="126" t="s">
        <v>515</v>
      </c>
      <c r="F130" s="504">
        <v>1</v>
      </c>
      <c r="G130" s="594" t="s">
        <v>7189</v>
      </c>
      <c r="H130" s="585">
        <v>45743</v>
      </c>
      <c r="I130" s="784" t="s">
        <v>934</v>
      </c>
      <c r="J130" s="494" t="s">
        <v>7190</v>
      </c>
      <c r="K130" s="132" t="s">
        <v>7191</v>
      </c>
      <c r="L130" s="132"/>
    </row>
    <row r="131" spans="2:12" s="597" customFormat="1" ht="31.2" x14ac:dyDescent="0.3">
      <c r="B131" s="145" t="s">
        <v>6800</v>
      </c>
      <c r="C131" s="577" t="s">
        <v>6801</v>
      </c>
      <c r="D131" s="43" t="s">
        <v>190</v>
      </c>
      <c r="E131" s="126" t="s">
        <v>515</v>
      </c>
      <c r="F131" s="504">
        <v>1</v>
      </c>
      <c r="G131" s="594" t="s">
        <v>7192</v>
      </c>
      <c r="H131" s="585">
        <v>45742</v>
      </c>
      <c r="I131" s="784" t="s">
        <v>934</v>
      </c>
      <c r="J131" s="494" t="s">
        <v>7193</v>
      </c>
      <c r="K131" s="132" t="s">
        <v>7194</v>
      </c>
      <c r="L131" s="132"/>
    </row>
    <row r="132" spans="2:12" s="597" customFormat="1" ht="31.2" x14ac:dyDescent="0.3">
      <c r="B132" s="145" t="s">
        <v>6800</v>
      </c>
      <c r="C132" s="577" t="s">
        <v>6801</v>
      </c>
      <c r="D132" s="43" t="s">
        <v>190</v>
      </c>
      <c r="E132" s="126" t="s">
        <v>515</v>
      </c>
      <c r="F132" s="504">
        <v>1</v>
      </c>
      <c r="G132" s="594" t="s">
        <v>7195</v>
      </c>
      <c r="H132" s="585">
        <v>45723</v>
      </c>
      <c r="I132" s="784" t="s">
        <v>934</v>
      </c>
      <c r="J132" s="494" t="s">
        <v>7196</v>
      </c>
      <c r="K132" s="132" t="s">
        <v>7197</v>
      </c>
      <c r="L132" s="132"/>
    </row>
    <row r="133" spans="2:12" s="597" customFormat="1" ht="31.2" x14ac:dyDescent="0.3">
      <c r="B133" s="145" t="s">
        <v>6800</v>
      </c>
      <c r="C133" s="577" t="s">
        <v>6801</v>
      </c>
      <c r="D133" s="43" t="s">
        <v>190</v>
      </c>
      <c r="E133" s="126" t="s">
        <v>515</v>
      </c>
      <c r="F133" s="504">
        <v>1</v>
      </c>
      <c r="G133" s="594" t="s">
        <v>7198</v>
      </c>
      <c r="H133" s="585">
        <v>45724</v>
      </c>
      <c r="I133" s="784" t="s">
        <v>934</v>
      </c>
      <c r="J133" s="494" t="s">
        <v>7199</v>
      </c>
      <c r="K133" s="132" t="s">
        <v>7200</v>
      </c>
      <c r="L133" s="132"/>
    </row>
    <row r="134" spans="2:12" s="597" customFormat="1" ht="31.2" x14ac:dyDescent="0.3">
      <c r="B134" s="145" t="s">
        <v>6800</v>
      </c>
      <c r="C134" s="577" t="s">
        <v>6801</v>
      </c>
      <c r="D134" s="43" t="s">
        <v>190</v>
      </c>
      <c r="E134" s="126" t="s">
        <v>515</v>
      </c>
      <c r="F134" s="504">
        <v>1</v>
      </c>
      <c r="G134" s="594" t="s">
        <v>7201</v>
      </c>
      <c r="H134" s="585">
        <v>45726</v>
      </c>
      <c r="I134" s="784" t="s">
        <v>934</v>
      </c>
      <c r="J134" s="494" t="s">
        <v>7202</v>
      </c>
      <c r="K134" s="132" t="s">
        <v>7203</v>
      </c>
      <c r="L134" s="132"/>
    </row>
    <row r="135" spans="2:12" s="597" customFormat="1" ht="31.2" x14ac:dyDescent="0.3">
      <c r="B135" s="145" t="s">
        <v>6800</v>
      </c>
      <c r="C135" s="577" t="s">
        <v>6801</v>
      </c>
      <c r="D135" s="43" t="s">
        <v>190</v>
      </c>
      <c r="E135" s="126" t="s">
        <v>515</v>
      </c>
      <c r="F135" s="504">
        <v>1</v>
      </c>
      <c r="G135" s="594" t="s">
        <v>7204</v>
      </c>
      <c r="H135" s="585">
        <v>45735</v>
      </c>
      <c r="I135" s="784" t="s">
        <v>934</v>
      </c>
      <c r="J135" s="494" t="s">
        <v>7205</v>
      </c>
      <c r="K135" s="132" t="s">
        <v>7206</v>
      </c>
      <c r="L135" s="132"/>
    </row>
    <row r="136" spans="2:12" s="597" customFormat="1" ht="31.2" x14ac:dyDescent="0.3">
      <c r="B136" s="145" t="s">
        <v>6800</v>
      </c>
      <c r="C136" s="577" t="s">
        <v>6801</v>
      </c>
      <c r="D136" s="43" t="s">
        <v>190</v>
      </c>
      <c r="E136" s="126" t="s">
        <v>515</v>
      </c>
      <c r="F136" s="504">
        <v>1</v>
      </c>
      <c r="G136" s="594" t="s">
        <v>7207</v>
      </c>
      <c r="H136" s="585">
        <v>45722</v>
      </c>
      <c r="I136" s="784" t="s">
        <v>934</v>
      </c>
      <c r="J136" s="494" t="s">
        <v>7208</v>
      </c>
      <c r="K136" s="132" t="s">
        <v>7209</v>
      </c>
      <c r="L136" s="132"/>
    </row>
    <row r="137" spans="2:12" s="597" customFormat="1" ht="31.2" x14ac:dyDescent="0.3">
      <c r="B137" s="145" t="s">
        <v>6800</v>
      </c>
      <c r="C137" s="577" t="s">
        <v>6801</v>
      </c>
      <c r="D137" s="43" t="s">
        <v>190</v>
      </c>
      <c r="E137" s="126" t="s">
        <v>515</v>
      </c>
      <c r="F137" s="504">
        <v>1</v>
      </c>
      <c r="G137" s="594" t="s">
        <v>7210</v>
      </c>
      <c r="H137" s="585" t="s">
        <v>7211</v>
      </c>
      <c r="I137" s="784" t="s">
        <v>934</v>
      </c>
      <c r="J137" s="494" t="s">
        <v>7212</v>
      </c>
      <c r="K137" s="132" t="s">
        <v>7213</v>
      </c>
      <c r="L137" s="132"/>
    </row>
    <row r="138" spans="2:12" s="597" customFormat="1" ht="31.2" x14ac:dyDescent="0.3">
      <c r="B138" s="145" t="s">
        <v>6800</v>
      </c>
      <c r="C138" s="577" t="s">
        <v>6801</v>
      </c>
      <c r="D138" s="43" t="s">
        <v>190</v>
      </c>
      <c r="E138" s="126" t="s">
        <v>515</v>
      </c>
      <c r="F138" s="504">
        <v>1</v>
      </c>
      <c r="G138" s="594" t="s">
        <v>7214</v>
      </c>
      <c r="H138" s="585">
        <v>45741</v>
      </c>
      <c r="I138" s="784" t="s">
        <v>934</v>
      </c>
      <c r="J138" s="494" t="s">
        <v>7215</v>
      </c>
      <c r="K138" s="132" t="s">
        <v>7216</v>
      </c>
      <c r="L138" s="132"/>
    </row>
    <row r="139" spans="2:12" s="597" customFormat="1" ht="31.2" x14ac:dyDescent="0.3">
      <c r="B139" s="145" t="s">
        <v>6800</v>
      </c>
      <c r="C139" s="577" t="s">
        <v>6801</v>
      </c>
      <c r="D139" s="43" t="s">
        <v>190</v>
      </c>
      <c r="E139" s="126" t="s">
        <v>515</v>
      </c>
      <c r="F139" s="504">
        <v>1</v>
      </c>
      <c r="G139" s="594" t="s">
        <v>7217</v>
      </c>
      <c r="H139" s="585">
        <v>45726</v>
      </c>
      <c r="I139" s="784" t="s">
        <v>934</v>
      </c>
      <c r="J139" s="494" t="s">
        <v>7218</v>
      </c>
      <c r="K139" s="132" t="s">
        <v>7219</v>
      </c>
      <c r="L139" s="132"/>
    </row>
    <row r="140" spans="2:12" s="597" customFormat="1" ht="31.2" x14ac:dyDescent="0.3">
      <c r="B140" s="145" t="s">
        <v>6800</v>
      </c>
      <c r="C140" s="577" t="s">
        <v>6801</v>
      </c>
      <c r="D140" s="43" t="s">
        <v>190</v>
      </c>
      <c r="E140" s="126" t="s">
        <v>515</v>
      </c>
      <c r="F140" s="504">
        <v>1</v>
      </c>
      <c r="G140" s="594" t="s">
        <v>7220</v>
      </c>
      <c r="H140" s="585">
        <v>45743</v>
      </c>
      <c r="I140" s="784" t="s">
        <v>934</v>
      </c>
      <c r="J140" s="494" t="s">
        <v>7221</v>
      </c>
      <c r="K140" s="132" t="s">
        <v>7222</v>
      </c>
      <c r="L140" s="132"/>
    </row>
    <row r="141" spans="2:12" s="597" customFormat="1" ht="31.2" x14ac:dyDescent="0.3">
      <c r="B141" s="145" t="s">
        <v>6800</v>
      </c>
      <c r="C141" s="577" t="s">
        <v>6801</v>
      </c>
      <c r="D141" s="43" t="s">
        <v>190</v>
      </c>
      <c r="E141" s="126" t="s">
        <v>515</v>
      </c>
      <c r="F141" s="504">
        <v>1</v>
      </c>
      <c r="G141" s="594" t="s">
        <v>7223</v>
      </c>
      <c r="H141" s="585">
        <v>45742</v>
      </c>
      <c r="I141" s="784" t="s">
        <v>934</v>
      </c>
      <c r="J141" s="494" t="s">
        <v>7224</v>
      </c>
      <c r="K141" s="132" t="s">
        <v>7225</v>
      </c>
      <c r="L141" s="132"/>
    </row>
    <row r="142" spans="2:12" s="597" customFormat="1" ht="31.2" x14ac:dyDescent="0.3">
      <c r="B142" s="145" t="s">
        <v>6800</v>
      </c>
      <c r="C142" s="577" t="s">
        <v>6801</v>
      </c>
      <c r="D142" s="43" t="s">
        <v>190</v>
      </c>
      <c r="E142" s="126" t="s">
        <v>515</v>
      </c>
      <c r="F142" s="504">
        <v>1</v>
      </c>
      <c r="G142" s="594" t="s">
        <v>7226</v>
      </c>
      <c r="H142" s="585">
        <v>45722</v>
      </c>
      <c r="I142" s="784" t="s">
        <v>934</v>
      </c>
      <c r="J142" s="494" t="s">
        <v>7227</v>
      </c>
      <c r="K142" s="132" t="s">
        <v>7228</v>
      </c>
      <c r="L142" s="132"/>
    </row>
    <row r="143" spans="2:12" s="597" customFormat="1" ht="31.2" x14ac:dyDescent="0.3">
      <c r="B143" s="145" t="s">
        <v>6800</v>
      </c>
      <c r="C143" s="577" t="s">
        <v>6801</v>
      </c>
      <c r="D143" s="43" t="s">
        <v>190</v>
      </c>
      <c r="E143" s="126" t="s">
        <v>515</v>
      </c>
      <c r="F143" s="504">
        <v>1</v>
      </c>
      <c r="G143" s="594" t="s">
        <v>7229</v>
      </c>
      <c r="H143" s="585">
        <v>45734</v>
      </c>
      <c r="I143" s="784" t="s">
        <v>934</v>
      </c>
      <c r="J143" s="494" t="s">
        <v>7230</v>
      </c>
      <c r="K143" s="132" t="s">
        <v>7231</v>
      </c>
      <c r="L143" s="132"/>
    </row>
    <row r="144" spans="2:12" s="597" customFormat="1" ht="31.2" x14ac:dyDescent="0.3">
      <c r="B144" s="145" t="s">
        <v>6800</v>
      </c>
      <c r="C144" s="577" t="s">
        <v>6801</v>
      </c>
      <c r="D144" s="43" t="s">
        <v>190</v>
      </c>
      <c r="E144" s="126" t="s">
        <v>515</v>
      </c>
      <c r="F144" s="504">
        <v>1</v>
      </c>
      <c r="G144" s="594" t="s">
        <v>7232</v>
      </c>
      <c r="H144" s="585">
        <v>45736</v>
      </c>
      <c r="I144" s="784" t="s">
        <v>934</v>
      </c>
      <c r="J144" s="494" t="s">
        <v>7233</v>
      </c>
      <c r="K144" s="132" t="s">
        <v>7234</v>
      </c>
      <c r="L144" s="132"/>
    </row>
    <row r="145" spans="2:12" s="597" customFormat="1" ht="31.2" x14ac:dyDescent="0.3">
      <c r="B145" s="145" t="s">
        <v>6800</v>
      </c>
      <c r="C145" s="577" t="s">
        <v>6801</v>
      </c>
      <c r="D145" s="43" t="s">
        <v>190</v>
      </c>
      <c r="E145" s="126" t="s">
        <v>515</v>
      </c>
      <c r="F145" s="504">
        <v>1</v>
      </c>
      <c r="G145" s="594" t="s">
        <v>7235</v>
      </c>
      <c r="H145" s="585" t="s">
        <v>7236</v>
      </c>
      <c r="I145" s="784" t="s">
        <v>934</v>
      </c>
      <c r="J145" s="494" t="s">
        <v>7237</v>
      </c>
      <c r="K145" s="132" t="s">
        <v>7238</v>
      </c>
      <c r="L145" s="132"/>
    </row>
    <row r="146" spans="2:12" s="597" customFormat="1" ht="31.2" x14ac:dyDescent="0.3">
      <c r="B146" s="145" t="s">
        <v>6800</v>
      </c>
      <c r="C146" s="577" t="s">
        <v>6801</v>
      </c>
      <c r="D146" s="43" t="s">
        <v>190</v>
      </c>
      <c r="E146" s="126" t="s">
        <v>515</v>
      </c>
      <c r="F146" s="504">
        <v>1</v>
      </c>
      <c r="G146" s="594" t="s">
        <v>7239</v>
      </c>
      <c r="H146" s="585">
        <v>45742</v>
      </c>
      <c r="I146" s="784" t="s">
        <v>934</v>
      </c>
      <c r="J146" s="494" t="s">
        <v>7240</v>
      </c>
      <c r="K146" s="132" t="s">
        <v>7241</v>
      </c>
      <c r="L146" s="132"/>
    </row>
    <row r="147" spans="2:12" s="597" customFormat="1" ht="31.2" x14ac:dyDescent="0.3">
      <c r="B147" s="145" t="s">
        <v>6800</v>
      </c>
      <c r="C147" s="577" t="s">
        <v>6801</v>
      </c>
      <c r="D147" s="43" t="s">
        <v>190</v>
      </c>
      <c r="E147" s="126" t="s">
        <v>515</v>
      </c>
      <c r="F147" s="504">
        <v>1</v>
      </c>
      <c r="G147" s="594" t="s">
        <v>7242</v>
      </c>
      <c r="H147" s="585">
        <v>45741</v>
      </c>
      <c r="I147" s="784" t="s">
        <v>934</v>
      </c>
      <c r="J147" s="494" t="s">
        <v>7243</v>
      </c>
      <c r="K147" s="132" t="s">
        <v>7244</v>
      </c>
      <c r="L147" s="132"/>
    </row>
    <row r="148" spans="2:12" s="597" customFormat="1" ht="31.2" x14ac:dyDescent="0.3">
      <c r="B148" s="145" t="s">
        <v>6800</v>
      </c>
      <c r="C148" s="577" t="s">
        <v>6801</v>
      </c>
      <c r="D148" s="43" t="s">
        <v>190</v>
      </c>
      <c r="E148" s="126" t="s">
        <v>515</v>
      </c>
      <c r="F148" s="504">
        <v>1</v>
      </c>
      <c r="G148" s="594" t="s">
        <v>7245</v>
      </c>
      <c r="H148" s="585">
        <v>45737</v>
      </c>
      <c r="I148" s="784" t="s">
        <v>934</v>
      </c>
      <c r="J148" s="494" t="s">
        <v>7246</v>
      </c>
      <c r="K148" s="132" t="s">
        <v>7247</v>
      </c>
      <c r="L148" s="132"/>
    </row>
    <row r="149" spans="2:12" s="597" customFormat="1" ht="31.2" x14ac:dyDescent="0.3">
      <c r="B149" s="145" t="s">
        <v>6800</v>
      </c>
      <c r="C149" s="577" t="s">
        <v>6801</v>
      </c>
      <c r="D149" s="43" t="s">
        <v>190</v>
      </c>
      <c r="E149" s="126" t="s">
        <v>515</v>
      </c>
      <c r="F149" s="504">
        <v>1</v>
      </c>
      <c r="G149" s="594" t="s">
        <v>7248</v>
      </c>
      <c r="H149" s="585" t="s">
        <v>7249</v>
      </c>
      <c r="I149" s="784" t="s">
        <v>934</v>
      </c>
      <c r="J149" s="494" t="s">
        <v>7250</v>
      </c>
      <c r="K149" s="132" t="s">
        <v>7251</v>
      </c>
      <c r="L149" s="132"/>
    </row>
    <row r="150" spans="2:12" s="597" customFormat="1" ht="31.2" x14ac:dyDescent="0.3">
      <c r="B150" s="145" t="s">
        <v>6800</v>
      </c>
      <c r="C150" s="577" t="s">
        <v>6801</v>
      </c>
      <c r="D150" s="43" t="s">
        <v>190</v>
      </c>
      <c r="E150" s="126" t="s">
        <v>515</v>
      </c>
      <c r="F150" s="504">
        <v>1</v>
      </c>
      <c r="G150" s="594" t="s">
        <v>7252</v>
      </c>
      <c r="H150" s="585">
        <v>45743</v>
      </c>
      <c r="I150" s="784" t="s">
        <v>934</v>
      </c>
      <c r="J150" s="494" t="s">
        <v>7253</v>
      </c>
      <c r="K150" s="132" t="s">
        <v>7254</v>
      </c>
      <c r="L150" s="132"/>
    </row>
    <row r="151" spans="2:12" s="597" customFormat="1" ht="31.2" x14ac:dyDescent="0.3">
      <c r="B151" s="145" t="s">
        <v>6800</v>
      </c>
      <c r="C151" s="577" t="s">
        <v>6801</v>
      </c>
      <c r="D151" s="43" t="s">
        <v>190</v>
      </c>
      <c r="E151" s="126" t="s">
        <v>515</v>
      </c>
      <c r="F151" s="504">
        <v>1</v>
      </c>
      <c r="G151" s="594" t="s">
        <v>7255</v>
      </c>
      <c r="H151" s="585">
        <v>45743</v>
      </c>
      <c r="I151" s="784" t="s">
        <v>934</v>
      </c>
      <c r="J151" s="494" t="s">
        <v>7256</v>
      </c>
      <c r="K151" s="132" t="s">
        <v>7257</v>
      </c>
      <c r="L151" s="132"/>
    </row>
    <row r="152" spans="2:12" s="597" customFormat="1" ht="31.2" x14ac:dyDescent="0.3">
      <c r="B152" s="145" t="s">
        <v>6800</v>
      </c>
      <c r="C152" s="577" t="s">
        <v>6801</v>
      </c>
      <c r="D152" s="43" t="s">
        <v>190</v>
      </c>
      <c r="E152" s="126" t="s">
        <v>515</v>
      </c>
      <c r="F152" s="504">
        <v>1</v>
      </c>
      <c r="G152" s="594" t="s">
        <v>7258</v>
      </c>
      <c r="H152" s="585">
        <v>45742</v>
      </c>
      <c r="I152" s="784" t="s">
        <v>934</v>
      </c>
      <c r="J152" s="494" t="s">
        <v>7259</v>
      </c>
      <c r="K152" s="132" t="s">
        <v>7260</v>
      </c>
      <c r="L152" s="132"/>
    </row>
    <row r="153" spans="2:12" s="597" customFormat="1" ht="31.2" x14ac:dyDescent="0.3">
      <c r="B153" s="145" t="s">
        <v>6800</v>
      </c>
      <c r="C153" s="577" t="s">
        <v>6801</v>
      </c>
      <c r="D153" s="43" t="s">
        <v>190</v>
      </c>
      <c r="E153" s="126" t="s">
        <v>515</v>
      </c>
      <c r="F153" s="504">
        <v>1</v>
      </c>
      <c r="G153" s="594" t="s">
        <v>7261</v>
      </c>
      <c r="H153" s="585">
        <v>45722</v>
      </c>
      <c r="I153" s="784" t="s">
        <v>934</v>
      </c>
      <c r="J153" s="494" t="s">
        <v>7262</v>
      </c>
      <c r="K153" s="132" t="s">
        <v>7263</v>
      </c>
      <c r="L153" s="132"/>
    </row>
    <row r="154" spans="2:12" s="597" customFormat="1" ht="31.2" x14ac:dyDescent="0.3">
      <c r="B154" s="145" t="s">
        <v>6800</v>
      </c>
      <c r="C154" s="577" t="s">
        <v>6801</v>
      </c>
      <c r="D154" s="43" t="s">
        <v>190</v>
      </c>
      <c r="E154" s="126" t="s">
        <v>515</v>
      </c>
      <c r="F154" s="504">
        <v>1</v>
      </c>
      <c r="G154" s="594" t="s">
        <v>7264</v>
      </c>
      <c r="H154" s="585">
        <v>45738</v>
      </c>
      <c r="I154" s="784" t="s">
        <v>934</v>
      </c>
      <c r="J154" s="494" t="s">
        <v>7265</v>
      </c>
      <c r="K154" s="132" t="s">
        <v>7266</v>
      </c>
      <c r="L154" s="132"/>
    </row>
    <row r="155" spans="2:12" s="597" customFormat="1" ht="31.2" x14ac:dyDescent="0.3">
      <c r="B155" s="145" t="s">
        <v>6800</v>
      </c>
      <c r="C155" s="577" t="s">
        <v>6801</v>
      </c>
      <c r="D155" s="43" t="s">
        <v>190</v>
      </c>
      <c r="E155" s="126" t="s">
        <v>515</v>
      </c>
      <c r="F155" s="504">
        <v>1</v>
      </c>
      <c r="G155" s="594" t="s">
        <v>7267</v>
      </c>
      <c r="H155" s="585">
        <v>45736</v>
      </c>
      <c r="I155" s="784" t="s">
        <v>934</v>
      </c>
      <c r="J155" s="494" t="s">
        <v>7268</v>
      </c>
      <c r="K155" s="132" t="s">
        <v>7269</v>
      </c>
      <c r="L155" s="132"/>
    </row>
    <row r="156" spans="2:12" s="597" customFormat="1" ht="31.2" x14ac:dyDescent="0.3">
      <c r="B156" s="145" t="s">
        <v>6800</v>
      </c>
      <c r="C156" s="577" t="s">
        <v>6801</v>
      </c>
      <c r="D156" s="43" t="s">
        <v>190</v>
      </c>
      <c r="E156" s="126" t="s">
        <v>515</v>
      </c>
      <c r="F156" s="504">
        <v>1</v>
      </c>
      <c r="G156" s="594" t="s">
        <v>7270</v>
      </c>
      <c r="H156" s="585">
        <v>45734</v>
      </c>
      <c r="I156" s="784" t="s">
        <v>934</v>
      </c>
      <c r="J156" s="494" t="s">
        <v>7271</v>
      </c>
      <c r="K156" s="132" t="s">
        <v>7272</v>
      </c>
      <c r="L156" s="132"/>
    </row>
    <row r="157" spans="2:12" s="597" customFormat="1" ht="31.2" x14ac:dyDescent="0.3">
      <c r="B157" s="145" t="s">
        <v>6800</v>
      </c>
      <c r="C157" s="577" t="s">
        <v>6801</v>
      </c>
      <c r="D157" s="43" t="s">
        <v>190</v>
      </c>
      <c r="E157" s="126" t="s">
        <v>515</v>
      </c>
      <c r="F157" s="504">
        <v>1</v>
      </c>
      <c r="G157" s="594" t="s">
        <v>7273</v>
      </c>
      <c r="H157" s="585">
        <v>45727</v>
      </c>
      <c r="I157" s="784" t="s">
        <v>934</v>
      </c>
      <c r="J157" s="494" t="s">
        <v>7274</v>
      </c>
      <c r="K157" s="132" t="s">
        <v>7275</v>
      </c>
      <c r="L157" s="132"/>
    </row>
    <row r="158" spans="2:12" s="597" customFormat="1" ht="31.2" x14ac:dyDescent="0.3">
      <c r="B158" s="145" t="s">
        <v>6800</v>
      </c>
      <c r="C158" s="577" t="s">
        <v>6801</v>
      </c>
      <c r="D158" s="43" t="s">
        <v>190</v>
      </c>
      <c r="E158" s="126" t="s">
        <v>515</v>
      </c>
      <c r="F158" s="504">
        <v>1</v>
      </c>
      <c r="G158" s="594" t="s">
        <v>7276</v>
      </c>
      <c r="H158" s="585">
        <v>45755</v>
      </c>
      <c r="I158" s="784" t="s">
        <v>1302</v>
      </c>
      <c r="J158" s="494" t="s">
        <v>7277</v>
      </c>
      <c r="K158" s="132" t="s">
        <v>7278</v>
      </c>
      <c r="L158" s="132"/>
    </row>
    <row r="159" spans="2:12" s="597" customFormat="1" ht="31.2" x14ac:dyDescent="0.3">
      <c r="B159" s="145" t="s">
        <v>6800</v>
      </c>
      <c r="C159" s="577" t="s">
        <v>6801</v>
      </c>
      <c r="D159" s="43" t="s">
        <v>190</v>
      </c>
      <c r="E159" s="126" t="s">
        <v>515</v>
      </c>
      <c r="F159" s="504">
        <v>1</v>
      </c>
      <c r="G159" s="594" t="s">
        <v>7279</v>
      </c>
      <c r="H159" s="585">
        <v>45757</v>
      </c>
      <c r="I159" s="784" t="s">
        <v>1302</v>
      </c>
      <c r="J159" s="494" t="s">
        <v>7280</v>
      </c>
      <c r="K159" s="132" t="s">
        <v>7281</v>
      </c>
      <c r="L159" s="132"/>
    </row>
    <row r="160" spans="2:12" s="597" customFormat="1" ht="31.2" x14ac:dyDescent="0.3">
      <c r="B160" s="145" t="s">
        <v>6800</v>
      </c>
      <c r="C160" s="577" t="s">
        <v>6801</v>
      </c>
      <c r="D160" s="43" t="s">
        <v>190</v>
      </c>
      <c r="E160" s="126" t="s">
        <v>515</v>
      </c>
      <c r="F160" s="504">
        <v>1</v>
      </c>
      <c r="G160" s="594" t="s">
        <v>7282</v>
      </c>
      <c r="H160" s="585">
        <v>45756</v>
      </c>
      <c r="I160" s="784" t="s">
        <v>1302</v>
      </c>
      <c r="J160" s="494" t="s">
        <v>7283</v>
      </c>
      <c r="K160" s="132" t="s">
        <v>7284</v>
      </c>
      <c r="L160" s="132"/>
    </row>
    <row r="161" spans="2:12" s="597" customFormat="1" ht="31.2" x14ac:dyDescent="0.3">
      <c r="B161" s="145" t="s">
        <v>6800</v>
      </c>
      <c r="C161" s="577" t="s">
        <v>6801</v>
      </c>
      <c r="D161" s="43" t="s">
        <v>190</v>
      </c>
      <c r="E161" s="126" t="s">
        <v>515</v>
      </c>
      <c r="F161" s="504">
        <v>1</v>
      </c>
      <c r="G161" s="594" t="s">
        <v>7285</v>
      </c>
      <c r="H161" s="585">
        <v>45769</v>
      </c>
      <c r="I161" s="784" t="s">
        <v>1302</v>
      </c>
      <c r="J161" s="494" t="s">
        <v>7286</v>
      </c>
      <c r="K161" s="132" t="s">
        <v>7287</v>
      </c>
      <c r="L161" s="132"/>
    </row>
    <row r="162" spans="2:12" s="597" customFormat="1" ht="31.2" x14ac:dyDescent="0.3">
      <c r="B162" s="145" t="s">
        <v>6800</v>
      </c>
      <c r="C162" s="577" t="s">
        <v>6801</v>
      </c>
      <c r="D162" s="43" t="s">
        <v>190</v>
      </c>
      <c r="E162" s="126" t="s">
        <v>515</v>
      </c>
      <c r="F162" s="504">
        <v>1</v>
      </c>
      <c r="G162" s="594" t="s">
        <v>7288</v>
      </c>
      <c r="H162" s="585">
        <v>45757</v>
      </c>
      <c r="I162" s="784" t="s">
        <v>1302</v>
      </c>
      <c r="J162" s="494" t="s">
        <v>7289</v>
      </c>
      <c r="K162" s="132" t="s">
        <v>7290</v>
      </c>
      <c r="L162" s="132"/>
    </row>
    <row r="163" spans="2:12" s="597" customFormat="1" ht="31.2" x14ac:dyDescent="0.3">
      <c r="B163" s="145" t="s">
        <v>6800</v>
      </c>
      <c r="C163" s="577" t="s">
        <v>6801</v>
      </c>
      <c r="D163" s="43" t="s">
        <v>190</v>
      </c>
      <c r="E163" s="126" t="s">
        <v>515</v>
      </c>
      <c r="F163" s="504">
        <v>1</v>
      </c>
      <c r="G163" s="594" t="s">
        <v>7291</v>
      </c>
      <c r="H163" s="585">
        <v>45755</v>
      </c>
      <c r="I163" s="784" t="s">
        <v>1302</v>
      </c>
      <c r="J163" s="494" t="s">
        <v>7292</v>
      </c>
      <c r="K163" s="132" t="s">
        <v>7293</v>
      </c>
      <c r="L163" s="132"/>
    </row>
    <row r="164" spans="2:12" s="597" customFormat="1" ht="31.2" x14ac:dyDescent="0.3">
      <c r="B164" s="145" t="s">
        <v>6800</v>
      </c>
      <c r="C164" s="577" t="s">
        <v>6801</v>
      </c>
      <c r="D164" s="43" t="s">
        <v>190</v>
      </c>
      <c r="E164" s="126" t="s">
        <v>515</v>
      </c>
      <c r="F164" s="504">
        <v>1</v>
      </c>
      <c r="G164" s="594" t="s">
        <v>7294</v>
      </c>
      <c r="H164" s="585">
        <v>45755</v>
      </c>
      <c r="I164" s="784" t="s">
        <v>1302</v>
      </c>
      <c r="J164" s="494" t="s">
        <v>7295</v>
      </c>
      <c r="K164" s="132" t="s">
        <v>7296</v>
      </c>
      <c r="L164" s="132"/>
    </row>
    <row r="165" spans="2:12" s="597" customFormat="1" ht="31.2" x14ac:dyDescent="0.3">
      <c r="B165" s="145" t="s">
        <v>6800</v>
      </c>
      <c r="C165" s="577" t="s">
        <v>6801</v>
      </c>
      <c r="D165" s="43" t="s">
        <v>190</v>
      </c>
      <c r="E165" s="126" t="s">
        <v>515</v>
      </c>
      <c r="F165" s="504">
        <v>1</v>
      </c>
      <c r="G165" s="594" t="s">
        <v>7297</v>
      </c>
      <c r="H165" s="585">
        <v>45756</v>
      </c>
      <c r="I165" s="784" t="s">
        <v>1302</v>
      </c>
      <c r="J165" s="494" t="s">
        <v>7298</v>
      </c>
      <c r="K165" s="132" t="s">
        <v>7299</v>
      </c>
      <c r="L165" s="132"/>
    </row>
    <row r="166" spans="2:12" s="597" customFormat="1" ht="31.2" x14ac:dyDescent="0.3">
      <c r="B166" s="145" t="s">
        <v>6800</v>
      </c>
      <c r="C166" s="577" t="s">
        <v>6801</v>
      </c>
      <c r="D166" s="43" t="s">
        <v>190</v>
      </c>
      <c r="E166" s="126" t="s">
        <v>515</v>
      </c>
      <c r="F166" s="504">
        <v>1</v>
      </c>
      <c r="G166" s="594" t="s">
        <v>7300</v>
      </c>
      <c r="H166" s="585" t="s">
        <v>7301</v>
      </c>
      <c r="I166" s="784" t="s">
        <v>1302</v>
      </c>
      <c r="J166" s="494" t="s">
        <v>7302</v>
      </c>
      <c r="K166" s="132" t="s">
        <v>7303</v>
      </c>
      <c r="L166" s="132"/>
    </row>
    <row r="167" spans="2:12" s="597" customFormat="1" ht="31.2" x14ac:dyDescent="0.3">
      <c r="B167" s="145" t="s">
        <v>6800</v>
      </c>
      <c r="C167" s="577" t="s">
        <v>6801</v>
      </c>
      <c r="D167" s="43" t="s">
        <v>190</v>
      </c>
      <c r="E167" s="126" t="s">
        <v>515</v>
      </c>
      <c r="F167" s="504">
        <v>1</v>
      </c>
      <c r="G167" s="594" t="s">
        <v>7304</v>
      </c>
      <c r="H167" s="585">
        <v>45757</v>
      </c>
      <c r="I167" s="784" t="s">
        <v>1302</v>
      </c>
      <c r="J167" s="494" t="s">
        <v>7305</v>
      </c>
      <c r="K167" s="132" t="s">
        <v>7306</v>
      </c>
      <c r="L167" s="132"/>
    </row>
    <row r="168" spans="2:12" s="597" customFormat="1" ht="31.2" x14ac:dyDescent="0.3">
      <c r="B168" s="145" t="s">
        <v>6800</v>
      </c>
      <c r="C168" s="577" t="s">
        <v>6801</v>
      </c>
      <c r="D168" s="43" t="s">
        <v>190</v>
      </c>
      <c r="E168" s="126" t="s">
        <v>515</v>
      </c>
      <c r="F168" s="504">
        <v>1</v>
      </c>
      <c r="G168" s="594" t="s">
        <v>7307</v>
      </c>
      <c r="H168" s="585">
        <v>45764</v>
      </c>
      <c r="I168" s="784" t="s">
        <v>1302</v>
      </c>
      <c r="J168" s="494" t="s">
        <v>7308</v>
      </c>
      <c r="K168" s="132" t="s">
        <v>7309</v>
      </c>
      <c r="L168" s="132"/>
    </row>
    <row r="169" spans="2:12" s="597" customFormat="1" ht="31.2" x14ac:dyDescent="0.3">
      <c r="B169" s="145" t="s">
        <v>6800</v>
      </c>
      <c r="C169" s="577" t="s">
        <v>6801</v>
      </c>
      <c r="D169" s="43" t="s">
        <v>190</v>
      </c>
      <c r="E169" s="126" t="s">
        <v>515</v>
      </c>
      <c r="F169" s="504">
        <v>1</v>
      </c>
      <c r="G169" s="594" t="s">
        <v>7310</v>
      </c>
      <c r="H169" s="585">
        <v>45768</v>
      </c>
      <c r="I169" s="784" t="s">
        <v>1302</v>
      </c>
      <c r="J169" s="494" t="s">
        <v>7311</v>
      </c>
      <c r="K169" s="132" t="s">
        <v>7312</v>
      </c>
      <c r="L169" s="132"/>
    </row>
    <row r="170" spans="2:12" s="597" customFormat="1" ht="31.2" x14ac:dyDescent="0.3">
      <c r="B170" s="145" t="s">
        <v>6800</v>
      </c>
      <c r="C170" s="577" t="s">
        <v>6801</v>
      </c>
      <c r="D170" s="43" t="s">
        <v>190</v>
      </c>
      <c r="E170" s="126" t="s">
        <v>515</v>
      </c>
      <c r="F170" s="504">
        <v>1</v>
      </c>
      <c r="G170" s="594" t="s">
        <v>7313</v>
      </c>
      <c r="H170" s="585">
        <v>45763</v>
      </c>
      <c r="I170" s="784" t="s">
        <v>1302</v>
      </c>
      <c r="J170" s="494" t="s">
        <v>7314</v>
      </c>
      <c r="K170" s="132" t="s">
        <v>7315</v>
      </c>
      <c r="L170" s="132"/>
    </row>
    <row r="171" spans="2:12" s="597" customFormat="1" ht="31.2" x14ac:dyDescent="0.3">
      <c r="B171" s="145" t="s">
        <v>6800</v>
      </c>
      <c r="C171" s="577" t="s">
        <v>6801</v>
      </c>
      <c r="D171" s="43" t="s">
        <v>190</v>
      </c>
      <c r="E171" s="126" t="s">
        <v>515</v>
      </c>
      <c r="F171" s="504">
        <v>1</v>
      </c>
      <c r="G171" s="594" t="s">
        <v>7316</v>
      </c>
      <c r="H171" s="585">
        <v>45769</v>
      </c>
      <c r="I171" s="784" t="s">
        <v>1302</v>
      </c>
      <c r="J171" s="494" t="s">
        <v>7317</v>
      </c>
      <c r="K171" s="132" t="s">
        <v>7318</v>
      </c>
      <c r="L171" s="132"/>
    </row>
    <row r="172" spans="2:12" s="597" customFormat="1" ht="31.2" x14ac:dyDescent="0.3">
      <c r="B172" s="145" t="s">
        <v>6800</v>
      </c>
      <c r="C172" s="577" t="s">
        <v>6801</v>
      </c>
      <c r="D172" s="43" t="s">
        <v>190</v>
      </c>
      <c r="E172" s="126" t="s">
        <v>515</v>
      </c>
      <c r="F172" s="504">
        <v>1</v>
      </c>
      <c r="G172" s="594" t="s">
        <v>7319</v>
      </c>
      <c r="H172" s="585">
        <v>45757</v>
      </c>
      <c r="I172" s="784" t="s">
        <v>1302</v>
      </c>
      <c r="J172" s="494" t="s">
        <v>7320</v>
      </c>
      <c r="K172" s="132" t="s">
        <v>7321</v>
      </c>
      <c r="L172" s="132"/>
    </row>
    <row r="173" spans="2:12" s="597" customFormat="1" ht="31.2" x14ac:dyDescent="0.3">
      <c r="B173" s="145" t="s">
        <v>6800</v>
      </c>
      <c r="C173" s="577" t="s">
        <v>6801</v>
      </c>
      <c r="D173" s="43" t="s">
        <v>190</v>
      </c>
      <c r="E173" s="126" t="s">
        <v>515</v>
      </c>
      <c r="F173" s="504">
        <v>1</v>
      </c>
      <c r="G173" s="594" t="s">
        <v>7322</v>
      </c>
      <c r="H173" s="585" t="s">
        <v>7323</v>
      </c>
      <c r="I173" s="784" t="s">
        <v>1302</v>
      </c>
      <c r="J173" s="494" t="s">
        <v>7324</v>
      </c>
      <c r="K173" s="132" t="s">
        <v>7325</v>
      </c>
      <c r="L173" s="132"/>
    </row>
    <row r="174" spans="2:12" s="597" customFormat="1" ht="31.2" x14ac:dyDescent="0.3">
      <c r="B174" s="145" t="s">
        <v>6800</v>
      </c>
      <c r="C174" s="577" t="s">
        <v>6801</v>
      </c>
      <c r="D174" s="43" t="s">
        <v>190</v>
      </c>
      <c r="E174" s="126" t="s">
        <v>515</v>
      </c>
      <c r="F174" s="504">
        <v>1</v>
      </c>
      <c r="G174" s="594" t="s">
        <v>7326</v>
      </c>
      <c r="H174" s="585">
        <v>45773</v>
      </c>
      <c r="I174" s="784" t="s">
        <v>1302</v>
      </c>
      <c r="J174" s="494" t="s">
        <v>7327</v>
      </c>
      <c r="K174" s="132" t="s">
        <v>7328</v>
      </c>
      <c r="L174" s="132"/>
    </row>
    <row r="175" spans="2:12" s="597" customFormat="1" ht="31.2" x14ac:dyDescent="0.3">
      <c r="B175" s="145" t="s">
        <v>6800</v>
      </c>
      <c r="C175" s="577" t="s">
        <v>6801</v>
      </c>
      <c r="D175" s="43" t="s">
        <v>190</v>
      </c>
      <c r="E175" s="126" t="s">
        <v>515</v>
      </c>
      <c r="F175" s="504">
        <v>1</v>
      </c>
      <c r="G175" s="594" t="s">
        <v>7329</v>
      </c>
      <c r="H175" s="585">
        <v>45772</v>
      </c>
      <c r="I175" s="784" t="s">
        <v>1302</v>
      </c>
      <c r="J175" s="494" t="s">
        <v>7330</v>
      </c>
      <c r="K175" s="132" t="s">
        <v>7331</v>
      </c>
      <c r="L175" s="132"/>
    </row>
    <row r="176" spans="2:12" s="597" customFormat="1" ht="31.2" x14ac:dyDescent="0.3">
      <c r="B176" s="145" t="s">
        <v>6800</v>
      </c>
      <c r="C176" s="577" t="s">
        <v>6801</v>
      </c>
      <c r="D176" s="43" t="s">
        <v>190</v>
      </c>
      <c r="E176" s="126" t="s">
        <v>515</v>
      </c>
      <c r="F176" s="504">
        <v>1</v>
      </c>
      <c r="G176" s="594" t="s">
        <v>7332</v>
      </c>
      <c r="H176" s="585">
        <v>45777</v>
      </c>
      <c r="I176" s="784" t="s">
        <v>1302</v>
      </c>
      <c r="J176" s="494" t="s">
        <v>7333</v>
      </c>
      <c r="K176" s="132" t="s">
        <v>7334</v>
      </c>
      <c r="L176" s="132"/>
    </row>
    <row r="177" spans="2:16" s="597" customFormat="1" ht="31.2" x14ac:dyDescent="0.3">
      <c r="B177" s="145" t="s">
        <v>6800</v>
      </c>
      <c r="C177" s="577" t="s">
        <v>6801</v>
      </c>
      <c r="D177" s="43" t="s">
        <v>190</v>
      </c>
      <c r="E177" s="126" t="s">
        <v>515</v>
      </c>
      <c r="F177" s="504">
        <v>1</v>
      </c>
      <c r="G177" s="594" t="s">
        <v>7335</v>
      </c>
      <c r="H177" s="585">
        <v>45765</v>
      </c>
      <c r="I177" s="784" t="s">
        <v>1302</v>
      </c>
      <c r="J177" s="494" t="s">
        <v>7336</v>
      </c>
      <c r="K177" s="132" t="s">
        <v>7337</v>
      </c>
      <c r="L177" s="132"/>
    </row>
    <row r="178" spans="2:16" s="597" customFormat="1" ht="31.2" x14ac:dyDescent="0.3">
      <c r="B178" s="145" t="s">
        <v>6800</v>
      </c>
      <c r="C178" s="577" t="s">
        <v>6801</v>
      </c>
      <c r="D178" s="43" t="s">
        <v>190</v>
      </c>
      <c r="E178" s="126" t="s">
        <v>515</v>
      </c>
      <c r="F178" s="504">
        <v>1</v>
      </c>
      <c r="G178" s="594" t="s">
        <v>7338</v>
      </c>
      <c r="H178" s="585" t="s">
        <v>7339</v>
      </c>
      <c r="I178" s="784" t="s">
        <v>1302</v>
      </c>
      <c r="J178" s="494" t="s">
        <v>7340</v>
      </c>
      <c r="K178" s="132" t="s">
        <v>7341</v>
      </c>
      <c r="L178" s="132"/>
      <c r="O178" s="132"/>
    </row>
    <row r="179" spans="2:16" s="597" customFormat="1" ht="31.2" x14ac:dyDescent="0.3">
      <c r="B179" s="145" t="s">
        <v>6800</v>
      </c>
      <c r="C179" s="577" t="s">
        <v>6801</v>
      </c>
      <c r="D179" s="43" t="s">
        <v>190</v>
      </c>
      <c r="E179" s="126" t="s">
        <v>515</v>
      </c>
      <c r="F179" s="504">
        <v>1</v>
      </c>
      <c r="G179" s="594" t="s">
        <v>7342</v>
      </c>
      <c r="H179" s="585">
        <v>45773</v>
      </c>
      <c r="I179" s="784" t="s">
        <v>1302</v>
      </c>
      <c r="J179" s="494" t="s">
        <v>7343</v>
      </c>
      <c r="K179" s="132" t="s">
        <v>7344</v>
      </c>
      <c r="L179" s="132"/>
      <c r="O179" s="58"/>
    </row>
    <row r="180" spans="2:16" s="597" customFormat="1" ht="31.2" x14ac:dyDescent="0.3">
      <c r="B180" s="145" t="s">
        <v>6800</v>
      </c>
      <c r="C180" s="577" t="s">
        <v>6801</v>
      </c>
      <c r="D180" s="43" t="s">
        <v>190</v>
      </c>
      <c r="E180" s="126" t="s">
        <v>515</v>
      </c>
      <c r="F180" s="504">
        <v>1</v>
      </c>
      <c r="G180" s="594" t="s">
        <v>7345</v>
      </c>
      <c r="H180" s="585">
        <v>45768</v>
      </c>
      <c r="I180" s="784" t="s">
        <v>1302</v>
      </c>
      <c r="J180" s="494" t="s">
        <v>7346</v>
      </c>
      <c r="K180" s="132" t="s">
        <v>7347</v>
      </c>
      <c r="L180" s="132"/>
      <c r="O180" s="58"/>
    </row>
    <row r="181" spans="2:16" s="597" customFormat="1" ht="31.2" x14ac:dyDescent="0.3">
      <c r="B181" s="145" t="s">
        <v>6800</v>
      </c>
      <c r="C181" s="577" t="s">
        <v>6801</v>
      </c>
      <c r="D181" s="43" t="s">
        <v>190</v>
      </c>
      <c r="E181" s="126" t="s">
        <v>515</v>
      </c>
      <c r="F181" s="504">
        <v>1</v>
      </c>
      <c r="G181" s="594" t="s">
        <v>7348</v>
      </c>
      <c r="H181" s="585">
        <v>45770</v>
      </c>
      <c r="I181" s="784" t="s">
        <v>1302</v>
      </c>
      <c r="J181" s="494" t="s">
        <v>7349</v>
      </c>
      <c r="K181" s="132" t="s">
        <v>7350</v>
      </c>
      <c r="L181" s="132"/>
      <c r="O181" s="58"/>
    </row>
    <row r="182" spans="2:16" s="597" customFormat="1" ht="31.2" x14ac:dyDescent="0.3">
      <c r="B182" s="145" t="s">
        <v>6800</v>
      </c>
      <c r="C182" s="577" t="s">
        <v>6801</v>
      </c>
      <c r="D182" s="43" t="s">
        <v>190</v>
      </c>
      <c r="E182" s="126" t="s">
        <v>515</v>
      </c>
      <c r="F182" s="504">
        <v>1</v>
      </c>
      <c r="G182" s="594" t="s">
        <v>7351</v>
      </c>
      <c r="H182" s="585">
        <v>45758</v>
      </c>
      <c r="I182" s="784" t="s">
        <v>1302</v>
      </c>
      <c r="J182" s="494" t="s">
        <v>7352</v>
      </c>
      <c r="K182" s="132" t="s">
        <v>7353</v>
      </c>
      <c r="L182" s="132"/>
      <c r="O182" s="132"/>
    </row>
    <row r="183" spans="2:16" s="597" customFormat="1" ht="31.2" x14ac:dyDescent="0.3">
      <c r="B183" s="145" t="s">
        <v>6800</v>
      </c>
      <c r="C183" s="577" t="s">
        <v>6801</v>
      </c>
      <c r="D183" s="43" t="s">
        <v>190</v>
      </c>
      <c r="E183" s="126" t="s">
        <v>515</v>
      </c>
      <c r="F183" s="504">
        <v>1</v>
      </c>
      <c r="G183" s="594" t="s">
        <v>7354</v>
      </c>
      <c r="H183" s="585">
        <v>45764</v>
      </c>
      <c r="I183" s="784" t="s">
        <v>1302</v>
      </c>
      <c r="J183" s="494" t="s">
        <v>7355</v>
      </c>
      <c r="K183" s="132" t="s">
        <v>7356</v>
      </c>
      <c r="L183" s="132"/>
      <c r="O183" s="132"/>
    </row>
    <row r="184" spans="2:16" s="597" customFormat="1" ht="31.2" x14ac:dyDescent="0.3">
      <c r="B184" s="145" t="s">
        <v>6800</v>
      </c>
      <c r="C184" s="577" t="s">
        <v>6801</v>
      </c>
      <c r="D184" s="43" t="s">
        <v>190</v>
      </c>
      <c r="E184" s="126" t="s">
        <v>515</v>
      </c>
      <c r="F184" s="504">
        <v>1</v>
      </c>
      <c r="G184" s="594" t="s">
        <v>7357</v>
      </c>
      <c r="H184" s="585">
        <v>45764</v>
      </c>
      <c r="I184" s="784" t="s">
        <v>1302</v>
      </c>
      <c r="J184" s="494" t="s">
        <v>7358</v>
      </c>
      <c r="K184" s="132" t="s">
        <v>7359</v>
      </c>
      <c r="L184" s="132"/>
      <c r="O184" s="132"/>
    </row>
    <row r="185" spans="2:16" s="597" customFormat="1" ht="31.2" x14ac:dyDescent="0.3">
      <c r="B185" s="145" t="s">
        <v>6800</v>
      </c>
      <c r="C185" s="577" t="s">
        <v>6801</v>
      </c>
      <c r="D185" s="43" t="s">
        <v>190</v>
      </c>
      <c r="E185" s="126" t="s">
        <v>515</v>
      </c>
      <c r="F185" s="504">
        <v>1</v>
      </c>
      <c r="G185" s="594" t="s">
        <v>7360</v>
      </c>
      <c r="H185" s="585">
        <v>45761</v>
      </c>
      <c r="I185" s="784" t="s">
        <v>1302</v>
      </c>
      <c r="J185" s="494" t="s">
        <v>7361</v>
      </c>
      <c r="K185" s="132" t="s">
        <v>7362</v>
      </c>
      <c r="L185" s="132"/>
      <c r="M185" s="132"/>
      <c r="O185" s="132"/>
      <c r="P185" s="132"/>
    </row>
    <row r="186" spans="2:16" s="597" customFormat="1" ht="31.2" x14ac:dyDescent="0.3">
      <c r="B186" s="145" t="s">
        <v>6800</v>
      </c>
      <c r="C186" s="577" t="s">
        <v>6801</v>
      </c>
      <c r="D186" s="43" t="s">
        <v>190</v>
      </c>
      <c r="E186" s="126" t="s">
        <v>515</v>
      </c>
      <c r="F186" s="504">
        <v>1</v>
      </c>
      <c r="G186" s="594" t="s">
        <v>7363</v>
      </c>
      <c r="H186" s="585">
        <v>45765</v>
      </c>
      <c r="I186" s="784" t="s">
        <v>1302</v>
      </c>
      <c r="J186" s="494" t="s">
        <v>7364</v>
      </c>
      <c r="K186" s="132" t="s">
        <v>7365</v>
      </c>
      <c r="L186" s="132"/>
      <c r="M186" s="132"/>
      <c r="O186" s="132"/>
      <c r="P186" s="132"/>
    </row>
    <row r="187" spans="2:16" s="597" customFormat="1" ht="31.2" x14ac:dyDescent="0.3">
      <c r="B187" s="145" t="s">
        <v>6800</v>
      </c>
      <c r="C187" s="577" t="s">
        <v>6801</v>
      </c>
      <c r="D187" s="43" t="s">
        <v>190</v>
      </c>
      <c r="E187" s="126" t="s">
        <v>515</v>
      </c>
      <c r="F187" s="504">
        <v>1</v>
      </c>
      <c r="G187" s="594" t="s">
        <v>7366</v>
      </c>
      <c r="H187" s="585">
        <v>45756</v>
      </c>
      <c r="I187" s="784" t="s">
        <v>1302</v>
      </c>
      <c r="J187" s="494" t="s">
        <v>7367</v>
      </c>
      <c r="K187" s="132" t="s">
        <v>7368</v>
      </c>
      <c r="L187" s="132"/>
      <c r="M187" s="132"/>
      <c r="O187" s="132"/>
      <c r="P187" s="132"/>
    </row>
    <row r="188" spans="2:16" s="597" customFormat="1" ht="31.2" x14ac:dyDescent="0.3">
      <c r="B188" s="145" t="s">
        <v>6800</v>
      </c>
      <c r="C188" s="577" t="s">
        <v>6801</v>
      </c>
      <c r="D188" s="43" t="s">
        <v>190</v>
      </c>
      <c r="E188" s="126" t="s">
        <v>515</v>
      </c>
      <c r="F188" s="504">
        <v>1</v>
      </c>
      <c r="G188" s="594" t="s">
        <v>7369</v>
      </c>
      <c r="H188" s="585">
        <v>45764</v>
      </c>
      <c r="I188" s="784" t="s">
        <v>1302</v>
      </c>
      <c r="J188" s="494" t="s">
        <v>7370</v>
      </c>
      <c r="K188" s="132" t="s">
        <v>7371</v>
      </c>
      <c r="M188" s="132"/>
      <c r="O188" s="132"/>
      <c r="P188" s="132"/>
    </row>
    <row r="189" spans="2:16" s="597" customFormat="1" ht="31.2" x14ac:dyDescent="0.3">
      <c r="B189" s="145" t="s">
        <v>6800</v>
      </c>
      <c r="C189" s="577" t="s">
        <v>6801</v>
      </c>
      <c r="D189" s="43" t="s">
        <v>190</v>
      </c>
      <c r="E189" s="126" t="s">
        <v>515</v>
      </c>
      <c r="F189" s="504">
        <v>1</v>
      </c>
      <c r="G189" s="594" t="s">
        <v>7372</v>
      </c>
      <c r="H189" s="585">
        <v>45755</v>
      </c>
      <c r="I189" s="784" t="s">
        <v>1302</v>
      </c>
      <c r="J189" s="494" t="s">
        <v>7373</v>
      </c>
      <c r="K189" s="132" t="s">
        <v>7374</v>
      </c>
      <c r="M189" s="132"/>
      <c r="O189" s="132"/>
      <c r="P189" s="132"/>
    </row>
    <row r="190" spans="2:16" s="597" customFormat="1" ht="31.2" x14ac:dyDescent="0.3">
      <c r="B190" s="145" t="s">
        <v>6800</v>
      </c>
      <c r="C190" s="577" t="s">
        <v>6801</v>
      </c>
      <c r="D190" s="43" t="s">
        <v>190</v>
      </c>
      <c r="E190" s="126" t="s">
        <v>515</v>
      </c>
      <c r="F190" s="504">
        <v>1</v>
      </c>
      <c r="G190" s="594" t="s">
        <v>7375</v>
      </c>
      <c r="H190" s="585">
        <v>45756</v>
      </c>
      <c r="I190" s="784" t="s">
        <v>1302</v>
      </c>
      <c r="J190" s="494" t="s">
        <v>7376</v>
      </c>
      <c r="K190" s="132" t="s">
        <v>7377</v>
      </c>
      <c r="O190" s="132"/>
      <c r="P190" s="132"/>
    </row>
    <row r="191" spans="2:16" s="597" customFormat="1" ht="31.2" x14ac:dyDescent="0.3">
      <c r="B191" s="145" t="s">
        <v>6800</v>
      </c>
      <c r="C191" s="577" t="s">
        <v>6801</v>
      </c>
      <c r="D191" s="43" t="s">
        <v>190</v>
      </c>
      <c r="E191" s="126" t="s">
        <v>515</v>
      </c>
      <c r="F191" s="504">
        <v>1</v>
      </c>
      <c r="G191" s="594" t="s">
        <v>7378</v>
      </c>
      <c r="H191" s="585">
        <v>45777</v>
      </c>
      <c r="I191" s="784" t="s">
        <v>1302</v>
      </c>
      <c r="J191" s="494" t="s">
        <v>7379</v>
      </c>
      <c r="K191" s="132" t="s">
        <v>7380</v>
      </c>
      <c r="O191" s="132"/>
      <c r="P191" s="132"/>
    </row>
    <row r="192" spans="2:16" s="597" customFormat="1" ht="31.2" x14ac:dyDescent="0.3">
      <c r="B192" s="145" t="s">
        <v>6800</v>
      </c>
      <c r="C192" s="577" t="s">
        <v>6801</v>
      </c>
      <c r="D192" s="43" t="s">
        <v>190</v>
      </c>
      <c r="E192" s="126" t="s">
        <v>515</v>
      </c>
      <c r="F192" s="504">
        <v>1</v>
      </c>
      <c r="G192" s="594" t="s">
        <v>7381</v>
      </c>
      <c r="H192" s="585">
        <v>45777</v>
      </c>
      <c r="I192" s="784" t="s">
        <v>1302</v>
      </c>
      <c r="J192" s="494" t="s">
        <v>7382</v>
      </c>
      <c r="K192" s="132" t="s">
        <v>7383</v>
      </c>
      <c r="O192" s="132"/>
      <c r="P192" s="132"/>
    </row>
    <row r="193" spans="2:16" s="597" customFormat="1" ht="31.2" x14ac:dyDescent="0.3">
      <c r="B193" s="145" t="s">
        <v>6800</v>
      </c>
      <c r="C193" s="577" t="s">
        <v>6801</v>
      </c>
      <c r="D193" s="43" t="s">
        <v>190</v>
      </c>
      <c r="E193" s="126" t="s">
        <v>515</v>
      </c>
      <c r="F193" s="504">
        <v>1</v>
      </c>
      <c r="G193" s="594" t="s">
        <v>7384</v>
      </c>
      <c r="H193" s="585">
        <v>45777</v>
      </c>
      <c r="I193" s="784" t="s">
        <v>1302</v>
      </c>
      <c r="J193" s="494" t="s">
        <v>7385</v>
      </c>
      <c r="K193" s="132" t="s">
        <v>7386</v>
      </c>
      <c r="L193" s="132"/>
      <c r="O193" s="132"/>
      <c r="P193" s="132"/>
    </row>
    <row r="194" spans="2:16" s="597" customFormat="1" ht="31.2" x14ac:dyDescent="0.3">
      <c r="B194" s="145" t="s">
        <v>6800</v>
      </c>
      <c r="C194" s="577" t="s">
        <v>6801</v>
      </c>
      <c r="D194" s="43" t="s">
        <v>190</v>
      </c>
      <c r="E194" s="126" t="s">
        <v>515</v>
      </c>
      <c r="F194" s="504">
        <v>1</v>
      </c>
      <c r="G194" s="594" t="s">
        <v>7387</v>
      </c>
      <c r="H194" s="585">
        <v>45777</v>
      </c>
      <c r="I194" s="784" t="s">
        <v>1302</v>
      </c>
      <c r="J194" s="494" t="s">
        <v>7388</v>
      </c>
      <c r="K194" s="132" t="s">
        <v>7389</v>
      </c>
      <c r="L194" s="132"/>
      <c r="O194" s="132"/>
      <c r="P194" s="132"/>
    </row>
    <row r="195" spans="2:16" s="597" customFormat="1" ht="31.2" x14ac:dyDescent="0.3">
      <c r="B195" s="145" t="s">
        <v>6800</v>
      </c>
      <c r="C195" s="577" t="s">
        <v>6801</v>
      </c>
      <c r="D195" s="43" t="s">
        <v>190</v>
      </c>
      <c r="E195" s="126" t="s">
        <v>515</v>
      </c>
      <c r="F195" s="504">
        <v>1</v>
      </c>
      <c r="G195" s="594" t="s">
        <v>7390</v>
      </c>
      <c r="H195" s="585">
        <v>45777</v>
      </c>
      <c r="I195" s="784" t="s">
        <v>1302</v>
      </c>
      <c r="J195" s="494" t="s">
        <v>7391</v>
      </c>
      <c r="K195" s="132" t="s">
        <v>7392</v>
      </c>
      <c r="L195" s="132"/>
    </row>
    <row r="196" spans="2:16" s="597" customFormat="1" ht="31.2" x14ac:dyDescent="0.3">
      <c r="B196" s="145" t="s">
        <v>6800</v>
      </c>
      <c r="C196" s="577" t="s">
        <v>6801</v>
      </c>
      <c r="D196" s="43" t="s">
        <v>190</v>
      </c>
      <c r="E196" s="126" t="s">
        <v>515</v>
      </c>
      <c r="F196" s="504">
        <v>1</v>
      </c>
      <c r="G196" s="594" t="s">
        <v>7393</v>
      </c>
      <c r="H196" s="585">
        <v>45777</v>
      </c>
      <c r="I196" s="784" t="s">
        <v>1302</v>
      </c>
      <c r="J196" s="494" t="s">
        <v>7394</v>
      </c>
      <c r="K196" s="132" t="s">
        <v>7395</v>
      </c>
      <c r="L196" s="132"/>
    </row>
    <row r="197" spans="2:16" s="597" customFormat="1" ht="31.2" x14ac:dyDescent="0.3">
      <c r="B197" s="145" t="s">
        <v>6800</v>
      </c>
      <c r="C197" s="577" t="s">
        <v>6801</v>
      </c>
      <c r="D197" s="43" t="s">
        <v>190</v>
      </c>
      <c r="E197" s="126" t="s">
        <v>515</v>
      </c>
      <c r="F197" s="504">
        <v>1</v>
      </c>
      <c r="G197" s="594" t="s">
        <v>7396</v>
      </c>
      <c r="H197" s="585" t="s">
        <v>7397</v>
      </c>
      <c r="I197" s="784" t="s">
        <v>97</v>
      </c>
      <c r="J197" s="494" t="s">
        <v>7398</v>
      </c>
      <c r="K197" s="132" t="s">
        <v>7399</v>
      </c>
      <c r="L197" s="132"/>
    </row>
    <row r="198" spans="2:16" s="597" customFormat="1" ht="31.2" x14ac:dyDescent="0.3">
      <c r="B198" s="145" t="s">
        <v>6800</v>
      </c>
      <c r="C198" s="577" t="s">
        <v>6801</v>
      </c>
      <c r="D198" s="43" t="s">
        <v>190</v>
      </c>
      <c r="E198" s="126" t="s">
        <v>515</v>
      </c>
      <c r="F198" s="504">
        <v>1</v>
      </c>
      <c r="G198" s="594" t="s">
        <v>7400</v>
      </c>
      <c r="H198" s="585" t="s">
        <v>7401</v>
      </c>
      <c r="I198" s="784" t="s">
        <v>97</v>
      </c>
      <c r="J198" s="494" t="s">
        <v>7402</v>
      </c>
      <c r="K198" s="132" t="s">
        <v>7403</v>
      </c>
      <c r="L198" s="132"/>
    </row>
    <row r="199" spans="2:16" s="597" customFormat="1" ht="31.2" x14ac:dyDescent="0.3">
      <c r="B199" s="145" t="s">
        <v>6800</v>
      </c>
      <c r="C199" s="577" t="s">
        <v>6801</v>
      </c>
      <c r="D199" s="43" t="s">
        <v>190</v>
      </c>
      <c r="E199" s="126" t="s">
        <v>515</v>
      </c>
      <c r="F199" s="504">
        <v>1</v>
      </c>
      <c r="G199" s="594" t="s">
        <v>7404</v>
      </c>
      <c r="H199" s="585">
        <v>45783</v>
      </c>
      <c r="I199" s="784" t="s">
        <v>97</v>
      </c>
      <c r="J199" s="494" t="s">
        <v>7405</v>
      </c>
      <c r="K199" s="132" t="s">
        <v>7406</v>
      </c>
      <c r="L199" s="132"/>
    </row>
    <row r="200" spans="2:16" s="597" customFormat="1" ht="31.2" x14ac:dyDescent="0.3">
      <c r="B200" s="145" t="s">
        <v>6800</v>
      </c>
      <c r="C200" s="577" t="s">
        <v>6801</v>
      </c>
      <c r="D200" s="43" t="s">
        <v>190</v>
      </c>
      <c r="E200" s="126" t="s">
        <v>515</v>
      </c>
      <c r="F200" s="504">
        <v>1</v>
      </c>
      <c r="G200" s="594" t="s">
        <v>7407</v>
      </c>
      <c r="H200" s="585">
        <v>45775</v>
      </c>
      <c r="I200" s="784" t="s">
        <v>97</v>
      </c>
      <c r="J200" s="584" t="s">
        <v>7408</v>
      </c>
      <c r="K200" s="481" t="s">
        <v>7409</v>
      </c>
      <c r="L200" s="132"/>
    </row>
    <row r="201" spans="2:16" s="597" customFormat="1" ht="31.2" x14ac:dyDescent="0.3">
      <c r="B201" s="145" t="s">
        <v>6800</v>
      </c>
      <c r="C201" s="577" t="s">
        <v>6801</v>
      </c>
      <c r="D201" s="43" t="s">
        <v>190</v>
      </c>
      <c r="E201" s="126" t="s">
        <v>515</v>
      </c>
      <c r="F201" s="504">
        <v>1</v>
      </c>
      <c r="G201" s="594" t="s">
        <v>7410</v>
      </c>
      <c r="H201" s="585">
        <v>45803</v>
      </c>
      <c r="I201" s="784" t="s">
        <v>97</v>
      </c>
      <c r="J201" s="584" t="s">
        <v>7411</v>
      </c>
      <c r="K201" s="481" t="s">
        <v>7412</v>
      </c>
      <c r="L201" s="132"/>
    </row>
    <row r="202" spans="2:16" s="597" customFormat="1" ht="31.2" x14ac:dyDescent="0.3">
      <c r="B202" s="145" t="s">
        <v>6800</v>
      </c>
      <c r="C202" s="577" t="s">
        <v>6801</v>
      </c>
      <c r="D202" s="43" t="s">
        <v>190</v>
      </c>
      <c r="E202" s="126" t="s">
        <v>515</v>
      </c>
      <c r="F202" s="504">
        <v>1</v>
      </c>
      <c r="G202" s="594" t="s">
        <v>7413</v>
      </c>
      <c r="H202" s="585">
        <v>45805</v>
      </c>
      <c r="I202" s="784" t="s">
        <v>97</v>
      </c>
      <c r="J202" s="584" t="s">
        <v>7414</v>
      </c>
      <c r="K202" s="481" t="s">
        <v>7415</v>
      </c>
      <c r="L202" s="132"/>
    </row>
    <row r="203" spans="2:16" s="597" customFormat="1" ht="31.2" x14ac:dyDescent="0.3">
      <c r="B203" s="145" t="s">
        <v>6800</v>
      </c>
      <c r="C203" s="577" t="s">
        <v>6801</v>
      </c>
      <c r="D203" s="43" t="s">
        <v>190</v>
      </c>
      <c r="E203" s="126" t="s">
        <v>515</v>
      </c>
      <c r="F203" s="504">
        <v>1</v>
      </c>
      <c r="G203" s="594" t="s">
        <v>7416</v>
      </c>
      <c r="H203" s="585">
        <v>45805</v>
      </c>
      <c r="I203" s="784" t="s">
        <v>97</v>
      </c>
      <c r="J203" s="584" t="s">
        <v>7417</v>
      </c>
      <c r="K203" s="481" t="s">
        <v>7418</v>
      </c>
      <c r="L203" s="132"/>
    </row>
    <row r="204" spans="2:16" s="597" customFormat="1" ht="31.2" x14ac:dyDescent="0.3">
      <c r="B204" s="145" t="s">
        <v>6800</v>
      </c>
      <c r="C204" s="577" t="s">
        <v>6801</v>
      </c>
      <c r="D204" s="43" t="s">
        <v>190</v>
      </c>
      <c r="E204" s="126" t="s">
        <v>515</v>
      </c>
      <c r="F204" s="504">
        <v>1</v>
      </c>
      <c r="G204" s="594" t="s">
        <v>7419</v>
      </c>
      <c r="H204" s="585">
        <v>45804</v>
      </c>
      <c r="I204" s="784" t="s">
        <v>97</v>
      </c>
      <c r="J204" s="584" t="s">
        <v>7420</v>
      </c>
      <c r="K204" s="481" t="s">
        <v>7421</v>
      </c>
      <c r="L204" s="132"/>
    </row>
    <row r="205" spans="2:16" s="597" customFormat="1" ht="31.2" x14ac:dyDescent="0.3">
      <c r="B205" s="145" t="s">
        <v>6800</v>
      </c>
      <c r="C205" s="577" t="s">
        <v>6801</v>
      </c>
      <c r="D205" s="43" t="s">
        <v>190</v>
      </c>
      <c r="E205" s="126" t="s">
        <v>515</v>
      </c>
      <c r="F205" s="504">
        <v>1</v>
      </c>
      <c r="G205" s="594" t="s">
        <v>7422</v>
      </c>
      <c r="H205" s="585">
        <v>45799</v>
      </c>
      <c r="I205" s="784" t="s">
        <v>97</v>
      </c>
      <c r="J205" s="584" t="s">
        <v>7423</v>
      </c>
      <c r="K205" s="481" t="s">
        <v>7424</v>
      </c>
      <c r="L205" s="132"/>
    </row>
    <row r="206" spans="2:16" s="597" customFormat="1" ht="31.2" x14ac:dyDescent="0.3">
      <c r="B206" s="145" t="s">
        <v>6800</v>
      </c>
      <c r="C206" s="577" t="s">
        <v>6801</v>
      </c>
      <c r="D206" s="43" t="s">
        <v>190</v>
      </c>
      <c r="E206" s="126" t="s">
        <v>515</v>
      </c>
      <c r="F206" s="504">
        <v>1</v>
      </c>
      <c r="G206" s="594" t="s">
        <v>7425</v>
      </c>
      <c r="H206" s="585">
        <v>45797</v>
      </c>
      <c r="I206" s="784" t="s">
        <v>97</v>
      </c>
      <c r="J206" s="584" t="s">
        <v>7426</v>
      </c>
      <c r="K206" s="481" t="s">
        <v>7427</v>
      </c>
      <c r="L206" s="132"/>
    </row>
    <row r="207" spans="2:16" s="597" customFormat="1" ht="31.2" x14ac:dyDescent="0.3">
      <c r="B207" s="145" t="s">
        <v>6800</v>
      </c>
      <c r="C207" s="577" t="s">
        <v>6801</v>
      </c>
      <c r="D207" s="43" t="s">
        <v>190</v>
      </c>
      <c r="E207" s="126" t="s">
        <v>515</v>
      </c>
      <c r="F207" s="504">
        <v>1</v>
      </c>
      <c r="G207" s="594" t="s">
        <v>7428</v>
      </c>
      <c r="H207" s="585">
        <v>45805</v>
      </c>
      <c r="I207" s="784" t="s">
        <v>97</v>
      </c>
      <c r="J207" s="584" t="s">
        <v>7429</v>
      </c>
      <c r="K207" s="481" t="s">
        <v>7430</v>
      </c>
      <c r="L207" s="132"/>
    </row>
    <row r="208" spans="2:16" s="597" customFormat="1" ht="31.2" x14ac:dyDescent="0.3">
      <c r="B208" s="145" t="s">
        <v>6800</v>
      </c>
      <c r="C208" s="577" t="s">
        <v>6801</v>
      </c>
      <c r="D208" s="43" t="s">
        <v>190</v>
      </c>
      <c r="E208" s="126" t="s">
        <v>515</v>
      </c>
      <c r="F208" s="504">
        <v>1</v>
      </c>
      <c r="G208" s="594" t="s">
        <v>7431</v>
      </c>
      <c r="H208" s="585">
        <v>45773</v>
      </c>
      <c r="I208" s="784" t="s">
        <v>97</v>
      </c>
      <c r="J208" s="584" t="s">
        <v>7432</v>
      </c>
      <c r="K208" s="481" t="s">
        <v>7433</v>
      </c>
      <c r="L208" s="132"/>
    </row>
    <row r="209" spans="2:12" s="597" customFormat="1" ht="31.2" x14ac:dyDescent="0.3">
      <c r="B209" s="145" t="s">
        <v>6800</v>
      </c>
      <c r="C209" s="577" t="s">
        <v>6801</v>
      </c>
      <c r="D209" s="43" t="s">
        <v>190</v>
      </c>
      <c r="E209" s="126" t="s">
        <v>515</v>
      </c>
      <c r="F209" s="504">
        <v>1</v>
      </c>
      <c r="G209" s="594" t="s">
        <v>7434</v>
      </c>
      <c r="H209" s="585">
        <v>45783</v>
      </c>
      <c r="I209" s="784" t="s">
        <v>97</v>
      </c>
      <c r="J209" s="494" t="s">
        <v>7435</v>
      </c>
      <c r="K209" s="132" t="s">
        <v>7436</v>
      </c>
      <c r="L209" s="132"/>
    </row>
    <row r="210" spans="2:12" s="597" customFormat="1" ht="31.2" x14ac:dyDescent="0.3">
      <c r="B210" s="145" t="s">
        <v>6800</v>
      </c>
      <c r="C210" s="577" t="s">
        <v>6801</v>
      </c>
      <c r="D210" s="43" t="s">
        <v>190</v>
      </c>
      <c r="E210" s="126" t="s">
        <v>515</v>
      </c>
      <c r="F210" s="504">
        <v>1</v>
      </c>
      <c r="G210" s="594" t="s">
        <v>7437</v>
      </c>
      <c r="H210" s="585" t="s">
        <v>7438</v>
      </c>
      <c r="I210" s="784" t="s">
        <v>97</v>
      </c>
      <c r="J210" s="494" t="s">
        <v>7439</v>
      </c>
      <c r="K210" s="132" t="s">
        <v>7440</v>
      </c>
      <c r="L210" s="132"/>
    </row>
    <row r="211" spans="2:12" s="597" customFormat="1" ht="31.2" x14ac:dyDescent="0.3">
      <c r="B211" s="145" t="s">
        <v>6800</v>
      </c>
      <c r="C211" s="577" t="s">
        <v>6801</v>
      </c>
      <c r="D211" s="43" t="s">
        <v>190</v>
      </c>
      <c r="E211" s="126" t="s">
        <v>515</v>
      </c>
      <c r="F211" s="504">
        <v>1</v>
      </c>
      <c r="G211" s="594" t="s">
        <v>7441</v>
      </c>
      <c r="H211" s="585">
        <v>45783</v>
      </c>
      <c r="I211" s="784" t="s">
        <v>97</v>
      </c>
      <c r="J211" s="494" t="s">
        <v>7442</v>
      </c>
      <c r="K211" s="132" t="s">
        <v>7443</v>
      </c>
      <c r="L211" s="132"/>
    </row>
    <row r="212" spans="2:12" s="597" customFormat="1" ht="31.2" x14ac:dyDescent="0.3">
      <c r="B212" s="145" t="s">
        <v>6800</v>
      </c>
      <c r="C212" s="577" t="s">
        <v>6801</v>
      </c>
      <c r="D212" s="43" t="s">
        <v>190</v>
      </c>
      <c r="E212" s="126" t="s">
        <v>515</v>
      </c>
      <c r="F212" s="504">
        <v>1</v>
      </c>
      <c r="G212" s="594" t="s">
        <v>7444</v>
      </c>
      <c r="H212" s="585">
        <v>45786</v>
      </c>
      <c r="I212" s="784" t="s">
        <v>97</v>
      </c>
      <c r="J212" s="494" t="s">
        <v>7445</v>
      </c>
      <c r="K212" s="132" t="s">
        <v>7446</v>
      </c>
      <c r="L212" s="132"/>
    </row>
    <row r="213" spans="2:12" s="597" customFormat="1" ht="31.2" x14ac:dyDescent="0.3">
      <c r="B213" s="145" t="s">
        <v>6800</v>
      </c>
      <c r="C213" s="577" t="s">
        <v>6801</v>
      </c>
      <c r="D213" s="43" t="s">
        <v>190</v>
      </c>
      <c r="E213" s="126" t="s">
        <v>515</v>
      </c>
      <c r="F213" s="504">
        <v>1</v>
      </c>
      <c r="G213" s="594" t="s">
        <v>7447</v>
      </c>
      <c r="H213" s="585">
        <v>45796</v>
      </c>
      <c r="I213" s="784" t="s">
        <v>97</v>
      </c>
      <c r="J213" s="494" t="s">
        <v>7448</v>
      </c>
      <c r="K213" s="132" t="s">
        <v>7449</v>
      </c>
      <c r="L213" s="132"/>
    </row>
    <row r="214" spans="2:12" s="597" customFormat="1" ht="31.2" x14ac:dyDescent="0.3">
      <c r="B214" s="145" t="s">
        <v>6800</v>
      </c>
      <c r="C214" s="577" t="s">
        <v>6801</v>
      </c>
      <c r="D214" s="43" t="s">
        <v>190</v>
      </c>
      <c r="E214" s="126" t="s">
        <v>515</v>
      </c>
      <c r="F214" s="504">
        <v>1</v>
      </c>
      <c r="G214" s="594" t="s">
        <v>7450</v>
      </c>
      <c r="H214" s="585">
        <v>45803</v>
      </c>
      <c r="I214" s="784" t="s">
        <v>97</v>
      </c>
      <c r="J214" s="494" t="s">
        <v>7451</v>
      </c>
      <c r="K214" s="132" t="s">
        <v>7452</v>
      </c>
      <c r="L214" s="132"/>
    </row>
    <row r="215" spans="2:12" s="597" customFormat="1" ht="31.2" x14ac:dyDescent="0.3">
      <c r="B215" s="145" t="s">
        <v>6800</v>
      </c>
      <c r="C215" s="577" t="s">
        <v>6801</v>
      </c>
      <c r="D215" s="43" t="s">
        <v>190</v>
      </c>
      <c r="E215" s="126" t="s">
        <v>515</v>
      </c>
      <c r="F215" s="504">
        <v>1</v>
      </c>
      <c r="G215" s="594" t="s">
        <v>7453</v>
      </c>
      <c r="H215" s="585">
        <v>45801</v>
      </c>
      <c r="I215" s="784" t="s">
        <v>97</v>
      </c>
      <c r="J215" s="494" t="s">
        <v>7454</v>
      </c>
      <c r="K215" s="132" t="s">
        <v>7455</v>
      </c>
      <c r="L215" s="132"/>
    </row>
    <row r="216" spans="2:12" s="597" customFormat="1" ht="31.2" x14ac:dyDescent="0.3">
      <c r="B216" s="145" t="s">
        <v>6800</v>
      </c>
      <c r="C216" s="577" t="s">
        <v>6801</v>
      </c>
      <c r="D216" s="43" t="s">
        <v>190</v>
      </c>
      <c r="E216" s="126" t="s">
        <v>515</v>
      </c>
      <c r="F216" s="504">
        <v>1</v>
      </c>
      <c r="G216" s="594" t="s">
        <v>7456</v>
      </c>
      <c r="H216" s="585" t="s">
        <v>7457</v>
      </c>
      <c r="I216" s="784" t="s">
        <v>97</v>
      </c>
      <c r="J216" s="494" t="s">
        <v>7458</v>
      </c>
      <c r="K216" s="132" t="s">
        <v>7459</v>
      </c>
      <c r="L216" s="132"/>
    </row>
    <row r="217" spans="2:12" s="830" customFormat="1" ht="31.2" x14ac:dyDescent="0.3">
      <c r="B217" s="828" t="s">
        <v>6800</v>
      </c>
      <c r="C217" s="829" t="s">
        <v>6801</v>
      </c>
      <c r="D217" s="41" t="s">
        <v>190</v>
      </c>
      <c r="E217" s="586" t="s">
        <v>515</v>
      </c>
      <c r="F217" s="504">
        <v>1</v>
      </c>
      <c r="G217" s="594" t="s">
        <v>7460</v>
      </c>
      <c r="H217" s="585">
        <v>45790</v>
      </c>
      <c r="I217" s="784" t="s">
        <v>97</v>
      </c>
      <c r="J217" s="584" t="s">
        <v>7461</v>
      </c>
      <c r="K217" s="481" t="s">
        <v>7462</v>
      </c>
      <c r="L217" s="481"/>
    </row>
    <row r="218" spans="2:12" s="597" customFormat="1" ht="31.2" x14ac:dyDescent="0.3">
      <c r="B218" s="145" t="s">
        <v>6800</v>
      </c>
      <c r="C218" s="577" t="s">
        <v>6801</v>
      </c>
      <c r="D218" s="43" t="s">
        <v>190</v>
      </c>
      <c r="E218" s="126" t="s">
        <v>515</v>
      </c>
      <c r="F218" s="504">
        <v>1</v>
      </c>
      <c r="G218" s="594" t="s">
        <v>7463</v>
      </c>
      <c r="H218" s="585" t="s">
        <v>7464</v>
      </c>
      <c r="I218" s="784" t="s">
        <v>97</v>
      </c>
      <c r="J218" s="494" t="s">
        <v>7465</v>
      </c>
      <c r="K218" s="132" t="s">
        <v>7466</v>
      </c>
      <c r="L218" s="132"/>
    </row>
    <row r="219" spans="2:12" s="597" customFormat="1" ht="31.2" x14ac:dyDescent="0.3">
      <c r="B219" s="145" t="s">
        <v>6800</v>
      </c>
      <c r="C219" s="577" t="s">
        <v>6801</v>
      </c>
      <c r="D219" s="43" t="s">
        <v>190</v>
      </c>
      <c r="E219" s="126" t="s">
        <v>515</v>
      </c>
      <c r="F219" s="504">
        <v>1</v>
      </c>
      <c r="G219" s="594" t="s">
        <v>7467</v>
      </c>
      <c r="H219" s="585">
        <v>45783</v>
      </c>
      <c r="I219" s="784" t="s">
        <v>97</v>
      </c>
      <c r="J219" s="494" t="s">
        <v>7468</v>
      </c>
      <c r="K219" s="132" t="s">
        <v>7469</v>
      </c>
      <c r="L219" s="132"/>
    </row>
    <row r="220" spans="2:12" s="597" customFormat="1" ht="31.2" x14ac:dyDescent="0.3">
      <c r="B220" s="145" t="s">
        <v>6800</v>
      </c>
      <c r="C220" s="577" t="s">
        <v>6801</v>
      </c>
      <c r="D220" s="43" t="s">
        <v>190</v>
      </c>
      <c r="E220" s="126" t="s">
        <v>515</v>
      </c>
      <c r="F220" s="504">
        <v>1</v>
      </c>
      <c r="G220" s="594" t="s">
        <v>7470</v>
      </c>
      <c r="H220" s="585">
        <v>45783</v>
      </c>
      <c r="I220" s="784" t="s">
        <v>97</v>
      </c>
      <c r="J220" s="494" t="s">
        <v>7471</v>
      </c>
      <c r="K220" s="132" t="s">
        <v>7472</v>
      </c>
      <c r="L220" s="132"/>
    </row>
    <row r="221" spans="2:12" s="597" customFormat="1" ht="31.2" x14ac:dyDescent="0.3">
      <c r="B221" s="145" t="s">
        <v>6800</v>
      </c>
      <c r="C221" s="577" t="s">
        <v>6801</v>
      </c>
      <c r="D221" s="43" t="s">
        <v>190</v>
      </c>
      <c r="E221" s="126" t="s">
        <v>515</v>
      </c>
      <c r="F221" s="504">
        <v>1</v>
      </c>
      <c r="G221" s="594" t="s">
        <v>7473</v>
      </c>
      <c r="H221" s="585" t="s">
        <v>7438</v>
      </c>
      <c r="I221" s="784" t="s">
        <v>97</v>
      </c>
      <c r="J221" s="494" t="s">
        <v>7474</v>
      </c>
      <c r="K221" s="132" t="s">
        <v>7475</v>
      </c>
      <c r="L221" s="132"/>
    </row>
    <row r="222" spans="2:12" s="597" customFormat="1" ht="31.2" x14ac:dyDescent="0.3">
      <c r="B222" s="145" t="s">
        <v>6800</v>
      </c>
      <c r="C222" s="577" t="s">
        <v>6801</v>
      </c>
      <c r="D222" s="43" t="s">
        <v>190</v>
      </c>
      <c r="E222" s="126" t="s">
        <v>515</v>
      </c>
      <c r="F222" s="504">
        <v>1</v>
      </c>
      <c r="G222" s="594" t="s">
        <v>7476</v>
      </c>
      <c r="H222" s="585">
        <v>45825</v>
      </c>
      <c r="I222" s="784" t="s">
        <v>937</v>
      </c>
      <c r="J222" s="494" t="s">
        <v>7477</v>
      </c>
      <c r="K222" s="132" t="s">
        <v>7478</v>
      </c>
      <c r="L222" s="132"/>
    </row>
    <row r="223" spans="2:12" s="597" customFormat="1" ht="31.2" x14ac:dyDescent="0.3">
      <c r="B223" s="145" t="s">
        <v>6800</v>
      </c>
      <c r="C223" s="577" t="s">
        <v>6801</v>
      </c>
      <c r="D223" s="43" t="s">
        <v>190</v>
      </c>
      <c r="E223" s="126" t="s">
        <v>515</v>
      </c>
      <c r="F223" s="504">
        <v>1</v>
      </c>
      <c r="G223" s="594" t="s">
        <v>7479</v>
      </c>
      <c r="H223" s="585">
        <v>45822</v>
      </c>
      <c r="I223" s="784" t="s">
        <v>937</v>
      </c>
      <c r="J223" s="494" t="s">
        <v>7480</v>
      </c>
      <c r="K223" s="132" t="s">
        <v>7481</v>
      </c>
      <c r="L223" s="132"/>
    </row>
    <row r="224" spans="2:12" s="597" customFormat="1" ht="31.2" x14ac:dyDescent="0.3">
      <c r="B224" s="145" t="s">
        <v>6800</v>
      </c>
      <c r="C224" s="577" t="s">
        <v>6801</v>
      </c>
      <c r="D224" s="43" t="s">
        <v>190</v>
      </c>
      <c r="E224" s="126" t="s">
        <v>515</v>
      </c>
      <c r="F224" s="504">
        <v>1</v>
      </c>
      <c r="G224" s="594" t="s">
        <v>7482</v>
      </c>
      <c r="H224" s="585">
        <v>45817</v>
      </c>
      <c r="I224" s="784" t="s">
        <v>937</v>
      </c>
      <c r="J224" s="494" t="s">
        <v>7483</v>
      </c>
      <c r="K224" s="132" t="s">
        <v>7484</v>
      </c>
      <c r="L224" s="132"/>
    </row>
    <row r="225" spans="2:12" s="597" customFormat="1" ht="31.2" x14ac:dyDescent="0.3">
      <c r="B225" s="145" t="s">
        <v>6800</v>
      </c>
      <c r="C225" s="577" t="s">
        <v>6801</v>
      </c>
      <c r="D225" s="43" t="s">
        <v>190</v>
      </c>
      <c r="E225" s="126" t="s">
        <v>515</v>
      </c>
      <c r="F225" s="504">
        <v>1</v>
      </c>
      <c r="G225" s="594" t="s">
        <v>7485</v>
      </c>
      <c r="H225" s="585">
        <v>45814</v>
      </c>
      <c r="I225" s="784" t="s">
        <v>937</v>
      </c>
      <c r="J225" s="494" t="s">
        <v>7486</v>
      </c>
      <c r="K225" s="132" t="s">
        <v>7487</v>
      </c>
      <c r="L225" s="132"/>
    </row>
    <row r="226" spans="2:12" s="597" customFormat="1" ht="31.2" x14ac:dyDescent="0.3">
      <c r="B226" s="145" t="s">
        <v>6800</v>
      </c>
      <c r="C226" s="577" t="s">
        <v>6801</v>
      </c>
      <c r="D226" s="43" t="s">
        <v>190</v>
      </c>
      <c r="E226" s="126" t="s">
        <v>515</v>
      </c>
      <c r="F226" s="504">
        <v>1</v>
      </c>
      <c r="G226" s="594" t="s">
        <v>7488</v>
      </c>
      <c r="H226" s="585">
        <v>45825</v>
      </c>
      <c r="I226" s="784" t="s">
        <v>937</v>
      </c>
      <c r="J226" s="494" t="s">
        <v>7489</v>
      </c>
      <c r="K226" s="132" t="s">
        <v>7490</v>
      </c>
      <c r="L226" s="132"/>
    </row>
    <row r="227" spans="2:12" s="597" customFormat="1" ht="31.2" x14ac:dyDescent="0.3">
      <c r="B227" s="145" t="s">
        <v>6800</v>
      </c>
      <c r="C227" s="577" t="s">
        <v>6801</v>
      </c>
      <c r="D227" s="43" t="s">
        <v>190</v>
      </c>
      <c r="E227" s="126" t="s">
        <v>515</v>
      </c>
      <c r="F227" s="504">
        <v>1</v>
      </c>
      <c r="G227" s="594" t="s">
        <v>7491</v>
      </c>
      <c r="H227" s="585">
        <v>45822</v>
      </c>
      <c r="I227" s="784" t="s">
        <v>937</v>
      </c>
      <c r="J227" s="494" t="s">
        <v>7492</v>
      </c>
      <c r="K227" s="132" t="s">
        <v>7493</v>
      </c>
      <c r="L227" s="132"/>
    </row>
    <row r="228" spans="2:12" s="597" customFormat="1" ht="31.2" x14ac:dyDescent="0.3">
      <c r="B228" s="145" t="s">
        <v>6800</v>
      </c>
      <c r="C228" s="577" t="s">
        <v>6801</v>
      </c>
      <c r="D228" s="43" t="s">
        <v>190</v>
      </c>
      <c r="E228" s="126" t="s">
        <v>515</v>
      </c>
      <c r="F228" s="504">
        <v>1</v>
      </c>
      <c r="G228" s="594" t="s">
        <v>7494</v>
      </c>
      <c r="H228" s="585">
        <v>45819</v>
      </c>
      <c r="I228" s="784" t="s">
        <v>937</v>
      </c>
      <c r="J228" s="494" t="s">
        <v>7495</v>
      </c>
      <c r="K228" s="132" t="s">
        <v>7496</v>
      </c>
      <c r="L228" s="132"/>
    </row>
    <row r="229" spans="2:12" s="597" customFormat="1" ht="31.2" x14ac:dyDescent="0.3">
      <c r="B229" s="145" t="s">
        <v>6800</v>
      </c>
      <c r="C229" s="577" t="s">
        <v>6801</v>
      </c>
      <c r="D229" s="43" t="s">
        <v>190</v>
      </c>
      <c r="E229" s="126" t="s">
        <v>515</v>
      </c>
      <c r="F229" s="504">
        <v>1</v>
      </c>
      <c r="G229" s="594" t="s">
        <v>7497</v>
      </c>
      <c r="H229" s="585" t="s">
        <v>7498</v>
      </c>
      <c r="I229" s="784" t="s">
        <v>937</v>
      </c>
      <c r="J229" s="494" t="s">
        <v>7499</v>
      </c>
      <c r="K229" s="132" t="s">
        <v>7500</v>
      </c>
      <c r="L229" s="132"/>
    </row>
    <row r="230" spans="2:12" s="597" customFormat="1" ht="31.2" x14ac:dyDescent="0.3">
      <c r="B230" s="145" t="s">
        <v>6800</v>
      </c>
      <c r="C230" s="577" t="s">
        <v>6801</v>
      </c>
      <c r="D230" s="43" t="s">
        <v>190</v>
      </c>
      <c r="E230" s="126" t="s">
        <v>515</v>
      </c>
      <c r="F230" s="504">
        <v>1</v>
      </c>
      <c r="G230" s="594" t="s">
        <v>7501</v>
      </c>
      <c r="H230" s="585">
        <v>45818</v>
      </c>
      <c r="I230" s="784" t="s">
        <v>937</v>
      </c>
      <c r="J230" s="494" t="s">
        <v>7502</v>
      </c>
      <c r="K230" s="132" t="s">
        <v>7503</v>
      </c>
      <c r="L230" s="132"/>
    </row>
    <row r="231" spans="2:12" s="597" customFormat="1" ht="31.2" x14ac:dyDescent="0.3">
      <c r="B231" s="145" t="s">
        <v>6800</v>
      </c>
      <c r="C231" s="577" t="s">
        <v>6801</v>
      </c>
      <c r="D231" s="43" t="s">
        <v>190</v>
      </c>
      <c r="E231" s="126" t="s">
        <v>515</v>
      </c>
      <c r="F231" s="504">
        <v>1</v>
      </c>
      <c r="G231" s="594" t="s">
        <v>7504</v>
      </c>
      <c r="H231" s="585">
        <v>45820</v>
      </c>
      <c r="I231" s="784" t="s">
        <v>937</v>
      </c>
      <c r="J231" s="584" t="s">
        <v>7505</v>
      </c>
      <c r="K231" s="132" t="s">
        <v>7506</v>
      </c>
      <c r="L231" s="132"/>
    </row>
    <row r="232" spans="2:12" s="597" customFormat="1" ht="31.2" x14ac:dyDescent="0.3">
      <c r="B232" s="145" t="s">
        <v>6800</v>
      </c>
      <c r="C232" s="577" t="s">
        <v>6801</v>
      </c>
      <c r="D232" s="43" t="s">
        <v>190</v>
      </c>
      <c r="E232" s="126" t="s">
        <v>515</v>
      </c>
      <c r="F232" s="504">
        <v>1</v>
      </c>
      <c r="G232" s="594" t="s">
        <v>7507</v>
      </c>
      <c r="H232" s="585" t="s">
        <v>7508</v>
      </c>
      <c r="I232" s="784" t="s">
        <v>937</v>
      </c>
      <c r="J232" s="584" t="s">
        <v>7509</v>
      </c>
      <c r="K232" s="132" t="s">
        <v>7510</v>
      </c>
      <c r="L232" s="132"/>
    </row>
    <row r="233" spans="2:12" s="597" customFormat="1" ht="31.2" x14ac:dyDescent="0.3">
      <c r="B233" s="145" t="s">
        <v>6800</v>
      </c>
      <c r="C233" s="577" t="s">
        <v>6801</v>
      </c>
      <c r="D233" s="43" t="s">
        <v>190</v>
      </c>
      <c r="E233" s="126" t="s">
        <v>515</v>
      </c>
      <c r="F233" s="504">
        <v>1</v>
      </c>
      <c r="G233" s="594" t="s">
        <v>7511</v>
      </c>
      <c r="H233" s="585">
        <v>45818</v>
      </c>
      <c r="I233" s="784" t="s">
        <v>937</v>
      </c>
      <c r="J233" s="584" t="s">
        <v>7512</v>
      </c>
      <c r="K233" s="132" t="s">
        <v>7513</v>
      </c>
      <c r="L233" s="132"/>
    </row>
    <row r="234" spans="2:12" s="597" customFormat="1" ht="31.2" x14ac:dyDescent="0.3">
      <c r="B234" s="145" t="s">
        <v>6800</v>
      </c>
      <c r="C234" s="577" t="s">
        <v>6801</v>
      </c>
      <c r="D234" s="43" t="s">
        <v>190</v>
      </c>
      <c r="E234" s="126" t="s">
        <v>515</v>
      </c>
      <c r="F234" s="504">
        <v>1</v>
      </c>
      <c r="G234" s="594" t="s">
        <v>7514</v>
      </c>
      <c r="H234" s="585">
        <v>45822</v>
      </c>
      <c r="I234" s="784" t="s">
        <v>937</v>
      </c>
      <c r="J234" s="584" t="s">
        <v>7515</v>
      </c>
      <c r="K234" s="132" t="s">
        <v>7516</v>
      </c>
      <c r="L234" s="132"/>
    </row>
    <row r="235" spans="2:12" s="597" customFormat="1" ht="31.2" x14ac:dyDescent="0.3">
      <c r="B235" s="145" t="s">
        <v>6800</v>
      </c>
      <c r="C235" s="577" t="s">
        <v>6801</v>
      </c>
      <c r="D235" s="43" t="s">
        <v>190</v>
      </c>
      <c r="E235" s="126" t="s">
        <v>515</v>
      </c>
      <c r="F235" s="504">
        <v>1</v>
      </c>
      <c r="G235" s="594" t="s">
        <v>7517</v>
      </c>
      <c r="H235" s="585">
        <v>45826</v>
      </c>
      <c r="I235" s="784" t="s">
        <v>937</v>
      </c>
      <c r="J235" s="494" t="s">
        <v>7518</v>
      </c>
      <c r="K235" s="132" t="s">
        <v>7519</v>
      </c>
      <c r="L235" s="132"/>
    </row>
    <row r="236" spans="2:12" s="597" customFormat="1" ht="31.2" x14ac:dyDescent="0.3">
      <c r="B236" s="145" t="s">
        <v>6800</v>
      </c>
      <c r="C236" s="577" t="s">
        <v>6801</v>
      </c>
      <c r="D236" s="43" t="s">
        <v>190</v>
      </c>
      <c r="E236" s="126" t="s">
        <v>515</v>
      </c>
      <c r="F236" s="504">
        <v>1</v>
      </c>
      <c r="G236" s="594" t="s">
        <v>7520</v>
      </c>
      <c r="H236" s="585">
        <v>45829</v>
      </c>
      <c r="I236" s="784" t="s">
        <v>937</v>
      </c>
      <c r="J236" s="494" t="s">
        <v>7521</v>
      </c>
      <c r="K236" s="132" t="s">
        <v>7522</v>
      </c>
      <c r="L236" s="132"/>
    </row>
    <row r="237" spans="2:12" s="597" customFormat="1" ht="31.2" x14ac:dyDescent="0.3">
      <c r="B237" s="145" t="s">
        <v>6800</v>
      </c>
      <c r="C237" s="577" t="s">
        <v>6801</v>
      </c>
      <c r="D237" s="43" t="s">
        <v>190</v>
      </c>
      <c r="E237" s="126" t="s">
        <v>515</v>
      </c>
      <c r="F237" s="504">
        <v>1</v>
      </c>
      <c r="G237" s="594" t="s">
        <v>7523</v>
      </c>
      <c r="H237" s="585">
        <v>45828</v>
      </c>
      <c r="I237" s="784" t="s">
        <v>937</v>
      </c>
      <c r="J237" s="494" t="s">
        <v>7524</v>
      </c>
      <c r="K237" s="132" t="s">
        <v>7525</v>
      </c>
      <c r="L237" s="132"/>
    </row>
    <row r="238" spans="2:12" s="597" customFormat="1" ht="31.2" x14ac:dyDescent="0.3">
      <c r="B238" s="145" t="s">
        <v>6800</v>
      </c>
      <c r="C238" s="577" t="s">
        <v>6801</v>
      </c>
      <c r="D238" s="43" t="s">
        <v>190</v>
      </c>
      <c r="E238" s="126" t="s">
        <v>515</v>
      </c>
      <c r="F238" s="504">
        <v>1</v>
      </c>
      <c r="G238" s="594" t="s">
        <v>7526</v>
      </c>
      <c r="H238" s="585">
        <v>45827</v>
      </c>
      <c r="I238" s="784" t="s">
        <v>937</v>
      </c>
      <c r="J238" s="494" t="s">
        <v>7527</v>
      </c>
      <c r="K238" s="132" t="s">
        <v>7528</v>
      </c>
      <c r="L238" s="132"/>
    </row>
    <row r="239" spans="2:12" s="597" customFormat="1" ht="31.2" x14ac:dyDescent="0.3">
      <c r="B239" s="145" t="s">
        <v>6800</v>
      </c>
      <c r="C239" s="577" t="s">
        <v>6801</v>
      </c>
      <c r="D239" s="43" t="s">
        <v>190</v>
      </c>
      <c r="E239" s="126" t="s">
        <v>515</v>
      </c>
      <c r="F239" s="504">
        <v>1</v>
      </c>
      <c r="G239" s="594" t="s">
        <v>7529</v>
      </c>
      <c r="H239" s="585">
        <v>45835</v>
      </c>
      <c r="I239" s="784" t="s">
        <v>937</v>
      </c>
      <c r="J239" s="494" t="s">
        <v>7530</v>
      </c>
      <c r="K239" s="132" t="s">
        <v>7531</v>
      </c>
      <c r="L239" s="132"/>
    </row>
    <row r="240" spans="2:12" s="597" customFormat="1" ht="31.2" x14ac:dyDescent="0.3">
      <c r="B240" s="145" t="s">
        <v>6800</v>
      </c>
      <c r="C240" s="577" t="s">
        <v>6801</v>
      </c>
      <c r="D240" s="43" t="s">
        <v>190</v>
      </c>
      <c r="E240" s="126" t="s">
        <v>515</v>
      </c>
      <c r="F240" s="504">
        <v>1</v>
      </c>
      <c r="G240" s="594" t="s">
        <v>7532</v>
      </c>
      <c r="H240" s="585">
        <v>45836</v>
      </c>
      <c r="I240" s="784" t="s">
        <v>937</v>
      </c>
      <c r="J240" s="494" t="s">
        <v>7533</v>
      </c>
      <c r="K240" s="132" t="s">
        <v>7534</v>
      </c>
      <c r="L240" s="132"/>
    </row>
    <row r="241" spans="2:16" s="597" customFormat="1" ht="31.2" x14ac:dyDescent="0.3">
      <c r="B241" s="145" t="s">
        <v>6800</v>
      </c>
      <c r="C241" s="577" t="s">
        <v>6801</v>
      </c>
      <c r="D241" s="43" t="s">
        <v>190</v>
      </c>
      <c r="E241" s="126" t="s">
        <v>515</v>
      </c>
      <c r="F241" s="504">
        <v>1</v>
      </c>
      <c r="G241" s="594" t="s">
        <v>7535</v>
      </c>
      <c r="H241" s="585" t="s">
        <v>7536</v>
      </c>
      <c r="I241" s="784" t="s">
        <v>937</v>
      </c>
      <c r="J241" s="494" t="s">
        <v>7537</v>
      </c>
      <c r="K241" s="132" t="s">
        <v>7538</v>
      </c>
      <c r="L241" s="132"/>
    </row>
    <row r="242" spans="2:16" s="597" customFormat="1" ht="31.2" x14ac:dyDescent="0.3">
      <c r="B242" s="145" t="s">
        <v>6800</v>
      </c>
      <c r="C242" s="577" t="s">
        <v>6801</v>
      </c>
      <c r="D242" s="43" t="s">
        <v>190</v>
      </c>
      <c r="E242" s="126" t="s">
        <v>515</v>
      </c>
      <c r="F242" s="504">
        <v>1</v>
      </c>
      <c r="G242" s="594" t="s">
        <v>7539</v>
      </c>
      <c r="H242" s="585">
        <v>45827</v>
      </c>
      <c r="I242" s="784" t="s">
        <v>937</v>
      </c>
      <c r="J242" s="494" t="s">
        <v>7540</v>
      </c>
      <c r="K242" s="132" t="s">
        <v>7541</v>
      </c>
      <c r="L242" s="132"/>
    </row>
    <row r="243" spans="2:16" s="597" customFormat="1" ht="31.2" x14ac:dyDescent="0.3">
      <c r="B243" s="145" t="s">
        <v>6800</v>
      </c>
      <c r="C243" s="577" t="s">
        <v>6801</v>
      </c>
      <c r="D243" s="43" t="s">
        <v>190</v>
      </c>
      <c r="E243" s="126" t="s">
        <v>515</v>
      </c>
      <c r="F243" s="504">
        <v>1</v>
      </c>
      <c r="G243" s="594" t="s">
        <v>7542</v>
      </c>
      <c r="H243" s="585">
        <v>45825</v>
      </c>
      <c r="I243" s="784" t="s">
        <v>937</v>
      </c>
      <c r="J243" s="494" t="s">
        <v>7543</v>
      </c>
      <c r="K243" s="132" t="s">
        <v>7544</v>
      </c>
      <c r="L243" s="132"/>
    </row>
    <row r="244" spans="2:16" s="597" customFormat="1" ht="31.2" x14ac:dyDescent="0.3">
      <c r="B244" s="145" t="s">
        <v>6800</v>
      </c>
      <c r="C244" s="577" t="s">
        <v>6801</v>
      </c>
      <c r="D244" s="43" t="s">
        <v>190</v>
      </c>
      <c r="E244" s="126" t="s">
        <v>515</v>
      </c>
      <c r="F244" s="504">
        <v>1</v>
      </c>
      <c r="G244" s="594" t="s">
        <v>7545</v>
      </c>
      <c r="H244" s="585">
        <v>45826</v>
      </c>
      <c r="I244" s="784" t="s">
        <v>937</v>
      </c>
      <c r="J244" s="494" t="s">
        <v>7546</v>
      </c>
      <c r="K244" s="132" t="s">
        <v>7547</v>
      </c>
      <c r="L244" s="132"/>
    </row>
    <row r="245" spans="2:16" ht="15.6" x14ac:dyDescent="0.3">
      <c r="B245" s="31"/>
      <c r="C245" s="130"/>
      <c r="D245" s="43"/>
      <c r="E245" s="126"/>
      <c r="F245" s="351"/>
      <c r="G245" s="126"/>
      <c r="H245" s="304"/>
      <c r="I245" s="151"/>
      <c r="J245" s="494"/>
      <c r="P245" s="597"/>
    </row>
    <row r="246" spans="2:16" s="58" customFormat="1" ht="15.6" x14ac:dyDescent="0.3">
      <c r="B246" s="352"/>
      <c r="C246" s="353" t="s">
        <v>771</v>
      </c>
      <c r="D246" s="354" t="s">
        <v>190</v>
      </c>
      <c r="E246" s="355"/>
      <c r="F246" s="1040">
        <f>SUM(F9:F245)</f>
        <v>236</v>
      </c>
      <c r="G246" s="357"/>
      <c r="H246" s="358"/>
      <c r="I246" s="359"/>
      <c r="J246" s="535"/>
      <c r="L246" s="132"/>
      <c r="P246" s="597"/>
    </row>
    <row r="247" spans="2:16" s="58" customFormat="1" ht="15.6" x14ac:dyDescent="0.3">
      <c r="B247" s="352"/>
      <c r="C247" s="353" t="s">
        <v>772</v>
      </c>
      <c r="D247" s="354" t="s">
        <v>190</v>
      </c>
      <c r="E247" s="355"/>
      <c r="F247" s="1040">
        <v>236</v>
      </c>
      <c r="G247" s="357"/>
      <c r="H247" s="358"/>
      <c r="I247" s="359"/>
      <c r="J247" s="535"/>
      <c r="L247" s="132"/>
      <c r="P247" s="597"/>
    </row>
    <row r="248" spans="2:16" s="58" customFormat="1" ht="15.6" x14ac:dyDescent="0.3">
      <c r="B248" s="360"/>
      <c r="C248" s="361" t="s">
        <v>773</v>
      </c>
      <c r="D248" s="362" t="s">
        <v>190</v>
      </c>
      <c r="E248" s="363"/>
      <c r="F248" s="1041">
        <f>F246-F247</f>
        <v>0</v>
      </c>
      <c r="G248" s="365"/>
      <c r="H248" s="366"/>
      <c r="I248" s="367"/>
      <c r="J248" s="536"/>
      <c r="L248" s="132"/>
      <c r="P248" s="597"/>
    </row>
    <row r="249" spans="2:16" ht="7.5" customHeight="1" x14ac:dyDescent="0.3">
      <c r="B249" s="338"/>
      <c r="C249" s="142"/>
      <c r="D249" s="143"/>
      <c r="E249" s="144"/>
      <c r="F249" s="1038"/>
      <c r="G249" s="144"/>
      <c r="H249" s="144"/>
      <c r="I249" s="515"/>
      <c r="J249" s="524"/>
      <c r="P249" s="597"/>
    </row>
    <row r="250" spans="2:16" s="597" customFormat="1" ht="62.4" x14ac:dyDescent="0.3">
      <c r="B250" s="145" t="s">
        <v>7548</v>
      </c>
      <c r="C250" s="577" t="s">
        <v>7549</v>
      </c>
      <c r="D250" s="43" t="s">
        <v>190</v>
      </c>
      <c r="E250" s="126" t="s">
        <v>515</v>
      </c>
      <c r="F250" s="504">
        <v>1</v>
      </c>
      <c r="G250" s="302" t="s">
        <v>7550</v>
      </c>
      <c r="H250" s="542" t="s">
        <v>7551</v>
      </c>
      <c r="I250" s="319" t="s">
        <v>934</v>
      </c>
      <c r="J250" s="537" t="s">
        <v>7552</v>
      </c>
      <c r="K250" s="62" t="s">
        <v>7553</v>
      </c>
      <c r="L250" s="593" t="s">
        <v>7554</v>
      </c>
    </row>
    <row r="251" spans="2:16" s="597" customFormat="1" ht="62.4" x14ac:dyDescent="0.3">
      <c r="B251" s="145" t="s">
        <v>7548</v>
      </c>
      <c r="C251" s="577" t="s">
        <v>7549</v>
      </c>
      <c r="D251" s="43" t="s">
        <v>190</v>
      </c>
      <c r="E251" s="126" t="s">
        <v>515</v>
      </c>
      <c r="F251" s="504">
        <v>1</v>
      </c>
      <c r="G251" s="594" t="s">
        <v>7555</v>
      </c>
      <c r="H251" s="585" t="s">
        <v>7556</v>
      </c>
      <c r="I251" s="319" t="s">
        <v>934</v>
      </c>
      <c r="J251" s="537" t="s">
        <v>7557</v>
      </c>
      <c r="K251" s="62" t="s">
        <v>7558</v>
      </c>
    </row>
    <row r="252" spans="2:16" s="597" customFormat="1" ht="62.4" x14ac:dyDescent="0.3">
      <c r="B252" s="145" t="s">
        <v>7548</v>
      </c>
      <c r="C252" s="577" t="s">
        <v>7549</v>
      </c>
      <c r="D252" s="43" t="s">
        <v>190</v>
      </c>
      <c r="E252" s="126" t="s">
        <v>515</v>
      </c>
      <c r="F252" s="504">
        <v>1</v>
      </c>
      <c r="G252" s="594" t="s">
        <v>7559</v>
      </c>
      <c r="H252" s="585" t="s">
        <v>7560</v>
      </c>
      <c r="I252" s="319" t="s">
        <v>934</v>
      </c>
      <c r="J252" s="790" t="s">
        <v>7561</v>
      </c>
      <c r="K252" s="62" t="s">
        <v>7562</v>
      </c>
    </row>
    <row r="253" spans="2:16" s="597" customFormat="1" ht="62.4" x14ac:dyDescent="0.3">
      <c r="B253" s="145" t="s">
        <v>7548</v>
      </c>
      <c r="C253" s="577" t="s">
        <v>7549</v>
      </c>
      <c r="D253" s="43" t="s">
        <v>190</v>
      </c>
      <c r="E253" s="126" t="s">
        <v>515</v>
      </c>
      <c r="F253" s="504">
        <v>1</v>
      </c>
      <c r="G253" s="594" t="s">
        <v>7563</v>
      </c>
      <c r="H253" s="585" t="s">
        <v>7564</v>
      </c>
      <c r="I253" s="319" t="s">
        <v>1302</v>
      </c>
      <c r="J253" s="790" t="s">
        <v>7565</v>
      </c>
      <c r="K253" s="62" t="s">
        <v>7566</v>
      </c>
    </row>
    <row r="254" spans="2:16" s="597" customFormat="1" ht="62.4" x14ac:dyDescent="0.3">
      <c r="B254" s="145" t="s">
        <v>7548</v>
      </c>
      <c r="C254" s="577" t="s">
        <v>7549</v>
      </c>
      <c r="D254" s="43" t="s">
        <v>190</v>
      </c>
      <c r="E254" s="126" t="s">
        <v>515</v>
      </c>
      <c r="F254" s="504">
        <v>1</v>
      </c>
      <c r="G254" s="594" t="s">
        <v>7567</v>
      </c>
      <c r="H254" s="585" t="s">
        <v>7568</v>
      </c>
      <c r="I254" s="319" t="s">
        <v>1302</v>
      </c>
      <c r="J254" s="790" t="s">
        <v>7569</v>
      </c>
      <c r="K254" s="62" t="s">
        <v>7570</v>
      </c>
    </row>
    <row r="255" spans="2:16" s="597" customFormat="1" ht="62.4" x14ac:dyDescent="0.3">
      <c r="B255" s="145" t="s">
        <v>7548</v>
      </c>
      <c r="C255" s="577" t="s">
        <v>7549</v>
      </c>
      <c r="D255" s="43" t="s">
        <v>190</v>
      </c>
      <c r="E255" s="126" t="s">
        <v>515</v>
      </c>
      <c r="F255" s="504">
        <v>1</v>
      </c>
      <c r="G255" s="594" t="s">
        <v>7571</v>
      </c>
      <c r="H255" s="585" t="s">
        <v>7572</v>
      </c>
      <c r="I255" s="319" t="s">
        <v>1302</v>
      </c>
      <c r="J255" s="790" t="s">
        <v>7573</v>
      </c>
      <c r="K255" s="62" t="s">
        <v>7574</v>
      </c>
    </row>
    <row r="256" spans="2:16" s="597" customFormat="1" ht="62.4" x14ac:dyDescent="0.3">
      <c r="B256" s="145" t="s">
        <v>7548</v>
      </c>
      <c r="C256" s="577" t="s">
        <v>7549</v>
      </c>
      <c r="D256" s="43" t="s">
        <v>190</v>
      </c>
      <c r="E256" s="126" t="s">
        <v>515</v>
      </c>
      <c r="F256" s="504">
        <v>1</v>
      </c>
      <c r="G256" s="594" t="s">
        <v>7575</v>
      </c>
      <c r="H256" s="585" t="s">
        <v>7576</v>
      </c>
      <c r="I256" s="319" t="s">
        <v>1302</v>
      </c>
      <c r="J256" s="790" t="s">
        <v>7577</v>
      </c>
      <c r="K256" s="62" t="s">
        <v>7578</v>
      </c>
    </row>
    <row r="257" spans="2:11" s="597" customFormat="1" ht="62.4" x14ac:dyDescent="0.3">
      <c r="B257" s="145" t="s">
        <v>7548</v>
      </c>
      <c r="C257" s="577" t="s">
        <v>7549</v>
      </c>
      <c r="D257" s="43" t="s">
        <v>190</v>
      </c>
      <c r="E257" s="126" t="s">
        <v>515</v>
      </c>
      <c r="F257" s="504">
        <v>1</v>
      </c>
      <c r="G257" s="594" t="s">
        <v>7579</v>
      </c>
      <c r="H257" s="585" t="s">
        <v>7580</v>
      </c>
      <c r="I257" s="319" t="s">
        <v>1302</v>
      </c>
      <c r="J257" s="537" t="s">
        <v>7581</v>
      </c>
      <c r="K257" s="62" t="s">
        <v>7582</v>
      </c>
    </row>
    <row r="258" spans="2:11" s="597" customFormat="1" ht="62.4" x14ac:dyDescent="0.3">
      <c r="B258" s="145" t="s">
        <v>7548</v>
      </c>
      <c r="C258" s="577" t="s">
        <v>7549</v>
      </c>
      <c r="D258" s="43" t="s">
        <v>190</v>
      </c>
      <c r="E258" s="126" t="s">
        <v>515</v>
      </c>
      <c r="F258" s="504">
        <v>1</v>
      </c>
      <c r="G258" s="594" t="s">
        <v>7583</v>
      </c>
      <c r="H258" s="585" t="s">
        <v>7584</v>
      </c>
      <c r="I258" s="319" t="s">
        <v>1302</v>
      </c>
      <c r="J258" s="537" t="s">
        <v>7585</v>
      </c>
      <c r="K258" s="62" t="s">
        <v>7586</v>
      </c>
    </row>
    <row r="259" spans="2:11" s="597" customFormat="1" ht="62.4" x14ac:dyDescent="0.3">
      <c r="B259" s="145" t="s">
        <v>7548</v>
      </c>
      <c r="C259" s="577" t="s">
        <v>7549</v>
      </c>
      <c r="D259" s="43" t="s">
        <v>190</v>
      </c>
      <c r="E259" s="126" t="s">
        <v>515</v>
      </c>
      <c r="F259" s="504">
        <v>1</v>
      </c>
      <c r="G259" s="594" t="s">
        <v>7587</v>
      </c>
      <c r="H259" s="585" t="s">
        <v>7588</v>
      </c>
      <c r="I259" s="319" t="s">
        <v>1302</v>
      </c>
      <c r="J259" s="790" t="s">
        <v>7589</v>
      </c>
      <c r="K259" s="62" t="s">
        <v>7590</v>
      </c>
    </row>
    <row r="260" spans="2:11" s="597" customFormat="1" ht="62.4" x14ac:dyDescent="0.3">
      <c r="B260" s="145" t="s">
        <v>7548</v>
      </c>
      <c r="C260" s="577" t="s">
        <v>7549</v>
      </c>
      <c r="D260" s="43" t="s">
        <v>190</v>
      </c>
      <c r="E260" s="126" t="s">
        <v>515</v>
      </c>
      <c r="F260" s="504">
        <v>1</v>
      </c>
      <c r="G260" s="594" t="s">
        <v>7591</v>
      </c>
      <c r="H260" s="585" t="s">
        <v>7592</v>
      </c>
      <c r="I260" s="319" t="s">
        <v>1302</v>
      </c>
      <c r="J260" s="790" t="s">
        <v>7593</v>
      </c>
      <c r="K260" s="62" t="s">
        <v>7594</v>
      </c>
    </row>
    <row r="261" spans="2:11" s="597" customFormat="1" ht="62.4" x14ac:dyDescent="0.3">
      <c r="B261" s="145" t="s">
        <v>7548</v>
      </c>
      <c r="C261" s="577" t="s">
        <v>7549</v>
      </c>
      <c r="D261" s="43" t="s">
        <v>190</v>
      </c>
      <c r="E261" s="126" t="s">
        <v>515</v>
      </c>
      <c r="F261" s="504">
        <v>1</v>
      </c>
      <c r="G261" s="594" t="s">
        <v>7595</v>
      </c>
      <c r="H261" s="585" t="s">
        <v>7596</v>
      </c>
      <c r="I261" s="319" t="s">
        <v>1302</v>
      </c>
      <c r="J261" s="790" t="s">
        <v>7597</v>
      </c>
      <c r="K261" s="62" t="s">
        <v>7598</v>
      </c>
    </row>
    <row r="262" spans="2:11" s="597" customFormat="1" ht="62.4" x14ac:dyDescent="0.3">
      <c r="B262" s="145" t="s">
        <v>7548</v>
      </c>
      <c r="C262" s="577" t="s">
        <v>7549</v>
      </c>
      <c r="D262" s="43" t="s">
        <v>190</v>
      </c>
      <c r="E262" s="126" t="s">
        <v>515</v>
      </c>
      <c r="F262" s="504">
        <v>1</v>
      </c>
      <c r="G262" s="594" t="s">
        <v>7599</v>
      </c>
      <c r="H262" s="585" t="s">
        <v>7600</v>
      </c>
      <c r="I262" s="319" t="s">
        <v>1302</v>
      </c>
      <c r="J262" s="790" t="s">
        <v>7601</v>
      </c>
      <c r="K262" s="62" t="s">
        <v>7602</v>
      </c>
    </row>
    <row r="263" spans="2:11" s="597" customFormat="1" ht="62.4" x14ac:dyDescent="0.3">
      <c r="B263" s="145" t="s">
        <v>7548</v>
      </c>
      <c r="C263" s="577" t="s">
        <v>7549</v>
      </c>
      <c r="D263" s="43" t="s">
        <v>190</v>
      </c>
      <c r="E263" s="126" t="s">
        <v>515</v>
      </c>
      <c r="F263" s="504">
        <v>1</v>
      </c>
      <c r="G263" s="594" t="s">
        <v>7603</v>
      </c>
      <c r="H263" s="585" t="s">
        <v>7604</v>
      </c>
      <c r="I263" s="319" t="s">
        <v>97</v>
      </c>
      <c r="J263" s="790" t="s">
        <v>7605</v>
      </c>
      <c r="K263" s="62" t="s">
        <v>7606</v>
      </c>
    </row>
    <row r="264" spans="2:11" s="597" customFormat="1" ht="62.4" x14ac:dyDescent="0.3">
      <c r="B264" s="145" t="s">
        <v>7548</v>
      </c>
      <c r="C264" s="577" t="s">
        <v>7549</v>
      </c>
      <c r="D264" s="43" t="s">
        <v>190</v>
      </c>
      <c r="E264" s="126" t="s">
        <v>515</v>
      </c>
      <c r="F264" s="504">
        <v>1</v>
      </c>
      <c r="G264" s="594" t="s">
        <v>7607</v>
      </c>
      <c r="H264" s="585" t="s">
        <v>7608</v>
      </c>
      <c r="I264" s="319" t="s">
        <v>937</v>
      </c>
      <c r="J264" s="790" t="s">
        <v>7609</v>
      </c>
      <c r="K264" s="62" t="s">
        <v>7610</v>
      </c>
    </row>
    <row r="265" spans="2:11" s="597" customFormat="1" ht="62.4" x14ac:dyDescent="0.3">
      <c r="B265" s="145" t="s">
        <v>7548</v>
      </c>
      <c r="C265" s="577" t="s">
        <v>7549</v>
      </c>
      <c r="D265" s="43" t="s">
        <v>190</v>
      </c>
      <c r="E265" s="126" t="s">
        <v>515</v>
      </c>
      <c r="F265" s="504">
        <v>1</v>
      </c>
      <c r="G265" s="594" t="s">
        <v>7611</v>
      </c>
      <c r="H265" s="585" t="s">
        <v>7612</v>
      </c>
      <c r="I265" s="319" t="s">
        <v>937</v>
      </c>
      <c r="J265" s="790" t="s">
        <v>7613</v>
      </c>
      <c r="K265" s="62" t="s">
        <v>7614</v>
      </c>
    </row>
    <row r="266" spans="2:11" ht="46.8" x14ac:dyDescent="0.3">
      <c r="B266" s="145" t="s">
        <v>7548</v>
      </c>
      <c r="C266" s="577" t="s">
        <v>7549</v>
      </c>
      <c r="D266" s="43" t="s">
        <v>190</v>
      </c>
      <c r="E266" s="126" t="s">
        <v>515</v>
      </c>
      <c r="F266" s="504">
        <v>1</v>
      </c>
      <c r="G266" s="594" t="s">
        <v>7615</v>
      </c>
      <c r="H266" s="585" t="s">
        <v>7616</v>
      </c>
      <c r="I266" s="319" t="s">
        <v>1262</v>
      </c>
      <c r="J266" s="790" t="s">
        <v>7617</v>
      </c>
      <c r="K266" s="62" t="s">
        <v>7618</v>
      </c>
    </row>
    <row r="267" spans="2:11" ht="46.8" x14ac:dyDescent="0.3">
      <c r="B267" s="145" t="s">
        <v>7548</v>
      </c>
      <c r="C267" s="577" t="s">
        <v>7549</v>
      </c>
      <c r="D267" s="43" t="s">
        <v>190</v>
      </c>
      <c r="E267" s="126" t="s">
        <v>515</v>
      </c>
      <c r="F267" s="504">
        <v>1</v>
      </c>
      <c r="G267" s="594" t="s">
        <v>7619</v>
      </c>
      <c r="H267" s="585" t="s">
        <v>7620</v>
      </c>
      <c r="I267" s="319" t="s">
        <v>1509</v>
      </c>
      <c r="J267" s="790" t="s">
        <v>7621</v>
      </c>
      <c r="K267" s="62" t="s">
        <v>7622</v>
      </c>
    </row>
    <row r="268" spans="2:11" ht="46.8" x14ac:dyDescent="0.3">
      <c r="B268" s="145" t="s">
        <v>7548</v>
      </c>
      <c r="C268" s="577" t="s">
        <v>7549</v>
      </c>
      <c r="D268" s="43" t="s">
        <v>190</v>
      </c>
      <c r="E268" s="126" t="s">
        <v>515</v>
      </c>
      <c r="F268" s="504">
        <v>1</v>
      </c>
      <c r="G268" s="594" t="s">
        <v>7623</v>
      </c>
      <c r="H268" s="585" t="s">
        <v>3979</v>
      </c>
      <c r="I268" s="319" t="s">
        <v>1509</v>
      </c>
      <c r="J268" s="790" t="s">
        <v>7624</v>
      </c>
      <c r="K268" s="62" t="s">
        <v>7625</v>
      </c>
    </row>
    <row r="269" spans="2:11" ht="46.8" x14ac:dyDescent="0.3">
      <c r="B269" s="145" t="s">
        <v>7548</v>
      </c>
      <c r="C269" s="577" t="s">
        <v>7549</v>
      </c>
      <c r="D269" s="43" t="s">
        <v>190</v>
      </c>
      <c r="E269" s="126" t="s">
        <v>515</v>
      </c>
      <c r="F269" s="504">
        <v>1</v>
      </c>
      <c r="G269" s="594" t="s">
        <v>7626</v>
      </c>
      <c r="H269" s="585" t="s">
        <v>4112</v>
      </c>
      <c r="I269" s="319" t="s">
        <v>1509</v>
      </c>
      <c r="J269" s="790" t="s">
        <v>7627</v>
      </c>
      <c r="K269" s="62" t="s">
        <v>7628</v>
      </c>
    </row>
    <row r="270" spans="2:11" ht="46.8" x14ac:dyDescent="0.3">
      <c r="B270" s="145" t="s">
        <v>7548</v>
      </c>
      <c r="C270" s="577" t="s">
        <v>7549</v>
      </c>
      <c r="D270" s="43" t="s">
        <v>190</v>
      </c>
      <c r="E270" s="126" t="s">
        <v>515</v>
      </c>
      <c r="F270" s="504">
        <v>1</v>
      </c>
      <c r="G270" s="594" t="s">
        <v>7629</v>
      </c>
      <c r="H270" s="542" t="s">
        <v>4053</v>
      </c>
      <c r="I270" s="319" t="s">
        <v>940</v>
      </c>
      <c r="J270" s="790" t="s">
        <v>7630</v>
      </c>
      <c r="K270" s="62" t="s">
        <v>7631</v>
      </c>
    </row>
    <row r="271" spans="2:11" ht="46.8" x14ac:dyDescent="0.3">
      <c r="B271" s="145" t="s">
        <v>7548</v>
      </c>
      <c r="C271" s="577" t="s">
        <v>7549</v>
      </c>
      <c r="D271" s="43" t="s">
        <v>190</v>
      </c>
      <c r="E271" s="126" t="s">
        <v>515</v>
      </c>
      <c r="F271" s="504">
        <v>1</v>
      </c>
      <c r="G271" s="594" t="s">
        <v>7632</v>
      </c>
      <c r="H271" s="542" t="s">
        <v>7633</v>
      </c>
      <c r="I271" s="319" t="s">
        <v>940</v>
      </c>
      <c r="J271" s="790" t="s">
        <v>7634</v>
      </c>
      <c r="K271" s="62" t="s">
        <v>7635</v>
      </c>
    </row>
    <row r="272" spans="2:11" ht="46.8" x14ac:dyDescent="0.3">
      <c r="B272" s="145" t="s">
        <v>7548</v>
      </c>
      <c r="C272" s="577" t="s">
        <v>7549</v>
      </c>
      <c r="D272" s="43" t="s">
        <v>190</v>
      </c>
      <c r="E272" s="126" t="s">
        <v>515</v>
      </c>
      <c r="F272" s="504">
        <v>1</v>
      </c>
      <c r="G272" s="594" t="s">
        <v>7636</v>
      </c>
      <c r="H272" s="542" t="s">
        <v>3854</v>
      </c>
      <c r="I272" s="319" t="s">
        <v>940</v>
      </c>
      <c r="J272" s="790" t="s">
        <v>7637</v>
      </c>
      <c r="K272" s="62" t="s">
        <v>7638</v>
      </c>
    </row>
    <row r="273" spans="2:11" ht="46.8" x14ac:dyDescent="0.3">
      <c r="B273" s="145" t="s">
        <v>7548</v>
      </c>
      <c r="C273" s="577" t="s">
        <v>7549</v>
      </c>
      <c r="D273" s="43" t="s">
        <v>190</v>
      </c>
      <c r="E273" s="126" t="s">
        <v>515</v>
      </c>
      <c r="F273" s="504">
        <v>1</v>
      </c>
      <c r="G273" s="594" t="s">
        <v>7639</v>
      </c>
      <c r="H273" s="542" t="s">
        <v>3854</v>
      </c>
      <c r="I273" s="319" t="s">
        <v>940</v>
      </c>
      <c r="J273" s="790" t="s">
        <v>7640</v>
      </c>
      <c r="K273" s="62" t="s">
        <v>7641</v>
      </c>
    </row>
    <row r="274" spans="2:11" ht="46.8" x14ac:dyDescent="0.3">
      <c r="B274" s="145" t="s">
        <v>7548</v>
      </c>
      <c r="C274" s="577" t="s">
        <v>7549</v>
      </c>
      <c r="D274" s="43" t="s">
        <v>190</v>
      </c>
      <c r="E274" s="126" t="s">
        <v>515</v>
      </c>
      <c r="F274" s="504">
        <v>1</v>
      </c>
      <c r="G274" s="594" t="s">
        <v>7642</v>
      </c>
      <c r="H274" s="542" t="s">
        <v>7643</v>
      </c>
      <c r="I274" s="319" t="s">
        <v>1026</v>
      </c>
      <c r="J274" s="790" t="s">
        <v>7644</v>
      </c>
      <c r="K274" s="62" t="s">
        <v>7645</v>
      </c>
    </row>
    <row r="275" spans="2:11" ht="46.8" x14ac:dyDescent="0.3">
      <c r="B275" s="145" t="s">
        <v>7548</v>
      </c>
      <c r="C275" s="577" t="s">
        <v>7549</v>
      </c>
      <c r="D275" s="43" t="s">
        <v>190</v>
      </c>
      <c r="E275" s="126" t="s">
        <v>515</v>
      </c>
      <c r="F275" s="504">
        <v>1</v>
      </c>
      <c r="G275" s="594" t="s">
        <v>7646</v>
      </c>
      <c r="H275" s="542" t="s">
        <v>7647</v>
      </c>
      <c r="I275" s="319" t="s">
        <v>1026</v>
      </c>
      <c r="J275" s="790" t="s">
        <v>7648</v>
      </c>
      <c r="K275" s="62" t="s">
        <v>7649</v>
      </c>
    </row>
    <row r="276" spans="2:11" ht="46.8" x14ac:dyDescent="0.3">
      <c r="B276" s="145" t="s">
        <v>7548</v>
      </c>
      <c r="C276" s="577" t="s">
        <v>7549</v>
      </c>
      <c r="D276" s="43" t="s">
        <v>190</v>
      </c>
      <c r="E276" s="126" t="s">
        <v>515</v>
      </c>
      <c r="F276" s="504">
        <v>1</v>
      </c>
      <c r="G276" s="594" t="s">
        <v>7650</v>
      </c>
      <c r="H276" s="542" t="s">
        <v>4258</v>
      </c>
      <c r="I276" s="319" t="s">
        <v>1026</v>
      </c>
      <c r="J276" s="790" t="s">
        <v>7651</v>
      </c>
      <c r="K276" s="62" t="s">
        <v>7652</v>
      </c>
    </row>
    <row r="277" spans="2:11" ht="46.8" x14ac:dyDescent="0.3">
      <c r="B277" s="145" t="s">
        <v>7548</v>
      </c>
      <c r="C277" s="577" t="s">
        <v>7549</v>
      </c>
      <c r="D277" s="43" t="s">
        <v>190</v>
      </c>
      <c r="E277" s="126" t="s">
        <v>515</v>
      </c>
      <c r="F277" s="504">
        <v>1</v>
      </c>
      <c r="G277" s="594" t="s">
        <v>7653</v>
      </c>
      <c r="H277" s="542" t="s">
        <v>3922</v>
      </c>
      <c r="I277" s="319" t="s">
        <v>1026</v>
      </c>
      <c r="J277" s="790" t="s">
        <v>7654</v>
      </c>
      <c r="K277" s="62" t="s">
        <v>7655</v>
      </c>
    </row>
    <row r="278" spans="2:11" ht="46.8" x14ac:dyDescent="0.3">
      <c r="B278" s="145" t="s">
        <v>7548</v>
      </c>
      <c r="C278" s="577" t="s">
        <v>7549</v>
      </c>
      <c r="D278" s="43" t="s">
        <v>190</v>
      </c>
      <c r="E278" s="126" t="s">
        <v>515</v>
      </c>
      <c r="F278" s="504">
        <v>1</v>
      </c>
      <c r="G278" s="594" t="s">
        <v>7656</v>
      </c>
      <c r="H278" s="542" t="s">
        <v>3988</v>
      </c>
      <c r="I278" s="319" t="s">
        <v>1026</v>
      </c>
      <c r="J278" s="790" t="s">
        <v>7657</v>
      </c>
      <c r="K278" s="62" t="s">
        <v>7658</v>
      </c>
    </row>
    <row r="279" spans="2:11" ht="46.8" x14ac:dyDescent="0.3">
      <c r="B279" s="145" t="s">
        <v>7548</v>
      </c>
      <c r="C279" s="577" t="s">
        <v>7549</v>
      </c>
      <c r="D279" s="43" t="s">
        <v>190</v>
      </c>
      <c r="E279" s="126" t="s">
        <v>515</v>
      </c>
      <c r="F279" s="504">
        <v>1</v>
      </c>
      <c r="G279" s="594" t="s">
        <v>7659</v>
      </c>
      <c r="H279" s="542" t="s">
        <v>7660</v>
      </c>
      <c r="I279" s="319" t="s">
        <v>1282</v>
      </c>
      <c r="J279" s="790" t="s">
        <v>7661</v>
      </c>
      <c r="K279" s="62" t="s">
        <v>7662</v>
      </c>
    </row>
    <row r="280" spans="2:11" ht="46.8" x14ac:dyDescent="0.3">
      <c r="B280" s="145" t="s">
        <v>7548</v>
      </c>
      <c r="C280" s="577" t="s">
        <v>7549</v>
      </c>
      <c r="D280" s="43" t="s">
        <v>190</v>
      </c>
      <c r="E280" s="126" t="s">
        <v>515</v>
      </c>
      <c r="F280" s="504">
        <v>1</v>
      </c>
      <c r="G280" s="594" t="s">
        <v>7663</v>
      </c>
      <c r="H280" s="542" t="s">
        <v>7664</v>
      </c>
      <c r="I280" s="319" t="s">
        <v>1282</v>
      </c>
      <c r="J280" s="790" t="s">
        <v>7665</v>
      </c>
      <c r="K280" s="62" t="s">
        <v>7666</v>
      </c>
    </row>
    <row r="281" spans="2:11" ht="46.8" x14ac:dyDescent="0.3">
      <c r="B281" s="145" t="s">
        <v>7548</v>
      </c>
      <c r="C281" s="577" t="s">
        <v>7549</v>
      </c>
      <c r="D281" s="43" t="s">
        <v>190</v>
      </c>
      <c r="E281" s="126" t="s">
        <v>515</v>
      </c>
      <c r="F281" s="504">
        <v>1</v>
      </c>
      <c r="G281" s="594" t="s">
        <v>7667</v>
      </c>
      <c r="H281" s="542" t="s">
        <v>7668</v>
      </c>
      <c r="I281" s="319" t="s">
        <v>1282</v>
      </c>
      <c r="J281" s="790" t="s">
        <v>7669</v>
      </c>
      <c r="K281" s="62" t="s">
        <v>7670</v>
      </c>
    </row>
    <row r="282" spans="2:11" ht="46.8" x14ac:dyDescent="0.3">
      <c r="B282" s="145" t="s">
        <v>7548</v>
      </c>
      <c r="C282" s="577" t="s">
        <v>7549</v>
      </c>
      <c r="D282" s="43" t="s">
        <v>190</v>
      </c>
      <c r="E282" s="126" t="s">
        <v>515</v>
      </c>
      <c r="F282" s="504">
        <v>1</v>
      </c>
      <c r="G282" s="594" t="s">
        <v>7671</v>
      </c>
      <c r="H282" s="542" t="s">
        <v>7672</v>
      </c>
      <c r="I282" s="319" t="s">
        <v>1282</v>
      </c>
      <c r="J282" s="790" t="s">
        <v>7673</v>
      </c>
      <c r="K282" s="62" t="s">
        <v>7674</v>
      </c>
    </row>
    <row r="283" spans="2:11" ht="46.8" x14ac:dyDescent="0.3">
      <c r="B283" s="145" t="s">
        <v>7548</v>
      </c>
      <c r="C283" s="577" t="s">
        <v>7549</v>
      </c>
      <c r="D283" s="43" t="s">
        <v>190</v>
      </c>
      <c r="E283" s="126" t="s">
        <v>515</v>
      </c>
      <c r="F283" s="504">
        <v>1</v>
      </c>
      <c r="G283" s="594" t="s">
        <v>7675</v>
      </c>
      <c r="H283" s="542" t="s">
        <v>7676</v>
      </c>
      <c r="I283" s="319" t="s">
        <v>1282</v>
      </c>
      <c r="J283" s="790" t="s">
        <v>7677</v>
      </c>
      <c r="K283" s="62" t="s">
        <v>7678</v>
      </c>
    </row>
    <row r="284" spans="2:11" ht="46.8" x14ac:dyDescent="0.3">
      <c r="B284" s="145" t="s">
        <v>7548</v>
      </c>
      <c r="C284" s="577" t="s">
        <v>7549</v>
      </c>
      <c r="D284" s="43" t="s">
        <v>190</v>
      </c>
      <c r="E284" s="126" t="s">
        <v>515</v>
      </c>
      <c r="F284" s="504">
        <v>1</v>
      </c>
      <c r="G284" s="594" t="s">
        <v>7679</v>
      </c>
      <c r="H284" s="542" t="s">
        <v>7680</v>
      </c>
      <c r="I284" s="319" t="s">
        <v>1282</v>
      </c>
      <c r="J284" s="790" t="s">
        <v>7681</v>
      </c>
      <c r="K284" s="62" t="s">
        <v>7682</v>
      </c>
    </row>
    <row r="285" spans="2:11" ht="46.8" x14ac:dyDescent="0.3">
      <c r="B285" s="145" t="s">
        <v>7548</v>
      </c>
      <c r="C285" s="577" t="s">
        <v>7549</v>
      </c>
      <c r="D285" s="43" t="s">
        <v>190</v>
      </c>
      <c r="E285" s="126" t="s">
        <v>515</v>
      </c>
      <c r="F285" s="504">
        <v>1</v>
      </c>
      <c r="G285" s="594" t="s">
        <v>7683</v>
      </c>
      <c r="H285" s="542" t="s">
        <v>4133</v>
      </c>
      <c r="I285" s="319" t="s">
        <v>1282</v>
      </c>
      <c r="J285" s="790" t="s">
        <v>7684</v>
      </c>
      <c r="K285" s="62" t="s">
        <v>7685</v>
      </c>
    </row>
    <row r="286" spans="2:11" ht="46.8" x14ac:dyDescent="0.3">
      <c r="B286" s="145" t="s">
        <v>7548</v>
      </c>
      <c r="C286" s="577" t="s">
        <v>7549</v>
      </c>
      <c r="D286" s="43" t="s">
        <v>190</v>
      </c>
      <c r="E286" s="126" t="s">
        <v>515</v>
      </c>
      <c r="F286" s="504">
        <v>1</v>
      </c>
      <c r="G286" s="594" t="s">
        <v>7686</v>
      </c>
      <c r="H286" s="542" t="s">
        <v>4440</v>
      </c>
      <c r="I286" s="319" t="s">
        <v>1282</v>
      </c>
      <c r="J286" s="790" t="s">
        <v>7687</v>
      </c>
      <c r="K286" s="62" t="s">
        <v>7688</v>
      </c>
    </row>
    <row r="287" spans="2:11" ht="46.8" x14ac:dyDescent="0.3">
      <c r="B287" s="145" t="s">
        <v>7548</v>
      </c>
      <c r="C287" s="577" t="s">
        <v>7549</v>
      </c>
      <c r="D287" s="43" t="s">
        <v>190</v>
      </c>
      <c r="E287" s="126" t="s">
        <v>515</v>
      </c>
      <c r="F287" s="504">
        <v>1</v>
      </c>
      <c r="G287" s="594" t="s">
        <v>7689</v>
      </c>
      <c r="H287" s="542" t="s">
        <v>3420</v>
      </c>
      <c r="I287" s="319" t="s">
        <v>1282</v>
      </c>
      <c r="J287" s="790" t="s">
        <v>7690</v>
      </c>
      <c r="K287" s="62" t="s">
        <v>7691</v>
      </c>
    </row>
    <row r="288" spans="2:11" ht="46.8" x14ac:dyDescent="0.3">
      <c r="B288" s="145" t="s">
        <v>7548</v>
      </c>
      <c r="C288" s="577" t="s">
        <v>7549</v>
      </c>
      <c r="D288" s="43" t="s">
        <v>190</v>
      </c>
      <c r="E288" s="126" t="s">
        <v>515</v>
      </c>
      <c r="F288" s="504">
        <v>1</v>
      </c>
      <c r="G288" s="594" t="s">
        <v>7692</v>
      </c>
      <c r="H288" s="542" t="s">
        <v>7693</v>
      </c>
      <c r="I288" s="319" t="s">
        <v>943</v>
      </c>
      <c r="J288" s="790" t="s">
        <v>7694</v>
      </c>
      <c r="K288" s="62" t="s">
        <v>7695</v>
      </c>
    </row>
    <row r="289" spans="2:13" ht="46.8" x14ac:dyDescent="0.3">
      <c r="B289" s="145" t="s">
        <v>7548</v>
      </c>
      <c r="C289" s="577" t="s">
        <v>7549</v>
      </c>
      <c r="D289" s="43" t="s">
        <v>190</v>
      </c>
      <c r="E289" s="126" t="s">
        <v>515</v>
      </c>
      <c r="F289" s="504">
        <v>1</v>
      </c>
      <c r="G289" s="594" t="s">
        <v>7696</v>
      </c>
      <c r="H289" s="542" t="s">
        <v>5044</v>
      </c>
      <c r="I289" s="319" t="s">
        <v>943</v>
      </c>
      <c r="J289" s="790" t="s">
        <v>7697</v>
      </c>
      <c r="K289" s="62" t="s">
        <v>7698</v>
      </c>
    </row>
    <row r="290" spans="2:13" ht="46.8" x14ac:dyDescent="0.3">
      <c r="B290" s="145" t="s">
        <v>7548</v>
      </c>
      <c r="C290" s="577" t="s">
        <v>7549</v>
      </c>
      <c r="D290" s="43" t="s">
        <v>190</v>
      </c>
      <c r="E290" s="126" t="s">
        <v>515</v>
      </c>
      <c r="F290" s="504">
        <v>1</v>
      </c>
      <c r="G290" s="594" t="s">
        <v>7699</v>
      </c>
      <c r="H290" s="542" t="s">
        <v>7700</v>
      </c>
      <c r="I290" s="319" t="s">
        <v>943</v>
      </c>
      <c r="J290" s="790" t="s">
        <v>7701</v>
      </c>
      <c r="K290" s="62" t="s">
        <v>7702</v>
      </c>
    </row>
    <row r="291" spans="2:13" ht="46.8" x14ac:dyDescent="0.3">
      <c r="B291" s="145" t="s">
        <v>7548</v>
      </c>
      <c r="C291" s="577" t="s">
        <v>7549</v>
      </c>
      <c r="D291" s="43" t="s">
        <v>190</v>
      </c>
      <c r="E291" s="126" t="s">
        <v>515</v>
      </c>
      <c r="F291" s="504">
        <v>1</v>
      </c>
      <c r="G291" s="594" t="s">
        <v>7703</v>
      </c>
      <c r="H291" s="542" t="s">
        <v>7700</v>
      </c>
      <c r="I291" s="319" t="s">
        <v>943</v>
      </c>
      <c r="J291" s="790" t="s">
        <v>7704</v>
      </c>
      <c r="K291" s="62" t="s">
        <v>7705</v>
      </c>
    </row>
    <row r="292" spans="2:13" ht="46.8" x14ac:dyDescent="0.3">
      <c r="B292" s="145" t="s">
        <v>7548</v>
      </c>
      <c r="C292" s="577" t="s">
        <v>7549</v>
      </c>
      <c r="D292" s="43" t="s">
        <v>190</v>
      </c>
      <c r="E292" s="126" t="s">
        <v>515</v>
      </c>
      <c r="F292" s="504">
        <v>1</v>
      </c>
      <c r="G292" s="594" t="s">
        <v>7706</v>
      </c>
      <c r="H292" s="542" t="s">
        <v>7700</v>
      </c>
      <c r="I292" s="319" t="s">
        <v>943</v>
      </c>
      <c r="J292" s="790" t="s">
        <v>7707</v>
      </c>
      <c r="K292" s="62" t="s">
        <v>7708</v>
      </c>
    </row>
    <row r="293" spans="2:13" ht="46.8" x14ac:dyDescent="0.3">
      <c r="B293" s="145" t="s">
        <v>7548</v>
      </c>
      <c r="C293" s="577" t="s">
        <v>7549</v>
      </c>
      <c r="D293" s="43" t="s">
        <v>190</v>
      </c>
      <c r="E293" s="126" t="s">
        <v>515</v>
      </c>
      <c r="F293" s="504">
        <v>1</v>
      </c>
      <c r="G293" s="594" t="s">
        <v>7709</v>
      </c>
      <c r="H293" s="542" t="s">
        <v>7710</v>
      </c>
      <c r="I293" s="319" t="s">
        <v>943</v>
      </c>
      <c r="J293" s="790" t="s">
        <v>7711</v>
      </c>
      <c r="K293" s="62" t="s">
        <v>7712</v>
      </c>
    </row>
    <row r="294" spans="2:13" ht="46.8" x14ac:dyDescent="0.3">
      <c r="B294" s="145" t="s">
        <v>7548</v>
      </c>
      <c r="C294" s="577" t="s">
        <v>7549</v>
      </c>
      <c r="D294" s="43" t="s">
        <v>190</v>
      </c>
      <c r="E294" s="126" t="s">
        <v>515</v>
      </c>
      <c r="F294" s="504">
        <v>1</v>
      </c>
      <c r="G294" s="594" t="s">
        <v>7713</v>
      </c>
      <c r="H294" s="542" t="s">
        <v>7714</v>
      </c>
      <c r="I294" s="319" t="s">
        <v>943</v>
      </c>
      <c r="J294" s="790" t="s">
        <v>7715</v>
      </c>
      <c r="K294" s="62" t="s">
        <v>7716</v>
      </c>
    </row>
    <row r="295" spans="2:13" ht="46.8" x14ac:dyDescent="0.3">
      <c r="B295" s="145" t="s">
        <v>7548</v>
      </c>
      <c r="C295" s="577" t="s">
        <v>7549</v>
      </c>
      <c r="D295" s="43" t="s">
        <v>190</v>
      </c>
      <c r="E295" s="126" t="s">
        <v>515</v>
      </c>
      <c r="F295" s="504">
        <v>1</v>
      </c>
      <c r="G295" s="594" t="s">
        <v>7717</v>
      </c>
      <c r="H295" s="542" t="s">
        <v>5074</v>
      </c>
      <c r="I295" s="319" t="s">
        <v>943</v>
      </c>
      <c r="J295" s="790" t="s">
        <v>7718</v>
      </c>
      <c r="K295" s="62" t="s">
        <v>7719</v>
      </c>
    </row>
    <row r="296" spans="2:13" ht="46.8" x14ac:dyDescent="0.3">
      <c r="B296" s="145" t="s">
        <v>7548</v>
      </c>
      <c r="C296" s="577" t="s">
        <v>7549</v>
      </c>
      <c r="D296" s="43" t="s">
        <v>190</v>
      </c>
      <c r="E296" s="126" t="s">
        <v>515</v>
      </c>
      <c r="F296" s="504">
        <v>1</v>
      </c>
      <c r="G296" s="594" t="s">
        <v>7720</v>
      </c>
      <c r="H296" s="542" t="s">
        <v>3860</v>
      </c>
      <c r="I296" s="319" t="s">
        <v>943</v>
      </c>
      <c r="J296" s="790" t="s">
        <v>7721</v>
      </c>
      <c r="K296" s="62" t="s">
        <v>7722</v>
      </c>
    </row>
    <row r="297" spans="2:13" ht="46.8" x14ac:dyDescent="0.3">
      <c r="B297" s="145" t="s">
        <v>7548</v>
      </c>
      <c r="C297" s="577" t="s">
        <v>7549</v>
      </c>
      <c r="D297" s="43" t="s">
        <v>190</v>
      </c>
      <c r="E297" s="126" t="s">
        <v>515</v>
      </c>
      <c r="F297" s="504">
        <v>1</v>
      </c>
      <c r="G297" s="594" t="s">
        <v>7723</v>
      </c>
      <c r="H297" s="542" t="s">
        <v>7724</v>
      </c>
      <c r="I297" s="319" t="s">
        <v>1417</v>
      </c>
      <c r="J297" s="790" t="s">
        <v>7725</v>
      </c>
      <c r="K297" s="62" t="s">
        <v>7726</v>
      </c>
    </row>
    <row r="298" spans="2:13" ht="46.8" x14ac:dyDescent="0.3">
      <c r="B298" s="145" t="s">
        <v>7548</v>
      </c>
      <c r="C298" s="577" t="s">
        <v>7549</v>
      </c>
      <c r="D298" s="43" t="s">
        <v>190</v>
      </c>
      <c r="E298" s="126" t="s">
        <v>515</v>
      </c>
      <c r="F298" s="504">
        <v>1</v>
      </c>
      <c r="G298" s="594" t="s">
        <v>7727</v>
      </c>
      <c r="H298" s="542" t="s">
        <v>7728</v>
      </c>
      <c r="I298" s="319" t="s">
        <v>1417</v>
      </c>
      <c r="J298" s="790" t="s">
        <v>7729</v>
      </c>
      <c r="K298" s="62" t="s">
        <v>7730</v>
      </c>
    </row>
    <row r="299" spans="2:13" ht="46.8" x14ac:dyDescent="0.3">
      <c r="B299" s="145" t="s">
        <v>7548</v>
      </c>
      <c r="C299" s="577" t="s">
        <v>7549</v>
      </c>
      <c r="D299" s="43" t="s">
        <v>190</v>
      </c>
      <c r="E299" s="126" t="s">
        <v>515</v>
      </c>
      <c r="F299" s="504">
        <v>1</v>
      </c>
      <c r="G299" s="594" t="s">
        <v>7731</v>
      </c>
      <c r="H299" s="542" t="s">
        <v>7732</v>
      </c>
      <c r="I299" s="319" t="s">
        <v>1417</v>
      </c>
      <c r="J299" s="790" t="s">
        <v>7733</v>
      </c>
      <c r="K299" s="62" t="s">
        <v>7734</v>
      </c>
    </row>
    <row r="300" spans="2:13" ht="46.8" x14ac:dyDescent="0.3">
      <c r="B300" s="145" t="s">
        <v>7548</v>
      </c>
      <c r="C300" s="577" t="s">
        <v>7549</v>
      </c>
      <c r="D300" s="43" t="s">
        <v>190</v>
      </c>
      <c r="E300" s="126" t="s">
        <v>515</v>
      </c>
      <c r="F300" s="504">
        <v>1</v>
      </c>
      <c r="G300" s="594" t="s">
        <v>7735</v>
      </c>
      <c r="H300" s="542" t="s">
        <v>7736</v>
      </c>
      <c r="I300" s="319" t="s">
        <v>1315</v>
      </c>
      <c r="J300" s="790" t="s">
        <v>7737</v>
      </c>
      <c r="K300" s="62" t="s">
        <v>7738</v>
      </c>
    </row>
    <row r="301" spans="2:13" ht="46.8" x14ac:dyDescent="0.3">
      <c r="B301" s="145" t="s">
        <v>7548</v>
      </c>
      <c r="C301" s="577" t="s">
        <v>7549</v>
      </c>
      <c r="D301" s="43" t="s">
        <v>190</v>
      </c>
      <c r="E301" s="126" t="s">
        <v>515</v>
      </c>
      <c r="F301" s="504">
        <v>1</v>
      </c>
      <c r="G301" s="594" t="s">
        <v>7739</v>
      </c>
      <c r="H301" s="542" t="s">
        <v>7740</v>
      </c>
      <c r="I301" s="319" t="s">
        <v>1315</v>
      </c>
      <c r="J301" s="790" t="s">
        <v>7741</v>
      </c>
      <c r="K301" s="62" t="s">
        <v>7742</v>
      </c>
    </row>
    <row r="302" spans="2:13" ht="15.6" x14ac:dyDescent="0.3">
      <c r="B302" s="31"/>
      <c r="C302" s="130"/>
      <c r="D302" s="43"/>
      <c r="E302" s="126"/>
      <c r="F302" s="504"/>
      <c r="G302" s="126"/>
      <c r="H302" s="304"/>
      <c r="I302" s="359"/>
      <c r="J302" s="537"/>
    </row>
    <row r="303" spans="2:13" s="58" customFormat="1" ht="15.6" x14ac:dyDescent="0.3">
      <c r="B303" s="352"/>
      <c r="C303" s="353" t="s">
        <v>771</v>
      </c>
      <c r="D303" s="354" t="s">
        <v>190</v>
      </c>
      <c r="E303" s="355"/>
      <c r="F303" s="1040">
        <f>SUM(F250:F302)</f>
        <v>52</v>
      </c>
      <c r="G303" s="357"/>
      <c r="H303" s="358"/>
      <c r="I303" s="359"/>
      <c r="J303" s="535"/>
      <c r="M303" s="132"/>
    </row>
    <row r="304" spans="2:13" s="58" customFormat="1" ht="15.6" x14ac:dyDescent="0.3">
      <c r="B304" s="352"/>
      <c r="C304" s="353" t="s">
        <v>772</v>
      </c>
      <c r="D304" s="354" t="s">
        <v>190</v>
      </c>
      <c r="E304" s="355"/>
      <c r="F304" s="1040">
        <v>52</v>
      </c>
      <c r="G304" s="357"/>
      <c r="H304" s="358"/>
      <c r="I304" s="359"/>
      <c r="J304" s="535"/>
      <c r="M304" s="132"/>
    </row>
    <row r="305" spans="2:13" s="58" customFormat="1" ht="15.6" x14ac:dyDescent="0.3">
      <c r="B305" s="360"/>
      <c r="C305" s="361" t="s">
        <v>773</v>
      </c>
      <c r="D305" s="362" t="s">
        <v>190</v>
      </c>
      <c r="E305" s="363"/>
      <c r="F305" s="1041">
        <f>F303-F304</f>
        <v>0</v>
      </c>
      <c r="G305" s="365"/>
      <c r="H305" s="366"/>
      <c r="I305" s="367"/>
      <c r="J305" s="536"/>
      <c r="M305" s="132"/>
    </row>
    <row r="306" spans="2:13" ht="7.5" customHeight="1" x14ac:dyDescent="0.3">
      <c r="B306" s="338"/>
      <c r="C306" s="142"/>
      <c r="D306" s="143"/>
      <c r="E306" s="144"/>
      <c r="F306" s="1038"/>
      <c r="G306" s="144"/>
      <c r="H306" s="144"/>
      <c r="I306" s="515"/>
      <c r="J306" s="524"/>
    </row>
    <row r="307" spans="2:13" ht="31.2" x14ac:dyDescent="0.3">
      <c r="B307" s="124" t="s">
        <v>7743</v>
      </c>
      <c r="C307" s="129" t="s">
        <v>7744</v>
      </c>
      <c r="D307" s="127" t="s">
        <v>190</v>
      </c>
      <c r="E307" s="125" t="s">
        <v>510</v>
      </c>
      <c r="F307" s="490">
        <v>1</v>
      </c>
      <c r="G307" s="296" t="s">
        <v>7745</v>
      </c>
      <c r="H307" s="303">
        <v>45564</v>
      </c>
      <c r="I307" s="131" t="s">
        <v>871</v>
      </c>
      <c r="J307" s="525" t="s">
        <v>7746</v>
      </c>
      <c r="K307" s="132" t="s">
        <v>7747</v>
      </c>
    </row>
    <row r="308" spans="2:13" ht="31.2" x14ac:dyDescent="0.3">
      <c r="B308" s="31" t="s">
        <v>7743</v>
      </c>
      <c r="C308" s="130" t="s">
        <v>7744</v>
      </c>
      <c r="D308" s="43" t="s">
        <v>190</v>
      </c>
      <c r="E308" s="126" t="s">
        <v>510</v>
      </c>
      <c r="F308" s="504">
        <v>1</v>
      </c>
      <c r="G308" s="248" t="s">
        <v>7748</v>
      </c>
      <c r="H308" s="304">
        <v>45568</v>
      </c>
      <c r="I308" s="151" t="s">
        <v>871</v>
      </c>
      <c r="J308" s="494" t="s">
        <v>7749</v>
      </c>
      <c r="K308" s="132" t="s">
        <v>7750</v>
      </c>
    </row>
    <row r="309" spans="2:13" ht="31.2" x14ac:dyDescent="0.3">
      <c r="B309" s="31" t="s">
        <v>7743</v>
      </c>
      <c r="C309" s="130" t="s">
        <v>7744</v>
      </c>
      <c r="D309" s="43" t="s">
        <v>190</v>
      </c>
      <c r="E309" s="126" t="s">
        <v>510</v>
      </c>
      <c r="F309" s="504">
        <v>1</v>
      </c>
      <c r="G309" s="248" t="s">
        <v>7751</v>
      </c>
      <c r="H309" s="304">
        <v>45570</v>
      </c>
      <c r="I309" s="151" t="s">
        <v>871</v>
      </c>
      <c r="J309" s="494" t="s">
        <v>7752</v>
      </c>
      <c r="K309" s="132" t="s">
        <v>7753</v>
      </c>
    </row>
    <row r="310" spans="2:13" ht="31.2" x14ac:dyDescent="0.3">
      <c r="B310" s="31" t="s">
        <v>7743</v>
      </c>
      <c r="C310" s="130" t="s">
        <v>7744</v>
      </c>
      <c r="D310" s="43" t="s">
        <v>190</v>
      </c>
      <c r="E310" s="126" t="s">
        <v>510</v>
      </c>
      <c r="F310" s="504">
        <v>1</v>
      </c>
      <c r="G310" s="248" t="s">
        <v>7754</v>
      </c>
      <c r="H310" s="542" t="s">
        <v>7755</v>
      </c>
      <c r="I310" s="151" t="s">
        <v>871</v>
      </c>
      <c r="J310" s="494" t="s">
        <v>7756</v>
      </c>
      <c r="K310" s="132" t="s">
        <v>7757</v>
      </c>
    </row>
    <row r="311" spans="2:13" ht="31.2" x14ac:dyDescent="0.3">
      <c r="B311" s="31" t="s">
        <v>7743</v>
      </c>
      <c r="C311" s="130" t="s">
        <v>7744</v>
      </c>
      <c r="D311" s="43" t="s">
        <v>190</v>
      </c>
      <c r="E311" s="126" t="s">
        <v>510</v>
      </c>
      <c r="F311" s="504">
        <v>1</v>
      </c>
      <c r="G311" s="248" t="s">
        <v>7758</v>
      </c>
      <c r="H311" s="542" t="s">
        <v>7759</v>
      </c>
      <c r="I311" s="151" t="s">
        <v>871</v>
      </c>
      <c r="J311" s="494" t="s">
        <v>7760</v>
      </c>
      <c r="K311" s="132" t="s">
        <v>7761</v>
      </c>
    </row>
    <row r="312" spans="2:13" ht="31.2" x14ac:dyDescent="0.3">
      <c r="B312" s="31" t="s">
        <v>7743</v>
      </c>
      <c r="C312" s="130" t="s">
        <v>7744</v>
      </c>
      <c r="D312" s="43" t="s">
        <v>190</v>
      </c>
      <c r="E312" s="126" t="s">
        <v>510</v>
      </c>
      <c r="F312" s="504">
        <v>1</v>
      </c>
      <c r="G312" s="248" t="s">
        <v>7762</v>
      </c>
      <c r="H312" s="542" t="s">
        <v>7763</v>
      </c>
      <c r="I312" s="151" t="s">
        <v>871</v>
      </c>
      <c r="J312" s="494" t="s">
        <v>7764</v>
      </c>
      <c r="K312" s="132" t="s">
        <v>7765</v>
      </c>
    </row>
    <row r="313" spans="2:13" ht="31.2" x14ac:dyDescent="0.3">
      <c r="B313" s="31" t="s">
        <v>7743</v>
      </c>
      <c r="C313" s="130" t="s">
        <v>7744</v>
      </c>
      <c r="D313" s="43" t="s">
        <v>190</v>
      </c>
      <c r="E313" s="126" t="s">
        <v>510</v>
      </c>
      <c r="F313" s="504">
        <v>1</v>
      </c>
      <c r="G313" s="248" t="s">
        <v>7766</v>
      </c>
      <c r="H313" s="542" t="s">
        <v>7767</v>
      </c>
      <c r="I313" s="151" t="s">
        <v>871</v>
      </c>
      <c r="J313" s="494" t="s">
        <v>7768</v>
      </c>
      <c r="K313" s="132" t="s">
        <v>7769</v>
      </c>
    </row>
    <row r="314" spans="2:13" ht="31.2" x14ac:dyDescent="0.3">
      <c r="B314" s="31" t="s">
        <v>7743</v>
      </c>
      <c r="C314" s="130" t="s">
        <v>7744</v>
      </c>
      <c r="D314" s="43" t="s">
        <v>190</v>
      </c>
      <c r="E314" s="126" t="s">
        <v>510</v>
      </c>
      <c r="F314" s="504">
        <v>1</v>
      </c>
      <c r="G314" s="248" t="s">
        <v>7770</v>
      </c>
      <c r="H314" s="542" t="s">
        <v>7771</v>
      </c>
      <c r="I314" s="151" t="s">
        <v>871</v>
      </c>
      <c r="J314" s="494" t="s">
        <v>7772</v>
      </c>
      <c r="K314" s="132" t="s">
        <v>7773</v>
      </c>
    </row>
    <row r="315" spans="2:13" ht="31.2" x14ac:dyDescent="0.3">
      <c r="B315" s="31" t="s">
        <v>7743</v>
      </c>
      <c r="C315" s="130" t="s">
        <v>7744</v>
      </c>
      <c r="D315" s="43" t="s">
        <v>190</v>
      </c>
      <c r="E315" s="126" t="s">
        <v>510</v>
      </c>
      <c r="F315" s="504">
        <v>1</v>
      </c>
      <c r="G315" s="248" t="s">
        <v>7774</v>
      </c>
      <c r="H315" s="542" t="s">
        <v>7775</v>
      </c>
      <c r="I315" s="151" t="s">
        <v>871</v>
      </c>
      <c r="J315" s="494" t="s">
        <v>7776</v>
      </c>
      <c r="K315" s="132" t="s">
        <v>7777</v>
      </c>
    </row>
    <row r="316" spans="2:13" ht="31.2" x14ac:dyDescent="0.3">
      <c r="B316" s="31" t="s">
        <v>7743</v>
      </c>
      <c r="C316" s="130" t="s">
        <v>7744</v>
      </c>
      <c r="D316" s="43" t="s">
        <v>190</v>
      </c>
      <c r="E316" s="126" t="s">
        <v>510</v>
      </c>
      <c r="F316" s="504">
        <v>1</v>
      </c>
      <c r="G316" s="248" t="s">
        <v>7778</v>
      </c>
      <c r="H316" s="304">
        <v>45584</v>
      </c>
      <c r="I316" s="151" t="s">
        <v>871</v>
      </c>
      <c r="J316" s="494" t="s">
        <v>7779</v>
      </c>
      <c r="K316" s="132" t="s">
        <v>7780</v>
      </c>
    </row>
    <row r="317" spans="2:13" ht="31.2" x14ac:dyDescent="0.3">
      <c r="B317" s="31" t="s">
        <v>7743</v>
      </c>
      <c r="C317" s="130" t="s">
        <v>7744</v>
      </c>
      <c r="D317" s="43" t="s">
        <v>190</v>
      </c>
      <c r="E317" s="126" t="s">
        <v>510</v>
      </c>
      <c r="F317" s="504">
        <v>1</v>
      </c>
      <c r="G317" s="248" t="s">
        <v>7781</v>
      </c>
      <c r="H317" s="304">
        <v>45586</v>
      </c>
      <c r="I317" s="151" t="s">
        <v>871</v>
      </c>
      <c r="J317" s="494" t="s">
        <v>7782</v>
      </c>
      <c r="K317" s="132" t="s">
        <v>7783</v>
      </c>
    </row>
    <row r="318" spans="2:13" ht="31.2" x14ac:dyDescent="0.3">
      <c r="B318" s="31" t="s">
        <v>7743</v>
      </c>
      <c r="C318" s="130" t="s">
        <v>7744</v>
      </c>
      <c r="D318" s="43" t="s">
        <v>190</v>
      </c>
      <c r="E318" s="126" t="s">
        <v>510</v>
      </c>
      <c r="F318" s="504">
        <v>1</v>
      </c>
      <c r="G318" s="248" t="s">
        <v>7784</v>
      </c>
      <c r="H318" s="542" t="s">
        <v>7785</v>
      </c>
      <c r="I318" s="151" t="s">
        <v>871</v>
      </c>
      <c r="J318" s="494" t="s">
        <v>7786</v>
      </c>
      <c r="K318" s="132" t="s">
        <v>7787</v>
      </c>
    </row>
    <row r="319" spans="2:13" ht="31.2" x14ac:dyDescent="0.3">
      <c r="B319" s="31" t="s">
        <v>7743</v>
      </c>
      <c r="C319" s="130" t="s">
        <v>7744</v>
      </c>
      <c r="D319" s="43" t="s">
        <v>190</v>
      </c>
      <c r="E319" s="126" t="s">
        <v>510</v>
      </c>
      <c r="F319" s="504">
        <v>1</v>
      </c>
      <c r="G319" s="248" t="s">
        <v>7788</v>
      </c>
      <c r="H319" s="542" t="s">
        <v>7789</v>
      </c>
      <c r="I319" s="151" t="s">
        <v>871</v>
      </c>
      <c r="J319" s="494" t="s">
        <v>7790</v>
      </c>
      <c r="K319" s="132" t="s">
        <v>7791</v>
      </c>
    </row>
    <row r="320" spans="2:13" ht="31.2" x14ac:dyDescent="0.3">
      <c r="B320" s="31" t="s">
        <v>7743</v>
      </c>
      <c r="C320" s="130" t="s">
        <v>7744</v>
      </c>
      <c r="D320" s="43" t="s">
        <v>190</v>
      </c>
      <c r="E320" s="126" t="s">
        <v>510</v>
      </c>
      <c r="F320" s="504">
        <v>1</v>
      </c>
      <c r="G320" s="248" t="s">
        <v>7792</v>
      </c>
      <c r="H320" s="542" t="s">
        <v>7793</v>
      </c>
      <c r="I320" s="151" t="s">
        <v>871</v>
      </c>
      <c r="J320" s="494" t="s">
        <v>7794</v>
      </c>
      <c r="K320" s="132" t="s">
        <v>7795</v>
      </c>
    </row>
    <row r="321" spans="2:13" ht="31.2" x14ac:dyDescent="0.3">
      <c r="B321" s="31" t="s">
        <v>7743</v>
      </c>
      <c r="C321" s="130" t="s">
        <v>7744</v>
      </c>
      <c r="D321" s="43" t="s">
        <v>190</v>
      </c>
      <c r="E321" s="126" t="s">
        <v>515</v>
      </c>
      <c r="F321" s="504">
        <v>1</v>
      </c>
      <c r="G321" s="248" t="s">
        <v>7796</v>
      </c>
      <c r="H321" s="304">
        <v>45593</v>
      </c>
      <c r="I321" s="151" t="s">
        <v>871</v>
      </c>
      <c r="J321" s="494" t="s">
        <v>7797</v>
      </c>
      <c r="K321" s="132" t="s">
        <v>7798</v>
      </c>
    </row>
    <row r="322" spans="2:13" ht="31.2" x14ac:dyDescent="0.3">
      <c r="B322" s="31" t="s">
        <v>7743</v>
      </c>
      <c r="C322" s="130" t="s">
        <v>7744</v>
      </c>
      <c r="D322" s="43" t="s">
        <v>190</v>
      </c>
      <c r="E322" s="126" t="s">
        <v>510</v>
      </c>
      <c r="F322" s="504">
        <v>1</v>
      </c>
      <c r="G322" s="248" t="s">
        <v>7799</v>
      </c>
      <c r="H322" s="542" t="s">
        <v>7800</v>
      </c>
      <c r="I322" s="151" t="s">
        <v>871</v>
      </c>
      <c r="J322" s="494" t="s">
        <v>7801</v>
      </c>
      <c r="K322" s="132" t="s">
        <v>7802</v>
      </c>
    </row>
    <row r="323" spans="2:13" ht="31.2" x14ac:dyDescent="0.3">
      <c r="B323" s="31" t="s">
        <v>7743</v>
      </c>
      <c r="C323" s="130" t="s">
        <v>7744</v>
      </c>
      <c r="D323" s="43" t="s">
        <v>190</v>
      </c>
      <c r="E323" s="126" t="s">
        <v>515</v>
      </c>
      <c r="F323" s="504">
        <v>1</v>
      </c>
      <c r="G323" s="248" t="s">
        <v>7803</v>
      </c>
      <c r="H323" s="304">
        <v>45594</v>
      </c>
      <c r="I323" s="151" t="s">
        <v>871</v>
      </c>
      <c r="J323" s="494" t="s">
        <v>7804</v>
      </c>
      <c r="K323" s="132" t="s">
        <v>7805</v>
      </c>
    </row>
    <row r="324" spans="2:13" ht="31.2" x14ac:dyDescent="0.3">
      <c r="B324" s="31" t="s">
        <v>7743</v>
      </c>
      <c r="C324" s="130" t="s">
        <v>7744</v>
      </c>
      <c r="D324" s="43" t="s">
        <v>190</v>
      </c>
      <c r="E324" s="126" t="s">
        <v>510</v>
      </c>
      <c r="F324" s="504">
        <v>1</v>
      </c>
      <c r="G324" s="248" t="s">
        <v>7806</v>
      </c>
      <c r="H324" s="542" t="s">
        <v>7807</v>
      </c>
      <c r="I324" s="151" t="s">
        <v>871</v>
      </c>
      <c r="J324" s="494" t="s">
        <v>7808</v>
      </c>
      <c r="K324" s="132" t="s">
        <v>7809</v>
      </c>
    </row>
    <row r="325" spans="2:13" ht="31.2" x14ac:dyDescent="0.3">
      <c r="B325" s="31" t="s">
        <v>7743</v>
      </c>
      <c r="C325" s="130" t="s">
        <v>7744</v>
      </c>
      <c r="D325" s="43" t="s">
        <v>190</v>
      </c>
      <c r="E325" s="126" t="s">
        <v>515</v>
      </c>
      <c r="F325" s="504">
        <v>1</v>
      </c>
      <c r="G325" s="248" t="s">
        <v>7810</v>
      </c>
      <c r="H325" s="542">
        <v>45594</v>
      </c>
      <c r="I325" s="151" t="s">
        <v>871</v>
      </c>
      <c r="J325" s="494" t="s">
        <v>7811</v>
      </c>
      <c r="K325" s="132" t="s">
        <v>7812</v>
      </c>
    </row>
    <row r="326" spans="2:13" ht="31.2" x14ac:dyDescent="0.3">
      <c r="B326" s="31" t="s">
        <v>7743</v>
      </c>
      <c r="C326" s="130" t="s">
        <v>7744</v>
      </c>
      <c r="D326" s="43" t="s">
        <v>190</v>
      </c>
      <c r="E326" s="126" t="s">
        <v>515</v>
      </c>
      <c r="F326" s="504">
        <v>1</v>
      </c>
      <c r="G326" s="248" t="s">
        <v>7813</v>
      </c>
      <c r="H326" s="542">
        <v>45595</v>
      </c>
      <c r="I326" s="151" t="s">
        <v>871</v>
      </c>
      <c r="J326" s="494" t="s">
        <v>7814</v>
      </c>
      <c r="K326" s="132" t="s">
        <v>7815</v>
      </c>
    </row>
    <row r="327" spans="2:13" ht="31.2" x14ac:dyDescent="0.3">
      <c r="B327" s="31" t="s">
        <v>7743</v>
      </c>
      <c r="C327" s="130" t="s">
        <v>7744</v>
      </c>
      <c r="D327" s="43" t="s">
        <v>190</v>
      </c>
      <c r="E327" s="126" t="s">
        <v>510</v>
      </c>
      <c r="F327" s="504">
        <v>1</v>
      </c>
      <c r="G327" s="248" t="s">
        <v>7816</v>
      </c>
      <c r="H327" s="542" t="s">
        <v>7817</v>
      </c>
      <c r="I327" s="151" t="s">
        <v>871</v>
      </c>
      <c r="J327" s="494" t="s">
        <v>7818</v>
      </c>
      <c r="K327" s="132" t="s">
        <v>7819</v>
      </c>
      <c r="M327" s="58"/>
    </row>
    <row r="328" spans="2:13" ht="31.2" x14ac:dyDescent="0.3">
      <c r="B328" s="31" t="s">
        <v>7743</v>
      </c>
      <c r="C328" s="130" t="s">
        <v>7744</v>
      </c>
      <c r="D328" s="43" t="s">
        <v>190</v>
      </c>
      <c r="E328" s="126" t="s">
        <v>510</v>
      </c>
      <c r="F328" s="504">
        <v>1</v>
      </c>
      <c r="G328" s="248" t="s">
        <v>7820</v>
      </c>
      <c r="H328" s="542" t="s">
        <v>7821</v>
      </c>
      <c r="I328" s="151" t="s">
        <v>898</v>
      </c>
      <c r="J328" s="494" t="s">
        <v>7822</v>
      </c>
      <c r="K328" s="132" t="s">
        <v>7823</v>
      </c>
      <c r="M328" s="58"/>
    </row>
    <row r="329" spans="2:13" ht="30.6" customHeight="1" x14ac:dyDescent="0.3">
      <c r="B329" s="31" t="s">
        <v>7743</v>
      </c>
      <c r="C329" s="130" t="s">
        <v>7744</v>
      </c>
      <c r="D329" s="43" t="s">
        <v>190</v>
      </c>
      <c r="E329" s="126" t="s">
        <v>510</v>
      </c>
      <c r="F329" s="504">
        <v>1</v>
      </c>
      <c r="G329" s="248" t="s">
        <v>7824</v>
      </c>
      <c r="H329" s="542" t="s">
        <v>7821</v>
      </c>
      <c r="I329" s="151" t="s">
        <v>898</v>
      </c>
      <c r="J329" s="494" t="s">
        <v>7825</v>
      </c>
      <c r="K329" s="132" t="s">
        <v>7826</v>
      </c>
      <c r="M329" s="58"/>
    </row>
    <row r="330" spans="2:13" ht="31.2" x14ac:dyDescent="0.3">
      <c r="B330" s="31" t="s">
        <v>7743</v>
      </c>
      <c r="C330" s="130" t="s">
        <v>7744</v>
      </c>
      <c r="D330" s="43" t="s">
        <v>190</v>
      </c>
      <c r="E330" s="126" t="s">
        <v>510</v>
      </c>
      <c r="F330" s="504">
        <v>1</v>
      </c>
      <c r="G330" s="248" t="s">
        <v>7827</v>
      </c>
      <c r="H330" s="542">
        <v>45604</v>
      </c>
      <c r="I330" s="151" t="s">
        <v>898</v>
      </c>
      <c r="J330" s="494" t="s">
        <v>7828</v>
      </c>
      <c r="K330" s="132" t="s">
        <v>7829</v>
      </c>
    </row>
    <row r="331" spans="2:13" ht="31.2" x14ac:dyDescent="0.3">
      <c r="B331" s="31" t="s">
        <v>7743</v>
      </c>
      <c r="C331" s="130" t="s">
        <v>7744</v>
      </c>
      <c r="D331" s="43" t="s">
        <v>190</v>
      </c>
      <c r="E331" s="126" t="s">
        <v>515</v>
      </c>
      <c r="F331" s="504">
        <v>1</v>
      </c>
      <c r="G331" s="248" t="s">
        <v>7830</v>
      </c>
      <c r="H331" s="542">
        <v>45604</v>
      </c>
      <c r="I331" s="151" t="s">
        <v>898</v>
      </c>
      <c r="J331" s="494" t="s">
        <v>7831</v>
      </c>
      <c r="K331" s="132" t="s">
        <v>7832</v>
      </c>
    </row>
    <row r="332" spans="2:13" ht="31.2" x14ac:dyDescent="0.3">
      <c r="B332" s="31" t="s">
        <v>7743</v>
      </c>
      <c r="C332" s="130" t="s">
        <v>7744</v>
      </c>
      <c r="D332" s="43" t="s">
        <v>190</v>
      </c>
      <c r="E332" s="126" t="s">
        <v>515</v>
      </c>
      <c r="F332" s="504">
        <v>1</v>
      </c>
      <c r="G332" s="248" t="s">
        <v>7833</v>
      </c>
      <c r="H332" s="542">
        <v>45604</v>
      </c>
      <c r="I332" s="151" t="s">
        <v>898</v>
      </c>
      <c r="J332" s="494" t="s">
        <v>7834</v>
      </c>
      <c r="K332" s="132" t="s">
        <v>7835</v>
      </c>
    </row>
    <row r="333" spans="2:13" ht="31.2" x14ac:dyDescent="0.3">
      <c r="B333" s="31" t="s">
        <v>7743</v>
      </c>
      <c r="C333" s="130" t="s">
        <v>7744</v>
      </c>
      <c r="D333" s="43" t="s">
        <v>190</v>
      </c>
      <c r="E333" s="126" t="s">
        <v>515</v>
      </c>
      <c r="F333" s="504">
        <v>1</v>
      </c>
      <c r="G333" s="248" t="s">
        <v>7836</v>
      </c>
      <c r="H333" s="542" t="s">
        <v>7837</v>
      </c>
      <c r="I333" s="151" t="s">
        <v>898</v>
      </c>
      <c r="J333" s="494" t="s">
        <v>7838</v>
      </c>
      <c r="K333" s="132" t="s">
        <v>7839</v>
      </c>
    </row>
    <row r="334" spans="2:13" ht="31.2" x14ac:dyDescent="0.3">
      <c r="B334" s="31" t="s">
        <v>7743</v>
      </c>
      <c r="C334" s="130" t="s">
        <v>7744</v>
      </c>
      <c r="D334" s="43" t="s">
        <v>190</v>
      </c>
      <c r="E334" s="126" t="s">
        <v>515</v>
      </c>
      <c r="F334" s="504">
        <v>1</v>
      </c>
      <c r="G334" s="248" t="s">
        <v>7840</v>
      </c>
      <c r="H334" s="542">
        <v>45607</v>
      </c>
      <c r="I334" s="151" t="s">
        <v>898</v>
      </c>
      <c r="J334" s="494" t="s">
        <v>7841</v>
      </c>
      <c r="K334" s="132" t="s">
        <v>7842</v>
      </c>
    </row>
    <row r="335" spans="2:13" ht="31.2" x14ac:dyDescent="0.3">
      <c r="B335" s="31" t="s">
        <v>7743</v>
      </c>
      <c r="C335" s="130" t="s">
        <v>7744</v>
      </c>
      <c r="D335" s="43" t="s">
        <v>190</v>
      </c>
      <c r="E335" s="126" t="s">
        <v>515</v>
      </c>
      <c r="F335" s="504">
        <v>1</v>
      </c>
      <c r="G335" s="248" t="s">
        <v>7843</v>
      </c>
      <c r="H335" s="542" t="s">
        <v>7844</v>
      </c>
      <c r="I335" s="151" t="s">
        <v>898</v>
      </c>
      <c r="J335" s="494" t="s">
        <v>7845</v>
      </c>
      <c r="K335" s="132" t="s">
        <v>7846</v>
      </c>
    </row>
    <row r="336" spans="2:13" ht="31.2" x14ac:dyDescent="0.3">
      <c r="B336" s="31" t="s">
        <v>7743</v>
      </c>
      <c r="C336" s="130" t="s">
        <v>7744</v>
      </c>
      <c r="D336" s="43" t="s">
        <v>190</v>
      </c>
      <c r="E336" s="126" t="s">
        <v>515</v>
      </c>
      <c r="F336" s="504">
        <v>1</v>
      </c>
      <c r="G336" s="248" t="s">
        <v>7847</v>
      </c>
      <c r="H336" s="542" t="s">
        <v>7848</v>
      </c>
      <c r="I336" s="151" t="s">
        <v>898</v>
      </c>
      <c r="J336" s="494" t="s">
        <v>7849</v>
      </c>
      <c r="K336" s="132" t="s">
        <v>7850</v>
      </c>
    </row>
    <row r="337" spans="2:11" ht="31.2" x14ac:dyDescent="0.3">
      <c r="B337" s="31" t="s">
        <v>7743</v>
      </c>
      <c r="C337" s="130" t="s">
        <v>7744</v>
      </c>
      <c r="D337" s="43" t="s">
        <v>190</v>
      </c>
      <c r="E337" s="126" t="s">
        <v>515</v>
      </c>
      <c r="F337" s="504">
        <v>1</v>
      </c>
      <c r="G337" s="248" t="s">
        <v>7851</v>
      </c>
      <c r="H337" s="542">
        <v>45609</v>
      </c>
      <c r="I337" s="151" t="s">
        <v>898</v>
      </c>
      <c r="J337" s="494" t="s">
        <v>7852</v>
      </c>
      <c r="K337" s="132" t="s">
        <v>7853</v>
      </c>
    </row>
    <row r="338" spans="2:11" ht="31.2" x14ac:dyDescent="0.3">
      <c r="B338" s="31" t="s">
        <v>7743</v>
      </c>
      <c r="C338" s="130" t="s">
        <v>7744</v>
      </c>
      <c r="D338" s="43" t="s">
        <v>190</v>
      </c>
      <c r="E338" s="126" t="s">
        <v>515</v>
      </c>
      <c r="F338" s="504">
        <v>1</v>
      </c>
      <c r="G338" s="248" t="s">
        <v>7854</v>
      </c>
      <c r="H338" s="542">
        <v>45609</v>
      </c>
      <c r="I338" s="151" t="s">
        <v>898</v>
      </c>
      <c r="J338" s="494" t="s">
        <v>7855</v>
      </c>
      <c r="K338" s="132" t="s">
        <v>7856</v>
      </c>
    </row>
    <row r="339" spans="2:11" ht="31.2" x14ac:dyDescent="0.3">
      <c r="B339" s="31" t="s">
        <v>7743</v>
      </c>
      <c r="C339" s="130" t="s">
        <v>7744</v>
      </c>
      <c r="D339" s="43" t="s">
        <v>190</v>
      </c>
      <c r="E339" s="126" t="s">
        <v>515</v>
      </c>
      <c r="F339" s="504">
        <v>1</v>
      </c>
      <c r="G339" s="248" t="s">
        <v>7857</v>
      </c>
      <c r="H339" s="542">
        <v>45609</v>
      </c>
      <c r="I339" s="151" t="s">
        <v>898</v>
      </c>
      <c r="J339" s="494" t="s">
        <v>7858</v>
      </c>
      <c r="K339" s="132" t="s">
        <v>7859</v>
      </c>
    </row>
    <row r="340" spans="2:11" ht="31.2" x14ac:dyDescent="0.3">
      <c r="B340" s="31" t="s">
        <v>7743</v>
      </c>
      <c r="C340" s="130" t="s">
        <v>7744</v>
      </c>
      <c r="D340" s="43" t="s">
        <v>190</v>
      </c>
      <c r="E340" s="126" t="s">
        <v>515</v>
      </c>
      <c r="F340" s="504">
        <v>1</v>
      </c>
      <c r="G340" s="248" t="s">
        <v>7860</v>
      </c>
      <c r="H340" s="542" t="s">
        <v>7861</v>
      </c>
      <c r="I340" s="151" t="s">
        <v>898</v>
      </c>
      <c r="J340" s="494" t="s">
        <v>7862</v>
      </c>
      <c r="K340" s="132" t="s">
        <v>7863</v>
      </c>
    </row>
    <row r="341" spans="2:11" ht="31.2" x14ac:dyDescent="0.3">
      <c r="B341" s="31" t="s">
        <v>7743</v>
      </c>
      <c r="C341" s="130" t="s">
        <v>7744</v>
      </c>
      <c r="D341" s="43" t="s">
        <v>190</v>
      </c>
      <c r="E341" s="126" t="s">
        <v>515</v>
      </c>
      <c r="F341" s="504">
        <v>1</v>
      </c>
      <c r="G341" s="248" t="s">
        <v>7864</v>
      </c>
      <c r="H341" s="542" t="s">
        <v>7865</v>
      </c>
      <c r="I341" s="151" t="s">
        <v>898</v>
      </c>
      <c r="J341" s="494" t="s">
        <v>7866</v>
      </c>
      <c r="K341" s="132" t="s">
        <v>7867</v>
      </c>
    </row>
    <row r="342" spans="2:11" ht="31.2" x14ac:dyDescent="0.3">
      <c r="B342" s="31" t="s">
        <v>7743</v>
      </c>
      <c r="C342" s="130" t="s">
        <v>7744</v>
      </c>
      <c r="D342" s="43" t="s">
        <v>190</v>
      </c>
      <c r="E342" s="126" t="s">
        <v>515</v>
      </c>
      <c r="F342" s="504">
        <v>1</v>
      </c>
      <c r="G342" s="248" t="s">
        <v>7868</v>
      </c>
      <c r="H342" s="542" t="s">
        <v>7865</v>
      </c>
      <c r="I342" s="151" t="s">
        <v>898</v>
      </c>
      <c r="J342" s="494" t="s">
        <v>7869</v>
      </c>
      <c r="K342" s="132" t="s">
        <v>7870</v>
      </c>
    </row>
    <row r="343" spans="2:11" ht="31.2" x14ac:dyDescent="0.3">
      <c r="B343" s="31" t="s">
        <v>7743</v>
      </c>
      <c r="C343" s="130" t="s">
        <v>7744</v>
      </c>
      <c r="D343" s="43" t="s">
        <v>190</v>
      </c>
      <c r="E343" s="126" t="s">
        <v>515</v>
      </c>
      <c r="F343" s="504">
        <v>1</v>
      </c>
      <c r="G343" s="248" t="s">
        <v>7871</v>
      </c>
      <c r="H343" s="542">
        <v>45614</v>
      </c>
      <c r="I343" s="151" t="s">
        <v>898</v>
      </c>
      <c r="J343" s="494" t="s">
        <v>7872</v>
      </c>
      <c r="K343" s="132" t="s">
        <v>7873</v>
      </c>
    </row>
    <row r="344" spans="2:11" ht="31.2" x14ac:dyDescent="0.3">
      <c r="B344" s="31" t="s">
        <v>7743</v>
      </c>
      <c r="C344" s="130" t="s">
        <v>7744</v>
      </c>
      <c r="D344" s="43" t="s">
        <v>190</v>
      </c>
      <c r="E344" s="126" t="s">
        <v>515</v>
      </c>
      <c r="F344" s="504">
        <v>1</v>
      </c>
      <c r="G344" s="248" t="s">
        <v>7874</v>
      </c>
      <c r="H344" s="542">
        <v>45614</v>
      </c>
      <c r="I344" s="151" t="s">
        <v>898</v>
      </c>
      <c r="J344" s="494" t="s">
        <v>7875</v>
      </c>
      <c r="K344" s="132" t="s">
        <v>7876</v>
      </c>
    </row>
    <row r="345" spans="2:11" ht="31.2" x14ac:dyDescent="0.3">
      <c r="B345" s="31" t="s">
        <v>7743</v>
      </c>
      <c r="C345" s="130" t="s">
        <v>7744</v>
      </c>
      <c r="D345" s="43" t="s">
        <v>190</v>
      </c>
      <c r="E345" s="126" t="s">
        <v>515</v>
      </c>
      <c r="F345" s="504">
        <v>1</v>
      </c>
      <c r="G345" s="248" t="s">
        <v>7877</v>
      </c>
      <c r="H345" s="542" t="s">
        <v>7878</v>
      </c>
      <c r="I345" s="151" t="s">
        <v>898</v>
      </c>
      <c r="J345" s="494" t="s">
        <v>7879</v>
      </c>
      <c r="K345" s="132" t="s">
        <v>7880</v>
      </c>
    </row>
    <row r="346" spans="2:11" ht="31.2" x14ac:dyDescent="0.3">
      <c r="B346" s="31" t="s">
        <v>7743</v>
      </c>
      <c r="C346" s="130" t="s">
        <v>7744</v>
      </c>
      <c r="D346" s="43" t="s">
        <v>190</v>
      </c>
      <c r="E346" s="126" t="s">
        <v>515</v>
      </c>
      <c r="F346" s="504">
        <v>1</v>
      </c>
      <c r="G346" s="248" t="s">
        <v>7881</v>
      </c>
      <c r="H346" s="542">
        <v>45615</v>
      </c>
      <c r="I346" s="151" t="s">
        <v>898</v>
      </c>
      <c r="J346" s="494" t="s">
        <v>7882</v>
      </c>
      <c r="K346" s="132" t="s">
        <v>7883</v>
      </c>
    </row>
    <row r="347" spans="2:11" ht="31.2" x14ac:dyDescent="0.3">
      <c r="B347" s="31" t="s">
        <v>7743</v>
      </c>
      <c r="C347" s="130" t="s">
        <v>7744</v>
      </c>
      <c r="D347" s="43" t="s">
        <v>190</v>
      </c>
      <c r="E347" s="126" t="s">
        <v>515</v>
      </c>
      <c r="F347" s="504">
        <v>1</v>
      </c>
      <c r="G347" s="248" t="s">
        <v>7884</v>
      </c>
      <c r="H347" s="542">
        <v>45615</v>
      </c>
      <c r="I347" s="151" t="s">
        <v>898</v>
      </c>
      <c r="J347" s="584" t="s">
        <v>7885</v>
      </c>
      <c r="K347" s="132" t="s">
        <v>7886</v>
      </c>
    </row>
    <row r="348" spans="2:11" ht="31.2" x14ac:dyDescent="0.3">
      <c r="B348" s="31" t="s">
        <v>7743</v>
      </c>
      <c r="C348" s="130" t="s">
        <v>7744</v>
      </c>
      <c r="D348" s="43" t="s">
        <v>190</v>
      </c>
      <c r="E348" s="126" t="s">
        <v>515</v>
      </c>
      <c r="F348" s="504">
        <v>1</v>
      </c>
      <c r="G348" s="248" t="s">
        <v>7887</v>
      </c>
      <c r="H348" s="542">
        <v>45616</v>
      </c>
      <c r="I348" s="151" t="s">
        <v>898</v>
      </c>
      <c r="J348" s="494" t="s">
        <v>7888</v>
      </c>
      <c r="K348" s="132" t="s">
        <v>7889</v>
      </c>
    </row>
    <row r="349" spans="2:11" ht="31.2" x14ac:dyDescent="0.3">
      <c r="B349" s="31" t="s">
        <v>7743</v>
      </c>
      <c r="C349" s="130" t="s">
        <v>7744</v>
      </c>
      <c r="D349" s="43" t="s">
        <v>190</v>
      </c>
      <c r="E349" s="126" t="s">
        <v>510</v>
      </c>
      <c r="F349" s="504">
        <v>1</v>
      </c>
      <c r="G349" s="248" t="s">
        <v>7890</v>
      </c>
      <c r="H349" s="542" t="s">
        <v>7891</v>
      </c>
      <c r="I349" s="151" t="s">
        <v>898</v>
      </c>
      <c r="J349" s="494" t="s">
        <v>7892</v>
      </c>
      <c r="K349" s="132" t="s">
        <v>7893</v>
      </c>
    </row>
    <row r="350" spans="2:11" ht="31.2" x14ac:dyDescent="0.3">
      <c r="B350" s="31" t="s">
        <v>7743</v>
      </c>
      <c r="C350" s="130" t="s">
        <v>7744</v>
      </c>
      <c r="D350" s="43" t="s">
        <v>190</v>
      </c>
      <c r="E350" s="126" t="s">
        <v>510</v>
      </c>
      <c r="F350" s="504">
        <v>1</v>
      </c>
      <c r="G350" s="248" t="s">
        <v>7894</v>
      </c>
      <c r="H350" s="542" t="s">
        <v>7895</v>
      </c>
      <c r="I350" s="151" t="s">
        <v>898</v>
      </c>
      <c r="J350" s="494" t="s">
        <v>7896</v>
      </c>
      <c r="K350" s="132" t="s">
        <v>7897</v>
      </c>
    </row>
    <row r="351" spans="2:11" ht="31.2" x14ac:dyDescent="0.3">
      <c r="B351" s="31" t="s">
        <v>7743</v>
      </c>
      <c r="C351" s="130" t="s">
        <v>7744</v>
      </c>
      <c r="D351" s="43" t="s">
        <v>190</v>
      </c>
      <c r="E351" s="126" t="s">
        <v>515</v>
      </c>
      <c r="F351" s="504">
        <v>1</v>
      </c>
      <c r="G351" s="248" t="s">
        <v>7898</v>
      </c>
      <c r="H351" s="542" t="s">
        <v>7899</v>
      </c>
      <c r="I351" s="151" t="s">
        <v>898</v>
      </c>
      <c r="J351" s="494" t="s">
        <v>7900</v>
      </c>
      <c r="K351" s="132" t="s">
        <v>7901</v>
      </c>
    </row>
    <row r="352" spans="2:11" ht="31.2" x14ac:dyDescent="0.3">
      <c r="B352" s="31" t="s">
        <v>7743</v>
      </c>
      <c r="C352" s="130" t="s">
        <v>7744</v>
      </c>
      <c r="D352" s="43" t="s">
        <v>190</v>
      </c>
      <c r="E352" s="126" t="s">
        <v>510</v>
      </c>
      <c r="F352" s="504">
        <v>1</v>
      </c>
      <c r="G352" s="248" t="s">
        <v>7902</v>
      </c>
      <c r="H352" s="542" t="s">
        <v>7903</v>
      </c>
      <c r="I352" s="151" t="s">
        <v>898</v>
      </c>
      <c r="J352" s="494" t="s">
        <v>7904</v>
      </c>
      <c r="K352" s="132" t="s">
        <v>7905</v>
      </c>
    </row>
    <row r="353" spans="2:11" ht="31.2" x14ac:dyDescent="0.3">
      <c r="B353" s="31" t="s">
        <v>7743</v>
      </c>
      <c r="C353" s="130" t="s">
        <v>7744</v>
      </c>
      <c r="D353" s="43" t="s">
        <v>190</v>
      </c>
      <c r="E353" s="126" t="s">
        <v>510</v>
      </c>
      <c r="F353" s="504">
        <v>1</v>
      </c>
      <c r="G353" s="248" t="s">
        <v>7906</v>
      </c>
      <c r="H353" s="542">
        <v>45618</v>
      </c>
      <c r="I353" s="151" t="s">
        <v>898</v>
      </c>
      <c r="J353" s="494" t="s">
        <v>7907</v>
      </c>
      <c r="K353" s="132" t="s">
        <v>7908</v>
      </c>
    </row>
    <row r="354" spans="2:11" ht="31.2" x14ac:dyDescent="0.3">
      <c r="B354" s="31" t="s">
        <v>7743</v>
      </c>
      <c r="C354" s="130" t="s">
        <v>7744</v>
      </c>
      <c r="D354" s="43" t="s">
        <v>190</v>
      </c>
      <c r="E354" s="126" t="s">
        <v>515</v>
      </c>
      <c r="F354" s="504">
        <v>1</v>
      </c>
      <c r="G354" s="248" t="s">
        <v>7909</v>
      </c>
      <c r="H354" s="542">
        <v>45618</v>
      </c>
      <c r="I354" s="151" t="s">
        <v>898</v>
      </c>
      <c r="J354" s="494" t="s">
        <v>7910</v>
      </c>
      <c r="K354" s="132" t="s">
        <v>7911</v>
      </c>
    </row>
    <row r="355" spans="2:11" ht="31.2" x14ac:dyDescent="0.3">
      <c r="B355" s="31" t="s">
        <v>7743</v>
      </c>
      <c r="C355" s="130" t="s">
        <v>7744</v>
      </c>
      <c r="D355" s="43" t="s">
        <v>190</v>
      </c>
      <c r="E355" s="126" t="s">
        <v>510</v>
      </c>
      <c r="F355" s="504">
        <v>1</v>
      </c>
      <c r="G355" s="248" t="s">
        <v>7912</v>
      </c>
      <c r="H355" s="542">
        <v>45619</v>
      </c>
      <c r="I355" s="151" t="s">
        <v>898</v>
      </c>
      <c r="J355" s="494" t="s">
        <v>7913</v>
      </c>
      <c r="K355" s="132" t="s">
        <v>7914</v>
      </c>
    </row>
    <row r="356" spans="2:11" ht="31.2" x14ac:dyDescent="0.3">
      <c r="B356" s="31" t="s">
        <v>7743</v>
      </c>
      <c r="C356" s="130" t="s">
        <v>7744</v>
      </c>
      <c r="D356" s="43" t="s">
        <v>190</v>
      </c>
      <c r="E356" s="126" t="s">
        <v>515</v>
      </c>
      <c r="F356" s="504">
        <v>1</v>
      </c>
      <c r="G356" s="248" t="s">
        <v>7915</v>
      </c>
      <c r="H356" s="542">
        <v>45619</v>
      </c>
      <c r="I356" s="151" t="s">
        <v>898</v>
      </c>
      <c r="J356" s="494" t="s">
        <v>7916</v>
      </c>
      <c r="K356" s="132" t="s">
        <v>7917</v>
      </c>
    </row>
    <row r="357" spans="2:11" ht="31.2" x14ac:dyDescent="0.3">
      <c r="B357" s="31" t="s">
        <v>7743</v>
      </c>
      <c r="C357" s="130" t="s">
        <v>7744</v>
      </c>
      <c r="D357" s="43" t="s">
        <v>190</v>
      </c>
      <c r="E357" s="126" t="s">
        <v>510</v>
      </c>
      <c r="F357" s="504">
        <v>1</v>
      </c>
      <c r="G357" s="248" t="s">
        <v>7918</v>
      </c>
      <c r="H357" s="542">
        <v>45621</v>
      </c>
      <c r="I357" s="151" t="s">
        <v>898</v>
      </c>
      <c r="J357" s="494" t="s">
        <v>7919</v>
      </c>
      <c r="K357" s="132" t="s">
        <v>7920</v>
      </c>
    </row>
    <row r="358" spans="2:11" ht="31.2" x14ac:dyDescent="0.3">
      <c r="B358" s="31" t="s">
        <v>7743</v>
      </c>
      <c r="C358" s="130" t="s">
        <v>7744</v>
      </c>
      <c r="D358" s="43" t="s">
        <v>190</v>
      </c>
      <c r="E358" s="126" t="s">
        <v>515</v>
      </c>
      <c r="F358" s="504">
        <v>1</v>
      </c>
      <c r="G358" s="248" t="s">
        <v>7921</v>
      </c>
      <c r="H358" s="542">
        <v>45621</v>
      </c>
      <c r="I358" s="151" t="s">
        <v>898</v>
      </c>
      <c r="J358" s="494" t="s">
        <v>7922</v>
      </c>
      <c r="K358" s="132" t="s">
        <v>7923</v>
      </c>
    </row>
    <row r="359" spans="2:11" ht="31.2" x14ac:dyDescent="0.3">
      <c r="B359" s="31" t="s">
        <v>7743</v>
      </c>
      <c r="C359" s="130" t="s">
        <v>7744</v>
      </c>
      <c r="D359" s="43" t="s">
        <v>190</v>
      </c>
      <c r="E359" s="126" t="s">
        <v>515</v>
      </c>
      <c r="F359" s="504">
        <v>1</v>
      </c>
      <c r="G359" s="248" t="s">
        <v>7924</v>
      </c>
      <c r="H359" s="542">
        <v>45621</v>
      </c>
      <c r="I359" s="151" t="s">
        <v>898</v>
      </c>
      <c r="J359" s="494" t="s">
        <v>7925</v>
      </c>
      <c r="K359" s="132" t="s">
        <v>7926</v>
      </c>
    </row>
    <row r="360" spans="2:11" ht="31.2" x14ac:dyDescent="0.3">
      <c r="B360" s="31" t="s">
        <v>7743</v>
      </c>
      <c r="C360" s="130" t="s">
        <v>7744</v>
      </c>
      <c r="D360" s="43" t="s">
        <v>190</v>
      </c>
      <c r="E360" s="126" t="s">
        <v>510</v>
      </c>
      <c r="F360" s="504">
        <v>1</v>
      </c>
      <c r="G360" s="248" t="s">
        <v>7927</v>
      </c>
      <c r="H360" s="542">
        <v>45622</v>
      </c>
      <c r="I360" s="151" t="s">
        <v>898</v>
      </c>
      <c r="J360" s="494" t="s">
        <v>7928</v>
      </c>
      <c r="K360" s="132" t="s">
        <v>7929</v>
      </c>
    </row>
    <row r="361" spans="2:11" ht="31.2" x14ac:dyDescent="0.3">
      <c r="B361" s="31" t="s">
        <v>7743</v>
      </c>
      <c r="C361" s="130" t="s">
        <v>7744</v>
      </c>
      <c r="D361" s="43" t="s">
        <v>190</v>
      </c>
      <c r="E361" s="126" t="s">
        <v>515</v>
      </c>
      <c r="F361" s="504">
        <v>1</v>
      </c>
      <c r="G361" s="248" t="s">
        <v>7930</v>
      </c>
      <c r="H361" s="542">
        <v>45622</v>
      </c>
      <c r="I361" s="151" t="s">
        <v>898</v>
      </c>
      <c r="J361" s="494" t="s">
        <v>7931</v>
      </c>
      <c r="K361" s="132" t="s">
        <v>7932</v>
      </c>
    </row>
    <row r="362" spans="2:11" ht="31.2" x14ac:dyDescent="0.3">
      <c r="B362" s="31" t="s">
        <v>7743</v>
      </c>
      <c r="C362" s="130" t="s">
        <v>7744</v>
      </c>
      <c r="D362" s="43" t="s">
        <v>190</v>
      </c>
      <c r="E362" s="126" t="s">
        <v>515</v>
      </c>
      <c r="F362" s="504">
        <v>1</v>
      </c>
      <c r="G362" s="248" t="s">
        <v>7933</v>
      </c>
      <c r="H362" s="542" t="s">
        <v>7934</v>
      </c>
      <c r="I362" s="151" t="s">
        <v>898</v>
      </c>
      <c r="J362" s="494" t="s">
        <v>7935</v>
      </c>
      <c r="K362" s="132" t="s">
        <v>7936</v>
      </c>
    </row>
    <row r="363" spans="2:11" ht="31.2" x14ac:dyDescent="0.3">
      <c r="B363" s="31" t="s">
        <v>7743</v>
      </c>
      <c r="C363" s="130" t="s">
        <v>7744</v>
      </c>
      <c r="D363" s="43" t="s">
        <v>190</v>
      </c>
      <c r="E363" s="126" t="s">
        <v>515</v>
      </c>
      <c r="F363" s="504">
        <v>1</v>
      </c>
      <c r="G363" s="248" t="s">
        <v>7937</v>
      </c>
      <c r="H363" s="542" t="s">
        <v>7938</v>
      </c>
      <c r="I363" s="151" t="s">
        <v>898</v>
      </c>
      <c r="J363" s="494" t="s">
        <v>7939</v>
      </c>
      <c r="K363" s="132" t="s">
        <v>7940</v>
      </c>
    </row>
    <row r="364" spans="2:11" ht="31.2" x14ac:dyDescent="0.3">
      <c r="B364" s="31" t="s">
        <v>7743</v>
      </c>
      <c r="C364" s="130" t="s">
        <v>7744</v>
      </c>
      <c r="D364" s="43" t="s">
        <v>190</v>
      </c>
      <c r="E364" s="126" t="s">
        <v>510</v>
      </c>
      <c r="F364" s="504">
        <v>1</v>
      </c>
      <c r="G364" s="248" t="s">
        <v>7941</v>
      </c>
      <c r="H364" s="542">
        <v>45623</v>
      </c>
      <c r="I364" s="151" t="s">
        <v>898</v>
      </c>
      <c r="J364" s="494" t="s">
        <v>7942</v>
      </c>
      <c r="K364" s="132" t="s">
        <v>7943</v>
      </c>
    </row>
    <row r="365" spans="2:11" ht="31.2" x14ac:dyDescent="0.3">
      <c r="B365" s="31" t="s">
        <v>7743</v>
      </c>
      <c r="C365" s="130" t="s">
        <v>7744</v>
      </c>
      <c r="D365" s="43" t="s">
        <v>190</v>
      </c>
      <c r="E365" s="126" t="s">
        <v>515</v>
      </c>
      <c r="F365" s="504">
        <v>1</v>
      </c>
      <c r="G365" s="248" t="s">
        <v>7944</v>
      </c>
      <c r="H365" s="542">
        <v>45623</v>
      </c>
      <c r="I365" s="151" t="s">
        <v>898</v>
      </c>
      <c r="J365" s="494" t="s">
        <v>7945</v>
      </c>
      <c r="K365" s="132" t="s">
        <v>7946</v>
      </c>
    </row>
    <row r="366" spans="2:11" ht="31.2" x14ac:dyDescent="0.3">
      <c r="B366" s="31" t="s">
        <v>7743</v>
      </c>
      <c r="C366" s="130" t="s">
        <v>7744</v>
      </c>
      <c r="D366" s="43" t="s">
        <v>190</v>
      </c>
      <c r="E366" s="126" t="s">
        <v>515</v>
      </c>
      <c r="F366" s="504">
        <v>1</v>
      </c>
      <c r="G366" s="248" t="s">
        <v>7947</v>
      </c>
      <c r="H366" s="542">
        <v>45623</v>
      </c>
      <c r="I366" s="151" t="s">
        <v>898</v>
      </c>
      <c r="J366" s="494" t="s">
        <v>7948</v>
      </c>
      <c r="K366" s="132" t="s">
        <v>7949</v>
      </c>
    </row>
    <row r="367" spans="2:11" ht="31.2" x14ac:dyDescent="0.3">
      <c r="B367" s="31" t="s">
        <v>7743</v>
      </c>
      <c r="C367" s="130" t="s">
        <v>7744</v>
      </c>
      <c r="D367" s="43" t="s">
        <v>190</v>
      </c>
      <c r="E367" s="126" t="s">
        <v>510</v>
      </c>
      <c r="F367" s="504">
        <v>1</v>
      </c>
      <c r="G367" s="248" t="s">
        <v>7950</v>
      </c>
      <c r="H367" s="542">
        <v>45624</v>
      </c>
      <c r="I367" s="151" t="s">
        <v>898</v>
      </c>
      <c r="J367" s="494" t="s">
        <v>7951</v>
      </c>
      <c r="K367" s="132" t="s">
        <v>7952</v>
      </c>
    </row>
    <row r="368" spans="2:11" ht="31.2" x14ac:dyDescent="0.3">
      <c r="B368" s="31" t="s">
        <v>7743</v>
      </c>
      <c r="C368" s="130" t="s">
        <v>7744</v>
      </c>
      <c r="D368" s="43" t="s">
        <v>190</v>
      </c>
      <c r="E368" s="126" t="s">
        <v>510</v>
      </c>
      <c r="F368" s="504">
        <v>1</v>
      </c>
      <c r="G368" s="248" t="s">
        <v>7953</v>
      </c>
      <c r="H368" s="542">
        <v>45624</v>
      </c>
      <c r="I368" s="151" t="s">
        <v>898</v>
      </c>
      <c r="J368" s="494" t="s">
        <v>7954</v>
      </c>
      <c r="K368" s="132" t="s">
        <v>7955</v>
      </c>
    </row>
    <row r="369" spans="2:11" ht="31.2" x14ac:dyDescent="0.3">
      <c r="B369" s="31" t="s">
        <v>7743</v>
      </c>
      <c r="C369" s="130" t="s">
        <v>7744</v>
      </c>
      <c r="D369" s="43" t="s">
        <v>190</v>
      </c>
      <c r="E369" s="126" t="s">
        <v>515</v>
      </c>
      <c r="F369" s="504">
        <v>1</v>
      </c>
      <c r="G369" s="248" t="s">
        <v>7956</v>
      </c>
      <c r="H369" s="542" t="s">
        <v>7957</v>
      </c>
      <c r="I369" s="151" t="s">
        <v>898</v>
      </c>
      <c r="J369" s="494" t="s">
        <v>7958</v>
      </c>
      <c r="K369" s="132" t="s">
        <v>7959</v>
      </c>
    </row>
    <row r="370" spans="2:11" ht="31.2" x14ac:dyDescent="0.3">
      <c r="B370" s="31" t="s">
        <v>7743</v>
      </c>
      <c r="C370" s="130" t="s">
        <v>7744</v>
      </c>
      <c r="D370" s="43" t="s">
        <v>190</v>
      </c>
      <c r="E370" s="126" t="s">
        <v>515</v>
      </c>
      <c r="F370" s="504">
        <v>1</v>
      </c>
      <c r="G370" s="248" t="s">
        <v>7960</v>
      </c>
      <c r="H370" s="542" t="s">
        <v>7961</v>
      </c>
      <c r="I370" s="151" t="s">
        <v>898</v>
      </c>
      <c r="J370" s="494" t="s">
        <v>7962</v>
      </c>
      <c r="K370" s="132" t="s">
        <v>7963</v>
      </c>
    </row>
    <row r="371" spans="2:11" ht="31.2" x14ac:dyDescent="0.3">
      <c r="B371" s="31" t="s">
        <v>7743</v>
      </c>
      <c r="C371" s="130" t="s">
        <v>7744</v>
      </c>
      <c r="D371" s="43" t="s">
        <v>190</v>
      </c>
      <c r="E371" s="126" t="s">
        <v>510</v>
      </c>
      <c r="F371" s="504">
        <v>1</v>
      </c>
      <c r="G371" s="248" t="s">
        <v>7964</v>
      </c>
      <c r="H371" s="585" t="s">
        <v>7965</v>
      </c>
      <c r="I371" s="151" t="s">
        <v>898</v>
      </c>
      <c r="J371" s="494" t="s">
        <v>7966</v>
      </c>
      <c r="K371" s="132" t="s">
        <v>7967</v>
      </c>
    </row>
    <row r="372" spans="2:11" ht="31.2" x14ac:dyDescent="0.3">
      <c r="B372" s="31" t="s">
        <v>7743</v>
      </c>
      <c r="C372" s="130" t="s">
        <v>7744</v>
      </c>
      <c r="D372" s="43" t="s">
        <v>190</v>
      </c>
      <c r="E372" s="126" t="s">
        <v>510</v>
      </c>
      <c r="F372" s="504">
        <v>1</v>
      </c>
      <c r="G372" s="248" t="s">
        <v>7968</v>
      </c>
      <c r="H372" s="542" t="s">
        <v>7969</v>
      </c>
      <c r="I372" s="151" t="s">
        <v>898</v>
      </c>
      <c r="J372" s="494" t="s">
        <v>7970</v>
      </c>
      <c r="K372" s="132" t="s">
        <v>7971</v>
      </c>
    </row>
    <row r="373" spans="2:11" ht="31.2" x14ac:dyDescent="0.3">
      <c r="B373" s="31" t="s">
        <v>7743</v>
      </c>
      <c r="C373" s="130" t="s">
        <v>7744</v>
      </c>
      <c r="D373" s="43" t="s">
        <v>190</v>
      </c>
      <c r="E373" s="126" t="s">
        <v>515</v>
      </c>
      <c r="F373" s="504">
        <v>1</v>
      </c>
      <c r="G373" s="248" t="s">
        <v>7972</v>
      </c>
      <c r="H373" s="542">
        <v>45626</v>
      </c>
      <c r="I373" s="151" t="s">
        <v>898</v>
      </c>
      <c r="J373" s="494" t="s">
        <v>7973</v>
      </c>
      <c r="K373" s="132" t="s">
        <v>7974</v>
      </c>
    </row>
    <row r="374" spans="2:11" ht="31.2" x14ac:dyDescent="0.3">
      <c r="B374" s="31" t="s">
        <v>7743</v>
      </c>
      <c r="C374" s="130" t="s">
        <v>7744</v>
      </c>
      <c r="D374" s="43" t="s">
        <v>190</v>
      </c>
      <c r="E374" s="126" t="s">
        <v>510</v>
      </c>
      <c r="F374" s="504">
        <v>1</v>
      </c>
      <c r="G374" s="248" t="s">
        <v>7975</v>
      </c>
      <c r="H374" s="542">
        <v>45628</v>
      </c>
      <c r="I374" s="151" t="s">
        <v>898</v>
      </c>
      <c r="J374" s="494" t="s">
        <v>7976</v>
      </c>
      <c r="K374" s="132" t="s">
        <v>7977</v>
      </c>
    </row>
    <row r="375" spans="2:11" ht="31.2" x14ac:dyDescent="0.3">
      <c r="B375" s="31" t="s">
        <v>7743</v>
      </c>
      <c r="C375" s="130" t="s">
        <v>7744</v>
      </c>
      <c r="D375" s="43" t="s">
        <v>190</v>
      </c>
      <c r="E375" s="126" t="s">
        <v>515</v>
      </c>
      <c r="F375" s="504">
        <v>1</v>
      </c>
      <c r="G375" s="248" t="s">
        <v>7978</v>
      </c>
      <c r="H375" s="585" t="s">
        <v>7979</v>
      </c>
      <c r="I375" s="151" t="s">
        <v>898</v>
      </c>
      <c r="J375" s="494" t="s">
        <v>7980</v>
      </c>
      <c r="K375" s="132" t="s">
        <v>7981</v>
      </c>
    </row>
    <row r="376" spans="2:11" ht="31.2" x14ac:dyDescent="0.3">
      <c r="B376" s="31" t="s">
        <v>7743</v>
      </c>
      <c r="C376" s="130" t="s">
        <v>7744</v>
      </c>
      <c r="D376" s="43" t="s">
        <v>190</v>
      </c>
      <c r="E376" s="586" t="s">
        <v>510</v>
      </c>
      <c r="F376" s="504">
        <v>1</v>
      </c>
      <c r="G376" s="587" t="s">
        <v>7982</v>
      </c>
      <c r="H376" s="585">
        <v>45630</v>
      </c>
      <c r="I376" s="588" t="s">
        <v>898</v>
      </c>
      <c r="J376" s="584" t="s">
        <v>7983</v>
      </c>
      <c r="K376" s="481" t="s">
        <v>7984</v>
      </c>
    </row>
    <row r="377" spans="2:11" ht="31.2" x14ac:dyDescent="0.3">
      <c r="B377" s="31" t="s">
        <v>7743</v>
      </c>
      <c r="C377" s="130" t="s">
        <v>7744</v>
      </c>
      <c r="D377" s="43" t="s">
        <v>190</v>
      </c>
      <c r="E377" s="586" t="s">
        <v>515</v>
      </c>
      <c r="F377" s="504">
        <v>1</v>
      </c>
      <c r="G377" s="587" t="s">
        <v>7985</v>
      </c>
      <c r="H377" s="585" t="s">
        <v>7986</v>
      </c>
      <c r="I377" s="588" t="s">
        <v>898</v>
      </c>
      <c r="J377" s="584" t="s">
        <v>7987</v>
      </c>
      <c r="K377" s="481" t="s">
        <v>7988</v>
      </c>
    </row>
    <row r="378" spans="2:11" ht="31.2" x14ac:dyDescent="0.3">
      <c r="B378" s="31" t="s">
        <v>7743</v>
      </c>
      <c r="C378" s="130" t="s">
        <v>7744</v>
      </c>
      <c r="D378" s="43" t="s">
        <v>190</v>
      </c>
      <c r="E378" s="586" t="s">
        <v>510</v>
      </c>
      <c r="F378" s="504">
        <v>1</v>
      </c>
      <c r="G378" s="587" t="s">
        <v>7989</v>
      </c>
      <c r="H378" s="585">
        <v>45633</v>
      </c>
      <c r="I378" s="588" t="s">
        <v>898</v>
      </c>
      <c r="J378" s="584" t="s">
        <v>7990</v>
      </c>
      <c r="K378" s="481" t="s">
        <v>7991</v>
      </c>
    </row>
    <row r="379" spans="2:11" ht="31.2" x14ac:dyDescent="0.3">
      <c r="B379" s="31" t="s">
        <v>7743</v>
      </c>
      <c r="C379" s="130" t="s">
        <v>7744</v>
      </c>
      <c r="D379" s="43" t="s">
        <v>190</v>
      </c>
      <c r="E379" s="126" t="s">
        <v>515</v>
      </c>
      <c r="F379" s="504">
        <v>1</v>
      </c>
      <c r="G379" s="248" t="s">
        <v>7992</v>
      </c>
      <c r="H379" s="542">
        <v>45629</v>
      </c>
      <c r="I379" s="151" t="s">
        <v>931</v>
      </c>
      <c r="J379" s="494" t="s">
        <v>7993</v>
      </c>
      <c r="K379" s="132" t="s">
        <v>7994</v>
      </c>
    </row>
    <row r="380" spans="2:11" ht="31.2" x14ac:dyDescent="0.3">
      <c r="B380" s="31" t="s">
        <v>7743</v>
      </c>
      <c r="C380" s="130" t="s">
        <v>7744</v>
      </c>
      <c r="D380" s="43" t="s">
        <v>190</v>
      </c>
      <c r="E380" s="126" t="s">
        <v>515</v>
      </c>
      <c r="F380" s="504">
        <v>1</v>
      </c>
      <c r="G380" s="248" t="s">
        <v>7995</v>
      </c>
      <c r="H380" s="542">
        <v>45629</v>
      </c>
      <c r="I380" s="151" t="s">
        <v>931</v>
      </c>
      <c r="J380" s="494" t="s">
        <v>7996</v>
      </c>
      <c r="K380" s="132" t="s">
        <v>7997</v>
      </c>
    </row>
    <row r="381" spans="2:11" ht="31.2" x14ac:dyDescent="0.3">
      <c r="B381" s="31" t="s">
        <v>7743</v>
      </c>
      <c r="C381" s="130" t="s">
        <v>7744</v>
      </c>
      <c r="D381" s="43" t="s">
        <v>190</v>
      </c>
      <c r="E381" s="126" t="s">
        <v>515</v>
      </c>
      <c r="F381" s="504">
        <v>1</v>
      </c>
      <c r="G381" s="248" t="s">
        <v>7998</v>
      </c>
      <c r="H381" s="542" t="s">
        <v>7999</v>
      </c>
      <c r="I381" s="151" t="s">
        <v>931</v>
      </c>
      <c r="J381" s="494" t="s">
        <v>8000</v>
      </c>
      <c r="K381" s="132" t="s">
        <v>8001</v>
      </c>
    </row>
    <row r="382" spans="2:11" ht="31.2" x14ac:dyDescent="0.3">
      <c r="B382" s="31" t="s">
        <v>7743</v>
      </c>
      <c r="C382" s="130" t="s">
        <v>7744</v>
      </c>
      <c r="D382" s="43" t="s">
        <v>190</v>
      </c>
      <c r="E382" s="126" t="s">
        <v>515</v>
      </c>
      <c r="F382" s="504">
        <v>1</v>
      </c>
      <c r="G382" s="248" t="s">
        <v>8002</v>
      </c>
      <c r="H382" s="542" t="s">
        <v>8003</v>
      </c>
      <c r="I382" s="151" t="s">
        <v>931</v>
      </c>
      <c r="J382" s="494" t="s">
        <v>8004</v>
      </c>
      <c r="K382" s="132" t="s">
        <v>8005</v>
      </c>
    </row>
    <row r="383" spans="2:11" ht="31.2" x14ac:dyDescent="0.3">
      <c r="B383" s="31" t="s">
        <v>7743</v>
      </c>
      <c r="C383" s="130" t="s">
        <v>7744</v>
      </c>
      <c r="D383" s="43" t="s">
        <v>190</v>
      </c>
      <c r="E383" s="126" t="s">
        <v>510</v>
      </c>
      <c r="F383" s="504">
        <v>1</v>
      </c>
      <c r="G383" s="248" t="s">
        <v>8006</v>
      </c>
      <c r="H383" s="542">
        <v>45634</v>
      </c>
      <c r="I383" s="151" t="s">
        <v>931</v>
      </c>
      <c r="J383" s="494" t="s">
        <v>8007</v>
      </c>
      <c r="K383" s="132" t="s">
        <v>8008</v>
      </c>
    </row>
    <row r="384" spans="2:11" ht="31.2" x14ac:dyDescent="0.3">
      <c r="B384" s="31" t="s">
        <v>7743</v>
      </c>
      <c r="C384" s="130" t="s">
        <v>7744</v>
      </c>
      <c r="D384" s="43" t="s">
        <v>190</v>
      </c>
      <c r="E384" s="126" t="s">
        <v>510</v>
      </c>
      <c r="F384" s="504">
        <v>1</v>
      </c>
      <c r="G384" s="248" t="s">
        <v>8009</v>
      </c>
      <c r="H384" s="542">
        <v>45634</v>
      </c>
      <c r="I384" s="151" t="s">
        <v>931</v>
      </c>
      <c r="J384" s="494" t="s">
        <v>8010</v>
      </c>
      <c r="K384" s="132" t="s">
        <v>8011</v>
      </c>
    </row>
    <row r="385" spans="2:11" ht="31.2" x14ac:dyDescent="0.3">
      <c r="B385" s="31" t="s">
        <v>7743</v>
      </c>
      <c r="C385" s="130" t="s">
        <v>7744</v>
      </c>
      <c r="D385" s="43" t="s">
        <v>190</v>
      </c>
      <c r="E385" s="126" t="s">
        <v>515</v>
      </c>
      <c r="F385" s="504">
        <v>1</v>
      </c>
      <c r="G385" s="248" t="s">
        <v>8012</v>
      </c>
      <c r="H385" s="542" t="s">
        <v>8013</v>
      </c>
      <c r="I385" s="151" t="s">
        <v>931</v>
      </c>
      <c r="J385" s="494" t="s">
        <v>8014</v>
      </c>
      <c r="K385" s="132" t="s">
        <v>8015</v>
      </c>
    </row>
    <row r="386" spans="2:11" ht="31.2" x14ac:dyDescent="0.3">
      <c r="B386" s="31" t="s">
        <v>7743</v>
      </c>
      <c r="C386" s="130" t="s">
        <v>7744</v>
      </c>
      <c r="D386" s="43" t="s">
        <v>190</v>
      </c>
      <c r="E386" s="126" t="s">
        <v>515</v>
      </c>
      <c r="F386" s="504">
        <v>1</v>
      </c>
      <c r="G386" s="248" t="s">
        <v>8016</v>
      </c>
      <c r="H386" s="542">
        <v>45628</v>
      </c>
      <c r="I386" s="151" t="s">
        <v>931</v>
      </c>
      <c r="J386" s="494" t="s">
        <v>8017</v>
      </c>
      <c r="K386" s="132" t="s">
        <v>8018</v>
      </c>
    </row>
    <row r="387" spans="2:11" ht="31.2" x14ac:dyDescent="0.3">
      <c r="B387" s="31" t="s">
        <v>7743</v>
      </c>
      <c r="C387" s="130" t="s">
        <v>7744</v>
      </c>
      <c r="D387" s="43" t="s">
        <v>190</v>
      </c>
      <c r="E387" s="126" t="s">
        <v>515</v>
      </c>
      <c r="F387" s="504">
        <v>1</v>
      </c>
      <c r="G387" s="248" t="s">
        <v>8019</v>
      </c>
      <c r="H387" s="542">
        <v>45628</v>
      </c>
      <c r="I387" s="151" t="s">
        <v>931</v>
      </c>
      <c r="J387" s="494" t="s">
        <v>8020</v>
      </c>
      <c r="K387" s="132" t="s">
        <v>8021</v>
      </c>
    </row>
    <row r="388" spans="2:11" ht="31.2" x14ac:dyDescent="0.3">
      <c r="B388" s="31" t="s">
        <v>7743</v>
      </c>
      <c r="C388" s="130" t="s">
        <v>7744</v>
      </c>
      <c r="D388" s="43" t="s">
        <v>190</v>
      </c>
      <c r="E388" s="126" t="s">
        <v>510</v>
      </c>
      <c r="F388" s="504">
        <v>1</v>
      </c>
      <c r="G388" s="248" t="s">
        <v>8022</v>
      </c>
      <c r="H388" s="542" t="s">
        <v>8023</v>
      </c>
      <c r="I388" s="319" t="s">
        <v>1326</v>
      </c>
      <c r="J388" s="494" t="s">
        <v>8024</v>
      </c>
      <c r="K388" s="132" t="s">
        <v>8025</v>
      </c>
    </row>
    <row r="389" spans="2:11" ht="31.2" x14ac:dyDescent="0.3">
      <c r="B389" s="31" t="s">
        <v>7743</v>
      </c>
      <c r="C389" s="130" t="s">
        <v>7744</v>
      </c>
      <c r="D389" s="43" t="s">
        <v>190</v>
      </c>
      <c r="E389" s="126" t="s">
        <v>515</v>
      </c>
      <c r="F389" s="504">
        <v>1</v>
      </c>
      <c r="G389" s="248" t="s">
        <v>8026</v>
      </c>
      <c r="H389" s="542">
        <v>45628</v>
      </c>
      <c r="I389" s="319" t="s">
        <v>1326</v>
      </c>
      <c r="J389" s="494" t="s">
        <v>8027</v>
      </c>
      <c r="K389" s="132" t="s">
        <v>8028</v>
      </c>
    </row>
    <row r="390" spans="2:11" ht="31.2" x14ac:dyDescent="0.3">
      <c r="B390" s="31" t="s">
        <v>7743</v>
      </c>
      <c r="C390" s="130" t="s">
        <v>7744</v>
      </c>
      <c r="D390" s="43" t="s">
        <v>190</v>
      </c>
      <c r="E390" s="126" t="s">
        <v>515</v>
      </c>
      <c r="F390" s="504">
        <v>1</v>
      </c>
      <c r="G390" s="248" t="s">
        <v>8029</v>
      </c>
      <c r="H390" s="542">
        <v>45845</v>
      </c>
      <c r="I390" s="319" t="s">
        <v>1262</v>
      </c>
      <c r="J390" s="584" t="s">
        <v>8030</v>
      </c>
      <c r="K390" s="132" t="s">
        <v>8031</v>
      </c>
    </row>
    <row r="391" spans="2:11" ht="31.2" x14ac:dyDescent="0.3">
      <c r="B391" s="31" t="s">
        <v>7743</v>
      </c>
      <c r="C391" s="130" t="s">
        <v>7744</v>
      </c>
      <c r="D391" s="43" t="s">
        <v>190</v>
      </c>
      <c r="E391" s="126" t="s">
        <v>515</v>
      </c>
      <c r="F391" s="504">
        <v>1</v>
      </c>
      <c r="G391" s="248" t="s">
        <v>8032</v>
      </c>
      <c r="H391" s="542">
        <v>45845</v>
      </c>
      <c r="I391" s="319" t="s">
        <v>1262</v>
      </c>
      <c r="J391" s="584" t="s">
        <v>8033</v>
      </c>
      <c r="K391" s="132" t="s">
        <v>8034</v>
      </c>
    </row>
    <row r="392" spans="2:11" ht="31.2" x14ac:dyDescent="0.3">
      <c r="B392" s="31" t="s">
        <v>7743</v>
      </c>
      <c r="C392" s="130" t="s">
        <v>7744</v>
      </c>
      <c r="D392" s="43" t="s">
        <v>190</v>
      </c>
      <c r="E392" s="126" t="s">
        <v>515</v>
      </c>
      <c r="F392" s="504">
        <v>1</v>
      </c>
      <c r="G392" s="248" t="s">
        <v>8035</v>
      </c>
      <c r="H392" s="542">
        <v>45846</v>
      </c>
      <c r="I392" s="319" t="s">
        <v>1262</v>
      </c>
      <c r="J392" s="584" t="s">
        <v>8036</v>
      </c>
      <c r="K392" s="132" t="s">
        <v>8037</v>
      </c>
    </row>
    <row r="393" spans="2:11" ht="31.2" x14ac:dyDescent="0.3">
      <c r="B393" s="31" t="s">
        <v>7743</v>
      </c>
      <c r="C393" s="130" t="s">
        <v>7744</v>
      </c>
      <c r="D393" s="43" t="s">
        <v>190</v>
      </c>
      <c r="E393" s="126" t="s">
        <v>515</v>
      </c>
      <c r="F393" s="504">
        <v>1</v>
      </c>
      <c r="G393" s="248" t="s">
        <v>8038</v>
      </c>
      <c r="H393" s="542">
        <v>45847</v>
      </c>
      <c r="I393" s="319" t="s">
        <v>1262</v>
      </c>
      <c r="J393" s="584" t="s">
        <v>8039</v>
      </c>
      <c r="K393" s="132" t="s">
        <v>8040</v>
      </c>
    </row>
    <row r="394" spans="2:11" ht="31.2" x14ac:dyDescent="0.3">
      <c r="B394" s="31" t="s">
        <v>7743</v>
      </c>
      <c r="C394" s="130" t="s">
        <v>7744</v>
      </c>
      <c r="D394" s="43" t="s">
        <v>190</v>
      </c>
      <c r="E394" s="126" t="s">
        <v>515</v>
      </c>
      <c r="F394" s="504">
        <v>1</v>
      </c>
      <c r="G394" s="248" t="s">
        <v>8041</v>
      </c>
      <c r="H394" s="542">
        <v>45848</v>
      </c>
      <c r="I394" s="319" t="s">
        <v>1262</v>
      </c>
      <c r="J394" s="584" t="s">
        <v>8042</v>
      </c>
      <c r="K394" s="132" t="s">
        <v>8043</v>
      </c>
    </row>
    <row r="395" spans="2:11" ht="31.2" x14ac:dyDescent="0.3">
      <c r="B395" s="31" t="s">
        <v>7743</v>
      </c>
      <c r="C395" s="130" t="s">
        <v>7744</v>
      </c>
      <c r="D395" s="43" t="s">
        <v>190</v>
      </c>
      <c r="E395" s="126" t="s">
        <v>515</v>
      </c>
      <c r="F395" s="504">
        <v>1</v>
      </c>
      <c r="G395" s="248" t="s">
        <v>8044</v>
      </c>
      <c r="H395" s="542">
        <v>45849</v>
      </c>
      <c r="I395" s="319" t="s">
        <v>1262</v>
      </c>
      <c r="J395" s="584" t="s">
        <v>8045</v>
      </c>
      <c r="K395" s="132" t="s">
        <v>8046</v>
      </c>
    </row>
    <row r="396" spans="2:11" ht="31.2" x14ac:dyDescent="0.3">
      <c r="B396" s="31" t="s">
        <v>7743</v>
      </c>
      <c r="C396" s="130" t="s">
        <v>7744</v>
      </c>
      <c r="D396" s="43" t="s">
        <v>190</v>
      </c>
      <c r="E396" s="126" t="s">
        <v>515</v>
      </c>
      <c r="F396" s="504">
        <v>1</v>
      </c>
      <c r="G396" s="248" t="s">
        <v>8047</v>
      </c>
      <c r="H396" s="542">
        <v>45849</v>
      </c>
      <c r="I396" s="319" t="s">
        <v>1262</v>
      </c>
      <c r="J396" s="584" t="s">
        <v>8048</v>
      </c>
      <c r="K396" s="132" t="s">
        <v>8049</v>
      </c>
    </row>
    <row r="397" spans="2:11" ht="31.2" x14ac:dyDescent="0.3">
      <c r="B397" s="31" t="s">
        <v>7743</v>
      </c>
      <c r="C397" s="130" t="s">
        <v>7744</v>
      </c>
      <c r="D397" s="43" t="s">
        <v>190</v>
      </c>
      <c r="E397" s="126" t="s">
        <v>515</v>
      </c>
      <c r="F397" s="504">
        <v>1</v>
      </c>
      <c r="G397" s="248" t="s">
        <v>8050</v>
      </c>
      <c r="H397" s="542">
        <v>45850</v>
      </c>
      <c r="I397" s="319" t="s">
        <v>1262</v>
      </c>
      <c r="J397" s="584" t="s">
        <v>8051</v>
      </c>
      <c r="K397" s="132" t="s">
        <v>8052</v>
      </c>
    </row>
    <row r="398" spans="2:11" ht="31.2" x14ac:dyDescent="0.3">
      <c r="B398" s="31" t="s">
        <v>7743</v>
      </c>
      <c r="C398" s="130" t="s">
        <v>7744</v>
      </c>
      <c r="D398" s="43" t="s">
        <v>190</v>
      </c>
      <c r="E398" s="126" t="s">
        <v>515</v>
      </c>
      <c r="F398" s="504">
        <v>1</v>
      </c>
      <c r="G398" s="248" t="s">
        <v>8053</v>
      </c>
      <c r="H398" s="542">
        <v>45852</v>
      </c>
      <c r="I398" s="319" t="s">
        <v>1262</v>
      </c>
      <c r="J398" s="584" t="s">
        <v>8054</v>
      </c>
      <c r="K398" s="132" t="s">
        <v>8055</v>
      </c>
    </row>
    <row r="399" spans="2:11" ht="31.2" x14ac:dyDescent="0.3">
      <c r="B399" s="31" t="s">
        <v>7743</v>
      </c>
      <c r="C399" s="130" t="s">
        <v>7744</v>
      </c>
      <c r="D399" s="43" t="s">
        <v>190</v>
      </c>
      <c r="E399" s="126" t="s">
        <v>515</v>
      </c>
      <c r="F399" s="504">
        <v>1</v>
      </c>
      <c r="G399" s="248" t="s">
        <v>8056</v>
      </c>
      <c r="H399" s="542">
        <v>45852</v>
      </c>
      <c r="I399" s="319" t="s">
        <v>1262</v>
      </c>
      <c r="J399" s="584" t="s">
        <v>8057</v>
      </c>
      <c r="K399" s="132" t="s">
        <v>8058</v>
      </c>
    </row>
    <row r="400" spans="2:11" ht="31.2" x14ac:dyDescent="0.3">
      <c r="B400" s="31" t="s">
        <v>7743</v>
      </c>
      <c r="C400" s="130" t="s">
        <v>7744</v>
      </c>
      <c r="D400" s="43" t="s">
        <v>190</v>
      </c>
      <c r="E400" s="126" t="s">
        <v>515</v>
      </c>
      <c r="F400" s="504">
        <v>1</v>
      </c>
      <c r="G400" s="248" t="s">
        <v>8059</v>
      </c>
      <c r="H400" s="542">
        <v>45853</v>
      </c>
      <c r="I400" s="319" t="s">
        <v>1262</v>
      </c>
      <c r="J400" s="584" t="s">
        <v>8060</v>
      </c>
      <c r="K400" s="132" t="s">
        <v>8061</v>
      </c>
    </row>
    <row r="401" spans="2:11" ht="31.2" x14ac:dyDescent="0.3">
      <c r="B401" s="31" t="s">
        <v>7743</v>
      </c>
      <c r="C401" s="130" t="s">
        <v>7744</v>
      </c>
      <c r="D401" s="43" t="s">
        <v>190</v>
      </c>
      <c r="E401" s="126" t="s">
        <v>515</v>
      </c>
      <c r="F401" s="504">
        <v>1</v>
      </c>
      <c r="G401" s="248" t="s">
        <v>8062</v>
      </c>
      <c r="H401" s="542">
        <v>45854</v>
      </c>
      <c r="I401" s="319" t="s">
        <v>1262</v>
      </c>
      <c r="J401" s="584" t="s">
        <v>8063</v>
      </c>
      <c r="K401" s="132" t="s">
        <v>8064</v>
      </c>
    </row>
    <row r="402" spans="2:11" ht="31.2" x14ac:dyDescent="0.3">
      <c r="B402" s="31" t="s">
        <v>7743</v>
      </c>
      <c r="C402" s="130" t="s">
        <v>7744</v>
      </c>
      <c r="D402" s="43" t="s">
        <v>190</v>
      </c>
      <c r="E402" s="126" t="s">
        <v>515</v>
      </c>
      <c r="F402" s="504">
        <v>1</v>
      </c>
      <c r="G402" s="248" t="s">
        <v>8065</v>
      </c>
      <c r="H402" s="542">
        <v>45854</v>
      </c>
      <c r="I402" s="319" t="s">
        <v>1262</v>
      </c>
      <c r="J402" s="584" t="s">
        <v>8066</v>
      </c>
      <c r="K402" s="132" t="s">
        <v>8067</v>
      </c>
    </row>
    <row r="403" spans="2:11" ht="31.2" x14ac:dyDescent="0.3">
      <c r="B403" s="31" t="s">
        <v>7743</v>
      </c>
      <c r="C403" s="130" t="s">
        <v>7744</v>
      </c>
      <c r="D403" s="43" t="s">
        <v>190</v>
      </c>
      <c r="E403" s="126" t="s">
        <v>515</v>
      </c>
      <c r="F403" s="504">
        <v>1</v>
      </c>
      <c r="G403" s="248" t="s">
        <v>8068</v>
      </c>
      <c r="H403" s="542">
        <v>45855</v>
      </c>
      <c r="I403" s="319" t="s">
        <v>1262</v>
      </c>
      <c r="J403" s="584" t="s">
        <v>8069</v>
      </c>
      <c r="K403" s="132" t="s">
        <v>8070</v>
      </c>
    </row>
    <row r="404" spans="2:11" ht="31.2" x14ac:dyDescent="0.3">
      <c r="B404" s="31" t="s">
        <v>7743</v>
      </c>
      <c r="C404" s="130" t="s">
        <v>7744</v>
      </c>
      <c r="D404" s="43" t="s">
        <v>190</v>
      </c>
      <c r="E404" s="126" t="s">
        <v>515</v>
      </c>
      <c r="F404" s="504">
        <v>1</v>
      </c>
      <c r="G404" s="248" t="s">
        <v>8071</v>
      </c>
      <c r="H404" s="542">
        <v>45855</v>
      </c>
      <c r="I404" s="319" t="s">
        <v>1262</v>
      </c>
      <c r="J404" s="584" t="s">
        <v>8072</v>
      </c>
      <c r="K404" s="132" t="s">
        <v>8073</v>
      </c>
    </row>
    <row r="405" spans="2:11" ht="31.2" x14ac:dyDescent="0.3">
      <c r="B405" s="31" t="s">
        <v>7743</v>
      </c>
      <c r="C405" s="130" t="s">
        <v>7744</v>
      </c>
      <c r="D405" s="43" t="s">
        <v>190</v>
      </c>
      <c r="E405" s="126" t="s">
        <v>515</v>
      </c>
      <c r="F405" s="504">
        <v>1</v>
      </c>
      <c r="G405" s="248" t="s">
        <v>8074</v>
      </c>
      <c r="H405" s="542">
        <v>45855</v>
      </c>
      <c r="I405" s="319" t="s">
        <v>1262</v>
      </c>
      <c r="J405" s="584" t="s">
        <v>8075</v>
      </c>
      <c r="K405" s="132" t="s">
        <v>8076</v>
      </c>
    </row>
    <row r="406" spans="2:11" ht="31.2" x14ac:dyDescent="0.3">
      <c r="B406" s="31" t="s">
        <v>7743</v>
      </c>
      <c r="C406" s="130" t="s">
        <v>7744</v>
      </c>
      <c r="D406" s="43" t="s">
        <v>190</v>
      </c>
      <c r="E406" s="126" t="s">
        <v>515</v>
      </c>
      <c r="F406" s="504">
        <v>1</v>
      </c>
      <c r="G406" s="248" t="s">
        <v>8077</v>
      </c>
      <c r="H406" s="542">
        <v>45856</v>
      </c>
      <c r="I406" s="319" t="s">
        <v>1262</v>
      </c>
      <c r="J406" s="584" t="s">
        <v>8078</v>
      </c>
      <c r="K406" s="132" t="s">
        <v>8079</v>
      </c>
    </row>
    <row r="407" spans="2:11" ht="31.2" x14ac:dyDescent="0.3">
      <c r="B407" s="31" t="s">
        <v>7743</v>
      </c>
      <c r="C407" s="130" t="s">
        <v>7744</v>
      </c>
      <c r="D407" s="43" t="s">
        <v>190</v>
      </c>
      <c r="E407" s="126" t="s">
        <v>515</v>
      </c>
      <c r="F407" s="504">
        <v>1</v>
      </c>
      <c r="G407" s="248" t="s">
        <v>8080</v>
      </c>
      <c r="H407" s="542">
        <v>45857</v>
      </c>
      <c r="I407" s="319" t="s">
        <v>1262</v>
      </c>
      <c r="J407" s="584" t="s">
        <v>8081</v>
      </c>
      <c r="K407" s="132" t="s">
        <v>8082</v>
      </c>
    </row>
    <row r="408" spans="2:11" ht="31.2" x14ac:dyDescent="0.3">
      <c r="B408" s="31" t="s">
        <v>7743</v>
      </c>
      <c r="C408" s="130" t="s">
        <v>7744</v>
      </c>
      <c r="D408" s="43" t="s">
        <v>190</v>
      </c>
      <c r="E408" s="126" t="s">
        <v>515</v>
      </c>
      <c r="F408" s="504">
        <v>1</v>
      </c>
      <c r="G408" s="248" t="s">
        <v>8083</v>
      </c>
      <c r="H408" s="542">
        <v>45857</v>
      </c>
      <c r="I408" s="319" t="s">
        <v>1262</v>
      </c>
      <c r="J408" s="584" t="s">
        <v>8084</v>
      </c>
      <c r="K408" s="132" t="s">
        <v>8085</v>
      </c>
    </row>
    <row r="409" spans="2:11" ht="31.2" x14ac:dyDescent="0.3">
      <c r="B409" s="31" t="s">
        <v>7743</v>
      </c>
      <c r="C409" s="130" t="s">
        <v>7744</v>
      </c>
      <c r="D409" s="43" t="s">
        <v>190</v>
      </c>
      <c r="E409" s="126" t="s">
        <v>515</v>
      </c>
      <c r="F409" s="504">
        <v>1</v>
      </c>
      <c r="G409" s="248" t="s">
        <v>8086</v>
      </c>
      <c r="H409" s="542">
        <v>45857</v>
      </c>
      <c r="I409" s="319" t="s">
        <v>1262</v>
      </c>
      <c r="J409" s="584" t="s">
        <v>8087</v>
      </c>
      <c r="K409" s="132" t="s">
        <v>8088</v>
      </c>
    </row>
    <row r="410" spans="2:11" ht="31.2" x14ac:dyDescent="0.3">
      <c r="B410" s="31" t="s">
        <v>7743</v>
      </c>
      <c r="C410" s="130" t="s">
        <v>7744</v>
      </c>
      <c r="D410" s="43" t="s">
        <v>190</v>
      </c>
      <c r="E410" s="126" t="s">
        <v>515</v>
      </c>
      <c r="F410" s="504">
        <v>1</v>
      </c>
      <c r="G410" s="248" t="s">
        <v>8089</v>
      </c>
      <c r="H410" s="542">
        <v>45861</v>
      </c>
      <c r="I410" s="319" t="s">
        <v>1262</v>
      </c>
      <c r="J410" s="584" t="s">
        <v>8090</v>
      </c>
      <c r="K410" s="132" t="s">
        <v>8091</v>
      </c>
    </row>
    <row r="411" spans="2:11" ht="31.2" x14ac:dyDescent="0.3">
      <c r="B411" s="31" t="s">
        <v>7743</v>
      </c>
      <c r="C411" s="130" t="s">
        <v>7744</v>
      </c>
      <c r="D411" s="43" t="s">
        <v>190</v>
      </c>
      <c r="E411" s="126" t="s">
        <v>515</v>
      </c>
      <c r="F411" s="504">
        <v>1</v>
      </c>
      <c r="G411" s="248" t="s">
        <v>8092</v>
      </c>
      <c r="H411" s="542">
        <v>45861</v>
      </c>
      <c r="I411" s="319" t="s">
        <v>1262</v>
      </c>
      <c r="J411" s="584" t="s">
        <v>8093</v>
      </c>
      <c r="K411" s="132" t="s">
        <v>8094</v>
      </c>
    </row>
    <row r="412" spans="2:11" ht="31.2" x14ac:dyDescent="0.3">
      <c r="B412" s="31" t="s">
        <v>7743</v>
      </c>
      <c r="C412" s="130" t="s">
        <v>7744</v>
      </c>
      <c r="D412" s="43" t="s">
        <v>190</v>
      </c>
      <c r="E412" s="126" t="s">
        <v>515</v>
      </c>
      <c r="F412" s="504">
        <v>1</v>
      </c>
      <c r="G412" s="248" t="s">
        <v>8095</v>
      </c>
      <c r="H412" s="542">
        <v>45862</v>
      </c>
      <c r="I412" s="319" t="s">
        <v>1262</v>
      </c>
      <c r="J412" s="584" t="s">
        <v>8096</v>
      </c>
      <c r="K412" s="132" t="s">
        <v>8097</v>
      </c>
    </row>
    <row r="413" spans="2:11" ht="31.2" x14ac:dyDescent="0.3">
      <c r="B413" s="31" t="s">
        <v>7743</v>
      </c>
      <c r="C413" s="130" t="s">
        <v>7744</v>
      </c>
      <c r="D413" s="43" t="s">
        <v>190</v>
      </c>
      <c r="E413" s="126" t="s">
        <v>515</v>
      </c>
      <c r="F413" s="504">
        <v>1</v>
      </c>
      <c r="G413" s="248" t="s">
        <v>8098</v>
      </c>
      <c r="H413" s="542">
        <v>45863</v>
      </c>
      <c r="I413" s="319" t="s">
        <v>1262</v>
      </c>
      <c r="J413" s="584" t="s">
        <v>8099</v>
      </c>
      <c r="K413" s="132" t="s">
        <v>8100</v>
      </c>
    </row>
    <row r="414" spans="2:11" ht="31.2" x14ac:dyDescent="0.3">
      <c r="B414" s="31" t="s">
        <v>7743</v>
      </c>
      <c r="C414" s="130" t="s">
        <v>7744</v>
      </c>
      <c r="D414" s="43" t="s">
        <v>190</v>
      </c>
      <c r="E414" s="126" t="s">
        <v>515</v>
      </c>
      <c r="F414" s="504">
        <v>1</v>
      </c>
      <c r="G414" s="248" t="s">
        <v>8101</v>
      </c>
      <c r="H414" s="542">
        <v>45863</v>
      </c>
      <c r="I414" s="319" t="s">
        <v>1262</v>
      </c>
      <c r="J414" s="584" t="s">
        <v>8102</v>
      </c>
      <c r="K414" s="132" t="s">
        <v>8103</v>
      </c>
    </row>
    <row r="415" spans="2:11" ht="31.2" x14ac:dyDescent="0.3">
      <c r="B415" s="31" t="s">
        <v>7743</v>
      </c>
      <c r="C415" s="130" t="s">
        <v>7744</v>
      </c>
      <c r="D415" s="43" t="s">
        <v>190</v>
      </c>
      <c r="E415" s="126" t="s">
        <v>515</v>
      </c>
      <c r="F415" s="504">
        <v>1</v>
      </c>
      <c r="G415" s="248" t="s">
        <v>8104</v>
      </c>
      <c r="H415" s="542">
        <v>45863</v>
      </c>
      <c r="I415" s="319" t="s">
        <v>1262</v>
      </c>
      <c r="J415" s="584" t="s">
        <v>8105</v>
      </c>
      <c r="K415" s="132" t="s">
        <v>8106</v>
      </c>
    </row>
    <row r="416" spans="2:11" ht="31.2" x14ac:dyDescent="0.3">
      <c r="B416" s="31" t="s">
        <v>7743</v>
      </c>
      <c r="C416" s="130" t="s">
        <v>7744</v>
      </c>
      <c r="D416" s="43" t="s">
        <v>190</v>
      </c>
      <c r="E416" s="126" t="s">
        <v>515</v>
      </c>
      <c r="F416" s="504">
        <v>1</v>
      </c>
      <c r="G416" s="248" t="s">
        <v>8107</v>
      </c>
      <c r="H416" s="542">
        <v>45863</v>
      </c>
      <c r="I416" s="319" t="s">
        <v>1262</v>
      </c>
      <c r="J416" s="584" t="s">
        <v>8108</v>
      </c>
      <c r="K416" s="132" t="s">
        <v>8109</v>
      </c>
    </row>
    <row r="417" spans="2:11" ht="31.2" x14ac:dyDescent="0.3">
      <c r="B417" s="31" t="s">
        <v>7743</v>
      </c>
      <c r="C417" s="130" t="s">
        <v>7744</v>
      </c>
      <c r="D417" s="43" t="s">
        <v>190</v>
      </c>
      <c r="E417" s="126" t="s">
        <v>515</v>
      </c>
      <c r="F417" s="504">
        <v>1</v>
      </c>
      <c r="G417" s="248" t="s">
        <v>8110</v>
      </c>
      <c r="H417" s="542">
        <v>45864</v>
      </c>
      <c r="I417" s="319" t="s">
        <v>1262</v>
      </c>
      <c r="J417" s="584" t="s">
        <v>8111</v>
      </c>
      <c r="K417" s="132" t="s">
        <v>8112</v>
      </c>
    </row>
    <row r="418" spans="2:11" ht="31.2" x14ac:dyDescent="0.3">
      <c r="B418" s="31" t="s">
        <v>7743</v>
      </c>
      <c r="C418" s="130" t="s">
        <v>7744</v>
      </c>
      <c r="D418" s="43" t="s">
        <v>190</v>
      </c>
      <c r="E418" s="126" t="s">
        <v>515</v>
      </c>
      <c r="F418" s="504">
        <v>1</v>
      </c>
      <c r="G418" s="248" t="s">
        <v>8113</v>
      </c>
      <c r="H418" s="542">
        <v>45864</v>
      </c>
      <c r="I418" s="319" t="s">
        <v>1262</v>
      </c>
      <c r="J418" s="584" t="s">
        <v>8114</v>
      </c>
      <c r="K418" s="132" t="s">
        <v>8115</v>
      </c>
    </row>
    <row r="419" spans="2:11" ht="31.2" x14ac:dyDescent="0.3">
      <c r="B419" s="31" t="s">
        <v>7743</v>
      </c>
      <c r="C419" s="130" t="s">
        <v>7744</v>
      </c>
      <c r="D419" s="43" t="s">
        <v>190</v>
      </c>
      <c r="E419" s="126" t="s">
        <v>515</v>
      </c>
      <c r="F419" s="504">
        <v>1</v>
      </c>
      <c r="G419" s="248" t="s">
        <v>8116</v>
      </c>
      <c r="H419" s="542">
        <v>45865</v>
      </c>
      <c r="I419" s="319" t="s">
        <v>1262</v>
      </c>
      <c r="J419" s="584" t="s">
        <v>8117</v>
      </c>
      <c r="K419" s="132" t="s">
        <v>8118</v>
      </c>
    </row>
    <row r="420" spans="2:11" ht="31.2" x14ac:dyDescent="0.3">
      <c r="B420" s="31" t="s">
        <v>7743</v>
      </c>
      <c r="C420" s="130" t="s">
        <v>7744</v>
      </c>
      <c r="D420" s="43" t="s">
        <v>190</v>
      </c>
      <c r="E420" s="126" t="s">
        <v>515</v>
      </c>
      <c r="F420" s="504">
        <v>1</v>
      </c>
      <c r="G420" s="248" t="s">
        <v>8119</v>
      </c>
      <c r="H420" s="542">
        <v>45866</v>
      </c>
      <c r="I420" s="319" t="s">
        <v>1262</v>
      </c>
      <c r="J420" s="584" t="s">
        <v>8120</v>
      </c>
      <c r="K420" s="132" t="s">
        <v>8121</v>
      </c>
    </row>
    <row r="421" spans="2:11" ht="31.2" x14ac:dyDescent="0.3">
      <c r="B421" s="31" t="s">
        <v>7743</v>
      </c>
      <c r="C421" s="130" t="s">
        <v>7744</v>
      </c>
      <c r="D421" s="43" t="s">
        <v>190</v>
      </c>
      <c r="E421" s="126" t="s">
        <v>515</v>
      </c>
      <c r="F421" s="504">
        <v>1</v>
      </c>
      <c r="G421" s="248" t="s">
        <v>8122</v>
      </c>
      <c r="H421" s="542">
        <v>45866</v>
      </c>
      <c r="I421" s="319" t="s">
        <v>1262</v>
      </c>
      <c r="J421" s="584" t="s">
        <v>8123</v>
      </c>
      <c r="K421" s="132" t="s">
        <v>8124</v>
      </c>
    </row>
    <row r="422" spans="2:11" ht="31.2" x14ac:dyDescent="0.3">
      <c r="B422" s="31" t="s">
        <v>7743</v>
      </c>
      <c r="C422" s="130" t="s">
        <v>7744</v>
      </c>
      <c r="D422" s="43" t="s">
        <v>190</v>
      </c>
      <c r="E422" s="126" t="s">
        <v>515</v>
      </c>
      <c r="F422" s="504">
        <v>1</v>
      </c>
      <c r="G422" s="248" t="s">
        <v>8125</v>
      </c>
      <c r="H422" s="542">
        <v>45867</v>
      </c>
      <c r="I422" s="319" t="s">
        <v>1262</v>
      </c>
      <c r="J422" s="584" t="s">
        <v>8126</v>
      </c>
      <c r="K422" s="132" t="s">
        <v>8127</v>
      </c>
    </row>
    <row r="423" spans="2:11" ht="31.2" x14ac:dyDescent="0.3">
      <c r="B423" s="31" t="s">
        <v>7743</v>
      </c>
      <c r="C423" s="130" t="s">
        <v>7744</v>
      </c>
      <c r="D423" s="43" t="s">
        <v>190</v>
      </c>
      <c r="E423" s="126" t="s">
        <v>515</v>
      </c>
      <c r="F423" s="504">
        <v>1</v>
      </c>
      <c r="G423" s="248" t="s">
        <v>8128</v>
      </c>
      <c r="H423" s="542">
        <v>45868</v>
      </c>
      <c r="I423" s="319" t="s">
        <v>1262</v>
      </c>
      <c r="J423" s="584" t="s">
        <v>8129</v>
      </c>
      <c r="K423" s="132" t="s">
        <v>8130</v>
      </c>
    </row>
    <row r="424" spans="2:11" ht="31.2" x14ac:dyDescent="0.3">
      <c r="B424" s="31" t="s">
        <v>7743</v>
      </c>
      <c r="C424" s="130" t="s">
        <v>7744</v>
      </c>
      <c r="D424" s="43" t="s">
        <v>190</v>
      </c>
      <c r="E424" s="126" t="s">
        <v>515</v>
      </c>
      <c r="F424" s="504">
        <v>1</v>
      </c>
      <c r="G424" s="248" t="s">
        <v>8131</v>
      </c>
      <c r="H424" s="542">
        <v>45869</v>
      </c>
      <c r="I424" s="319" t="s">
        <v>1262</v>
      </c>
      <c r="J424" s="584" t="s">
        <v>8132</v>
      </c>
      <c r="K424" s="132" t="s">
        <v>8133</v>
      </c>
    </row>
    <row r="425" spans="2:11" ht="31.2" x14ac:dyDescent="0.3">
      <c r="B425" s="31" t="s">
        <v>7743</v>
      </c>
      <c r="C425" s="130" t="s">
        <v>7744</v>
      </c>
      <c r="D425" s="43" t="s">
        <v>190</v>
      </c>
      <c r="E425" s="126" t="s">
        <v>515</v>
      </c>
      <c r="F425" s="504">
        <v>1</v>
      </c>
      <c r="G425" s="248" t="s">
        <v>8134</v>
      </c>
      <c r="H425" s="542">
        <v>45869</v>
      </c>
      <c r="I425" s="319" t="s">
        <v>1262</v>
      </c>
      <c r="J425" s="584" t="s">
        <v>8135</v>
      </c>
      <c r="K425" s="132" t="s">
        <v>8136</v>
      </c>
    </row>
    <row r="426" spans="2:11" ht="31.2" x14ac:dyDescent="0.3">
      <c r="B426" s="31" t="s">
        <v>7743</v>
      </c>
      <c r="C426" s="130" t="s">
        <v>7744</v>
      </c>
      <c r="D426" s="43" t="s">
        <v>190</v>
      </c>
      <c r="E426" s="126" t="s">
        <v>515</v>
      </c>
      <c r="F426" s="504">
        <v>1</v>
      </c>
      <c r="G426" s="248" t="s">
        <v>8137</v>
      </c>
      <c r="H426" s="542">
        <v>45869</v>
      </c>
      <c r="I426" s="319" t="s">
        <v>1262</v>
      </c>
      <c r="J426" s="584" t="s">
        <v>8138</v>
      </c>
      <c r="K426" s="132" t="s">
        <v>8139</v>
      </c>
    </row>
    <row r="427" spans="2:11" ht="31.2" x14ac:dyDescent="0.3">
      <c r="B427" s="31" t="s">
        <v>7743</v>
      </c>
      <c r="C427" s="130" t="s">
        <v>7744</v>
      </c>
      <c r="D427" s="43" t="s">
        <v>190</v>
      </c>
      <c r="E427" s="126" t="s">
        <v>515</v>
      </c>
      <c r="F427" s="504">
        <v>1</v>
      </c>
      <c r="G427" s="248" t="s">
        <v>8140</v>
      </c>
      <c r="H427" s="542">
        <v>45868</v>
      </c>
      <c r="I427" s="319" t="s">
        <v>1509</v>
      </c>
      <c r="J427" s="584" t="s">
        <v>8141</v>
      </c>
      <c r="K427" s="132" t="s">
        <v>8142</v>
      </c>
    </row>
    <row r="428" spans="2:11" ht="31.2" x14ac:dyDescent="0.3">
      <c r="B428" s="31" t="s">
        <v>7743</v>
      </c>
      <c r="C428" s="130" t="s">
        <v>7744</v>
      </c>
      <c r="D428" s="43" t="s">
        <v>190</v>
      </c>
      <c r="E428" s="126" t="s">
        <v>510</v>
      </c>
      <c r="F428" s="504">
        <v>1</v>
      </c>
      <c r="G428" s="248" t="s">
        <v>8143</v>
      </c>
      <c r="H428" s="542">
        <v>45869</v>
      </c>
      <c r="I428" s="319" t="s">
        <v>1509</v>
      </c>
      <c r="J428" s="494" t="s">
        <v>8144</v>
      </c>
      <c r="K428" s="132" t="s">
        <v>8145</v>
      </c>
    </row>
    <row r="429" spans="2:11" ht="31.2" x14ac:dyDescent="0.3">
      <c r="B429" s="31" t="s">
        <v>7743</v>
      </c>
      <c r="C429" s="130" t="s">
        <v>7744</v>
      </c>
      <c r="D429" s="43" t="s">
        <v>190</v>
      </c>
      <c r="E429" s="126" t="s">
        <v>515</v>
      </c>
      <c r="F429" s="504">
        <v>1</v>
      </c>
      <c r="G429" s="248" t="s">
        <v>8146</v>
      </c>
      <c r="H429" s="542">
        <v>45869</v>
      </c>
      <c r="I429" s="319" t="s">
        <v>1509</v>
      </c>
      <c r="J429" s="584" t="s">
        <v>8147</v>
      </c>
      <c r="K429" s="132" t="s">
        <v>8148</v>
      </c>
    </row>
    <row r="430" spans="2:11" ht="31.2" x14ac:dyDescent="0.3">
      <c r="B430" s="31" t="s">
        <v>7743</v>
      </c>
      <c r="C430" s="130" t="s">
        <v>7744</v>
      </c>
      <c r="D430" s="43" t="s">
        <v>190</v>
      </c>
      <c r="E430" s="126" t="s">
        <v>510</v>
      </c>
      <c r="F430" s="504">
        <v>1</v>
      </c>
      <c r="G430" s="248" t="s">
        <v>8149</v>
      </c>
      <c r="H430" s="542">
        <v>45870</v>
      </c>
      <c r="I430" s="319" t="s">
        <v>1509</v>
      </c>
      <c r="J430" s="584" t="s">
        <v>8150</v>
      </c>
      <c r="K430" s="132" t="s">
        <v>8151</v>
      </c>
    </row>
    <row r="431" spans="2:11" ht="31.2" x14ac:dyDescent="0.3">
      <c r="B431" s="31" t="s">
        <v>7743</v>
      </c>
      <c r="C431" s="130" t="s">
        <v>7744</v>
      </c>
      <c r="D431" s="43" t="s">
        <v>190</v>
      </c>
      <c r="E431" s="126" t="s">
        <v>515</v>
      </c>
      <c r="F431" s="504">
        <v>1</v>
      </c>
      <c r="G431" s="248" t="s">
        <v>8152</v>
      </c>
      <c r="H431" s="542">
        <v>45871</v>
      </c>
      <c r="I431" s="319" t="s">
        <v>1509</v>
      </c>
      <c r="J431" s="584" t="s">
        <v>8153</v>
      </c>
      <c r="K431" s="132" t="s">
        <v>8154</v>
      </c>
    </row>
    <row r="432" spans="2:11" ht="31.2" x14ac:dyDescent="0.3">
      <c r="B432" s="31" t="s">
        <v>7743</v>
      </c>
      <c r="C432" s="130" t="s">
        <v>7744</v>
      </c>
      <c r="D432" s="43" t="s">
        <v>190</v>
      </c>
      <c r="E432" s="126" t="s">
        <v>515</v>
      </c>
      <c r="F432" s="504">
        <v>1</v>
      </c>
      <c r="G432" s="248" t="s">
        <v>8155</v>
      </c>
      <c r="H432" s="542">
        <v>45873</v>
      </c>
      <c r="I432" s="319" t="s">
        <v>1509</v>
      </c>
      <c r="J432" s="584" t="s">
        <v>8156</v>
      </c>
      <c r="K432" s="132" t="s">
        <v>8157</v>
      </c>
    </row>
    <row r="433" spans="2:11" ht="31.2" x14ac:dyDescent="0.3">
      <c r="B433" s="31" t="s">
        <v>7743</v>
      </c>
      <c r="C433" s="130" t="s">
        <v>7744</v>
      </c>
      <c r="D433" s="43" t="s">
        <v>190</v>
      </c>
      <c r="E433" s="126" t="s">
        <v>515</v>
      </c>
      <c r="F433" s="504">
        <v>1</v>
      </c>
      <c r="G433" s="248" t="s">
        <v>8158</v>
      </c>
      <c r="H433" s="542">
        <v>45874</v>
      </c>
      <c r="I433" s="319" t="s">
        <v>1509</v>
      </c>
      <c r="J433" s="584" t="s">
        <v>8159</v>
      </c>
      <c r="K433" s="132" t="s">
        <v>8160</v>
      </c>
    </row>
    <row r="434" spans="2:11" ht="31.2" x14ac:dyDescent="0.3">
      <c r="B434" s="31" t="s">
        <v>7743</v>
      </c>
      <c r="C434" s="130" t="s">
        <v>7744</v>
      </c>
      <c r="D434" s="43" t="s">
        <v>190</v>
      </c>
      <c r="E434" s="126" t="s">
        <v>515</v>
      </c>
      <c r="F434" s="504">
        <v>1</v>
      </c>
      <c r="G434" s="248" t="s">
        <v>8161</v>
      </c>
      <c r="H434" s="542">
        <v>45874</v>
      </c>
      <c r="I434" s="319" t="s">
        <v>1509</v>
      </c>
      <c r="J434" s="584" t="s">
        <v>8162</v>
      </c>
      <c r="K434" s="132" t="s">
        <v>8163</v>
      </c>
    </row>
    <row r="435" spans="2:11" ht="31.2" x14ac:dyDescent="0.3">
      <c r="B435" s="31" t="s">
        <v>7743</v>
      </c>
      <c r="C435" s="130" t="s">
        <v>7744</v>
      </c>
      <c r="D435" s="43" t="s">
        <v>190</v>
      </c>
      <c r="E435" s="126" t="s">
        <v>515</v>
      </c>
      <c r="F435" s="504">
        <v>1</v>
      </c>
      <c r="G435" s="248" t="s">
        <v>8164</v>
      </c>
      <c r="H435" s="542">
        <v>45876</v>
      </c>
      <c r="I435" s="319" t="s">
        <v>1509</v>
      </c>
      <c r="J435" s="584" t="s">
        <v>8165</v>
      </c>
      <c r="K435" s="132" t="s">
        <v>8166</v>
      </c>
    </row>
    <row r="436" spans="2:11" ht="31.2" x14ac:dyDescent="0.3">
      <c r="B436" s="31" t="s">
        <v>7743</v>
      </c>
      <c r="C436" s="130" t="s">
        <v>7744</v>
      </c>
      <c r="D436" s="43" t="s">
        <v>190</v>
      </c>
      <c r="E436" s="126" t="s">
        <v>510</v>
      </c>
      <c r="F436" s="504">
        <v>1</v>
      </c>
      <c r="G436" s="248" t="s">
        <v>8167</v>
      </c>
      <c r="H436" s="542">
        <v>45895</v>
      </c>
      <c r="I436" s="319" t="s">
        <v>1509</v>
      </c>
      <c r="J436" s="494" t="s">
        <v>8168</v>
      </c>
      <c r="K436" s="132" t="s">
        <v>7769</v>
      </c>
    </row>
    <row r="437" spans="2:11" ht="31.2" x14ac:dyDescent="0.3">
      <c r="B437" s="31" t="s">
        <v>7743</v>
      </c>
      <c r="C437" s="130" t="s">
        <v>7744</v>
      </c>
      <c r="D437" s="43" t="s">
        <v>190</v>
      </c>
      <c r="E437" s="126" t="s">
        <v>510</v>
      </c>
      <c r="F437" s="504">
        <v>1</v>
      </c>
      <c r="G437" s="248" t="s">
        <v>8169</v>
      </c>
      <c r="H437" s="542" t="s">
        <v>8170</v>
      </c>
      <c r="I437" s="319" t="s">
        <v>1509</v>
      </c>
      <c r="J437" s="494" t="s">
        <v>8171</v>
      </c>
      <c r="K437" s="132" t="s">
        <v>7773</v>
      </c>
    </row>
    <row r="438" spans="2:11" ht="31.2" x14ac:dyDescent="0.3">
      <c r="B438" s="31" t="s">
        <v>7743</v>
      </c>
      <c r="C438" s="130" t="s">
        <v>7744</v>
      </c>
      <c r="D438" s="43" t="s">
        <v>190</v>
      </c>
      <c r="E438" s="126" t="s">
        <v>510</v>
      </c>
      <c r="F438" s="504">
        <v>1</v>
      </c>
      <c r="G438" s="248" t="s">
        <v>8172</v>
      </c>
      <c r="H438" s="542">
        <v>45899</v>
      </c>
      <c r="I438" s="319" t="s">
        <v>1509</v>
      </c>
      <c r="J438" s="584" t="s">
        <v>8173</v>
      </c>
      <c r="K438" s="132" t="s">
        <v>7747</v>
      </c>
    </row>
    <row r="439" spans="2:11" ht="31.2" x14ac:dyDescent="0.3">
      <c r="B439" s="31" t="s">
        <v>7743</v>
      </c>
      <c r="C439" s="130" t="s">
        <v>7744</v>
      </c>
      <c r="D439" s="43" t="s">
        <v>190</v>
      </c>
      <c r="E439" s="126" t="s">
        <v>510</v>
      </c>
      <c r="F439" s="504">
        <v>1</v>
      </c>
      <c r="G439" s="248" t="s">
        <v>8174</v>
      </c>
      <c r="H439" s="542">
        <v>45900</v>
      </c>
      <c r="I439" s="319" t="s">
        <v>1026</v>
      </c>
      <c r="J439" s="584" t="s">
        <v>8175</v>
      </c>
      <c r="K439" s="132" t="s">
        <v>8176</v>
      </c>
    </row>
    <row r="440" spans="2:11" ht="31.2" x14ac:dyDescent="0.3">
      <c r="B440" s="31" t="s">
        <v>7743</v>
      </c>
      <c r="C440" s="130" t="s">
        <v>7744</v>
      </c>
      <c r="D440" s="43" t="s">
        <v>190</v>
      </c>
      <c r="E440" s="126" t="s">
        <v>510</v>
      </c>
      <c r="F440" s="504">
        <v>1</v>
      </c>
      <c r="G440" s="248" t="s">
        <v>8177</v>
      </c>
      <c r="H440" s="542">
        <v>45903</v>
      </c>
      <c r="I440" s="319" t="s">
        <v>1026</v>
      </c>
      <c r="J440" s="584" t="s">
        <v>8178</v>
      </c>
      <c r="K440" s="132" t="s">
        <v>8179</v>
      </c>
    </row>
    <row r="441" spans="2:11" ht="31.2" x14ac:dyDescent="0.3">
      <c r="B441" s="31" t="s">
        <v>7743</v>
      </c>
      <c r="C441" s="130" t="s">
        <v>7744</v>
      </c>
      <c r="D441" s="43" t="s">
        <v>190</v>
      </c>
      <c r="E441" s="126" t="s">
        <v>510</v>
      </c>
      <c r="F441" s="504">
        <v>1</v>
      </c>
      <c r="G441" s="248" t="s">
        <v>8180</v>
      </c>
      <c r="H441" s="542">
        <v>45904</v>
      </c>
      <c r="I441" s="319" t="s">
        <v>1026</v>
      </c>
      <c r="J441" s="584" t="s">
        <v>8181</v>
      </c>
      <c r="K441" s="132" t="s">
        <v>7780</v>
      </c>
    </row>
    <row r="442" spans="2:11" ht="31.2" x14ac:dyDescent="0.3">
      <c r="B442" s="31" t="s">
        <v>7743</v>
      </c>
      <c r="C442" s="130" t="s">
        <v>7744</v>
      </c>
      <c r="D442" s="43" t="s">
        <v>190</v>
      </c>
      <c r="E442" s="126" t="s">
        <v>510</v>
      </c>
      <c r="F442" s="504">
        <v>1</v>
      </c>
      <c r="G442" s="248" t="s">
        <v>8182</v>
      </c>
      <c r="H442" s="542">
        <v>45906</v>
      </c>
      <c r="I442" s="319" t="s">
        <v>1026</v>
      </c>
      <c r="J442" s="584" t="s">
        <v>8183</v>
      </c>
      <c r="K442" s="132" t="s">
        <v>8184</v>
      </c>
    </row>
    <row r="443" spans="2:11" ht="31.2" x14ac:dyDescent="0.3">
      <c r="B443" s="31" t="s">
        <v>7743</v>
      </c>
      <c r="C443" s="130" t="s">
        <v>7744</v>
      </c>
      <c r="D443" s="43" t="s">
        <v>190</v>
      </c>
      <c r="E443" s="126" t="s">
        <v>510</v>
      </c>
      <c r="F443" s="504">
        <v>1</v>
      </c>
      <c r="G443" s="248" t="s">
        <v>8185</v>
      </c>
      <c r="H443" s="542">
        <v>45908</v>
      </c>
      <c r="I443" s="319" t="s">
        <v>1026</v>
      </c>
      <c r="J443" s="584" t="s">
        <v>8186</v>
      </c>
      <c r="K443" s="132" t="s">
        <v>8187</v>
      </c>
    </row>
    <row r="444" spans="2:11" ht="31.2" x14ac:dyDescent="0.3">
      <c r="B444" s="31" t="s">
        <v>7743</v>
      </c>
      <c r="C444" s="130" t="s">
        <v>7744</v>
      </c>
      <c r="D444" s="43" t="s">
        <v>190</v>
      </c>
      <c r="E444" s="126" t="s">
        <v>510</v>
      </c>
      <c r="F444" s="504">
        <v>1</v>
      </c>
      <c r="G444" s="248" t="s">
        <v>8188</v>
      </c>
      <c r="H444" s="542">
        <v>45908</v>
      </c>
      <c r="I444" s="319" t="s">
        <v>1026</v>
      </c>
      <c r="J444" s="584" t="s">
        <v>8189</v>
      </c>
      <c r="K444" s="132" t="s">
        <v>8190</v>
      </c>
    </row>
    <row r="445" spans="2:11" ht="31.2" x14ac:dyDescent="0.3">
      <c r="B445" s="31" t="s">
        <v>7743</v>
      </c>
      <c r="C445" s="130" t="s">
        <v>7744</v>
      </c>
      <c r="D445" s="43" t="s">
        <v>190</v>
      </c>
      <c r="E445" s="126" t="s">
        <v>510</v>
      </c>
      <c r="F445" s="504">
        <v>1</v>
      </c>
      <c r="G445" s="248" t="s">
        <v>8191</v>
      </c>
      <c r="H445" s="542">
        <v>45910</v>
      </c>
      <c r="I445" s="319" t="s">
        <v>1026</v>
      </c>
      <c r="J445" s="584" t="s">
        <v>8192</v>
      </c>
      <c r="K445" s="132" t="s">
        <v>8193</v>
      </c>
    </row>
    <row r="446" spans="2:11" ht="31.2" x14ac:dyDescent="0.3">
      <c r="B446" s="31" t="s">
        <v>7743</v>
      </c>
      <c r="C446" s="130" t="s">
        <v>7744</v>
      </c>
      <c r="D446" s="43" t="s">
        <v>190</v>
      </c>
      <c r="E446" s="126" t="s">
        <v>510</v>
      </c>
      <c r="F446" s="504">
        <v>1</v>
      </c>
      <c r="G446" s="248" t="s">
        <v>8194</v>
      </c>
      <c r="H446" s="542">
        <v>45915</v>
      </c>
      <c r="I446" s="319" t="s">
        <v>1026</v>
      </c>
      <c r="J446" s="584" t="s">
        <v>8195</v>
      </c>
      <c r="K446" s="132" t="s">
        <v>8196</v>
      </c>
    </row>
    <row r="447" spans="2:11" ht="31.2" x14ac:dyDescent="0.3">
      <c r="B447" s="31" t="s">
        <v>7743</v>
      </c>
      <c r="C447" s="130" t="s">
        <v>7744</v>
      </c>
      <c r="D447" s="43" t="s">
        <v>190</v>
      </c>
      <c r="E447" s="126" t="s">
        <v>510</v>
      </c>
      <c r="F447" s="504">
        <v>1</v>
      </c>
      <c r="G447" s="248" t="s">
        <v>8197</v>
      </c>
      <c r="H447" s="542">
        <v>45919</v>
      </c>
      <c r="I447" s="319" t="s">
        <v>1026</v>
      </c>
      <c r="J447" s="584" t="s">
        <v>8198</v>
      </c>
      <c r="K447" s="132" t="s">
        <v>8199</v>
      </c>
    </row>
    <row r="448" spans="2:11" ht="31.2" x14ac:dyDescent="0.3">
      <c r="B448" s="31" t="s">
        <v>7743</v>
      </c>
      <c r="C448" s="130" t="s">
        <v>7744</v>
      </c>
      <c r="D448" s="43" t="s">
        <v>190</v>
      </c>
      <c r="E448" s="126" t="s">
        <v>510</v>
      </c>
      <c r="F448" s="504">
        <v>1</v>
      </c>
      <c r="G448" s="248" t="s">
        <v>8200</v>
      </c>
      <c r="H448" s="542">
        <v>45919</v>
      </c>
      <c r="I448" s="319" t="s">
        <v>1026</v>
      </c>
      <c r="J448" s="584" t="s">
        <v>8201</v>
      </c>
      <c r="K448" s="132" t="s">
        <v>8202</v>
      </c>
    </row>
    <row r="449" spans="2:11" ht="31.2" x14ac:dyDescent="0.3">
      <c r="B449" s="31" t="s">
        <v>7743</v>
      </c>
      <c r="C449" s="130" t="s">
        <v>7744</v>
      </c>
      <c r="D449" s="43" t="s">
        <v>190</v>
      </c>
      <c r="E449" s="126" t="s">
        <v>510</v>
      </c>
      <c r="F449" s="504">
        <v>1</v>
      </c>
      <c r="G449" s="248" t="s">
        <v>8203</v>
      </c>
      <c r="H449" s="542">
        <v>45922</v>
      </c>
      <c r="I449" s="319" t="s">
        <v>1026</v>
      </c>
      <c r="J449" s="584" t="s">
        <v>8204</v>
      </c>
      <c r="K449" s="132" t="s">
        <v>8205</v>
      </c>
    </row>
    <row r="450" spans="2:11" ht="31.2" x14ac:dyDescent="0.3">
      <c r="B450" s="31" t="s">
        <v>7743</v>
      </c>
      <c r="C450" s="130" t="s">
        <v>7744</v>
      </c>
      <c r="D450" s="43" t="s">
        <v>190</v>
      </c>
      <c r="E450" s="126" t="s">
        <v>510</v>
      </c>
      <c r="F450" s="504">
        <v>1</v>
      </c>
      <c r="G450" s="248" t="s">
        <v>8206</v>
      </c>
      <c r="H450" s="542">
        <v>45923</v>
      </c>
      <c r="I450" s="319" t="s">
        <v>1026</v>
      </c>
      <c r="J450" s="584" t="s">
        <v>8207</v>
      </c>
      <c r="K450" s="132" t="s">
        <v>8208</v>
      </c>
    </row>
    <row r="451" spans="2:11" ht="31.2" x14ac:dyDescent="0.3">
      <c r="B451" s="31" t="s">
        <v>7743</v>
      </c>
      <c r="C451" s="130" t="s">
        <v>7744</v>
      </c>
      <c r="D451" s="43" t="s">
        <v>190</v>
      </c>
      <c r="E451" s="126" t="s">
        <v>510</v>
      </c>
      <c r="F451" s="504">
        <v>1</v>
      </c>
      <c r="G451" s="248" t="s">
        <v>8209</v>
      </c>
      <c r="H451" s="542">
        <v>45923</v>
      </c>
      <c r="I451" s="319" t="s">
        <v>1026</v>
      </c>
      <c r="J451" s="584" t="s">
        <v>8210</v>
      </c>
      <c r="K451" s="132" t="s">
        <v>8211</v>
      </c>
    </row>
    <row r="452" spans="2:11" ht="31.2" x14ac:dyDescent="0.3">
      <c r="B452" s="31" t="s">
        <v>7743</v>
      </c>
      <c r="C452" s="130" t="s">
        <v>7744</v>
      </c>
      <c r="D452" s="43" t="s">
        <v>190</v>
      </c>
      <c r="E452" s="126" t="s">
        <v>510</v>
      </c>
      <c r="F452" s="504">
        <v>1</v>
      </c>
      <c r="G452" s="248" t="s">
        <v>8212</v>
      </c>
      <c r="H452" s="542">
        <v>45924</v>
      </c>
      <c r="I452" s="319" t="s">
        <v>1026</v>
      </c>
      <c r="J452" s="584" t="s">
        <v>8213</v>
      </c>
      <c r="K452" s="132" t="s">
        <v>8214</v>
      </c>
    </row>
    <row r="453" spans="2:11" ht="31.2" x14ac:dyDescent="0.3">
      <c r="B453" s="31" t="s">
        <v>7743</v>
      </c>
      <c r="C453" s="130" t="s">
        <v>7744</v>
      </c>
      <c r="D453" s="43" t="s">
        <v>190</v>
      </c>
      <c r="E453" s="126" t="s">
        <v>510</v>
      </c>
      <c r="F453" s="504">
        <v>1</v>
      </c>
      <c r="G453" s="248" t="s">
        <v>8215</v>
      </c>
      <c r="H453" s="542">
        <v>45926</v>
      </c>
      <c r="I453" s="319" t="s">
        <v>1026</v>
      </c>
      <c r="J453" s="584" t="s">
        <v>8216</v>
      </c>
      <c r="K453" s="132" t="s">
        <v>8217</v>
      </c>
    </row>
    <row r="454" spans="2:11" ht="31.2" x14ac:dyDescent="0.3">
      <c r="B454" s="31" t="s">
        <v>7743</v>
      </c>
      <c r="C454" s="130" t="s">
        <v>7744</v>
      </c>
      <c r="D454" s="43" t="s">
        <v>190</v>
      </c>
      <c r="E454" s="126" t="s">
        <v>510</v>
      </c>
      <c r="F454" s="504">
        <v>1</v>
      </c>
      <c r="G454" s="248" t="s">
        <v>8218</v>
      </c>
      <c r="H454" s="542">
        <v>45927</v>
      </c>
      <c r="I454" s="319" t="s">
        <v>1026</v>
      </c>
      <c r="J454" s="584" t="s">
        <v>8219</v>
      </c>
      <c r="K454" s="132" t="s">
        <v>8220</v>
      </c>
    </row>
    <row r="455" spans="2:11" ht="31.2" x14ac:dyDescent="0.3">
      <c r="B455" s="31" t="s">
        <v>7743</v>
      </c>
      <c r="C455" s="130" t="s">
        <v>7744</v>
      </c>
      <c r="D455" s="43" t="s">
        <v>190</v>
      </c>
      <c r="E455" s="126" t="s">
        <v>510</v>
      </c>
      <c r="F455" s="504">
        <v>1</v>
      </c>
      <c r="G455" s="248" t="s">
        <v>8221</v>
      </c>
      <c r="H455" s="542">
        <v>45927</v>
      </c>
      <c r="I455" s="319" t="s">
        <v>1026</v>
      </c>
      <c r="J455" s="584" t="s">
        <v>8222</v>
      </c>
      <c r="K455" s="132" t="s">
        <v>8223</v>
      </c>
    </row>
    <row r="456" spans="2:11" ht="31.2" x14ac:dyDescent="0.3">
      <c r="B456" s="31" t="s">
        <v>7743</v>
      </c>
      <c r="C456" s="130" t="s">
        <v>7744</v>
      </c>
      <c r="D456" s="43" t="s">
        <v>190</v>
      </c>
      <c r="E456" s="126" t="s">
        <v>510</v>
      </c>
      <c r="F456" s="504">
        <v>1</v>
      </c>
      <c r="G456" s="248" t="s">
        <v>8224</v>
      </c>
      <c r="H456" s="542">
        <v>45929</v>
      </c>
      <c r="I456" s="319" t="s">
        <v>1026</v>
      </c>
      <c r="J456" s="584" t="s">
        <v>8225</v>
      </c>
      <c r="K456" s="132" t="s">
        <v>8226</v>
      </c>
    </row>
    <row r="457" spans="2:11" ht="31.2" x14ac:dyDescent="0.3">
      <c r="B457" s="31" t="s">
        <v>7743</v>
      </c>
      <c r="C457" s="130" t="s">
        <v>7744</v>
      </c>
      <c r="D457" s="43" t="s">
        <v>190</v>
      </c>
      <c r="E457" s="126" t="s">
        <v>510</v>
      </c>
      <c r="F457" s="504">
        <v>1</v>
      </c>
      <c r="G457" s="248" t="s">
        <v>8227</v>
      </c>
      <c r="H457" s="542">
        <v>45933</v>
      </c>
      <c r="I457" s="319" t="s">
        <v>1026</v>
      </c>
      <c r="J457" s="584" t="s">
        <v>8228</v>
      </c>
      <c r="K457" s="132" t="s">
        <v>8229</v>
      </c>
    </row>
    <row r="458" spans="2:11" ht="31.2" x14ac:dyDescent="0.3">
      <c r="B458" s="31" t="s">
        <v>7743</v>
      </c>
      <c r="C458" s="130" t="s">
        <v>7744</v>
      </c>
      <c r="D458" s="43" t="s">
        <v>190</v>
      </c>
      <c r="E458" s="126" t="s">
        <v>510</v>
      </c>
      <c r="F458" s="504">
        <v>1</v>
      </c>
      <c r="G458" s="248" t="s">
        <v>8230</v>
      </c>
      <c r="H458" s="542">
        <v>45933</v>
      </c>
      <c r="I458" s="319" t="s">
        <v>1026</v>
      </c>
      <c r="J458" s="584" t="s">
        <v>8231</v>
      </c>
      <c r="K458" s="132" t="s">
        <v>8232</v>
      </c>
    </row>
    <row r="459" spans="2:11" ht="31.2" x14ac:dyDescent="0.3">
      <c r="B459" s="31" t="s">
        <v>7743</v>
      </c>
      <c r="C459" s="130" t="s">
        <v>7744</v>
      </c>
      <c r="D459" s="43" t="s">
        <v>190</v>
      </c>
      <c r="E459" s="126" t="s">
        <v>510</v>
      </c>
      <c r="F459" s="504">
        <v>1</v>
      </c>
      <c r="G459" s="248" t="s">
        <v>8233</v>
      </c>
      <c r="H459" s="542">
        <v>45934</v>
      </c>
      <c r="I459" s="319" t="s">
        <v>1026</v>
      </c>
      <c r="J459" s="584" t="s">
        <v>8234</v>
      </c>
      <c r="K459" s="132" t="s">
        <v>8235</v>
      </c>
    </row>
    <row r="460" spans="2:11" ht="31.2" x14ac:dyDescent="0.3">
      <c r="B460" s="31" t="s">
        <v>7743</v>
      </c>
      <c r="C460" s="130" t="s">
        <v>7744</v>
      </c>
      <c r="D460" s="43" t="s">
        <v>190</v>
      </c>
      <c r="E460" s="126" t="s">
        <v>510</v>
      </c>
      <c r="F460" s="504">
        <v>1</v>
      </c>
      <c r="G460" s="248" t="s">
        <v>8236</v>
      </c>
      <c r="H460" s="542">
        <v>45936</v>
      </c>
      <c r="I460" s="319" t="s">
        <v>1026</v>
      </c>
      <c r="J460" s="584" t="s">
        <v>8237</v>
      </c>
      <c r="K460" s="132" t="s">
        <v>8238</v>
      </c>
    </row>
    <row r="461" spans="2:11" ht="31.2" x14ac:dyDescent="0.3">
      <c r="B461" s="31" t="s">
        <v>7743</v>
      </c>
      <c r="C461" s="130" t="s">
        <v>7744</v>
      </c>
      <c r="D461" s="43" t="s">
        <v>190</v>
      </c>
      <c r="E461" s="126" t="s">
        <v>510</v>
      </c>
      <c r="F461" s="504">
        <v>1</v>
      </c>
      <c r="G461" s="248" t="s">
        <v>8239</v>
      </c>
      <c r="H461" s="542">
        <v>45937</v>
      </c>
      <c r="I461" s="319" t="s">
        <v>1026</v>
      </c>
      <c r="J461" s="584" t="s">
        <v>8240</v>
      </c>
      <c r="K461" s="132" t="s">
        <v>8241</v>
      </c>
    </row>
    <row r="462" spans="2:11" ht="31.2" x14ac:dyDescent="0.3">
      <c r="B462" s="31" t="s">
        <v>7743</v>
      </c>
      <c r="C462" s="130" t="s">
        <v>7744</v>
      </c>
      <c r="D462" s="43" t="s">
        <v>190</v>
      </c>
      <c r="E462" s="126" t="s">
        <v>510</v>
      </c>
      <c r="F462" s="504">
        <v>1</v>
      </c>
      <c r="G462" s="248" t="s">
        <v>8242</v>
      </c>
      <c r="H462" s="542">
        <v>45937</v>
      </c>
      <c r="I462" s="319" t="s">
        <v>1026</v>
      </c>
      <c r="J462" s="584" t="s">
        <v>8243</v>
      </c>
      <c r="K462" s="132" t="s">
        <v>8244</v>
      </c>
    </row>
    <row r="463" spans="2:11" ht="31.2" x14ac:dyDescent="0.3">
      <c r="B463" s="31" t="s">
        <v>7743</v>
      </c>
      <c r="C463" s="130" t="s">
        <v>7744</v>
      </c>
      <c r="D463" s="43" t="s">
        <v>190</v>
      </c>
      <c r="E463" s="126" t="s">
        <v>510</v>
      </c>
      <c r="F463" s="504">
        <v>1</v>
      </c>
      <c r="G463" s="248" t="s">
        <v>8245</v>
      </c>
      <c r="H463" s="542">
        <v>45937</v>
      </c>
      <c r="I463" s="319" t="s">
        <v>1026</v>
      </c>
      <c r="J463" s="584" t="s">
        <v>8246</v>
      </c>
      <c r="K463" s="132" t="s">
        <v>8247</v>
      </c>
    </row>
    <row r="464" spans="2:11" ht="31.2" x14ac:dyDescent="0.3">
      <c r="B464" s="31" t="s">
        <v>7743</v>
      </c>
      <c r="C464" s="130" t="s">
        <v>7744</v>
      </c>
      <c r="D464" s="43" t="s">
        <v>190</v>
      </c>
      <c r="E464" s="126" t="s">
        <v>510</v>
      </c>
      <c r="F464" s="504">
        <v>1</v>
      </c>
      <c r="G464" s="248" t="s">
        <v>8248</v>
      </c>
      <c r="H464" s="542">
        <v>45938</v>
      </c>
      <c r="I464" s="319" t="s">
        <v>1026</v>
      </c>
      <c r="J464" s="584" t="s">
        <v>8249</v>
      </c>
      <c r="K464" s="132" t="s">
        <v>8250</v>
      </c>
    </row>
    <row r="465" spans="2:11" ht="31.2" x14ac:dyDescent="0.3">
      <c r="B465" s="31" t="s">
        <v>7743</v>
      </c>
      <c r="C465" s="130" t="s">
        <v>7744</v>
      </c>
      <c r="D465" s="43" t="s">
        <v>190</v>
      </c>
      <c r="E465" s="126" t="s">
        <v>510</v>
      </c>
      <c r="F465" s="504">
        <v>1</v>
      </c>
      <c r="G465" s="248" t="s">
        <v>8251</v>
      </c>
      <c r="H465" s="542">
        <v>45938</v>
      </c>
      <c r="I465" s="319" t="s">
        <v>1026</v>
      </c>
      <c r="J465" s="584" t="s">
        <v>8252</v>
      </c>
      <c r="K465" s="132" t="s">
        <v>8253</v>
      </c>
    </row>
    <row r="466" spans="2:11" ht="31.2" x14ac:dyDescent="0.3">
      <c r="B466" s="31" t="s">
        <v>7743</v>
      </c>
      <c r="C466" s="130" t="s">
        <v>7744</v>
      </c>
      <c r="D466" s="43" t="s">
        <v>190</v>
      </c>
      <c r="E466" s="126" t="s">
        <v>510</v>
      </c>
      <c r="F466" s="504">
        <v>1</v>
      </c>
      <c r="G466" s="248" t="s">
        <v>8254</v>
      </c>
      <c r="H466" s="542">
        <v>45939</v>
      </c>
      <c r="I466" s="319" t="s">
        <v>1026</v>
      </c>
      <c r="J466" s="584" t="s">
        <v>8255</v>
      </c>
      <c r="K466" s="132" t="s">
        <v>8256</v>
      </c>
    </row>
    <row r="467" spans="2:11" ht="31.2" x14ac:dyDescent="0.3">
      <c r="B467" s="31" t="s">
        <v>7743</v>
      </c>
      <c r="C467" s="130" t="s">
        <v>7744</v>
      </c>
      <c r="D467" s="43" t="s">
        <v>190</v>
      </c>
      <c r="E467" s="126" t="s">
        <v>510</v>
      </c>
      <c r="F467" s="504">
        <v>1</v>
      </c>
      <c r="G467" s="248" t="s">
        <v>8257</v>
      </c>
      <c r="H467" s="542">
        <v>45939</v>
      </c>
      <c r="I467" s="319" t="s">
        <v>1026</v>
      </c>
      <c r="J467" s="584" t="s">
        <v>8258</v>
      </c>
      <c r="K467" s="132" t="s">
        <v>8259</v>
      </c>
    </row>
    <row r="468" spans="2:11" ht="31.2" x14ac:dyDescent="0.3">
      <c r="B468" s="31" t="s">
        <v>7743</v>
      </c>
      <c r="C468" s="130" t="s">
        <v>7744</v>
      </c>
      <c r="D468" s="43" t="s">
        <v>190</v>
      </c>
      <c r="E468" s="126" t="s">
        <v>510</v>
      </c>
      <c r="F468" s="504">
        <v>1</v>
      </c>
      <c r="G468" s="248" t="s">
        <v>8260</v>
      </c>
      <c r="H468" s="542">
        <v>45940</v>
      </c>
      <c r="I468" s="319" t="s">
        <v>1026</v>
      </c>
      <c r="J468" s="584" t="s">
        <v>8261</v>
      </c>
      <c r="K468" s="132" t="s">
        <v>8262</v>
      </c>
    </row>
    <row r="469" spans="2:11" ht="31.2" x14ac:dyDescent="0.3">
      <c r="B469" s="31" t="s">
        <v>7743</v>
      </c>
      <c r="C469" s="130" t="s">
        <v>7744</v>
      </c>
      <c r="D469" s="43" t="s">
        <v>190</v>
      </c>
      <c r="E469" s="126" t="s">
        <v>515</v>
      </c>
      <c r="F469" s="504">
        <v>1</v>
      </c>
      <c r="G469" s="248" t="s">
        <v>8263</v>
      </c>
      <c r="H469" s="542">
        <v>46016</v>
      </c>
      <c r="I469" s="319" t="s">
        <v>943</v>
      </c>
      <c r="J469" s="494" t="s">
        <v>8264</v>
      </c>
      <c r="K469" s="132" t="s">
        <v>8265</v>
      </c>
    </row>
    <row r="470" spans="2:11" ht="31.2" x14ac:dyDescent="0.3">
      <c r="B470" s="31" t="s">
        <v>7743</v>
      </c>
      <c r="C470" s="130" t="s">
        <v>7744</v>
      </c>
      <c r="D470" s="43" t="s">
        <v>190</v>
      </c>
      <c r="E470" s="126" t="s">
        <v>515</v>
      </c>
      <c r="F470" s="504">
        <v>1</v>
      </c>
      <c r="G470" s="248" t="s">
        <v>8266</v>
      </c>
      <c r="H470" s="542">
        <v>46016</v>
      </c>
      <c r="I470" s="319" t="s">
        <v>943</v>
      </c>
      <c r="J470" s="494" t="s">
        <v>8267</v>
      </c>
      <c r="K470" s="132" t="s">
        <v>8268</v>
      </c>
    </row>
    <row r="471" spans="2:11" ht="31.2" x14ac:dyDescent="0.3">
      <c r="B471" s="31" t="s">
        <v>7743</v>
      </c>
      <c r="C471" s="130" t="s">
        <v>7744</v>
      </c>
      <c r="D471" s="43" t="s">
        <v>190</v>
      </c>
      <c r="E471" s="126" t="s">
        <v>515</v>
      </c>
      <c r="F471" s="504">
        <v>1</v>
      </c>
      <c r="G471" s="248" t="s">
        <v>8269</v>
      </c>
      <c r="H471" s="542">
        <v>46017</v>
      </c>
      <c r="I471" s="319" t="s">
        <v>943</v>
      </c>
      <c r="J471" s="494" t="s">
        <v>8270</v>
      </c>
      <c r="K471" s="132" t="s">
        <v>8271</v>
      </c>
    </row>
    <row r="472" spans="2:11" ht="31.2" x14ac:dyDescent="0.3">
      <c r="B472" s="31" t="s">
        <v>7743</v>
      </c>
      <c r="C472" s="130" t="s">
        <v>7744</v>
      </c>
      <c r="D472" s="43" t="s">
        <v>190</v>
      </c>
      <c r="E472" s="126" t="s">
        <v>515</v>
      </c>
      <c r="F472" s="504">
        <v>1</v>
      </c>
      <c r="G472" s="248" t="s">
        <v>8272</v>
      </c>
      <c r="H472" s="542">
        <v>46017</v>
      </c>
      <c r="I472" s="319" t="s">
        <v>943</v>
      </c>
      <c r="J472" s="494" t="s">
        <v>8273</v>
      </c>
      <c r="K472" s="132" t="s">
        <v>8274</v>
      </c>
    </row>
    <row r="473" spans="2:11" ht="31.2" x14ac:dyDescent="0.3">
      <c r="B473" s="31" t="s">
        <v>7743</v>
      </c>
      <c r="C473" s="130" t="s">
        <v>7744</v>
      </c>
      <c r="D473" s="43" t="s">
        <v>190</v>
      </c>
      <c r="E473" s="126" t="s">
        <v>515</v>
      </c>
      <c r="F473" s="504">
        <v>1</v>
      </c>
      <c r="G473" s="248" t="s">
        <v>8275</v>
      </c>
      <c r="H473" s="542">
        <v>46018</v>
      </c>
      <c r="I473" s="319" t="s">
        <v>943</v>
      </c>
      <c r="J473" s="494" t="s">
        <v>8276</v>
      </c>
      <c r="K473" s="132" t="s">
        <v>8277</v>
      </c>
    </row>
    <row r="474" spans="2:11" ht="31.2" x14ac:dyDescent="0.3">
      <c r="B474" s="31" t="s">
        <v>7743</v>
      </c>
      <c r="C474" s="130" t="s">
        <v>7744</v>
      </c>
      <c r="D474" s="43" t="s">
        <v>190</v>
      </c>
      <c r="E474" s="126" t="s">
        <v>515</v>
      </c>
      <c r="F474" s="504">
        <v>1</v>
      </c>
      <c r="G474" s="248" t="s">
        <v>8278</v>
      </c>
      <c r="H474" s="542">
        <v>46018</v>
      </c>
      <c r="I474" s="319" t="s">
        <v>943</v>
      </c>
      <c r="J474" s="494" t="s">
        <v>8279</v>
      </c>
      <c r="K474" s="132" t="s">
        <v>8280</v>
      </c>
    </row>
    <row r="475" spans="2:11" ht="31.2" x14ac:dyDescent="0.3">
      <c r="B475" s="31" t="s">
        <v>7743</v>
      </c>
      <c r="C475" s="130" t="s">
        <v>7744</v>
      </c>
      <c r="D475" s="43" t="s">
        <v>190</v>
      </c>
      <c r="E475" s="126" t="s">
        <v>515</v>
      </c>
      <c r="F475" s="504">
        <v>1</v>
      </c>
      <c r="G475" s="248" t="s">
        <v>8281</v>
      </c>
      <c r="H475" s="542">
        <v>46019</v>
      </c>
      <c r="I475" s="319" t="s">
        <v>943</v>
      </c>
      <c r="J475" s="494" t="s">
        <v>8282</v>
      </c>
      <c r="K475" s="132" t="s">
        <v>8283</v>
      </c>
    </row>
    <row r="476" spans="2:11" ht="31.2" x14ac:dyDescent="0.3">
      <c r="B476" s="31" t="s">
        <v>7743</v>
      </c>
      <c r="C476" s="130" t="s">
        <v>7744</v>
      </c>
      <c r="D476" s="43" t="s">
        <v>190</v>
      </c>
      <c r="E476" s="126" t="s">
        <v>515</v>
      </c>
      <c r="F476" s="504">
        <v>1</v>
      </c>
      <c r="G476" s="248" t="s">
        <v>8284</v>
      </c>
      <c r="H476" s="542">
        <v>46019</v>
      </c>
      <c r="I476" s="319" t="s">
        <v>943</v>
      </c>
      <c r="J476" s="494" t="s">
        <v>8285</v>
      </c>
      <c r="K476" s="132" t="s">
        <v>8286</v>
      </c>
    </row>
    <row r="477" spans="2:11" ht="31.2" x14ac:dyDescent="0.3">
      <c r="B477" s="31" t="s">
        <v>7743</v>
      </c>
      <c r="C477" s="130" t="s">
        <v>7744</v>
      </c>
      <c r="D477" s="43" t="s">
        <v>190</v>
      </c>
      <c r="E477" s="126" t="s">
        <v>515</v>
      </c>
      <c r="F477" s="504">
        <v>1</v>
      </c>
      <c r="G477" s="248" t="s">
        <v>8287</v>
      </c>
      <c r="H477" s="542">
        <v>46020</v>
      </c>
      <c r="I477" s="319" t="s">
        <v>943</v>
      </c>
      <c r="J477" s="494" t="s">
        <v>8288</v>
      </c>
      <c r="K477" s="132" t="s">
        <v>8289</v>
      </c>
    </row>
    <row r="478" spans="2:11" ht="31.2" x14ac:dyDescent="0.3">
      <c r="B478" s="31" t="s">
        <v>7743</v>
      </c>
      <c r="C478" s="130" t="s">
        <v>7744</v>
      </c>
      <c r="D478" s="43" t="s">
        <v>190</v>
      </c>
      <c r="E478" s="126" t="s">
        <v>515</v>
      </c>
      <c r="F478" s="504">
        <v>1</v>
      </c>
      <c r="G478" s="248" t="s">
        <v>8290</v>
      </c>
      <c r="H478" s="542">
        <v>46020</v>
      </c>
      <c r="I478" s="319" t="s">
        <v>943</v>
      </c>
      <c r="J478" s="494" t="s">
        <v>8291</v>
      </c>
      <c r="K478" s="132" t="s">
        <v>8292</v>
      </c>
    </row>
    <row r="479" spans="2:11" ht="31.2" x14ac:dyDescent="0.3">
      <c r="B479" s="31" t="s">
        <v>7743</v>
      </c>
      <c r="C479" s="130" t="s">
        <v>7744</v>
      </c>
      <c r="D479" s="43" t="s">
        <v>190</v>
      </c>
      <c r="E479" s="126" t="s">
        <v>515</v>
      </c>
      <c r="F479" s="504">
        <v>1</v>
      </c>
      <c r="G479" s="248" t="s">
        <v>8293</v>
      </c>
      <c r="H479" s="542">
        <v>46020</v>
      </c>
      <c r="I479" s="319" t="s">
        <v>943</v>
      </c>
      <c r="J479" s="494" t="s">
        <v>8294</v>
      </c>
      <c r="K479" s="132" t="s">
        <v>8295</v>
      </c>
    </row>
    <row r="480" spans="2:11" ht="31.2" x14ac:dyDescent="0.3">
      <c r="B480" s="31" t="s">
        <v>7743</v>
      </c>
      <c r="C480" s="130" t="s">
        <v>7744</v>
      </c>
      <c r="D480" s="43" t="s">
        <v>190</v>
      </c>
      <c r="E480" s="126" t="s">
        <v>515</v>
      </c>
      <c r="F480" s="504">
        <v>1</v>
      </c>
      <c r="G480" s="248" t="s">
        <v>8296</v>
      </c>
      <c r="H480" s="542">
        <v>46021</v>
      </c>
      <c r="I480" s="319" t="s">
        <v>943</v>
      </c>
      <c r="J480" s="494" t="s">
        <v>8297</v>
      </c>
      <c r="K480" s="132" t="s">
        <v>8298</v>
      </c>
    </row>
    <row r="481" spans="2:11" ht="31.2" x14ac:dyDescent="0.3">
      <c r="B481" s="31" t="s">
        <v>7743</v>
      </c>
      <c r="C481" s="130" t="s">
        <v>7744</v>
      </c>
      <c r="D481" s="43" t="s">
        <v>190</v>
      </c>
      <c r="E481" s="126" t="s">
        <v>515</v>
      </c>
      <c r="F481" s="504">
        <v>1</v>
      </c>
      <c r="G481" s="248" t="s">
        <v>8299</v>
      </c>
      <c r="H481" s="542">
        <v>46021</v>
      </c>
      <c r="I481" s="319" t="s">
        <v>943</v>
      </c>
      <c r="J481" s="494" t="s">
        <v>8300</v>
      </c>
      <c r="K481" s="132" t="s">
        <v>8301</v>
      </c>
    </row>
    <row r="482" spans="2:11" ht="31.2" x14ac:dyDescent="0.3">
      <c r="B482" s="31" t="s">
        <v>7743</v>
      </c>
      <c r="C482" s="130" t="s">
        <v>7744</v>
      </c>
      <c r="D482" s="43" t="s">
        <v>190</v>
      </c>
      <c r="E482" s="126" t="s">
        <v>515</v>
      </c>
      <c r="F482" s="504">
        <v>1</v>
      </c>
      <c r="G482" s="248" t="s">
        <v>8302</v>
      </c>
      <c r="H482" s="542">
        <v>46021</v>
      </c>
      <c r="I482" s="319" t="s">
        <v>943</v>
      </c>
      <c r="J482" s="494" t="s">
        <v>8303</v>
      </c>
      <c r="K482" s="132" t="s">
        <v>8304</v>
      </c>
    </row>
    <row r="483" spans="2:11" ht="31.2" x14ac:dyDescent="0.3">
      <c r="B483" s="31" t="s">
        <v>7743</v>
      </c>
      <c r="C483" s="130" t="s">
        <v>7744</v>
      </c>
      <c r="D483" s="43" t="s">
        <v>190</v>
      </c>
      <c r="E483" s="126" t="s">
        <v>515</v>
      </c>
      <c r="F483" s="504">
        <v>1</v>
      </c>
      <c r="G483" s="248" t="s">
        <v>8305</v>
      </c>
      <c r="H483" s="542">
        <v>46022</v>
      </c>
      <c r="I483" s="319" t="s">
        <v>943</v>
      </c>
      <c r="J483" s="494" t="s">
        <v>8306</v>
      </c>
      <c r="K483" s="132" t="s">
        <v>8307</v>
      </c>
    </row>
    <row r="484" spans="2:11" ht="31.2" x14ac:dyDescent="0.3">
      <c r="B484" s="31" t="s">
        <v>7743</v>
      </c>
      <c r="C484" s="130" t="s">
        <v>7744</v>
      </c>
      <c r="D484" s="43" t="s">
        <v>190</v>
      </c>
      <c r="E484" s="126" t="s">
        <v>515</v>
      </c>
      <c r="F484" s="504">
        <v>1</v>
      </c>
      <c r="G484" s="248" t="s">
        <v>8308</v>
      </c>
      <c r="H484" s="542">
        <v>46022</v>
      </c>
      <c r="I484" s="319" t="s">
        <v>943</v>
      </c>
      <c r="J484" s="494" t="s">
        <v>8309</v>
      </c>
      <c r="K484" s="132" t="s">
        <v>8310</v>
      </c>
    </row>
    <row r="485" spans="2:11" ht="31.2" x14ac:dyDescent="0.3">
      <c r="B485" s="31" t="s">
        <v>7743</v>
      </c>
      <c r="C485" s="130" t="s">
        <v>7744</v>
      </c>
      <c r="D485" s="43" t="s">
        <v>190</v>
      </c>
      <c r="E485" s="126" t="s">
        <v>515</v>
      </c>
      <c r="F485" s="504">
        <v>1</v>
      </c>
      <c r="G485" s="248" t="s">
        <v>8311</v>
      </c>
      <c r="H485" s="542">
        <v>46022</v>
      </c>
      <c r="I485" s="319" t="s">
        <v>943</v>
      </c>
      <c r="J485" s="494" t="s">
        <v>8312</v>
      </c>
      <c r="K485" s="132" t="s">
        <v>8313</v>
      </c>
    </row>
    <row r="486" spans="2:11" ht="31.2" x14ac:dyDescent="0.3">
      <c r="B486" s="31" t="s">
        <v>7743</v>
      </c>
      <c r="C486" s="130" t="s">
        <v>7744</v>
      </c>
      <c r="D486" s="43" t="s">
        <v>190</v>
      </c>
      <c r="E486" s="126" t="s">
        <v>515</v>
      </c>
      <c r="F486" s="504">
        <v>1</v>
      </c>
      <c r="G486" s="248" t="s">
        <v>8314</v>
      </c>
      <c r="H486" s="542">
        <v>46022</v>
      </c>
      <c r="I486" s="319" t="s">
        <v>943</v>
      </c>
      <c r="J486" s="494" t="s">
        <v>8315</v>
      </c>
      <c r="K486" s="132" t="s">
        <v>8316</v>
      </c>
    </row>
    <row r="487" spans="2:11" ht="31.2" x14ac:dyDescent="0.3">
      <c r="B487" s="31" t="s">
        <v>7743</v>
      </c>
      <c r="C487" s="130" t="s">
        <v>7744</v>
      </c>
      <c r="D487" s="43" t="s">
        <v>190</v>
      </c>
      <c r="E487" s="126" t="s">
        <v>515</v>
      </c>
      <c r="F487" s="504">
        <v>1</v>
      </c>
      <c r="G487" s="248" t="s">
        <v>8317</v>
      </c>
      <c r="H487" s="542">
        <v>46026</v>
      </c>
      <c r="I487" s="319" t="s">
        <v>1417</v>
      </c>
      <c r="J487" s="494" t="s">
        <v>8318</v>
      </c>
      <c r="K487" s="132" t="s">
        <v>8319</v>
      </c>
    </row>
    <row r="488" spans="2:11" ht="31.2" x14ac:dyDescent="0.3">
      <c r="B488" s="31" t="s">
        <v>7743</v>
      </c>
      <c r="C488" s="130" t="s">
        <v>7744</v>
      </c>
      <c r="D488" s="43" t="s">
        <v>190</v>
      </c>
      <c r="E488" s="126" t="s">
        <v>515</v>
      </c>
      <c r="F488" s="504">
        <v>1</v>
      </c>
      <c r="G488" s="248" t="s">
        <v>8320</v>
      </c>
      <c r="H488" s="542">
        <v>46027</v>
      </c>
      <c r="I488" s="319" t="s">
        <v>1417</v>
      </c>
      <c r="J488" s="494" t="s">
        <v>8321</v>
      </c>
      <c r="K488" s="132" t="s">
        <v>8322</v>
      </c>
    </row>
    <row r="489" spans="2:11" ht="31.2" x14ac:dyDescent="0.3">
      <c r="B489" s="31" t="s">
        <v>7743</v>
      </c>
      <c r="C489" s="130" t="s">
        <v>7744</v>
      </c>
      <c r="D489" s="43" t="s">
        <v>190</v>
      </c>
      <c r="E489" s="126" t="s">
        <v>515</v>
      </c>
      <c r="F489" s="504">
        <v>1</v>
      </c>
      <c r="G489" s="248" t="s">
        <v>8323</v>
      </c>
      <c r="H489" s="542">
        <v>46027</v>
      </c>
      <c r="I489" s="319" t="s">
        <v>1417</v>
      </c>
      <c r="J489" s="494" t="s">
        <v>8324</v>
      </c>
      <c r="K489" s="132" t="s">
        <v>8325</v>
      </c>
    </row>
    <row r="490" spans="2:11" ht="31.2" x14ac:dyDescent="0.3">
      <c r="B490" s="31" t="s">
        <v>7743</v>
      </c>
      <c r="C490" s="130" t="s">
        <v>7744</v>
      </c>
      <c r="D490" s="43" t="s">
        <v>190</v>
      </c>
      <c r="E490" s="126" t="s">
        <v>515</v>
      </c>
      <c r="F490" s="504">
        <v>1</v>
      </c>
      <c r="G490" s="248" t="s">
        <v>8326</v>
      </c>
      <c r="H490" s="542">
        <v>46029</v>
      </c>
      <c r="I490" s="319" t="s">
        <v>1417</v>
      </c>
      <c r="J490" s="494" t="s">
        <v>8327</v>
      </c>
      <c r="K490" s="132" t="s">
        <v>8328</v>
      </c>
    </row>
    <row r="491" spans="2:11" ht="31.2" x14ac:dyDescent="0.3">
      <c r="B491" s="31" t="s">
        <v>7743</v>
      </c>
      <c r="C491" s="130" t="s">
        <v>7744</v>
      </c>
      <c r="D491" s="43" t="s">
        <v>190</v>
      </c>
      <c r="E491" s="126" t="s">
        <v>515</v>
      </c>
      <c r="F491" s="504">
        <v>1</v>
      </c>
      <c r="G491" s="248" t="s">
        <v>8329</v>
      </c>
      <c r="H491" s="542">
        <v>46029</v>
      </c>
      <c r="I491" s="319" t="s">
        <v>1417</v>
      </c>
      <c r="J491" s="494" t="s">
        <v>8330</v>
      </c>
      <c r="K491" s="132" t="s">
        <v>8331</v>
      </c>
    </row>
    <row r="492" spans="2:11" ht="31.2" x14ac:dyDescent="0.3">
      <c r="B492" s="31" t="s">
        <v>7743</v>
      </c>
      <c r="C492" s="130" t="s">
        <v>7744</v>
      </c>
      <c r="D492" s="43" t="s">
        <v>190</v>
      </c>
      <c r="E492" s="126" t="s">
        <v>515</v>
      </c>
      <c r="F492" s="504">
        <v>1</v>
      </c>
      <c r="G492" s="248" t="s">
        <v>8332</v>
      </c>
      <c r="H492" s="542">
        <v>46031</v>
      </c>
      <c r="I492" s="319" t="s">
        <v>1417</v>
      </c>
      <c r="J492" s="494" t="s">
        <v>8333</v>
      </c>
      <c r="K492" s="132" t="s">
        <v>8334</v>
      </c>
    </row>
    <row r="493" spans="2:11" ht="31.2" x14ac:dyDescent="0.3">
      <c r="B493" s="31" t="s">
        <v>7743</v>
      </c>
      <c r="C493" s="130" t="s">
        <v>7744</v>
      </c>
      <c r="D493" s="43" t="s">
        <v>190</v>
      </c>
      <c r="E493" s="126" t="s">
        <v>515</v>
      </c>
      <c r="F493" s="504">
        <v>1</v>
      </c>
      <c r="G493" s="248" t="s">
        <v>8335</v>
      </c>
      <c r="H493" s="542">
        <v>46031</v>
      </c>
      <c r="I493" s="319" t="s">
        <v>1417</v>
      </c>
      <c r="J493" s="494" t="s">
        <v>8336</v>
      </c>
      <c r="K493" s="132" t="s">
        <v>8337</v>
      </c>
    </row>
    <row r="494" spans="2:11" ht="31.2" x14ac:dyDescent="0.3">
      <c r="B494" s="31" t="s">
        <v>7743</v>
      </c>
      <c r="C494" s="130" t="s">
        <v>7744</v>
      </c>
      <c r="D494" s="43" t="s">
        <v>190</v>
      </c>
      <c r="E494" s="126" t="s">
        <v>515</v>
      </c>
      <c r="F494" s="504">
        <v>1</v>
      </c>
      <c r="G494" s="248" t="s">
        <v>8338</v>
      </c>
      <c r="H494" s="542">
        <v>46034</v>
      </c>
      <c r="I494" s="319" t="s">
        <v>1417</v>
      </c>
      <c r="J494" s="494" t="s">
        <v>8339</v>
      </c>
      <c r="K494" s="132" t="s">
        <v>8340</v>
      </c>
    </row>
    <row r="495" spans="2:11" ht="31.2" x14ac:dyDescent="0.3">
      <c r="B495" s="31" t="s">
        <v>7743</v>
      </c>
      <c r="C495" s="130" t="s">
        <v>7744</v>
      </c>
      <c r="D495" s="43" t="s">
        <v>190</v>
      </c>
      <c r="E495" s="126" t="s">
        <v>515</v>
      </c>
      <c r="F495" s="504">
        <v>1</v>
      </c>
      <c r="G495" s="248" t="s">
        <v>8341</v>
      </c>
      <c r="H495" s="542">
        <v>46036</v>
      </c>
      <c r="I495" s="319" t="s">
        <v>1417</v>
      </c>
      <c r="J495" s="494" t="s">
        <v>8342</v>
      </c>
      <c r="K495" s="132" t="s">
        <v>8343</v>
      </c>
    </row>
    <row r="496" spans="2:11" ht="31.2" x14ac:dyDescent="0.3">
      <c r="B496" s="31" t="s">
        <v>7743</v>
      </c>
      <c r="C496" s="130" t="s">
        <v>7744</v>
      </c>
      <c r="D496" s="43" t="s">
        <v>190</v>
      </c>
      <c r="E496" s="126" t="s">
        <v>515</v>
      </c>
      <c r="F496" s="504">
        <v>1</v>
      </c>
      <c r="G496" s="248" t="s">
        <v>8344</v>
      </c>
      <c r="H496" s="542">
        <v>46037</v>
      </c>
      <c r="I496" s="319" t="s">
        <v>1417</v>
      </c>
      <c r="J496" s="494" t="s">
        <v>8345</v>
      </c>
      <c r="K496" s="132" t="s">
        <v>8346</v>
      </c>
    </row>
    <row r="497" spans="2:11" ht="31.2" x14ac:dyDescent="0.3">
      <c r="B497" s="31" t="s">
        <v>7743</v>
      </c>
      <c r="C497" s="130" t="s">
        <v>7744</v>
      </c>
      <c r="D497" s="43" t="s">
        <v>190</v>
      </c>
      <c r="E497" s="126" t="s">
        <v>515</v>
      </c>
      <c r="F497" s="504">
        <v>1</v>
      </c>
      <c r="G497" s="248" t="s">
        <v>8347</v>
      </c>
      <c r="H497" s="542">
        <v>46038</v>
      </c>
      <c r="I497" s="319" t="s">
        <v>1417</v>
      </c>
      <c r="J497" s="494" t="s">
        <v>8348</v>
      </c>
      <c r="K497" s="132" t="s">
        <v>8349</v>
      </c>
    </row>
    <row r="498" spans="2:11" ht="31.2" x14ac:dyDescent="0.3">
      <c r="B498" s="31" t="s">
        <v>7743</v>
      </c>
      <c r="C498" s="130" t="s">
        <v>7744</v>
      </c>
      <c r="D498" s="43" t="s">
        <v>190</v>
      </c>
      <c r="E498" s="126" t="s">
        <v>515</v>
      </c>
      <c r="F498" s="504">
        <v>1</v>
      </c>
      <c r="G498" s="248" t="s">
        <v>8350</v>
      </c>
      <c r="H498" s="542">
        <v>46038</v>
      </c>
      <c r="I498" s="319" t="s">
        <v>1417</v>
      </c>
      <c r="J498" s="494" t="s">
        <v>8351</v>
      </c>
      <c r="K498" s="132" t="s">
        <v>8352</v>
      </c>
    </row>
    <row r="499" spans="2:11" ht="31.2" x14ac:dyDescent="0.3">
      <c r="B499" s="31" t="s">
        <v>7743</v>
      </c>
      <c r="C499" s="130" t="s">
        <v>7744</v>
      </c>
      <c r="D499" s="43" t="s">
        <v>190</v>
      </c>
      <c r="E499" s="126" t="s">
        <v>515</v>
      </c>
      <c r="F499" s="504">
        <v>1</v>
      </c>
      <c r="G499" s="248" t="s">
        <v>8353</v>
      </c>
      <c r="H499" s="542" t="s">
        <v>8354</v>
      </c>
      <c r="I499" s="319" t="s">
        <v>1417</v>
      </c>
      <c r="J499" s="494" t="s">
        <v>8355</v>
      </c>
      <c r="K499" s="132" t="s">
        <v>8356</v>
      </c>
    </row>
    <row r="500" spans="2:11" ht="31.2" x14ac:dyDescent="0.3">
      <c r="B500" s="31" t="s">
        <v>7743</v>
      </c>
      <c r="C500" s="130" t="s">
        <v>7744</v>
      </c>
      <c r="D500" s="43" t="s">
        <v>190</v>
      </c>
      <c r="E500" s="126" t="s">
        <v>515</v>
      </c>
      <c r="F500" s="504">
        <v>1</v>
      </c>
      <c r="G500" s="248" t="s">
        <v>8357</v>
      </c>
      <c r="H500" s="542">
        <v>46041</v>
      </c>
      <c r="I500" s="319" t="s">
        <v>1417</v>
      </c>
      <c r="J500" s="494" t="s">
        <v>8358</v>
      </c>
      <c r="K500" s="132" t="s">
        <v>8359</v>
      </c>
    </row>
    <row r="501" spans="2:11" ht="15.6" x14ac:dyDescent="0.3">
      <c r="B501" s="31"/>
      <c r="C501" s="130"/>
      <c r="D501" s="43"/>
      <c r="E501" s="126"/>
      <c r="F501" s="351"/>
      <c r="G501" s="126"/>
      <c r="H501" s="304"/>
      <c r="I501" s="151"/>
      <c r="J501" s="494"/>
    </row>
    <row r="502" spans="2:11" ht="15.6" x14ac:dyDescent="0.3">
      <c r="B502" s="352"/>
      <c r="C502" s="353" t="s">
        <v>771</v>
      </c>
      <c r="D502" s="354" t="s">
        <v>190</v>
      </c>
      <c r="E502" s="355"/>
      <c r="F502" s="1040">
        <f>SUM(F307:F501)</f>
        <v>194</v>
      </c>
      <c r="G502" s="357"/>
      <c r="H502" s="358"/>
      <c r="I502" s="359"/>
      <c r="J502" s="535"/>
      <c r="K502" s="58"/>
    </row>
    <row r="503" spans="2:11" ht="15.6" x14ac:dyDescent="0.3">
      <c r="B503" s="352"/>
      <c r="C503" s="353" t="s">
        <v>772</v>
      </c>
      <c r="D503" s="354" t="s">
        <v>190</v>
      </c>
      <c r="E503" s="355"/>
      <c r="F503" s="1040">
        <v>194</v>
      </c>
      <c r="G503" s="357"/>
      <c r="H503" s="358"/>
      <c r="I503" s="359"/>
      <c r="J503" s="535"/>
      <c r="K503" s="58"/>
    </row>
    <row r="504" spans="2:11" ht="15.6" x14ac:dyDescent="0.3">
      <c r="B504" s="360"/>
      <c r="C504" s="361" t="s">
        <v>773</v>
      </c>
      <c r="D504" s="362" t="s">
        <v>190</v>
      </c>
      <c r="E504" s="363"/>
      <c r="F504" s="1041">
        <f>F502-F503</f>
        <v>0</v>
      </c>
      <c r="G504" s="365"/>
      <c r="H504" s="366"/>
      <c r="I504" s="367"/>
      <c r="J504" s="536"/>
      <c r="K504" s="58"/>
    </row>
    <row r="505" spans="2:11" ht="7.5" customHeight="1" x14ac:dyDescent="0.3">
      <c r="B505" s="338"/>
      <c r="C505" s="142"/>
      <c r="D505" s="143"/>
      <c r="E505" s="144"/>
      <c r="F505" s="1038"/>
      <c r="G505" s="144"/>
      <c r="H505" s="144"/>
      <c r="I505" s="515"/>
      <c r="J505" s="524"/>
    </row>
    <row r="506" spans="2:11" ht="62.4" x14ac:dyDescent="0.3">
      <c r="B506" s="31" t="s">
        <v>566</v>
      </c>
      <c r="C506" s="130" t="s">
        <v>567</v>
      </c>
      <c r="D506" s="43" t="s">
        <v>320</v>
      </c>
      <c r="E506" s="126" t="s">
        <v>510</v>
      </c>
      <c r="F506" s="504">
        <v>4.4800000000000004</v>
      </c>
      <c r="G506" s="248" t="s">
        <v>8360</v>
      </c>
      <c r="H506" s="585" t="s">
        <v>8361</v>
      </c>
      <c r="I506" s="319" t="s">
        <v>1262</v>
      </c>
      <c r="J506" s="494" t="s">
        <v>6087</v>
      </c>
      <c r="K506" s="132" t="s">
        <v>6086</v>
      </c>
    </row>
    <row r="507" spans="2:11" ht="46.8" x14ac:dyDescent="0.3">
      <c r="B507" s="31" t="s">
        <v>566</v>
      </c>
      <c r="C507" s="130" t="s">
        <v>567</v>
      </c>
      <c r="D507" s="43" t="s">
        <v>320</v>
      </c>
      <c r="E507" s="126" t="s">
        <v>510</v>
      </c>
      <c r="F507" s="504">
        <v>4.4800000000000004</v>
      </c>
      <c r="G507" s="248" t="s">
        <v>8362</v>
      </c>
      <c r="H507" s="585" t="s">
        <v>4106</v>
      </c>
      <c r="I507" s="319" t="s">
        <v>1262</v>
      </c>
      <c r="J507" s="494" t="s">
        <v>6058</v>
      </c>
      <c r="K507" s="132" t="s">
        <v>6057</v>
      </c>
    </row>
    <row r="508" spans="2:11" ht="62.4" x14ac:dyDescent="0.3">
      <c r="B508" s="31" t="s">
        <v>566</v>
      </c>
      <c r="C508" s="130" t="s">
        <v>567</v>
      </c>
      <c r="D508" s="43" t="s">
        <v>320</v>
      </c>
      <c r="E508" s="126" t="s">
        <v>510</v>
      </c>
      <c r="F508" s="504">
        <v>2.5</v>
      </c>
      <c r="G508" s="248" t="s">
        <v>8363</v>
      </c>
      <c r="H508" s="585" t="s">
        <v>4309</v>
      </c>
      <c r="I508" s="319" t="s">
        <v>1509</v>
      </c>
      <c r="J508" s="494" t="s">
        <v>6059</v>
      </c>
      <c r="K508" s="132" t="s">
        <v>6057</v>
      </c>
    </row>
    <row r="509" spans="2:11" ht="62.4" x14ac:dyDescent="0.3">
      <c r="B509" s="31" t="s">
        <v>566</v>
      </c>
      <c r="C509" s="130" t="s">
        <v>567</v>
      </c>
      <c r="D509" s="43" t="s">
        <v>320</v>
      </c>
      <c r="E509" s="126" t="s">
        <v>510</v>
      </c>
      <c r="F509" s="504">
        <v>2.5</v>
      </c>
      <c r="G509" s="248" t="s">
        <v>8364</v>
      </c>
      <c r="H509" s="585" t="s">
        <v>8365</v>
      </c>
      <c r="I509" s="319" t="s">
        <v>1509</v>
      </c>
      <c r="J509" s="494" t="s">
        <v>6088</v>
      </c>
      <c r="K509" s="132" t="s">
        <v>6086</v>
      </c>
    </row>
    <row r="510" spans="2:11" ht="62.4" x14ac:dyDescent="0.3">
      <c r="B510" s="31" t="s">
        <v>566</v>
      </c>
      <c r="C510" s="130" t="s">
        <v>567</v>
      </c>
      <c r="D510" s="43" t="s">
        <v>320</v>
      </c>
      <c r="E510" s="126" t="s">
        <v>510</v>
      </c>
      <c r="F510" s="504">
        <v>2.5</v>
      </c>
      <c r="G510" s="248" t="s">
        <v>8366</v>
      </c>
      <c r="H510" s="585" t="s">
        <v>8367</v>
      </c>
      <c r="I510" s="319" t="s">
        <v>1509</v>
      </c>
      <c r="J510" s="494" t="s">
        <v>6062</v>
      </c>
      <c r="K510" s="132" t="s">
        <v>6057</v>
      </c>
    </row>
    <row r="511" spans="2:11" ht="62.4" x14ac:dyDescent="0.3">
      <c r="B511" s="31" t="s">
        <v>566</v>
      </c>
      <c r="C511" s="130" t="s">
        <v>567</v>
      </c>
      <c r="D511" s="43" t="s">
        <v>320</v>
      </c>
      <c r="E511" s="126" t="s">
        <v>510</v>
      </c>
      <c r="F511" s="504">
        <v>2.5</v>
      </c>
      <c r="G511" s="248" t="s">
        <v>8368</v>
      </c>
      <c r="H511" s="585" t="s">
        <v>8369</v>
      </c>
      <c r="I511" s="319" t="s">
        <v>1509</v>
      </c>
      <c r="J511" s="494" t="s">
        <v>6089</v>
      </c>
      <c r="K511" s="132" t="s">
        <v>6086</v>
      </c>
    </row>
    <row r="512" spans="2:11" ht="46.8" x14ac:dyDescent="0.3">
      <c r="B512" s="31" t="s">
        <v>566</v>
      </c>
      <c r="C512" s="130" t="s">
        <v>567</v>
      </c>
      <c r="D512" s="43" t="s">
        <v>320</v>
      </c>
      <c r="E512" s="126" t="s">
        <v>510</v>
      </c>
      <c r="F512" s="504">
        <v>2.5</v>
      </c>
      <c r="G512" s="248" t="s">
        <v>8370</v>
      </c>
      <c r="H512" s="585" t="s">
        <v>3979</v>
      </c>
      <c r="I512" s="319" t="s">
        <v>1509</v>
      </c>
      <c r="J512" s="494" t="s">
        <v>6065</v>
      </c>
      <c r="K512" s="132" t="s">
        <v>6057</v>
      </c>
    </row>
    <row r="513" spans="2:11" ht="46.8" x14ac:dyDescent="0.3">
      <c r="B513" s="31" t="s">
        <v>566</v>
      </c>
      <c r="C513" s="130" t="s">
        <v>567</v>
      </c>
      <c r="D513" s="43" t="s">
        <v>320</v>
      </c>
      <c r="E513" s="126" t="s">
        <v>510</v>
      </c>
      <c r="F513" s="504">
        <v>2.5</v>
      </c>
      <c r="G513" s="248" t="s">
        <v>8371</v>
      </c>
      <c r="H513" s="585" t="s">
        <v>8372</v>
      </c>
      <c r="I513" s="319" t="s">
        <v>1509</v>
      </c>
      <c r="J513" s="494" t="s">
        <v>6090</v>
      </c>
      <c r="K513" s="132" t="s">
        <v>6086</v>
      </c>
    </row>
    <row r="514" spans="2:11" ht="46.8" x14ac:dyDescent="0.3">
      <c r="B514" s="31" t="s">
        <v>566</v>
      </c>
      <c r="C514" s="130" t="s">
        <v>567</v>
      </c>
      <c r="D514" s="43" t="s">
        <v>320</v>
      </c>
      <c r="E514" s="126" t="s">
        <v>510</v>
      </c>
      <c r="F514" s="504">
        <v>2.5</v>
      </c>
      <c r="G514" s="248" t="s">
        <v>8373</v>
      </c>
      <c r="H514" s="585" t="s">
        <v>4044</v>
      </c>
      <c r="I514" s="319" t="s">
        <v>1509</v>
      </c>
      <c r="J514" s="494" t="s">
        <v>6068</v>
      </c>
      <c r="K514" s="132" t="s">
        <v>6057</v>
      </c>
    </row>
    <row r="515" spans="2:11" ht="46.8" x14ac:dyDescent="0.3">
      <c r="B515" s="31" t="s">
        <v>566</v>
      </c>
      <c r="C515" s="130" t="s">
        <v>567</v>
      </c>
      <c r="D515" s="43" t="s">
        <v>320</v>
      </c>
      <c r="E515" s="126" t="s">
        <v>510</v>
      </c>
      <c r="F515" s="504">
        <v>2.5</v>
      </c>
      <c r="G515" s="248" t="s">
        <v>8374</v>
      </c>
      <c r="H515" s="585" t="s">
        <v>8375</v>
      </c>
      <c r="I515" s="319" t="s">
        <v>1509</v>
      </c>
      <c r="J515" s="494" t="s">
        <v>6091</v>
      </c>
      <c r="K515" s="132" t="s">
        <v>6086</v>
      </c>
    </row>
    <row r="516" spans="2:11" ht="46.8" x14ac:dyDescent="0.3">
      <c r="B516" s="31" t="s">
        <v>566</v>
      </c>
      <c r="C516" s="130" t="s">
        <v>567</v>
      </c>
      <c r="D516" s="43" t="s">
        <v>320</v>
      </c>
      <c r="E516" s="126" t="s">
        <v>510</v>
      </c>
      <c r="F516" s="504">
        <v>2.5</v>
      </c>
      <c r="G516" s="248" t="s">
        <v>8376</v>
      </c>
      <c r="H516" s="585" t="s">
        <v>4053</v>
      </c>
      <c r="I516" s="319" t="s">
        <v>940</v>
      </c>
      <c r="J516" s="494" t="s">
        <v>6069</v>
      </c>
      <c r="K516" s="132" t="s">
        <v>6057</v>
      </c>
    </row>
    <row r="517" spans="2:11" ht="62.4" x14ac:dyDescent="0.3">
      <c r="B517" s="31" t="s">
        <v>566</v>
      </c>
      <c r="C517" s="130" t="s">
        <v>567</v>
      </c>
      <c r="D517" s="43" t="s">
        <v>320</v>
      </c>
      <c r="E517" s="126" t="s">
        <v>510</v>
      </c>
      <c r="F517" s="504">
        <v>2.5</v>
      </c>
      <c r="G517" s="248" t="s">
        <v>8377</v>
      </c>
      <c r="H517" s="585" t="s">
        <v>8378</v>
      </c>
      <c r="I517" s="319" t="s">
        <v>940</v>
      </c>
      <c r="J517" s="494" t="s">
        <v>6092</v>
      </c>
      <c r="K517" s="132" t="s">
        <v>6086</v>
      </c>
    </row>
    <row r="518" spans="2:11" ht="46.8" x14ac:dyDescent="0.3">
      <c r="B518" s="31" t="s">
        <v>566</v>
      </c>
      <c r="C518" s="130" t="s">
        <v>567</v>
      </c>
      <c r="D518" s="43" t="s">
        <v>320</v>
      </c>
      <c r="E518" s="126" t="s">
        <v>510</v>
      </c>
      <c r="F518" s="504">
        <v>2.5</v>
      </c>
      <c r="G518" s="248" t="s">
        <v>8379</v>
      </c>
      <c r="H518" s="585" t="s">
        <v>7633</v>
      </c>
      <c r="I518" s="319" t="s">
        <v>940</v>
      </c>
      <c r="J518" s="494" t="s">
        <v>6070</v>
      </c>
      <c r="K518" s="132" t="s">
        <v>6057</v>
      </c>
    </row>
    <row r="519" spans="2:11" ht="62.4" x14ac:dyDescent="0.3">
      <c r="B519" s="31" t="s">
        <v>566</v>
      </c>
      <c r="C519" s="130" t="s">
        <v>567</v>
      </c>
      <c r="D519" s="43" t="s">
        <v>320</v>
      </c>
      <c r="E519" s="126" t="s">
        <v>510</v>
      </c>
      <c r="F519" s="504">
        <v>2.5</v>
      </c>
      <c r="G519" s="248" t="s">
        <v>8380</v>
      </c>
      <c r="H519" s="585" t="s">
        <v>8381</v>
      </c>
      <c r="I519" s="319" t="s">
        <v>940</v>
      </c>
      <c r="J519" s="494" t="s">
        <v>6093</v>
      </c>
      <c r="K519" s="132" t="s">
        <v>6086</v>
      </c>
    </row>
    <row r="520" spans="2:11" ht="46.8" x14ac:dyDescent="0.3">
      <c r="B520" s="31" t="s">
        <v>566</v>
      </c>
      <c r="C520" s="130" t="s">
        <v>567</v>
      </c>
      <c r="D520" s="43" t="s">
        <v>320</v>
      </c>
      <c r="E520" s="126" t="s">
        <v>510</v>
      </c>
      <c r="F520" s="504">
        <v>2.5</v>
      </c>
      <c r="G520" s="248" t="s">
        <v>8382</v>
      </c>
      <c r="H520" s="585" t="s">
        <v>8383</v>
      </c>
      <c r="I520" s="319" t="s">
        <v>940</v>
      </c>
      <c r="J520" s="494" t="s">
        <v>6072</v>
      </c>
      <c r="K520" s="132" t="s">
        <v>6057</v>
      </c>
    </row>
    <row r="521" spans="2:11" ht="46.8" x14ac:dyDescent="0.3">
      <c r="B521" s="31" t="s">
        <v>566</v>
      </c>
      <c r="C521" s="130" t="s">
        <v>567</v>
      </c>
      <c r="D521" s="43" t="s">
        <v>320</v>
      </c>
      <c r="E521" s="126" t="s">
        <v>510</v>
      </c>
      <c r="F521" s="504">
        <v>2.5</v>
      </c>
      <c r="G521" s="248" t="s">
        <v>8384</v>
      </c>
      <c r="H521" s="585" t="s">
        <v>8385</v>
      </c>
      <c r="I521" s="319" t="s">
        <v>940</v>
      </c>
      <c r="J521" s="494" t="s">
        <v>6094</v>
      </c>
      <c r="K521" s="132" t="s">
        <v>6086</v>
      </c>
    </row>
    <row r="522" spans="2:11" ht="46.8" x14ac:dyDescent="0.3">
      <c r="B522" s="31" t="s">
        <v>566</v>
      </c>
      <c r="C522" s="130" t="s">
        <v>567</v>
      </c>
      <c r="D522" s="43" t="s">
        <v>320</v>
      </c>
      <c r="E522" s="126" t="s">
        <v>510</v>
      </c>
      <c r="F522" s="504">
        <v>3.3</v>
      </c>
      <c r="G522" s="248" t="s">
        <v>8386</v>
      </c>
      <c r="H522" s="585" t="s">
        <v>3854</v>
      </c>
      <c r="I522" s="319" t="s">
        <v>940</v>
      </c>
      <c r="J522" s="494" t="s">
        <v>6095</v>
      </c>
      <c r="K522" s="132" t="s">
        <v>6086</v>
      </c>
    </row>
    <row r="523" spans="2:11" ht="46.8" x14ac:dyDescent="0.3">
      <c r="B523" s="31" t="s">
        <v>566</v>
      </c>
      <c r="C523" s="130" t="s">
        <v>567</v>
      </c>
      <c r="D523" s="43" t="s">
        <v>320</v>
      </c>
      <c r="E523" s="126" t="s">
        <v>510</v>
      </c>
      <c r="F523" s="504">
        <v>3.17</v>
      </c>
      <c r="G523" s="248" t="s">
        <v>8387</v>
      </c>
      <c r="H523" s="585" t="s">
        <v>8388</v>
      </c>
      <c r="I523" s="319" t="s">
        <v>1026</v>
      </c>
      <c r="J523" s="494" t="s">
        <v>6074</v>
      </c>
      <c r="K523" s="132" t="s">
        <v>6057</v>
      </c>
    </row>
    <row r="524" spans="2:11" ht="46.8" x14ac:dyDescent="0.3">
      <c r="B524" s="31" t="s">
        <v>566</v>
      </c>
      <c r="C524" s="130" t="s">
        <v>567</v>
      </c>
      <c r="D524" s="43" t="s">
        <v>320</v>
      </c>
      <c r="E524" s="126" t="s">
        <v>510</v>
      </c>
      <c r="F524" s="504">
        <v>2.5</v>
      </c>
      <c r="G524" s="248" t="s">
        <v>8389</v>
      </c>
      <c r="H524" s="585" t="s">
        <v>8390</v>
      </c>
      <c r="I524" s="319" t="s">
        <v>1026</v>
      </c>
      <c r="J524" s="494" t="s">
        <v>6076</v>
      </c>
      <c r="K524" s="132" t="s">
        <v>6057</v>
      </c>
    </row>
    <row r="525" spans="2:11" ht="46.8" x14ac:dyDescent="0.3">
      <c r="B525" s="31" t="s">
        <v>566</v>
      </c>
      <c r="C525" s="130" t="s">
        <v>567</v>
      </c>
      <c r="D525" s="43" t="s">
        <v>320</v>
      </c>
      <c r="E525" s="126" t="s">
        <v>510</v>
      </c>
      <c r="F525" s="504">
        <v>2.5</v>
      </c>
      <c r="G525" s="248" t="s">
        <v>8391</v>
      </c>
      <c r="H525" s="585" t="s">
        <v>8392</v>
      </c>
      <c r="I525" s="319" t="s">
        <v>1026</v>
      </c>
      <c r="J525" s="494" t="s">
        <v>6096</v>
      </c>
      <c r="K525" s="132" t="s">
        <v>6086</v>
      </c>
    </row>
    <row r="526" spans="2:11" ht="46.8" x14ac:dyDescent="0.3">
      <c r="B526" s="31" t="s">
        <v>566</v>
      </c>
      <c r="C526" s="130" t="s">
        <v>567</v>
      </c>
      <c r="D526" s="43" t="s">
        <v>320</v>
      </c>
      <c r="E526" s="126" t="s">
        <v>510</v>
      </c>
      <c r="F526" s="504">
        <v>2.5</v>
      </c>
      <c r="G526" s="248" t="s">
        <v>8393</v>
      </c>
      <c r="H526" s="585" t="s">
        <v>8394</v>
      </c>
      <c r="I526" s="319" t="s">
        <v>1026</v>
      </c>
      <c r="J526" s="494" t="s">
        <v>6078</v>
      </c>
      <c r="K526" s="132" t="s">
        <v>6057</v>
      </c>
    </row>
    <row r="527" spans="2:11" ht="46.8" x14ac:dyDescent="0.3">
      <c r="B527" s="31" t="s">
        <v>566</v>
      </c>
      <c r="C527" s="130" t="s">
        <v>567</v>
      </c>
      <c r="D527" s="43" t="s">
        <v>320</v>
      </c>
      <c r="E527" s="126" t="s">
        <v>510</v>
      </c>
      <c r="F527" s="504">
        <v>2.5</v>
      </c>
      <c r="G527" s="248" t="s">
        <v>8395</v>
      </c>
      <c r="H527" s="585" t="s">
        <v>4323</v>
      </c>
      <c r="I527" s="319" t="s">
        <v>1026</v>
      </c>
      <c r="J527" s="494" t="s">
        <v>6097</v>
      </c>
      <c r="K527" s="132" t="s">
        <v>6086</v>
      </c>
    </row>
    <row r="528" spans="2:11" ht="46.8" x14ac:dyDescent="0.3">
      <c r="B528" s="31" t="s">
        <v>566</v>
      </c>
      <c r="C528" s="130" t="s">
        <v>567</v>
      </c>
      <c r="D528" s="43" t="s">
        <v>320</v>
      </c>
      <c r="E528" s="126" t="s">
        <v>510</v>
      </c>
      <c r="F528" s="504">
        <v>2.5</v>
      </c>
      <c r="G528" s="248" t="s">
        <v>8396</v>
      </c>
      <c r="H528" s="585" t="s">
        <v>4964</v>
      </c>
      <c r="I528" s="319" t="s">
        <v>1282</v>
      </c>
      <c r="J528" s="494" t="s">
        <v>6098</v>
      </c>
      <c r="K528" s="132" t="s">
        <v>6086</v>
      </c>
    </row>
    <row r="529" spans="2:11" ht="46.8" x14ac:dyDescent="0.3">
      <c r="B529" s="31" t="s">
        <v>566</v>
      </c>
      <c r="C529" s="130" t="s">
        <v>567</v>
      </c>
      <c r="D529" s="43" t="s">
        <v>320</v>
      </c>
      <c r="E529" s="126" t="s">
        <v>510</v>
      </c>
      <c r="F529" s="504">
        <v>2.5</v>
      </c>
      <c r="G529" s="248" t="s">
        <v>8397</v>
      </c>
      <c r="H529" s="585" t="s">
        <v>4332</v>
      </c>
      <c r="I529" s="319" t="s">
        <v>1282</v>
      </c>
      <c r="J529" s="494" t="s">
        <v>6079</v>
      </c>
      <c r="K529" s="132" t="s">
        <v>6057</v>
      </c>
    </row>
    <row r="530" spans="2:11" ht="46.8" x14ac:dyDescent="0.3">
      <c r="B530" s="31" t="s">
        <v>566</v>
      </c>
      <c r="C530" s="130" t="s">
        <v>567</v>
      </c>
      <c r="D530" s="43" t="s">
        <v>320</v>
      </c>
      <c r="E530" s="126" t="s">
        <v>510</v>
      </c>
      <c r="F530" s="504">
        <v>2.5</v>
      </c>
      <c r="G530" s="248" t="s">
        <v>8398</v>
      </c>
      <c r="H530" s="585" t="s">
        <v>7680</v>
      </c>
      <c r="I530" s="319" t="s">
        <v>1282</v>
      </c>
      <c r="J530" s="494" t="s">
        <v>6080</v>
      </c>
      <c r="K530" s="132" t="s">
        <v>6057</v>
      </c>
    </row>
    <row r="531" spans="2:11" ht="46.8" x14ac:dyDescent="0.3">
      <c r="B531" s="31" t="s">
        <v>566</v>
      </c>
      <c r="C531" s="130" t="s">
        <v>567</v>
      </c>
      <c r="D531" s="43" t="s">
        <v>320</v>
      </c>
      <c r="E531" s="126" t="s">
        <v>510</v>
      </c>
      <c r="F531" s="504">
        <v>2.5</v>
      </c>
      <c r="G531" s="248" t="s">
        <v>8399</v>
      </c>
      <c r="H531" s="585" t="s">
        <v>3342</v>
      </c>
      <c r="I531" s="319" t="s">
        <v>1282</v>
      </c>
      <c r="J531" s="494" t="s">
        <v>6081</v>
      </c>
      <c r="K531" s="132" t="s">
        <v>6057</v>
      </c>
    </row>
    <row r="532" spans="2:11" ht="46.8" x14ac:dyDescent="0.3">
      <c r="B532" s="31" t="s">
        <v>566</v>
      </c>
      <c r="C532" s="130" t="s">
        <v>567</v>
      </c>
      <c r="D532" s="43" t="s">
        <v>320</v>
      </c>
      <c r="E532" s="126" t="s">
        <v>510</v>
      </c>
      <c r="F532" s="504">
        <v>2.5</v>
      </c>
      <c r="G532" s="248" t="s">
        <v>8400</v>
      </c>
      <c r="H532" s="542" t="s">
        <v>5044</v>
      </c>
      <c r="I532" s="319" t="s">
        <v>943</v>
      </c>
      <c r="J532" s="494" t="s">
        <v>6099</v>
      </c>
      <c r="K532" s="132" t="s">
        <v>6086</v>
      </c>
    </row>
    <row r="533" spans="2:11" ht="46.8" x14ac:dyDescent="0.3">
      <c r="B533" s="31" t="s">
        <v>566</v>
      </c>
      <c r="C533" s="130" t="s">
        <v>567</v>
      </c>
      <c r="D533" s="43" t="s">
        <v>320</v>
      </c>
      <c r="E533" s="126" t="s">
        <v>510</v>
      </c>
      <c r="F533" s="504">
        <v>2.5</v>
      </c>
      <c r="G533" s="248" t="s">
        <v>8401</v>
      </c>
      <c r="H533" s="542" t="s">
        <v>7710</v>
      </c>
      <c r="I533" s="319" t="s">
        <v>943</v>
      </c>
      <c r="J533" s="494" t="s">
        <v>6100</v>
      </c>
      <c r="K533" s="132" t="s">
        <v>6086</v>
      </c>
    </row>
    <row r="534" spans="2:11" ht="46.8" x14ac:dyDescent="0.3">
      <c r="B534" s="31" t="s">
        <v>566</v>
      </c>
      <c r="C534" s="130" t="s">
        <v>567</v>
      </c>
      <c r="D534" s="43" t="s">
        <v>320</v>
      </c>
      <c r="E534" s="126" t="s">
        <v>510</v>
      </c>
      <c r="F534" s="504">
        <v>2.5</v>
      </c>
      <c r="G534" s="248" t="s">
        <v>8402</v>
      </c>
      <c r="H534" s="542" t="s">
        <v>7693</v>
      </c>
      <c r="I534" s="319" t="s">
        <v>943</v>
      </c>
      <c r="J534" s="494" t="s">
        <v>6101</v>
      </c>
      <c r="K534" s="132" t="s">
        <v>6086</v>
      </c>
    </row>
    <row r="535" spans="2:11" ht="46.8" x14ac:dyDescent="0.3">
      <c r="B535" s="31" t="s">
        <v>566</v>
      </c>
      <c r="C535" s="130" t="s">
        <v>567</v>
      </c>
      <c r="D535" s="43" t="s">
        <v>320</v>
      </c>
      <c r="E535" s="126" t="s">
        <v>510</v>
      </c>
      <c r="F535" s="504">
        <v>2.5</v>
      </c>
      <c r="G535" s="248" t="s">
        <v>8403</v>
      </c>
      <c r="H535" s="542" t="s">
        <v>4547</v>
      </c>
      <c r="I535" s="319" t="s">
        <v>1417</v>
      </c>
      <c r="J535" s="494" t="s">
        <v>6082</v>
      </c>
      <c r="K535" s="132" t="s">
        <v>6057</v>
      </c>
    </row>
    <row r="536" spans="2:11" ht="46.8" x14ac:dyDescent="0.3">
      <c r="B536" s="31" t="s">
        <v>566</v>
      </c>
      <c r="C536" s="130" t="s">
        <v>567</v>
      </c>
      <c r="D536" s="43" t="s">
        <v>320</v>
      </c>
      <c r="E536" s="126" t="s">
        <v>510</v>
      </c>
      <c r="F536" s="504">
        <v>2.5</v>
      </c>
      <c r="G536" s="248" t="s">
        <v>8404</v>
      </c>
      <c r="H536" s="542" t="s">
        <v>3269</v>
      </c>
      <c r="I536" s="319" t="s">
        <v>1417</v>
      </c>
      <c r="J536" s="494" t="s">
        <v>6083</v>
      </c>
      <c r="K536" s="132" t="s">
        <v>6057</v>
      </c>
    </row>
    <row r="537" spans="2:11" ht="46.8" x14ac:dyDescent="0.3">
      <c r="B537" s="31" t="s">
        <v>566</v>
      </c>
      <c r="C537" s="130" t="s">
        <v>567</v>
      </c>
      <c r="D537" s="43" t="s">
        <v>320</v>
      </c>
      <c r="E537" s="126" t="s">
        <v>510</v>
      </c>
      <c r="F537" s="504">
        <v>2.5</v>
      </c>
      <c r="G537" s="248" t="s">
        <v>8405</v>
      </c>
      <c r="H537" s="542" t="s">
        <v>8406</v>
      </c>
      <c r="I537" s="319" t="s">
        <v>946</v>
      </c>
      <c r="J537" s="494" t="s">
        <v>6102</v>
      </c>
      <c r="K537" s="132" t="s">
        <v>6086</v>
      </c>
    </row>
    <row r="538" spans="2:11" ht="46.8" x14ac:dyDescent="0.3">
      <c r="B538" s="31" t="s">
        <v>566</v>
      </c>
      <c r="C538" s="130" t="s">
        <v>567</v>
      </c>
      <c r="D538" s="43" t="s">
        <v>320</v>
      </c>
      <c r="E538" s="126" t="s">
        <v>510</v>
      </c>
      <c r="F538" s="504">
        <v>2.5</v>
      </c>
      <c r="G538" s="587" t="s">
        <v>8407</v>
      </c>
      <c r="H538" s="585" t="s">
        <v>8408</v>
      </c>
      <c r="I538" s="319" t="s">
        <v>1053</v>
      </c>
      <c r="J538" s="494" t="s">
        <v>6103</v>
      </c>
      <c r="K538" s="132" t="s">
        <v>6086</v>
      </c>
    </row>
    <row r="539" spans="2:11" ht="46.8" x14ac:dyDescent="0.3">
      <c r="B539" s="31" t="s">
        <v>566</v>
      </c>
      <c r="C539" s="130" t="s">
        <v>567</v>
      </c>
      <c r="D539" s="43" t="s">
        <v>320</v>
      </c>
      <c r="E539" s="126" t="s">
        <v>510</v>
      </c>
      <c r="F539" s="504">
        <v>2.5</v>
      </c>
      <c r="G539" s="587" t="s">
        <v>8409</v>
      </c>
      <c r="H539" s="585" t="s">
        <v>4219</v>
      </c>
      <c r="I539" s="319" t="s">
        <v>1579</v>
      </c>
      <c r="J539" s="494" t="s">
        <v>6084</v>
      </c>
      <c r="K539" s="132" t="s">
        <v>6057</v>
      </c>
    </row>
    <row r="540" spans="2:11" ht="46.8" x14ac:dyDescent="0.3">
      <c r="B540" s="31" t="s">
        <v>566</v>
      </c>
      <c r="C540" s="130" t="s">
        <v>567</v>
      </c>
      <c r="D540" s="43" t="s">
        <v>320</v>
      </c>
      <c r="E540" s="126" t="s">
        <v>510</v>
      </c>
      <c r="F540" s="504">
        <v>2.5</v>
      </c>
      <c r="G540" s="587" t="s">
        <v>8410</v>
      </c>
      <c r="H540" s="585" t="s">
        <v>4651</v>
      </c>
      <c r="I540" s="319" t="s">
        <v>1579</v>
      </c>
      <c r="J540" s="494" t="s">
        <v>6085</v>
      </c>
      <c r="K540" s="132" t="s">
        <v>6057</v>
      </c>
    </row>
    <row r="541" spans="2:11" ht="46.8" x14ac:dyDescent="0.3">
      <c r="B541" s="31" t="s">
        <v>566</v>
      </c>
      <c r="C541" s="130" t="s">
        <v>567</v>
      </c>
      <c r="D541" s="43" t="s">
        <v>320</v>
      </c>
      <c r="E541" s="126" t="s">
        <v>510</v>
      </c>
      <c r="F541" s="504">
        <v>2.5</v>
      </c>
      <c r="G541" s="587" t="s">
        <v>8411</v>
      </c>
      <c r="H541" s="585" t="s">
        <v>8412</v>
      </c>
      <c r="I541" s="319" t="s">
        <v>1579</v>
      </c>
      <c r="J541" s="494" t="s">
        <v>6104</v>
      </c>
      <c r="K541" s="132" t="s">
        <v>6086</v>
      </c>
    </row>
    <row r="542" spans="2:11" ht="46.8" x14ac:dyDescent="0.3">
      <c r="B542" s="31" t="s">
        <v>566</v>
      </c>
      <c r="C542" s="130" t="s">
        <v>567</v>
      </c>
      <c r="D542" s="43" t="s">
        <v>320</v>
      </c>
      <c r="E542" s="126" t="s">
        <v>510</v>
      </c>
      <c r="F542" s="504">
        <v>2.77</v>
      </c>
      <c r="G542" s="587" t="s">
        <v>8413</v>
      </c>
      <c r="H542" s="585" t="s">
        <v>8414</v>
      </c>
      <c r="I542" s="319" t="s">
        <v>949</v>
      </c>
      <c r="J542" s="494" t="s">
        <v>6105</v>
      </c>
      <c r="K542" s="132" t="s">
        <v>6086</v>
      </c>
    </row>
    <row r="543" spans="2:11" ht="46.8" x14ac:dyDescent="0.3">
      <c r="B543" s="31" t="s">
        <v>566</v>
      </c>
      <c r="C543" s="130" t="s">
        <v>567</v>
      </c>
      <c r="D543" s="43" t="s">
        <v>320</v>
      </c>
      <c r="E543" s="126" t="s">
        <v>510</v>
      </c>
      <c r="F543" s="1195">
        <v>1.05</v>
      </c>
      <c r="G543" s="587" t="s">
        <v>8415</v>
      </c>
      <c r="H543" s="585" t="s">
        <v>8416</v>
      </c>
      <c r="I543" s="1521" t="s">
        <v>119</v>
      </c>
      <c r="J543" s="494" t="s">
        <v>569</v>
      </c>
      <c r="K543" s="132" t="s">
        <v>6057</v>
      </c>
    </row>
    <row r="544" spans="2:11" ht="15.6" x14ac:dyDescent="0.3">
      <c r="B544" s="31"/>
      <c r="C544" s="130"/>
      <c r="D544" s="43"/>
      <c r="E544" s="126"/>
      <c r="F544" s="504"/>
      <c r="G544" s="248"/>
      <c r="H544" s="585"/>
      <c r="I544" s="319"/>
      <c r="J544" s="494"/>
    </row>
    <row r="545" spans="2:15" ht="15.6" x14ac:dyDescent="0.3">
      <c r="B545" s="352"/>
      <c r="C545" s="353" t="s">
        <v>771</v>
      </c>
      <c r="D545" s="354" t="s">
        <v>320</v>
      </c>
      <c r="E545" s="355"/>
      <c r="F545" s="1040">
        <f>SUM(F506:F544)</f>
        <v>99.25</v>
      </c>
      <c r="G545" s="357"/>
      <c r="H545" s="358"/>
      <c r="I545" s="359"/>
      <c r="J545" s="535"/>
      <c r="K545" s="58"/>
    </row>
    <row r="546" spans="2:15" ht="15.6" x14ac:dyDescent="0.3">
      <c r="B546" s="352"/>
      <c r="C546" s="353" t="s">
        <v>772</v>
      </c>
      <c r="D546" s="354" t="s">
        <v>320</v>
      </c>
      <c r="E546" s="355"/>
      <c r="F546" s="1040">
        <v>98.2</v>
      </c>
      <c r="G546" s="357"/>
      <c r="H546" s="358"/>
      <c r="I546" s="359"/>
      <c r="J546" s="535"/>
      <c r="K546" s="58"/>
    </row>
    <row r="547" spans="2:15" ht="15.6" x14ac:dyDescent="0.3">
      <c r="B547" s="360"/>
      <c r="C547" s="361" t="s">
        <v>773</v>
      </c>
      <c r="D547" s="362" t="s">
        <v>320</v>
      </c>
      <c r="E547" s="363"/>
      <c r="F547" s="1041">
        <f>F545-F546</f>
        <v>1.0499999999999972</v>
      </c>
      <c r="G547" s="365"/>
      <c r="H547" s="366"/>
      <c r="I547" s="367"/>
      <c r="J547" s="536"/>
      <c r="K547" s="58"/>
    </row>
    <row r="548" spans="2:15" ht="7.5" customHeight="1" x14ac:dyDescent="0.3">
      <c r="B548" s="338"/>
      <c r="C548" s="142"/>
      <c r="D548" s="143"/>
      <c r="E548" s="144"/>
      <c r="F548" s="1038"/>
      <c r="G548" s="144"/>
      <c r="H548" s="144"/>
      <c r="I548" s="515"/>
      <c r="J548" s="524"/>
    </row>
    <row r="549" spans="2:15" ht="62.4" x14ac:dyDescent="0.3">
      <c r="B549" s="31" t="s">
        <v>557</v>
      </c>
      <c r="C549" s="130" t="s">
        <v>558</v>
      </c>
      <c r="D549" s="43" t="s">
        <v>190</v>
      </c>
      <c r="E549" s="126" t="s">
        <v>510</v>
      </c>
      <c r="F549" s="504">
        <v>1</v>
      </c>
      <c r="G549" s="587" t="s">
        <v>8417</v>
      </c>
      <c r="H549" s="585" t="s">
        <v>8418</v>
      </c>
      <c r="I549" s="319" t="s">
        <v>937</v>
      </c>
      <c r="J549" s="494" t="s">
        <v>8419</v>
      </c>
      <c r="K549" s="132" t="s">
        <v>8420</v>
      </c>
    </row>
    <row r="550" spans="2:15" ht="44.4" customHeight="1" x14ac:dyDescent="0.3">
      <c r="B550" s="31" t="s">
        <v>557</v>
      </c>
      <c r="C550" s="130" t="s">
        <v>558</v>
      </c>
      <c r="D550" s="43" t="s">
        <v>190</v>
      </c>
      <c r="E550" s="126" t="s">
        <v>510</v>
      </c>
      <c r="F550" s="504">
        <v>1</v>
      </c>
      <c r="G550" s="587" t="s">
        <v>8421</v>
      </c>
      <c r="H550" s="585" t="s">
        <v>8422</v>
      </c>
      <c r="I550" s="319" t="s">
        <v>1262</v>
      </c>
      <c r="J550" s="494" t="s">
        <v>8423</v>
      </c>
      <c r="K550" s="132" t="s">
        <v>8424</v>
      </c>
      <c r="O550" s="663"/>
    </row>
    <row r="551" spans="2:15" ht="44.4" customHeight="1" x14ac:dyDescent="0.3">
      <c r="B551" s="31" t="s">
        <v>557</v>
      </c>
      <c r="C551" s="130" t="s">
        <v>558</v>
      </c>
      <c r="D551" s="43" t="s">
        <v>190</v>
      </c>
      <c r="E551" s="126" t="s">
        <v>510</v>
      </c>
      <c r="F551" s="504">
        <v>1</v>
      </c>
      <c r="G551" s="587" t="s">
        <v>8425</v>
      </c>
      <c r="H551" s="585" t="s">
        <v>8426</v>
      </c>
      <c r="I551" s="319" t="s">
        <v>940</v>
      </c>
      <c r="J551" s="494" t="s">
        <v>8427</v>
      </c>
      <c r="K551" s="132" t="s">
        <v>8428</v>
      </c>
    </row>
    <row r="552" spans="2:15" ht="44.4" customHeight="1" x14ac:dyDescent="0.3">
      <c r="B552" s="31" t="s">
        <v>557</v>
      </c>
      <c r="C552" s="130" t="s">
        <v>558</v>
      </c>
      <c r="D552" s="43" t="s">
        <v>190</v>
      </c>
      <c r="E552" s="126" t="s">
        <v>510</v>
      </c>
      <c r="F552" s="504">
        <v>1</v>
      </c>
      <c r="G552" s="587" t="s">
        <v>8429</v>
      </c>
      <c r="H552" s="585" t="s">
        <v>8430</v>
      </c>
      <c r="I552" s="319" t="s">
        <v>940</v>
      </c>
      <c r="J552" s="494" t="s">
        <v>8431</v>
      </c>
      <c r="K552" s="132" t="s">
        <v>8432</v>
      </c>
    </row>
    <row r="553" spans="2:15" ht="44.4" customHeight="1" x14ac:dyDescent="0.3">
      <c r="B553" s="31" t="s">
        <v>557</v>
      </c>
      <c r="C553" s="130" t="s">
        <v>558</v>
      </c>
      <c r="D553" s="43" t="s">
        <v>190</v>
      </c>
      <c r="E553" s="126" t="s">
        <v>510</v>
      </c>
      <c r="F553" s="504">
        <v>1</v>
      </c>
      <c r="G553" s="587" t="s">
        <v>8433</v>
      </c>
      <c r="H553" s="585" t="s">
        <v>4323</v>
      </c>
      <c r="I553" s="319" t="s">
        <v>1026</v>
      </c>
      <c r="J553" s="494" t="s">
        <v>8434</v>
      </c>
      <c r="K553" s="132" t="s">
        <v>8435</v>
      </c>
    </row>
    <row r="554" spans="2:15" ht="44.4" customHeight="1" x14ac:dyDescent="0.3">
      <c r="B554" s="31" t="s">
        <v>557</v>
      </c>
      <c r="C554" s="130" t="s">
        <v>558</v>
      </c>
      <c r="D554" s="43" t="s">
        <v>190</v>
      </c>
      <c r="E554" s="126" t="s">
        <v>510</v>
      </c>
      <c r="F554" s="504">
        <v>1</v>
      </c>
      <c r="G554" s="587" t="s">
        <v>8436</v>
      </c>
      <c r="H554" s="585" t="s">
        <v>4059</v>
      </c>
      <c r="I554" s="319" t="s">
        <v>1026</v>
      </c>
      <c r="J554" s="494" t="s">
        <v>8437</v>
      </c>
      <c r="K554" s="132" t="s">
        <v>8438</v>
      </c>
    </row>
    <row r="555" spans="2:15" ht="46.8" x14ac:dyDescent="0.3">
      <c r="B555" s="31" t="s">
        <v>557</v>
      </c>
      <c r="C555" s="130" t="s">
        <v>558</v>
      </c>
      <c r="D555" s="43" t="s">
        <v>190</v>
      </c>
      <c r="E555" s="126" t="s">
        <v>515</v>
      </c>
      <c r="F555" s="504">
        <v>1</v>
      </c>
      <c r="G555" s="587" t="s">
        <v>8439</v>
      </c>
      <c r="H555" s="585" t="s">
        <v>8440</v>
      </c>
      <c r="I555" s="319" t="s">
        <v>1026</v>
      </c>
      <c r="J555" s="494" t="s">
        <v>8441</v>
      </c>
      <c r="K555" s="132" t="s">
        <v>8442</v>
      </c>
    </row>
    <row r="556" spans="2:15" ht="46.8" x14ac:dyDescent="0.3">
      <c r="B556" s="31" t="s">
        <v>557</v>
      </c>
      <c r="C556" s="130" t="s">
        <v>558</v>
      </c>
      <c r="D556" s="43" t="s">
        <v>190</v>
      </c>
      <c r="E556" s="126" t="s">
        <v>515</v>
      </c>
      <c r="F556" s="504">
        <v>1</v>
      </c>
      <c r="G556" s="587" t="s">
        <v>8443</v>
      </c>
      <c r="H556" s="585" t="s">
        <v>8444</v>
      </c>
      <c r="I556" s="319" t="s">
        <v>1282</v>
      </c>
      <c r="J556" s="494" t="s">
        <v>8445</v>
      </c>
      <c r="K556" s="132" t="s">
        <v>8446</v>
      </c>
    </row>
    <row r="557" spans="2:15" ht="46.8" x14ac:dyDescent="0.3">
      <c r="B557" s="31" t="s">
        <v>557</v>
      </c>
      <c r="C557" s="130" t="s">
        <v>558</v>
      </c>
      <c r="D557" s="43" t="s">
        <v>190</v>
      </c>
      <c r="E557" s="126" t="s">
        <v>515</v>
      </c>
      <c r="F557" s="504">
        <v>1</v>
      </c>
      <c r="G557" s="587" t="s">
        <v>8447</v>
      </c>
      <c r="H557" s="585" t="s">
        <v>4062</v>
      </c>
      <c r="I557" s="319" t="s">
        <v>1282</v>
      </c>
      <c r="J557" s="494" t="s">
        <v>8448</v>
      </c>
      <c r="K557" s="132" t="s">
        <v>8449</v>
      </c>
    </row>
    <row r="558" spans="2:15" ht="46.8" x14ac:dyDescent="0.3">
      <c r="B558" s="31" t="s">
        <v>557</v>
      </c>
      <c r="C558" s="130" t="s">
        <v>558</v>
      </c>
      <c r="D558" s="43" t="s">
        <v>190</v>
      </c>
      <c r="E558" s="126" t="s">
        <v>515</v>
      </c>
      <c r="F558" s="504">
        <v>1</v>
      </c>
      <c r="G558" s="587" t="s">
        <v>8450</v>
      </c>
      <c r="H558" s="585" t="s">
        <v>8451</v>
      </c>
      <c r="I558" s="319" t="s">
        <v>1282</v>
      </c>
      <c r="J558" s="494" t="s">
        <v>8452</v>
      </c>
      <c r="K558" s="132" t="s">
        <v>8453</v>
      </c>
    </row>
    <row r="559" spans="2:15" ht="46.8" x14ac:dyDescent="0.3">
      <c r="B559" s="31" t="s">
        <v>557</v>
      </c>
      <c r="C559" s="130" t="s">
        <v>558</v>
      </c>
      <c r="D559" s="43" t="s">
        <v>190</v>
      </c>
      <c r="E559" s="126" t="s">
        <v>510</v>
      </c>
      <c r="F559" s="504">
        <v>1</v>
      </c>
      <c r="G559" s="587" t="s">
        <v>8454</v>
      </c>
      <c r="H559" s="585" t="s">
        <v>4335</v>
      </c>
      <c r="I559" s="319" t="s">
        <v>1282</v>
      </c>
      <c r="J559" s="494" t="s">
        <v>8455</v>
      </c>
      <c r="K559" s="132" t="s">
        <v>8456</v>
      </c>
    </row>
    <row r="560" spans="2:15" ht="46.8" x14ac:dyDescent="0.3">
      <c r="B560" s="31" t="s">
        <v>557</v>
      </c>
      <c r="C560" s="130" t="s">
        <v>558</v>
      </c>
      <c r="D560" s="43" t="s">
        <v>190</v>
      </c>
      <c r="E560" s="126" t="s">
        <v>510</v>
      </c>
      <c r="F560" s="504">
        <v>1</v>
      </c>
      <c r="G560" s="587" t="s">
        <v>8457</v>
      </c>
      <c r="H560" s="585" t="s">
        <v>8458</v>
      </c>
      <c r="I560" s="319" t="s">
        <v>1282</v>
      </c>
      <c r="J560" s="494" t="s">
        <v>8459</v>
      </c>
      <c r="K560" s="132" t="s">
        <v>8460</v>
      </c>
    </row>
    <row r="561" spans="2:11" ht="46.8" x14ac:dyDescent="0.3">
      <c r="B561" s="31" t="s">
        <v>557</v>
      </c>
      <c r="C561" s="130" t="s">
        <v>558</v>
      </c>
      <c r="D561" s="43" t="s">
        <v>190</v>
      </c>
      <c r="E561" s="126" t="s">
        <v>510</v>
      </c>
      <c r="F561" s="504">
        <v>1</v>
      </c>
      <c r="G561" s="587" t="s">
        <v>8461</v>
      </c>
      <c r="H561" s="585" t="s">
        <v>4062</v>
      </c>
      <c r="I561" s="319" t="s">
        <v>1282</v>
      </c>
      <c r="J561" s="494" t="s">
        <v>8462</v>
      </c>
      <c r="K561" s="132" t="s">
        <v>8463</v>
      </c>
    </row>
    <row r="562" spans="2:11" ht="46.8" x14ac:dyDescent="0.3">
      <c r="B562" s="31" t="s">
        <v>557</v>
      </c>
      <c r="C562" s="130" t="s">
        <v>558</v>
      </c>
      <c r="D562" s="43" t="s">
        <v>190</v>
      </c>
      <c r="E562" s="126" t="s">
        <v>510</v>
      </c>
      <c r="F562" s="504">
        <v>1</v>
      </c>
      <c r="G562" s="587" t="s">
        <v>8464</v>
      </c>
      <c r="H562" s="585" t="s">
        <v>4062</v>
      </c>
      <c r="I562" s="319" t="s">
        <v>1282</v>
      </c>
      <c r="J562" s="494" t="s">
        <v>8465</v>
      </c>
      <c r="K562" s="132" t="s">
        <v>8466</v>
      </c>
    </row>
    <row r="563" spans="2:11" ht="46.8" x14ac:dyDescent="0.3">
      <c r="B563" s="31" t="s">
        <v>557</v>
      </c>
      <c r="C563" s="130" t="s">
        <v>558</v>
      </c>
      <c r="D563" s="43" t="s">
        <v>190</v>
      </c>
      <c r="E563" s="126" t="s">
        <v>510</v>
      </c>
      <c r="F563" s="504">
        <v>1</v>
      </c>
      <c r="G563" s="248" t="s">
        <v>8467</v>
      </c>
      <c r="H563" s="542" t="s">
        <v>7660</v>
      </c>
      <c r="I563" s="319" t="s">
        <v>1282</v>
      </c>
      <c r="J563" s="494" t="s">
        <v>8468</v>
      </c>
      <c r="K563" s="132" t="s">
        <v>8469</v>
      </c>
    </row>
    <row r="564" spans="2:11" ht="46.8" x14ac:dyDescent="0.3">
      <c r="B564" s="31" t="s">
        <v>557</v>
      </c>
      <c r="C564" s="130" t="s">
        <v>558</v>
      </c>
      <c r="D564" s="43" t="s">
        <v>190</v>
      </c>
      <c r="E564" s="126" t="s">
        <v>510</v>
      </c>
      <c r="F564" s="504">
        <v>1</v>
      </c>
      <c r="G564" s="248" t="s">
        <v>8470</v>
      </c>
      <c r="H564" s="585" t="s">
        <v>3988</v>
      </c>
      <c r="I564" s="319" t="s">
        <v>1282</v>
      </c>
      <c r="J564" s="494" t="s">
        <v>8471</v>
      </c>
      <c r="K564" s="132" t="s">
        <v>8472</v>
      </c>
    </row>
    <row r="565" spans="2:11" ht="46.8" x14ac:dyDescent="0.3">
      <c r="B565" s="31" t="s">
        <v>557</v>
      </c>
      <c r="C565" s="130" t="s">
        <v>558</v>
      </c>
      <c r="D565" s="43" t="s">
        <v>190</v>
      </c>
      <c r="E565" s="126" t="s">
        <v>515</v>
      </c>
      <c r="F565" s="504">
        <v>1</v>
      </c>
      <c r="G565" s="248" t="s">
        <v>8473</v>
      </c>
      <c r="H565" s="542" t="s">
        <v>8474</v>
      </c>
      <c r="I565" s="319" t="s">
        <v>943</v>
      </c>
      <c r="J565" s="494" t="s">
        <v>8475</v>
      </c>
      <c r="K565" s="132" t="s">
        <v>8476</v>
      </c>
    </row>
    <row r="566" spans="2:11" ht="46.8" x14ac:dyDescent="0.3">
      <c r="B566" s="31" t="s">
        <v>557</v>
      </c>
      <c r="C566" s="130" t="s">
        <v>558</v>
      </c>
      <c r="D566" s="43" t="s">
        <v>190</v>
      </c>
      <c r="E566" s="126" t="s">
        <v>515</v>
      </c>
      <c r="F566" s="504">
        <v>1</v>
      </c>
      <c r="G566" s="248" t="s">
        <v>8477</v>
      </c>
      <c r="H566" s="542" t="s">
        <v>7714</v>
      </c>
      <c r="I566" s="319" t="s">
        <v>943</v>
      </c>
      <c r="J566" s="494" t="s">
        <v>8478</v>
      </c>
      <c r="K566" s="132" t="s">
        <v>8479</v>
      </c>
    </row>
    <row r="567" spans="2:11" ht="46.8" x14ac:dyDescent="0.3">
      <c r="B567" s="31" t="s">
        <v>557</v>
      </c>
      <c r="C567" s="130" t="s">
        <v>558</v>
      </c>
      <c r="D567" s="43" t="s">
        <v>190</v>
      </c>
      <c r="E567" s="126" t="s">
        <v>515</v>
      </c>
      <c r="F567" s="504">
        <v>1</v>
      </c>
      <c r="G567" s="248" t="s">
        <v>8480</v>
      </c>
      <c r="H567" s="542" t="s">
        <v>4547</v>
      </c>
      <c r="I567" s="319" t="s">
        <v>1417</v>
      </c>
      <c r="J567" s="537" t="s">
        <v>8481</v>
      </c>
      <c r="K567" s="132" t="s">
        <v>8482</v>
      </c>
    </row>
    <row r="568" spans="2:11" ht="46.8" x14ac:dyDescent="0.3">
      <c r="B568" s="31" t="s">
        <v>557</v>
      </c>
      <c r="C568" s="130" t="s">
        <v>558</v>
      </c>
      <c r="D568" s="43" t="s">
        <v>190</v>
      </c>
      <c r="E568" s="126" t="s">
        <v>515</v>
      </c>
      <c r="F568" s="504">
        <v>1</v>
      </c>
      <c r="G568" s="248" t="s">
        <v>8483</v>
      </c>
      <c r="H568" s="542" t="s">
        <v>4411</v>
      </c>
      <c r="I568" s="319" t="s">
        <v>1417</v>
      </c>
      <c r="J568" s="537" t="s">
        <v>8484</v>
      </c>
      <c r="K568" s="132" t="s">
        <v>8485</v>
      </c>
    </row>
    <row r="569" spans="2:11" ht="46.8" x14ac:dyDescent="0.3">
      <c r="B569" s="31" t="s">
        <v>557</v>
      </c>
      <c r="C569" s="130" t="s">
        <v>558</v>
      </c>
      <c r="D569" s="43" t="s">
        <v>190</v>
      </c>
      <c r="E569" s="126" t="s">
        <v>515</v>
      </c>
      <c r="F569" s="504">
        <v>1</v>
      </c>
      <c r="G569" s="248" t="s">
        <v>8486</v>
      </c>
      <c r="H569" s="542" t="s">
        <v>8487</v>
      </c>
      <c r="I569" s="319" t="s">
        <v>1315</v>
      </c>
      <c r="J569" s="537" t="s">
        <v>8488</v>
      </c>
      <c r="K569" s="132" t="s">
        <v>8489</v>
      </c>
    </row>
    <row r="570" spans="2:11" ht="46.8" x14ac:dyDescent="0.3">
      <c r="B570" s="31" t="s">
        <v>557</v>
      </c>
      <c r="C570" s="130" t="s">
        <v>558</v>
      </c>
      <c r="D570" s="43" t="s">
        <v>190</v>
      </c>
      <c r="E570" s="126" t="s">
        <v>515</v>
      </c>
      <c r="F570" s="504">
        <v>1</v>
      </c>
      <c r="G570" s="248" t="s">
        <v>8490</v>
      </c>
      <c r="H570" s="542" t="s">
        <v>8491</v>
      </c>
      <c r="I570" s="319" t="s">
        <v>1315</v>
      </c>
      <c r="J570" s="537" t="s">
        <v>8492</v>
      </c>
      <c r="K570" s="132" t="s">
        <v>8493</v>
      </c>
    </row>
    <row r="571" spans="2:11" ht="46.8" x14ac:dyDescent="0.3">
      <c r="B571" s="31" t="s">
        <v>557</v>
      </c>
      <c r="C571" s="130" t="s">
        <v>558</v>
      </c>
      <c r="D571" s="43" t="s">
        <v>190</v>
      </c>
      <c r="E571" s="126" t="s">
        <v>515</v>
      </c>
      <c r="F571" s="504">
        <v>1</v>
      </c>
      <c r="G571" s="248" t="s">
        <v>8494</v>
      </c>
      <c r="H571" s="542" t="s">
        <v>8495</v>
      </c>
      <c r="I571" s="319" t="s">
        <v>946</v>
      </c>
      <c r="J571" s="537" t="s">
        <v>8496</v>
      </c>
      <c r="K571" s="132" t="s">
        <v>8497</v>
      </c>
    </row>
    <row r="572" spans="2:11" ht="46.8" x14ac:dyDescent="0.3">
      <c r="B572" s="31" t="s">
        <v>557</v>
      </c>
      <c r="C572" s="130" t="s">
        <v>558</v>
      </c>
      <c r="D572" s="43" t="s">
        <v>190</v>
      </c>
      <c r="E572" s="126" t="s">
        <v>515</v>
      </c>
      <c r="F572" s="504">
        <v>1</v>
      </c>
      <c r="G572" s="248" t="s">
        <v>8498</v>
      </c>
      <c r="H572" s="542" t="s">
        <v>4080</v>
      </c>
      <c r="I572" s="319" t="s">
        <v>1579</v>
      </c>
      <c r="J572" s="537" t="s">
        <v>8499</v>
      </c>
      <c r="K572" s="132" t="s">
        <v>8500</v>
      </c>
    </row>
    <row r="573" spans="2:11" ht="46.8" x14ac:dyDescent="0.3">
      <c r="B573" s="31" t="s">
        <v>557</v>
      </c>
      <c r="C573" s="130" t="s">
        <v>558</v>
      </c>
      <c r="D573" s="43" t="s">
        <v>190</v>
      </c>
      <c r="E573" s="126" t="s">
        <v>515</v>
      </c>
      <c r="F573" s="504">
        <v>1</v>
      </c>
      <c r="G573" s="248" t="s">
        <v>8501</v>
      </c>
      <c r="H573" s="542" t="s">
        <v>8502</v>
      </c>
      <c r="I573" s="319" t="s">
        <v>949</v>
      </c>
      <c r="J573" s="537" t="s">
        <v>8503</v>
      </c>
      <c r="K573" s="132" t="s">
        <v>8504</v>
      </c>
    </row>
    <row r="574" spans="2:11" ht="46.8" x14ac:dyDescent="0.3">
      <c r="B574" s="31" t="s">
        <v>557</v>
      </c>
      <c r="C574" s="130" t="s">
        <v>558</v>
      </c>
      <c r="D574" s="43" t="s">
        <v>190</v>
      </c>
      <c r="E574" s="126" t="s">
        <v>515</v>
      </c>
      <c r="F574" s="1195">
        <v>1</v>
      </c>
      <c r="G574" s="248" t="s">
        <v>8505</v>
      </c>
      <c r="H574" s="542" t="s">
        <v>8506</v>
      </c>
      <c r="I574" s="1521" t="s">
        <v>119</v>
      </c>
      <c r="J574" s="537" t="s">
        <v>560</v>
      </c>
      <c r="K574" s="132" t="s">
        <v>8507</v>
      </c>
    </row>
    <row r="575" spans="2:11" ht="15.6" x14ac:dyDescent="0.3">
      <c r="B575" s="31"/>
      <c r="C575" s="130"/>
      <c r="D575" s="43"/>
      <c r="E575" s="126"/>
      <c r="F575" s="504"/>
      <c r="G575" s="126"/>
      <c r="H575" s="304"/>
      <c r="I575" s="151"/>
      <c r="J575" s="494"/>
    </row>
    <row r="576" spans="2:11" ht="15.6" x14ac:dyDescent="0.3">
      <c r="B576" s="352"/>
      <c r="C576" s="353" t="s">
        <v>771</v>
      </c>
      <c r="D576" s="354" t="s">
        <v>190</v>
      </c>
      <c r="E576" s="355"/>
      <c r="F576" s="1040">
        <f>SUM(F549:F575)</f>
        <v>26</v>
      </c>
      <c r="G576" s="357"/>
      <c r="H576" s="358"/>
      <c r="I576" s="359"/>
      <c r="J576" s="535"/>
      <c r="K576" s="58"/>
    </row>
    <row r="577" spans="2:17" ht="15.6" x14ac:dyDescent="0.3">
      <c r="B577" s="352"/>
      <c r="C577" s="353" t="s">
        <v>772</v>
      </c>
      <c r="D577" s="354" t="s">
        <v>190</v>
      </c>
      <c r="E577" s="355"/>
      <c r="F577" s="1040">
        <v>25</v>
      </c>
      <c r="G577" s="357"/>
      <c r="H577" s="358"/>
      <c r="I577" s="359"/>
      <c r="J577" s="535"/>
      <c r="K577" s="58"/>
    </row>
    <row r="578" spans="2:17" ht="15.6" x14ac:dyDescent="0.3">
      <c r="B578" s="360"/>
      <c r="C578" s="361" t="s">
        <v>773</v>
      </c>
      <c r="D578" s="362" t="s">
        <v>190</v>
      </c>
      <c r="E578" s="363"/>
      <c r="F578" s="1041">
        <f>F576-F577</f>
        <v>1</v>
      </c>
      <c r="G578" s="365"/>
      <c r="H578" s="366"/>
      <c r="I578" s="367"/>
      <c r="J578" s="536"/>
      <c r="K578" s="58"/>
    </row>
    <row r="579" spans="2:17" ht="7.5" customHeight="1" x14ac:dyDescent="0.3">
      <c r="B579" s="338"/>
      <c r="C579" s="142"/>
      <c r="D579" s="143"/>
      <c r="E579" s="144"/>
      <c r="F579" s="1038"/>
      <c r="G579" s="144"/>
      <c r="H579" s="144"/>
      <c r="I579" s="515"/>
      <c r="J579" s="524"/>
    </row>
    <row r="580" spans="2:17" ht="15.6" x14ac:dyDescent="0.3">
      <c r="B580" s="574" t="s">
        <v>428</v>
      </c>
      <c r="C580" s="575" t="s">
        <v>429</v>
      </c>
      <c r="D580" s="579"/>
      <c r="E580" s="291"/>
      <c r="F580" s="1046"/>
      <c r="G580" s="291"/>
      <c r="H580" s="291"/>
      <c r="I580" s="576"/>
      <c r="J580" s="500"/>
    </row>
    <row r="581" spans="2:17" ht="46.8" x14ac:dyDescent="0.3">
      <c r="B581" s="786" t="s">
        <v>8508</v>
      </c>
      <c r="C581" s="788" t="s">
        <v>8509</v>
      </c>
      <c r="D581" s="127" t="s">
        <v>190</v>
      </c>
      <c r="E581" s="125" t="s">
        <v>515</v>
      </c>
      <c r="F581" s="490">
        <v>1</v>
      </c>
      <c r="G581" s="296" t="s">
        <v>8510</v>
      </c>
      <c r="H581" s="596" t="s">
        <v>3826</v>
      </c>
      <c r="I581" s="131" t="s">
        <v>1302</v>
      </c>
      <c r="J581" s="494" t="s">
        <v>8511</v>
      </c>
      <c r="K581" s="132" t="s">
        <v>8512</v>
      </c>
      <c r="L581" s="593" t="s">
        <v>8513</v>
      </c>
      <c r="Q581" s="481"/>
    </row>
    <row r="582" spans="2:17" ht="46.8" x14ac:dyDescent="0.3">
      <c r="B582" s="787" t="s">
        <v>8508</v>
      </c>
      <c r="C582" s="789" t="s">
        <v>8509</v>
      </c>
      <c r="D582" s="146" t="s">
        <v>190</v>
      </c>
      <c r="E582" s="147" t="s">
        <v>515</v>
      </c>
      <c r="F582" s="491">
        <v>1</v>
      </c>
      <c r="G582" s="302" t="s">
        <v>8514</v>
      </c>
      <c r="H582" s="667" t="s">
        <v>3495</v>
      </c>
      <c r="I582" s="319" t="s">
        <v>1302</v>
      </c>
      <c r="J582" s="494" t="s">
        <v>8515</v>
      </c>
      <c r="K582" s="132" t="s">
        <v>8516</v>
      </c>
      <c r="L582" s="593"/>
      <c r="Q582" s="481"/>
    </row>
    <row r="583" spans="2:17" ht="46.8" x14ac:dyDescent="0.3">
      <c r="B583" s="787" t="s">
        <v>8508</v>
      </c>
      <c r="C583" s="789" t="s">
        <v>8509</v>
      </c>
      <c r="D583" s="43" t="s">
        <v>190</v>
      </c>
      <c r="E583" s="126" t="s">
        <v>515</v>
      </c>
      <c r="F583" s="504">
        <v>1</v>
      </c>
      <c r="G583" s="248" t="s">
        <v>8517</v>
      </c>
      <c r="H583" s="542" t="s">
        <v>3737</v>
      </c>
      <c r="I583" s="319" t="s">
        <v>1302</v>
      </c>
      <c r="J583" s="494" t="s">
        <v>8518</v>
      </c>
      <c r="K583" s="132" t="s">
        <v>8519</v>
      </c>
      <c r="Q583" s="481"/>
    </row>
    <row r="584" spans="2:17" ht="46.8" x14ac:dyDescent="0.3">
      <c r="B584" s="787" t="s">
        <v>8508</v>
      </c>
      <c r="C584" s="789" t="s">
        <v>8509</v>
      </c>
      <c r="D584" s="43" t="s">
        <v>190</v>
      </c>
      <c r="E584" s="126" t="s">
        <v>515</v>
      </c>
      <c r="F584" s="504">
        <v>1</v>
      </c>
      <c r="G584" s="248" t="s">
        <v>8520</v>
      </c>
      <c r="H584" s="542" t="s">
        <v>8521</v>
      </c>
      <c r="I584" s="319" t="s">
        <v>1302</v>
      </c>
      <c r="J584" s="790" t="s">
        <v>8522</v>
      </c>
      <c r="K584" s="132" t="s">
        <v>8523</v>
      </c>
      <c r="Q584" s="481"/>
    </row>
    <row r="585" spans="2:17" ht="46.8" x14ac:dyDescent="0.3">
      <c r="B585" s="787" t="s">
        <v>8508</v>
      </c>
      <c r="C585" s="789" t="s">
        <v>8509</v>
      </c>
      <c r="D585" s="43" t="s">
        <v>190</v>
      </c>
      <c r="E585" s="126" t="s">
        <v>515</v>
      </c>
      <c r="F585" s="504">
        <v>1</v>
      </c>
      <c r="G585" s="248" t="s">
        <v>8524</v>
      </c>
      <c r="H585" s="542" t="s">
        <v>8525</v>
      </c>
      <c r="I585" s="319" t="s">
        <v>1302</v>
      </c>
      <c r="J585" s="494" t="s">
        <v>8526</v>
      </c>
      <c r="K585" s="132" t="s">
        <v>8527</v>
      </c>
      <c r="Q585" s="481"/>
    </row>
    <row r="586" spans="2:17" ht="46.8" x14ac:dyDescent="0.3">
      <c r="B586" s="787" t="s">
        <v>8508</v>
      </c>
      <c r="C586" s="789" t="s">
        <v>8509</v>
      </c>
      <c r="D586" s="43" t="s">
        <v>190</v>
      </c>
      <c r="E586" s="126" t="s">
        <v>515</v>
      </c>
      <c r="F586" s="504">
        <v>1</v>
      </c>
      <c r="G586" s="248" t="s">
        <v>8528</v>
      </c>
      <c r="H586" s="542" t="s">
        <v>3621</v>
      </c>
      <c r="I586" s="319" t="s">
        <v>1302</v>
      </c>
      <c r="J586" s="494" t="s">
        <v>8529</v>
      </c>
      <c r="K586" s="132" t="s">
        <v>8530</v>
      </c>
      <c r="Q586" s="481"/>
    </row>
    <row r="587" spans="2:17" ht="46.8" x14ac:dyDescent="0.3">
      <c r="B587" s="787" t="s">
        <v>8508</v>
      </c>
      <c r="C587" s="789" t="s">
        <v>8509</v>
      </c>
      <c r="D587" s="43" t="s">
        <v>190</v>
      </c>
      <c r="E587" s="126" t="s">
        <v>515</v>
      </c>
      <c r="F587" s="504">
        <v>1</v>
      </c>
      <c r="G587" s="248" t="s">
        <v>8531</v>
      </c>
      <c r="H587" s="585" t="s">
        <v>8532</v>
      </c>
      <c r="I587" s="319" t="s">
        <v>97</v>
      </c>
      <c r="J587" s="494" t="s">
        <v>8533</v>
      </c>
      <c r="K587" s="132" t="s">
        <v>8534</v>
      </c>
      <c r="Q587" s="481"/>
    </row>
    <row r="588" spans="2:17" ht="46.8" x14ac:dyDescent="0.3">
      <c r="B588" s="787" t="s">
        <v>8508</v>
      </c>
      <c r="C588" s="789" t="s">
        <v>8509</v>
      </c>
      <c r="D588" s="43" t="s">
        <v>190</v>
      </c>
      <c r="E588" s="126" t="s">
        <v>515</v>
      </c>
      <c r="F588" s="504">
        <v>1</v>
      </c>
      <c r="G588" s="248" t="s">
        <v>8535</v>
      </c>
      <c r="H588" s="585" t="s">
        <v>8536</v>
      </c>
      <c r="I588" s="319" t="s">
        <v>937</v>
      </c>
      <c r="J588" s="494" t="s">
        <v>8537</v>
      </c>
      <c r="K588" s="132" t="s">
        <v>8538</v>
      </c>
      <c r="Q588" s="481"/>
    </row>
    <row r="589" spans="2:17" ht="46.8" x14ac:dyDescent="0.3">
      <c r="B589" s="787" t="s">
        <v>8508</v>
      </c>
      <c r="C589" s="789" t="s">
        <v>8509</v>
      </c>
      <c r="D589" s="43" t="s">
        <v>190</v>
      </c>
      <c r="E589" s="126" t="s">
        <v>515</v>
      </c>
      <c r="F589" s="504">
        <v>1</v>
      </c>
      <c r="G589" s="248" t="s">
        <v>8539</v>
      </c>
      <c r="H589" s="585" t="s">
        <v>3976</v>
      </c>
      <c r="I589" s="319" t="s">
        <v>937</v>
      </c>
      <c r="J589" s="494" t="s">
        <v>8540</v>
      </c>
      <c r="K589" s="132" t="s">
        <v>8541</v>
      </c>
      <c r="Q589" s="481"/>
    </row>
    <row r="590" spans="2:17" ht="46.8" x14ac:dyDescent="0.3">
      <c r="B590" s="787" t="s">
        <v>8508</v>
      </c>
      <c r="C590" s="789" t="s">
        <v>8509</v>
      </c>
      <c r="D590" s="43" t="s">
        <v>190</v>
      </c>
      <c r="E590" s="126" t="s">
        <v>515</v>
      </c>
      <c r="F590" s="504">
        <v>1</v>
      </c>
      <c r="G590" s="248" t="s">
        <v>8542</v>
      </c>
      <c r="H590" s="585" t="s">
        <v>3976</v>
      </c>
      <c r="I590" s="319" t="s">
        <v>937</v>
      </c>
      <c r="J590" s="494" t="s">
        <v>8543</v>
      </c>
      <c r="K590" s="132" t="s">
        <v>8544</v>
      </c>
      <c r="Q590" s="481"/>
    </row>
    <row r="591" spans="2:17" ht="46.8" x14ac:dyDescent="0.3">
      <c r="B591" s="787" t="s">
        <v>8508</v>
      </c>
      <c r="C591" s="789" t="s">
        <v>8509</v>
      </c>
      <c r="D591" s="43" t="s">
        <v>190</v>
      </c>
      <c r="E591" s="126" t="s">
        <v>515</v>
      </c>
      <c r="F591" s="504">
        <v>1</v>
      </c>
      <c r="G591" s="248" t="s">
        <v>8545</v>
      </c>
      <c r="H591" s="585" t="s">
        <v>8546</v>
      </c>
      <c r="I591" s="319" t="s">
        <v>1262</v>
      </c>
      <c r="J591" s="494" t="s">
        <v>8547</v>
      </c>
      <c r="K591" s="132" t="s">
        <v>8548</v>
      </c>
      <c r="Q591" s="481"/>
    </row>
    <row r="592" spans="2:17" ht="46.8" x14ac:dyDescent="0.3">
      <c r="B592" s="787" t="s">
        <v>8508</v>
      </c>
      <c r="C592" s="789" t="s">
        <v>8509</v>
      </c>
      <c r="D592" s="43" t="s">
        <v>190</v>
      </c>
      <c r="E592" s="126" t="s">
        <v>515</v>
      </c>
      <c r="F592" s="504">
        <v>1</v>
      </c>
      <c r="G592" s="248" t="s">
        <v>8549</v>
      </c>
      <c r="H592" s="585" t="s">
        <v>3848</v>
      </c>
      <c r="I592" s="319" t="s">
        <v>1262</v>
      </c>
      <c r="J592" s="494" t="s">
        <v>8550</v>
      </c>
      <c r="K592" s="132" t="s">
        <v>8551</v>
      </c>
      <c r="Q592" s="481"/>
    </row>
    <row r="593" spans="2:17" ht="46.8" x14ac:dyDescent="0.3">
      <c r="B593" s="787" t="s">
        <v>8508</v>
      </c>
      <c r="C593" s="789" t="s">
        <v>8509</v>
      </c>
      <c r="D593" s="43" t="s">
        <v>190</v>
      </c>
      <c r="E593" s="126" t="s">
        <v>515</v>
      </c>
      <c r="F593" s="504">
        <v>1</v>
      </c>
      <c r="G593" s="248" t="s">
        <v>8552</v>
      </c>
      <c r="H593" s="585" t="s">
        <v>8553</v>
      </c>
      <c r="I593" s="319" t="s">
        <v>1262</v>
      </c>
      <c r="J593" s="494" t="s">
        <v>8554</v>
      </c>
      <c r="K593" s="132" t="s">
        <v>8555</v>
      </c>
      <c r="Q593" s="481"/>
    </row>
    <row r="594" spans="2:17" ht="46.8" x14ac:dyDescent="0.3">
      <c r="B594" s="787" t="s">
        <v>8508</v>
      </c>
      <c r="C594" s="789" t="s">
        <v>8509</v>
      </c>
      <c r="D594" s="43" t="s">
        <v>190</v>
      </c>
      <c r="E594" s="126" t="s">
        <v>515</v>
      </c>
      <c r="F594" s="504">
        <v>1</v>
      </c>
      <c r="G594" s="248" t="s">
        <v>8556</v>
      </c>
      <c r="H594" s="585" t="s">
        <v>8557</v>
      </c>
      <c r="I594" s="319" t="s">
        <v>1509</v>
      </c>
      <c r="J594" s="494" t="s">
        <v>8558</v>
      </c>
      <c r="K594" s="132" t="s">
        <v>8559</v>
      </c>
      <c r="Q594" s="481"/>
    </row>
    <row r="595" spans="2:17" ht="46.8" x14ac:dyDescent="0.3">
      <c r="B595" s="787" t="s">
        <v>8508</v>
      </c>
      <c r="C595" s="789" t="s">
        <v>8509</v>
      </c>
      <c r="D595" s="43" t="s">
        <v>190</v>
      </c>
      <c r="E595" s="126" t="s">
        <v>515</v>
      </c>
      <c r="F595" s="504">
        <v>1</v>
      </c>
      <c r="G595" s="248" t="s">
        <v>8560</v>
      </c>
      <c r="H595" s="585" t="s">
        <v>8561</v>
      </c>
      <c r="I595" s="319" t="s">
        <v>1509</v>
      </c>
      <c r="J595" s="494" t="s">
        <v>8562</v>
      </c>
      <c r="K595" s="132" t="s">
        <v>8563</v>
      </c>
      <c r="Q595" s="481"/>
    </row>
    <row r="596" spans="2:17" ht="46.8" x14ac:dyDescent="0.3">
      <c r="B596" s="787" t="s">
        <v>8508</v>
      </c>
      <c r="C596" s="789" t="s">
        <v>8509</v>
      </c>
      <c r="D596" s="43" t="s">
        <v>190</v>
      </c>
      <c r="E596" s="126" t="s">
        <v>515</v>
      </c>
      <c r="F596" s="504">
        <v>1</v>
      </c>
      <c r="G596" s="248" t="s">
        <v>8564</v>
      </c>
      <c r="H596" s="585" t="s">
        <v>4047</v>
      </c>
      <c r="I596" s="319" t="s">
        <v>1509</v>
      </c>
      <c r="J596" s="494" t="s">
        <v>8565</v>
      </c>
      <c r="K596" s="132" t="s">
        <v>8566</v>
      </c>
      <c r="Q596" s="481"/>
    </row>
    <row r="597" spans="2:17" ht="46.8" x14ac:dyDescent="0.3">
      <c r="B597" s="787" t="s">
        <v>8508</v>
      </c>
      <c r="C597" s="789" t="s">
        <v>8509</v>
      </c>
      <c r="D597" s="43" t="s">
        <v>190</v>
      </c>
      <c r="E597" s="126" t="s">
        <v>515</v>
      </c>
      <c r="F597" s="504">
        <v>1</v>
      </c>
      <c r="G597" s="248" t="s">
        <v>8567</v>
      </c>
      <c r="H597" s="585" t="s">
        <v>4050</v>
      </c>
      <c r="I597" s="319" t="s">
        <v>1509</v>
      </c>
      <c r="J597" s="494" t="s">
        <v>8568</v>
      </c>
      <c r="K597" s="132" t="s">
        <v>8569</v>
      </c>
      <c r="Q597" s="481"/>
    </row>
    <row r="598" spans="2:17" ht="46.8" x14ac:dyDescent="0.3">
      <c r="B598" s="787" t="s">
        <v>8508</v>
      </c>
      <c r="C598" s="789" t="s">
        <v>8509</v>
      </c>
      <c r="D598" s="43" t="s">
        <v>190</v>
      </c>
      <c r="E598" s="126" t="s">
        <v>515</v>
      </c>
      <c r="F598" s="504">
        <v>1</v>
      </c>
      <c r="G598" s="248" t="s">
        <v>8570</v>
      </c>
      <c r="H598" s="585" t="s">
        <v>4112</v>
      </c>
      <c r="I598" s="319" t="s">
        <v>1509</v>
      </c>
      <c r="J598" s="790" t="s">
        <v>8571</v>
      </c>
      <c r="K598" s="132" t="s">
        <v>8572</v>
      </c>
      <c r="Q598" s="481"/>
    </row>
    <row r="599" spans="2:17" ht="46.8" x14ac:dyDescent="0.3">
      <c r="B599" s="787" t="s">
        <v>8508</v>
      </c>
      <c r="C599" s="789" t="s">
        <v>8509</v>
      </c>
      <c r="D599" s="43" t="s">
        <v>190</v>
      </c>
      <c r="E599" s="126" t="s">
        <v>515</v>
      </c>
      <c r="F599" s="504">
        <v>1</v>
      </c>
      <c r="G599" s="248" t="s">
        <v>8573</v>
      </c>
      <c r="H599" s="585" t="s">
        <v>1314</v>
      </c>
      <c r="I599" s="319" t="s">
        <v>940</v>
      </c>
      <c r="J599" s="790" t="s">
        <v>8574</v>
      </c>
      <c r="K599" s="132" t="s">
        <v>8575</v>
      </c>
      <c r="Q599" s="481"/>
    </row>
    <row r="600" spans="2:17" ht="46.8" x14ac:dyDescent="0.3">
      <c r="B600" s="787" t="s">
        <v>8508</v>
      </c>
      <c r="C600" s="789" t="s">
        <v>8509</v>
      </c>
      <c r="D600" s="43" t="s">
        <v>190</v>
      </c>
      <c r="E600" s="126" t="s">
        <v>515</v>
      </c>
      <c r="F600" s="504">
        <v>1</v>
      </c>
      <c r="G600" s="248" t="s">
        <v>8576</v>
      </c>
      <c r="H600" s="585" t="s">
        <v>8577</v>
      </c>
      <c r="I600" s="319" t="s">
        <v>940</v>
      </c>
      <c r="J600" s="790" t="s">
        <v>8578</v>
      </c>
      <c r="K600" s="132" t="s">
        <v>8579</v>
      </c>
      <c r="Q600" s="481"/>
    </row>
    <row r="601" spans="2:17" ht="46.8" x14ac:dyDescent="0.3">
      <c r="B601" s="787" t="s">
        <v>8508</v>
      </c>
      <c r="C601" s="789" t="s">
        <v>8509</v>
      </c>
      <c r="D601" s="43" t="s">
        <v>190</v>
      </c>
      <c r="E601" s="126" t="s">
        <v>515</v>
      </c>
      <c r="F601" s="504">
        <v>1</v>
      </c>
      <c r="G601" s="248" t="s">
        <v>8580</v>
      </c>
      <c r="H601" s="585" t="s">
        <v>8581</v>
      </c>
      <c r="I601" s="319" t="s">
        <v>940</v>
      </c>
      <c r="J601" s="790" t="s">
        <v>8582</v>
      </c>
      <c r="K601" s="132" t="s">
        <v>8583</v>
      </c>
      <c r="Q601" s="481"/>
    </row>
    <row r="602" spans="2:17" ht="46.8" x14ac:dyDescent="0.3">
      <c r="B602" s="787" t="s">
        <v>8508</v>
      </c>
      <c r="C602" s="789" t="s">
        <v>8509</v>
      </c>
      <c r="D602" s="43" t="s">
        <v>190</v>
      </c>
      <c r="E602" s="126" t="s">
        <v>515</v>
      </c>
      <c r="F602" s="504">
        <v>1</v>
      </c>
      <c r="G602" s="248" t="s">
        <v>8584</v>
      </c>
      <c r="H602" s="585" t="s">
        <v>8383</v>
      </c>
      <c r="I602" s="319" t="s">
        <v>940</v>
      </c>
      <c r="J602" s="790" t="s">
        <v>8585</v>
      </c>
      <c r="K602" s="132" t="s">
        <v>8586</v>
      </c>
      <c r="Q602" s="481"/>
    </row>
    <row r="603" spans="2:17" ht="46.8" x14ac:dyDescent="0.3">
      <c r="B603" s="787" t="s">
        <v>8508</v>
      </c>
      <c r="C603" s="789" t="s">
        <v>8509</v>
      </c>
      <c r="D603" s="43" t="s">
        <v>190</v>
      </c>
      <c r="E603" s="126" t="s">
        <v>515</v>
      </c>
      <c r="F603" s="504">
        <v>1</v>
      </c>
      <c r="G603" s="248" t="s">
        <v>8587</v>
      </c>
      <c r="H603" s="585" t="s">
        <v>3854</v>
      </c>
      <c r="I603" s="319" t="s">
        <v>940</v>
      </c>
      <c r="J603" s="790" t="s">
        <v>8588</v>
      </c>
      <c r="K603" s="132" t="s">
        <v>8589</v>
      </c>
      <c r="Q603" s="481"/>
    </row>
    <row r="604" spans="2:17" ht="46.8" x14ac:dyDescent="0.3">
      <c r="B604" s="787" t="s">
        <v>8508</v>
      </c>
      <c r="C604" s="789" t="s">
        <v>8509</v>
      </c>
      <c r="D604" s="43" t="s">
        <v>190</v>
      </c>
      <c r="E604" s="126" t="s">
        <v>515</v>
      </c>
      <c r="F604" s="504">
        <v>1</v>
      </c>
      <c r="G604" s="248" t="s">
        <v>8590</v>
      </c>
      <c r="H604" s="585" t="s">
        <v>7643</v>
      </c>
      <c r="I604" s="319" t="s">
        <v>1026</v>
      </c>
      <c r="J604" s="790" t="s">
        <v>8591</v>
      </c>
      <c r="K604" s="132" t="s">
        <v>8592</v>
      </c>
    </row>
    <row r="605" spans="2:17" ht="46.8" x14ac:dyDescent="0.3">
      <c r="B605" s="787" t="s">
        <v>8508</v>
      </c>
      <c r="C605" s="789" t="s">
        <v>8509</v>
      </c>
      <c r="D605" s="43" t="s">
        <v>190</v>
      </c>
      <c r="E605" s="126" t="s">
        <v>515</v>
      </c>
      <c r="F605" s="504">
        <v>1</v>
      </c>
      <c r="G605" s="248" t="s">
        <v>8593</v>
      </c>
      <c r="H605" s="585" t="s">
        <v>8388</v>
      </c>
      <c r="I605" s="319" t="s">
        <v>1026</v>
      </c>
      <c r="J605" s="790" t="s">
        <v>8594</v>
      </c>
      <c r="K605" s="132" t="s">
        <v>8595</v>
      </c>
    </row>
    <row r="606" spans="2:17" ht="46.8" x14ac:dyDescent="0.3">
      <c r="B606" s="787" t="s">
        <v>8508</v>
      </c>
      <c r="C606" s="789" t="s">
        <v>8509</v>
      </c>
      <c r="D606" s="43" t="s">
        <v>190</v>
      </c>
      <c r="E606" s="126" t="s">
        <v>515</v>
      </c>
      <c r="F606" s="504">
        <v>1</v>
      </c>
      <c r="G606" s="248" t="s">
        <v>8596</v>
      </c>
      <c r="H606" s="585" t="s">
        <v>3922</v>
      </c>
      <c r="I606" s="319" t="s">
        <v>1026</v>
      </c>
      <c r="J606" s="790" t="s">
        <v>8597</v>
      </c>
      <c r="K606" s="132" t="s">
        <v>8598</v>
      </c>
    </row>
    <row r="607" spans="2:17" ht="46.8" x14ac:dyDescent="0.3">
      <c r="B607" s="787" t="s">
        <v>8508</v>
      </c>
      <c r="C607" s="789" t="s">
        <v>8509</v>
      </c>
      <c r="D607" s="43" t="s">
        <v>190</v>
      </c>
      <c r="E607" s="126" t="s">
        <v>515</v>
      </c>
      <c r="F607" s="504">
        <v>1</v>
      </c>
      <c r="G607" s="248" t="s">
        <v>8599</v>
      </c>
      <c r="H607" s="585" t="s">
        <v>8600</v>
      </c>
      <c r="I607" s="319" t="s">
        <v>1026</v>
      </c>
      <c r="J607" s="790" t="s">
        <v>8601</v>
      </c>
      <c r="K607" s="132" t="s">
        <v>8602</v>
      </c>
    </row>
    <row r="608" spans="2:17" ht="46.8" x14ac:dyDescent="0.3">
      <c r="B608" s="787" t="s">
        <v>8508</v>
      </c>
      <c r="C608" s="789" t="s">
        <v>8509</v>
      </c>
      <c r="D608" s="43" t="s">
        <v>190</v>
      </c>
      <c r="E608" s="126" t="s">
        <v>515</v>
      </c>
      <c r="F608" s="504">
        <v>1</v>
      </c>
      <c r="G608" s="248" t="s">
        <v>8603</v>
      </c>
      <c r="H608" s="585" t="s">
        <v>4323</v>
      </c>
      <c r="I608" s="319" t="s">
        <v>1026</v>
      </c>
      <c r="J608" s="790" t="s">
        <v>8604</v>
      </c>
      <c r="K608" s="132" t="s">
        <v>8605</v>
      </c>
    </row>
    <row r="609" spans="2:11" ht="46.8" x14ac:dyDescent="0.3">
      <c r="B609" s="787" t="s">
        <v>8508</v>
      </c>
      <c r="C609" s="789" t="s">
        <v>8509</v>
      </c>
      <c r="D609" s="43" t="s">
        <v>190</v>
      </c>
      <c r="E609" s="126" t="s">
        <v>515</v>
      </c>
      <c r="F609" s="504">
        <v>1</v>
      </c>
      <c r="G609" s="248" t="s">
        <v>8606</v>
      </c>
      <c r="H609" s="585" t="s">
        <v>4059</v>
      </c>
      <c r="I609" s="319" t="s">
        <v>1026</v>
      </c>
      <c r="J609" s="790" t="s">
        <v>8607</v>
      </c>
      <c r="K609" s="132" t="s">
        <v>8608</v>
      </c>
    </row>
    <row r="610" spans="2:11" ht="46.8" x14ac:dyDescent="0.3">
      <c r="B610" s="787" t="s">
        <v>8508</v>
      </c>
      <c r="C610" s="789" t="s">
        <v>8509</v>
      </c>
      <c r="D610" s="43" t="s">
        <v>190</v>
      </c>
      <c r="E610" s="126" t="s">
        <v>515</v>
      </c>
      <c r="F610" s="504">
        <v>1</v>
      </c>
      <c r="G610" s="248" t="s">
        <v>8609</v>
      </c>
      <c r="H610" s="585" t="s">
        <v>8610</v>
      </c>
      <c r="I610" s="319" t="s">
        <v>1282</v>
      </c>
      <c r="J610" s="790" t="s">
        <v>8611</v>
      </c>
      <c r="K610" s="132" t="s">
        <v>8612</v>
      </c>
    </row>
    <row r="611" spans="2:11" ht="46.8" x14ac:dyDescent="0.3">
      <c r="B611" s="787" t="s">
        <v>8508</v>
      </c>
      <c r="C611" s="789" t="s">
        <v>8509</v>
      </c>
      <c r="D611" s="43" t="s">
        <v>190</v>
      </c>
      <c r="E611" s="126" t="s">
        <v>515</v>
      </c>
      <c r="F611" s="504">
        <v>1</v>
      </c>
      <c r="G611" s="248" t="s">
        <v>8613</v>
      </c>
      <c r="H611" s="585" t="s">
        <v>8614</v>
      </c>
      <c r="I611" s="319" t="s">
        <v>1282</v>
      </c>
      <c r="J611" s="790" t="s">
        <v>8615</v>
      </c>
      <c r="K611" s="132" t="s">
        <v>8616</v>
      </c>
    </row>
    <row r="612" spans="2:11" ht="46.8" x14ac:dyDescent="0.3">
      <c r="B612" s="787" t="s">
        <v>8508</v>
      </c>
      <c r="C612" s="789" t="s">
        <v>8509</v>
      </c>
      <c r="D612" s="43" t="s">
        <v>190</v>
      </c>
      <c r="E612" s="126" t="s">
        <v>515</v>
      </c>
      <c r="F612" s="504">
        <v>1</v>
      </c>
      <c r="G612" s="248" t="s">
        <v>8617</v>
      </c>
      <c r="H612" s="585" t="s">
        <v>3420</v>
      </c>
      <c r="I612" s="319" t="s">
        <v>1282</v>
      </c>
      <c r="J612" s="790" t="s">
        <v>8618</v>
      </c>
      <c r="K612" s="132" t="s">
        <v>8619</v>
      </c>
    </row>
    <row r="613" spans="2:11" ht="46.8" x14ac:dyDescent="0.3">
      <c r="B613" s="787" t="s">
        <v>8508</v>
      </c>
      <c r="C613" s="789" t="s">
        <v>8509</v>
      </c>
      <c r="D613" s="43" t="s">
        <v>190</v>
      </c>
      <c r="E613" s="126" t="s">
        <v>515</v>
      </c>
      <c r="F613" s="504">
        <v>1</v>
      </c>
      <c r="G613" s="248" t="s">
        <v>8620</v>
      </c>
      <c r="H613" s="585" t="s">
        <v>3420</v>
      </c>
      <c r="I613" s="319" t="s">
        <v>1282</v>
      </c>
      <c r="J613" s="790" t="s">
        <v>8621</v>
      </c>
      <c r="K613" s="132" t="s">
        <v>8622</v>
      </c>
    </row>
    <row r="614" spans="2:11" ht="46.8" x14ac:dyDescent="0.3">
      <c r="B614" s="787" t="s">
        <v>8508</v>
      </c>
      <c r="C614" s="789" t="s">
        <v>8509</v>
      </c>
      <c r="D614" s="43" t="s">
        <v>190</v>
      </c>
      <c r="E614" s="126" t="s">
        <v>515</v>
      </c>
      <c r="F614" s="504">
        <v>1</v>
      </c>
      <c r="G614" s="248" t="s">
        <v>8623</v>
      </c>
      <c r="H614" s="585" t="s">
        <v>3420</v>
      </c>
      <c r="I614" s="319" t="s">
        <v>1282</v>
      </c>
      <c r="J614" s="790" t="s">
        <v>8624</v>
      </c>
      <c r="K614" s="132" t="s">
        <v>8625</v>
      </c>
    </row>
    <row r="615" spans="2:11" ht="46.8" x14ac:dyDescent="0.3">
      <c r="B615" s="787" t="s">
        <v>8508</v>
      </c>
      <c r="C615" s="789" t="s">
        <v>8509</v>
      </c>
      <c r="D615" s="43" t="s">
        <v>190</v>
      </c>
      <c r="E615" s="126" t="s">
        <v>515</v>
      </c>
      <c r="F615" s="504">
        <v>1</v>
      </c>
      <c r="G615" s="248" t="s">
        <v>8626</v>
      </c>
      <c r="H615" s="542" t="s">
        <v>8627</v>
      </c>
      <c r="I615" s="319" t="s">
        <v>943</v>
      </c>
      <c r="J615" s="494" t="s">
        <v>8628</v>
      </c>
      <c r="K615" s="132" t="s">
        <v>8629</v>
      </c>
    </row>
    <row r="616" spans="2:11" ht="46.8" x14ac:dyDescent="0.3">
      <c r="B616" s="787" t="s">
        <v>8508</v>
      </c>
      <c r="C616" s="789" t="s">
        <v>8509</v>
      </c>
      <c r="D616" s="43" t="s">
        <v>190</v>
      </c>
      <c r="E616" s="126" t="s">
        <v>515</v>
      </c>
      <c r="F616" s="504">
        <v>1</v>
      </c>
      <c r="G616" s="248" t="s">
        <v>8630</v>
      </c>
      <c r="H616" s="542" t="s">
        <v>8631</v>
      </c>
      <c r="I616" s="319" t="s">
        <v>943</v>
      </c>
      <c r="J616" s="494" t="s">
        <v>8632</v>
      </c>
      <c r="K616" s="132" t="s">
        <v>8633</v>
      </c>
    </row>
    <row r="617" spans="2:11" ht="46.8" x14ac:dyDescent="0.3">
      <c r="B617" s="787" t="s">
        <v>8508</v>
      </c>
      <c r="C617" s="789" t="s">
        <v>8509</v>
      </c>
      <c r="D617" s="43" t="s">
        <v>190</v>
      </c>
      <c r="E617" s="126" t="s">
        <v>515</v>
      </c>
      <c r="F617" s="504">
        <v>1</v>
      </c>
      <c r="G617" s="248" t="s">
        <v>8634</v>
      </c>
      <c r="H617" s="542" t="s">
        <v>8635</v>
      </c>
      <c r="I617" s="319" t="s">
        <v>943</v>
      </c>
      <c r="J617" s="494" t="s">
        <v>8636</v>
      </c>
      <c r="K617" s="132" t="s">
        <v>8637</v>
      </c>
    </row>
    <row r="618" spans="2:11" ht="46.8" x14ac:dyDescent="0.3">
      <c r="B618" s="787" t="s">
        <v>8508</v>
      </c>
      <c r="C618" s="789" t="s">
        <v>8509</v>
      </c>
      <c r="D618" s="43" t="s">
        <v>190</v>
      </c>
      <c r="E618" s="126" t="s">
        <v>515</v>
      </c>
      <c r="F618" s="504">
        <v>1</v>
      </c>
      <c r="G618" s="248" t="s">
        <v>8638</v>
      </c>
      <c r="H618" s="542" t="s">
        <v>8635</v>
      </c>
      <c r="I618" s="319" t="s">
        <v>943</v>
      </c>
      <c r="J618" s="494" t="s">
        <v>8639</v>
      </c>
      <c r="K618" s="132" t="s">
        <v>8640</v>
      </c>
    </row>
    <row r="619" spans="2:11" ht="46.8" x14ac:dyDescent="0.3">
      <c r="B619" s="787" t="s">
        <v>8508</v>
      </c>
      <c r="C619" s="789" t="s">
        <v>8509</v>
      </c>
      <c r="D619" s="43" t="s">
        <v>190</v>
      </c>
      <c r="E619" s="126" t="s">
        <v>515</v>
      </c>
      <c r="F619" s="504">
        <v>1</v>
      </c>
      <c r="G619" s="248" t="s">
        <v>8641</v>
      </c>
      <c r="H619" s="542" t="s">
        <v>5083</v>
      </c>
      <c r="I619" s="319" t="s">
        <v>943</v>
      </c>
      <c r="J619" s="494" t="s">
        <v>8642</v>
      </c>
      <c r="K619" s="132" t="s">
        <v>8643</v>
      </c>
    </row>
    <row r="620" spans="2:11" ht="46.8" x14ac:dyDescent="0.3">
      <c r="B620" s="787" t="s">
        <v>8508</v>
      </c>
      <c r="C620" s="789" t="s">
        <v>8509</v>
      </c>
      <c r="D620" s="43" t="s">
        <v>190</v>
      </c>
      <c r="E620" s="126" t="s">
        <v>515</v>
      </c>
      <c r="F620" s="504">
        <v>1</v>
      </c>
      <c r="G620" s="248" t="s">
        <v>8644</v>
      </c>
      <c r="H620" s="542" t="s">
        <v>7693</v>
      </c>
      <c r="I620" s="319" t="s">
        <v>943</v>
      </c>
      <c r="J620" s="494" t="s">
        <v>8645</v>
      </c>
      <c r="K620" s="132" t="s">
        <v>8646</v>
      </c>
    </row>
    <row r="621" spans="2:11" ht="46.8" x14ac:dyDescent="0.3">
      <c r="B621" s="787" t="s">
        <v>8508</v>
      </c>
      <c r="C621" s="789" t="s">
        <v>8509</v>
      </c>
      <c r="D621" s="43" t="s">
        <v>190</v>
      </c>
      <c r="E621" s="126" t="s">
        <v>515</v>
      </c>
      <c r="F621" s="504">
        <v>1</v>
      </c>
      <c r="G621" s="248" t="s">
        <v>8647</v>
      </c>
      <c r="H621" s="542" t="s">
        <v>4141</v>
      </c>
      <c r="I621" s="319" t="s">
        <v>943</v>
      </c>
      <c r="J621" s="494" t="s">
        <v>8648</v>
      </c>
      <c r="K621" s="132" t="s">
        <v>8649</v>
      </c>
    </row>
    <row r="622" spans="2:11" ht="46.8" x14ac:dyDescent="0.3">
      <c r="B622" s="787" t="s">
        <v>8508</v>
      </c>
      <c r="C622" s="789" t="s">
        <v>8509</v>
      </c>
      <c r="D622" s="43" t="s">
        <v>190</v>
      </c>
      <c r="E622" s="126" t="s">
        <v>515</v>
      </c>
      <c r="F622" s="504">
        <v>1</v>
      </c>
      <c r="G622" s="248" t="s">
        <v>8650</v>
      </c>
      <c r="H622" s="542" t="s">
        <v>3860</v>
      </c>
      <c r="I622" s="319" t="s">
        <v>943</v>
      </c>
      <c r="J622" s="494" t="s">
        <v>8651</v>
      </c>
      <c r="K622" s="132" t="s">
        <v>8652</v>
      </c>
    </row>
    <row r="623" spans="2:11" ht="46.8" x14ac:dyDescent="0.3">
      <c r="B623" s="787" t="s">
        <v>8508</v>
      </c>
      <c r="C623" s="789" t="s">
        <v>8509</v>
      </c>
      <c r="D623" s="43" t="s">
        <v>190</v>
      </c>
      <c r="E623" s="126" t="s">
        <v>515</v>
      </c>
      <c r="F623" s="504">
        <v>1</v>
      </c>
      <c r="G623" s="248" t="s">
        <v>8653</v>
      </c>
      <c r="H623" s="542" t="s">
        <v>3860</v>
      </c>
      <c r="I623" s="319" t="s">
        <v>943</v>
      </c>
      <c r="J623" s="494" t="s">
        <v>8654</v>
      </c>
      <c r="K623" s="132" t="s">
        <v>8655</v>
      </c>
    </row>
    <row r="624" spans="2:11" ht="46.8" x14ac:dyDescent="0.3">
      <c r="B624" s="787" t="s">
        <v>8508</v>
      </c>
      <c r="C624" s="789" t="s">
        <v>8509</v>
      </c>
      <c r="D624" s="43" t="s">
        <v>190</v>
      </c>
      <c r="E624" s="126" t="s">
        <v>515</v>
      </c>
      <c r="F624" s="504">
        <v>1</v>
      </c>
      <c r="G624" s="248" t="s">
        <v>8656</v>
      </c>
      <c r="H624" s="542" t="s">
        <v>3860</v>
      </c>
      <c r="I624" s="319" t="s">
        <v>943</v>
      </c>
      <c r="J624" s="494" t="s">
        <v>8657</v>
      </c>
      <c r="K624" s="132" t="s">
        <v>8658</v>
      </c>
    </row>
    <row r="625" spans="2:17" ht="46.8" x14ac:dyDescent="0.3">
      <c r="B625" s="787" t="s">
        <v>8508</v>
      </c>
      <c r="C625" s="789" t="s">
        <v>8509</v>
      </c>
      <c r="D625" s="43" t="s">
        <v>190</v>
      </c>
      <c r="E625" s="126" t="s">
        <v>515</v>
      </c>
      <c r="F625" s="504">
        <v>1</v>
      </c>
      <c r="G625" s="248" t="s">
        <v>8659</v>
      </c>
      <c r="H625" s="542" t="s">
        <v>3860</v>
      </c>
      <c r="I625" s="319" t="s">
        <v>943</v>
      </c>
      <c r="J625" s="494" t="s">
        <v>8660</v>
      </c>
      <c r="K625" s="132" t="s">
        <v>8661</v>
      </c>
    </row>
    <row r="626" spans="2:17" ht="46.8" x14ac:dyDescent="0.3">
      <c r="B626" s="787" t="s">
        <v>8508</v>
      </c>
      <c r="C626" s="789" t="s">
        <v>8509</v>
      </c>
      <c r="D626" s="43" t="s">
        <v>190</v>
      </c>
      <c r="E626" s="126" t="s">
        <v>515</v>
      </c>
      <c r="F626" s="504">
        <v>1</v>
      </c>
      <c r="G626" s="248" t="s">
        <v>8662</v>
      </c>
      <c r="H626" s="542" t="s">
        <v>4396</v>
      </c>
      <c r="I626" s="319" t="s">
        <v>943</v>
      </c>
      <c r="J626" s="494" t="s">
        <v>8663</v>
      </c>
      <c r="K626" s="132" t="s">
        <v>8664</v>
      </c>
    </row>
    <row r="627" spans="2:17" ht="46.8" x14ac:dyDescent="0.3">
      <c r="B627" s="787" t="s">
        <v>8508</v>
      </c>
      <c r="C627" s="789" t="s">
        <v>8509</v>
      </c>
      <c r="D627" s="43" t="s">
        <v>190</v>
      </c>
      <c r="E627" s="126" t="s">
        <v>515</v>
      </c>
      <c r="F627" s="504">
        <v>1</v>
      </c>
      <c r="G627" s="248" t="s">
        <v>8665</v>
      </c>
      <c r="H627" s="542" t="s">
        <v>8666</v>
      </c>
      <c r="I627" s="319" t="s">
        <v>1417</v>
      </c>
      <c r="J627" s="494" t="s">
        <v>8667</v>
      </c>
      <c r="K627" s="132" t="s">
        <v>8668</v>
      </c>
    </row>
    <row r="628" spans="2:17" ht="46.8" x14ac:dyDescent="0.3">
      <c r="B628" s="787" t="s">
        <v>8508</v>
      </c>
      <c r="C628" s="789" t="s">
        <v>8509</v>
      </c>
      <c r="D628" s="43" t="s">
        <v>190</v>
      </c>
      <c r="E628" s="126" t="s">
        <v>515</v>
      </c>
      <c r="F628" s="504">
        <v>1</v>
      </c>
      <c r="G628" s="248" t="s">
        <v>8669</v>
      </c>
      <c r="H628" s="542" t="s">
        <v>4411</v>
      </c>
      <c r="I628" s="319" t="s">
        <v>1417</v>
      </c>
      <c r="J628" s="494" t="s">
        <v>8670</v>
      </c>
      <c r="K628" s="132" t="s">
        <v>8671</v>
      </c>
    </row>
    <row r="629" spans="2:17" ht="46.8" x14ac:dyDescent="0.3">
      <c r="B629" s="787" t="s">
        <v>8508</v>
      </c>
      <c r="C629" s="789" t="s">
        <v>8509</v>
      </c>
      <c r="D629" s="43" t="s">
        <v>190</v>
      </c>
      <c r="E629" s="126" t="s">
        <v>515</v>
      </c>
      <c r="F629" s="504">
        <v>1</v>
      </c>
      <c r="G629" s="248" t="s">
        <v>8672</v>
      </c>
      <c r="H629" s="542" t="s">
        <v>4411</v>
      </c>
      <c r="I629" s="319" t="s">
        <v>1417</v>
      </c>
      <c r="J629" s="494" t="s">
        <v>8673</v>
      </c>
      <c r="K629" s="132" t="s">
        <v>8674</v>
      </c>
    </row>
    <row r="630" spans="2:17" ht="46.8" x14ac:dyDescent="0.3">
      <c r="B630" s="787" t="s">
        <v>8508</v>
      </c>
      <c r="C630" s="789" t="s">
        <v>8509</v>
      </c>
      <c r="D630" s="43" t="s">
        <v>190</v>
      </c>
      <c r="E630" s="126" t="s">
        <v>515</v>
      </c>
      <c r="F630" s="504">
        <v>1</v>
      </c>
      <c r="G630" s="248" t="s">
        <v>8675</v>
      </c>
      <c r="H630" s="542" t="s">
        <v>3269</v>
      </c>
      <c r="I630" s="319" t="s">
        <v>1417</v>
      </c>
      <c r="J630" s="494" t="s">
        <v>8676</v>
      </c>
      <c r="K630" s="132" t="s">
        <v>8677</v>
      </c>
    </row>
    <row r="631" spans="2:17" ht="46.8" x14ac:dyDescent="0.3">
      <c r="B631" s="787" t="s">
        <v>8508</v>
      </c>
      <c r="C631" s="789" t="s">
        <v>8509</v>
      </c>
      <c r="D631" s="43" t="s">
        <v>190</v>
      </c>
      <c r="E631" s="126" t="s">
        <v>515</v>
      </c>
      <c r="F631" s="504">
        <v>1</v>
      </c>
      <c r="G631" s="248" t="s">
        <v>8678</v>
      </c>
      <c r="H631" s="542" t="s">
        <v>4509</v>
      </c>
      <c r="I631" s="319" t="s">
        <v>1315</v>
      </c>
      <c r="J631" s="494" t="s">
        <v>8679</v>
      </c>
      <c r="K631" s="132" t="s">
        <v>8680</v>
      </c>
    </row>
    <row r="632" spans="2:17" ht="46.8" x14ac:dyDescent="0.3">
      <c r="B632" s="787" t="s">
        <v>8508</v>
      </c>
      <c r="C632" s="789" t="s">
        <v>8509</v>
      </c>
      <c r="D632" s="43" t="s">
        <v>190</v>
      </c>
      <c r="E632" s="126" t="s">
        <v>515</v>
      </c>
      <c r="F632" s="504">
        <v>1</v>
      </c>
      <c r="G632" s="248" t="s">
        <v>8681</v>
      </c>
      <c r="H632" s="542" t="s">
        <v>4519</v>
      </c>
      <c r="I632" s="319" t="s">
        <v>1315</v>
      </c>
      <c r="J632" s="494" t="s">
        <v>8682</v>
      </c>
      <c r="K632" s="132" t="s">
        <v>8683</v>
      </c>
    </row>
    <row r="633" spans="2:17" ht="15.6" x14ac:dyDescent="0.3">
      <c r="B633" s="31"/>
      <c r="C633" s="130"/>
      <c r="D633" s="43"/>
      <c r="E633" s="126"/>
      <c r="F633" s="504"/>
      <c r="G633" s="126"/>
      <c r="H633" s="304"/>
      <c r="I633" s="151"/>
      <c r="J633" s="494"/>
    </row>
    <row r="634" spans="2:17" ht="15.6" x14ac:dyDescent="0.3">
      <c r="B634" s="352"/>
      <c r="C634" s="353" t="s">
        <v>771</v>
      </c>
      <c r="D634" s="354" t="s">
        <v>190</v>
      </c>
      <c r="E634" s="355"/>
      <c r="F634" s="1040">
        <f>SUM(F581:F633)</f>
        <v>52</v>
      </c>
      <c r="G634" s="357"/>
      <c r="H634" s="358"/>
      <c r="I634" s="359"/>
      <c r="J634" s="535"/>
      <c r="K634" s="58"/>
    </row>
    <row r="635" spans="2:17" ht="15.6" x14ac:dyDescent="0.3">
      <c r="B635" s="352"/>
      <c r="C635" s="353" t="s">
        <v>772</v>
      </c>
      <c r="D635" s="354" t="s">
        <v>190</v>
      </c>
      <c r="E635" s="355"/>
      <c r="F635" s="1040">
        <v>52</v>
      </c>
      <c r="G635" s="357"/>
      <c r="H635" s="358"/>
      <c r="I635" s="359"/>
      <c r="J635" s="535"/>
      <c r="K635" s="58"/>
    </row>
    <row r="636" spans="2:17" ht="15.6" x14ac:dyDescent="0.3">
      <c r="B636" s="360"/>
      <c r="C636" s="361" t="s">
        <v>773</v>
      </c>
      <c r="D636" s="362" t="s">
        <v>190</v>
      </c>
      <c r="E636" s="363"/>
      <c r="F636" s="1041">
        <f>F634-F635</f>
        <v>0</v>
      </c>
      <c r="G636" s="365"/>
      <c r="H636" s="366"/>
      <c r="I636" s="367"/>
      <c r="J636" s="536"/>
      <c r="K636" s="58"/>
    </row>
    <row r="637" spans="2:17" ht="7.5" customHeight="1" x14ac:dyDescent="0.3">
      <c r="B637" s="338"/>
      <c r="C637" s="142"/>
      <c r="D637" s="143"/>
      <c r="E637" s="144"/>
      <c r="F637" s="1038"/>
      <c r="G637" s="144"/>
      <c r="H637" s="144"/>
      <c r="I637" s="515"/>
      <c r="J637" s="524"/>
    </row>
    <row r="638" spans="2:17" ht="46.8" x14ac:dyDescent="0.3">
      <c r="B638" s="787" t="s">
        <v>518</v>
      </c>
      <c r="C638" s="788" t="s">
        <v>519</v>
      </c>
      <c r="D638" s="127" t="s">
        <v>190</v>
      </c>
      <c r="E638" s="378" t="s">
        <v>515</v>
      </c>
      <c r="F638" s="490">
        <v>1</v>
      </c>
      <c r="G638" s="296" t="s">
        <v>8684</v>
      </c>
      <c r="H638" s="596" t="s">
        <v>4393</v>
      </c>
      <c r="I638" s="319" t="s">
        <v>943</v>
      </c>
      <c r="J638" s="537" t="s">
        <v>8685</v>
      </c>
      <c r="K638" s="132" t="s">
        <v>8686</v>
      </c>
      <c r="L638" s="593" t="s">
        <v>8687</v>
      </c>
    </row>
    <row r="639" spans="2:17" ht="46.8" x14ac:dyDescent="0.3">
      <c r="B639" s="787" t="s">
        <v>518</v>
      </c>
      <c r="C639" s="789" t="s">
        <v>519</v>
      </c>
      <c r="D639" s="146" t="s">
        <v>190</v>
      </c>
      <c r="E639" s="147" t="s">
        <v>515</v>
      </c>
      <c r="F639" s="504">
        <v>1</v>
      </c>
      <c r="G639" s="248" t="s">
        <v>8688</v>
      </c>
      <c r="H639" s="585" t="s">
        <v>5071</v>
      </c>
      <c r="I639" s="319" t="s">
        <v>943</v>
      </c>
      <c r="J639" s="537" t="s">
        <v>8689</v>
      </c>
      <c r="K639" s="132" t="s">
        <v>8690</v>
      </c>
      <c r="L639" s="593"/>
      <c r="Q639" s="481"/>
    </row>
    <row r="640" spans="2:17" ht="46.8" x14ac:dyDescent="0.3">
      <c r="B640" s="787" t="s">
        <v>518</v>
      </c>
      <c r="C640" s="789" t="s">
        <v>519</v>
      </c>
      <c r="D640" s="146" t="s">
        <v>190</v>
      </c>
      <c r="E640" s="147" t="s">
        <v>515</v>
      </c>
      <c r="F640" s="504">
        <v>1</v>
      </c>
      <c r="G640" s="248" t="s">
        <v>8691</v>
      </c>
      <c r="H640" s="585" t="s">
        <v>3791</v>
      </c>
      <c r="I640" s="319" t="s">
        <v>943</v>
      </c>
      <c r="J640" s="537" t="s">
        <v>8692</v>
      </c>
      <c r="K640" s="132" t="s">
        <v>8693</v>
      </c>
      <c r="L640" s="593"/>
      <c r="Q640" s="481"/>
    </row>
    <row r="641" spans="2:17" ht="46.8" x14ac:dyDescent="0.3">
      <c r="B641" s="787" t="s">
        <v>518</v>
      </c>
      <c r="C641" s="789" t="s">
        <v>519</v>
      </c>
      <c r="D641" s="146" t="s">
        <v>190</v>
      </c>
      <c r="E641" s="147" t="s">
        <v>515</v>
      </c>
      <c r="F641" s="504">
        <v>1</v>
      </c>
      <c r="G641" s="248" t="s">
        <v>8694</v>
      </c>
      <c r="H641" s="542" t="s">
        <v>4396</v>
      </c>
      <c r="I641" s="319" t="s">
        <v>943</v>
      </c>
      <c r="J641" s="537" t="s">
        <v>8695</v>
      </c>
      <c r="K641" s="132" t="s">
        <v>8696</v>
      </c>
      <c r="L641" s="593"/>
      <c r="Q641" s="481"/>
    </row>
    <row r="642" spans="2:17" ht="46.8" x14ac:dyDescent="0.3">
      <c r="B642" s="787" t="s">
        <v>518</v>
      </c>
      <c r="C642" s="789" t="s">
        <v>519</v>
      </c>
      <c r="D642" s="146" t="s">
        <v>190</v>
      </c>
      <c r="E642" s="147" t="s">
        <v>515</v>
      </c>
      <c r="F642" s="504">
        <v>1</v>
      </c>
      <c r="G642" s="248" t="s">
        <v>8697</v>
      </c>
      <c r="H642" s="542" t="s">
        <v>7732</v>
      </c>
      <c r="I642" s="319" t="s">
        <v>1417</v>
      </c>
      <c r="J642" s="537" t="s">
        <v>8698</v>
      </c>
      <c r="K642" s="132" t="s">
        <v>8699</v>
      </c>
      <c r="L642" s="593"/>
      <c r="Q642" s="481"/>
    </row>
    <row r="643" spans="2:17" ht="46.8" x14ac:dyDescent="0.3">
      <c r="B643" s="787" t="s">
        <v>518</v>
      </c>
      <c r="C643" s="789" t="s">
        <v>519</v>
      </c>
      <c r="D643" s="146" t="s">
        <v>190</v>
      </c>
      <c r="E643" s="147" t="s">
        <v>515</v>
      </c>
      <c r="F643" s="504">
        <v>1</v>
      </c>
      <c r="G643" s="248" t="s">
        <v>8700</v>
      </c>
      <c r="H643" s="542" t="s">
        <v>8701</v>
      </c>
      <c r="I643" s="319" t="s">
        <v>1417</v>
      </c>
      <c r="J643" s="537" t="s">
        <v>8702</v>
      </c>
      <c r="K643" s="132" t="s">
        <v>8703</v>
      </c>
      <c r="L643" s="593"/>
      <c r="Q643" s="481"/>
    </row>
    <row r="644" spans="2:17" ht="46.8" x14ac:dyDescent="0.3">
      <c r="B644" s="787" t="s">
        <v>518</v>
      </c>
      <c r="C644" s="789" t="s">
        <v>519</v>
      </c>
      <c r="D644" s="146" t="s">
        <v>190</v>
      </c>
      <c r="E644" s="147" t="s">
        <v>515</v>
      </c>
      <c r="F644" s="504">
        <v>1</v>
      </c>
      <c r="G644" s="248" t="s">
        <v>8704</v>
      </c>
      <c r="H644" s="542" t="s">
        <v>4411</v>
      </c>
      <c r="I644" s="319" t="s">
        <v>1417</v>
      </c>
      <c r="J644" s="537" t="s">
        <v>8705</v>
      </c>
      <c r="K644" s="132" t="s">
        <v>8706</v>
      </c>
      <c r="L644" s="593"/>
      <c r="Q644" s="481"/>
    </row>
    <row r="645" spans="2:17" ht="46.8" x14ac:dyDescent="0.3">
      <c r="B645" s="787" t="s">
        <v>518</v>
      </c>
      <c r="C645" s="789" t="s">
        <v>519</v>
      </c>
      <c r="D645" s="146" t="s">
        <v>190</v>
      </c>
      <c r="E645" s="147" t="s">
        <v>515</v>
      </c>
      <c r="F645" s="491">
        <v>1</v>
      </c>
      <c r="G645" s="248" t="s">
        <v>8707</v>
      </c>
      <c r="H645" s="542" t="s">
        <v>3269</v>
      </c>
      <c r="I645" s="319" t="s">
        <v>1417</v>
      </c>
      <c r="J645" s="537" t="s">
        <v>8708</v>
      </c>
      <c r="K645" s="132" t="s">
        <v>8709</v>
      </c>
      <c r="L645" s="593"/>
      <c r="Q645" s="481"/>
    </row>
    <row r="646" spans="2:17" ht="46.8" x14ac:dyDescent="0.3">
      <c r="B646" s="787" t="s">
        <v>518</v>
      </c>
      <c r="C646" s="789" t="s">
        <v>519</v>
      </c>
      <c r="D646" s="146" t="s">
        <v>190</v>
      </c>
      <c r="E646" s="147" t="s">
        <v>515</v>
      </c>
      <c r="F646" s="491">
        <v>1</v>
      </c>
      <c r="G646" s="248" t="s">
        <v>8710</v>
      </c>
      <c r="H646" s="542" t="s">
        <v>3269</v>
      </c>
      <c r="I646" s="319" t="s">
        <v>1417</v>
      </c>
      <c r="J646" s="537" t="s">
        <v>8711</v>
      </c>
      <c r="K646" s="132" t="s">
        <v>8712</v>
      </c>
      <c r="L646" s="593"/>
      <c r="Q646" s="481"/>
    </row>
    <row r="647" spans="2:17" ht="46.8" x14ac:dyDescent="0.3">
      <c r="B647" s="787" t="s">
        <v>518</v>
      </c>
      <c r="C647" s="789" t="s">
        <v>519</v>
      </c>
      <c r="D647" s="146" t="s">
        <v>190</v>
      </c>
      <c r="E647" s="147" t="s">
        <v>515</v>
      </c>
      <c r="F647" s="504">
        <v>1</v>
      </c>
      <c r="G647" s="248" t="s">
        <v>8713</v>
      </c>
      <c r="H647" s="542" t="s">
        <v>8487</v>
      </c>
      <c r="I647" s="319" t="s">
        <v>1315</v>
      </c>
      <c r="J647" s="537" t="s">
        <v>8714</v>
      </c>
      <c r="K647" s="132" t="s">
        <v>8715</v>
      </c>
      <c r="L647" s="593"/>
      <c r="Q647" s="481"/>
    </row>
    <row r="648" spans="2:17" ht="46.8" x14ac:dyDescent="0.3">
      <c r="B648" s="787" t="s">
        <v>518</v>
      </c>
      <c r="C648" s="789" t="s">
        <v>519</v>
      </c>
      <c r="D648" s="146" t="s">
        <v>190</v>
      </c>
      <c r="E648" s="147" t="s">
        <v>515</v>
      </c>
      <c r="F648" s="504">
        <v>1</v>
      </c>
      <c r="G648" s="248" t="s">
        <v>8716</v>
      </c>
      <c r="H648" s="542" t="s">
        <v>8717</v>
      </c>
      <c r="I648" s="319" t="s">
        <v>1315</v>
      </c>
      <c r="J648" s="537" t="s">
        <v>8718</v>
      </c>
      <c r="K648" s="132" t="s">
        <v>8719</v>
      </c>
      <c r="L648" s="593"/>
      <c r="Q648" s="481"/>
    </row>
    <row r="649" spans="2:17" ht="46.8" x14ac:dyDescent="0.3">
      <c r="B649" s="787" t="s">
        <v>518</v>
      </c>
      <c r="C649" s="789" t="s">
        <v>519</v>
      </c>
      <c r="D649" s="146" t="s">
        <v>190</v>
      </c>
      <c r="E649" s="147" t="s">
        <v>515</v>
      </c>
      <c r="F649" s="504">
        <v>1</v>
      </c>
      <c r="G649" s="248" t="s">
        <v>8720</v>
      </c>
      <c r="H649" s="542" t="s">
        <v>8717</v>
      </c>
      <c r="I649" s="319" t="s">
        <v>1315</v>
      </c>
      <c r="J649" s="537" t="s">
        <v>8721</v>
      </c>
      <c r="K649" s="132" t="s">
        <v>8722</v>
      </c>
      <c r="L649" s="593"/>
      <c r="Q649" s="481"/>
    </row>
    <row r="650" spans="2:17" ht="46.8" x14ac:dyDescent="0.3">
      <c r="B650" s="787" t="s">
        <v>518</v>
      </c>
      <c r="C650" s="789" t="s">
        <v>519</v>
      </c>
      <c r="D650" s="146" t="s">
        <v>190</v>
      </c>
      <c r="E650" s="147" t="s">
        <v>515</v>
      </c>
      <c r="F650" s="504">
        <v>1</v>
      </c>
      <c r="G650" s="248" t="s">
        <v>8723</v>
      </c>
      <c r="H650" s="542" t="s">
        <v>8724</v>
      </c>
      <c r="I650" s="319" t="s">
        <v>1315</v>
      </c>
      <c r="J650" s="537" t="s">
        <v>8725</v>
      </c>
      <c r="K650" s="132" t="s">
        <v>8726</v>
      </c>
      <c r="L650" s="593"/>
      <c r="Q650" s="481"/>
    </row>
    <row r="651" spans="2:17" ht="46.8" x14ac:dyDescent="0.3">
      <c r="B651" s="787" t="s">
        <v>518</v>
      </c>
      <c r="C651" s="789" t="s">
        <v>519</v>
      </c>
      <c r="D651" s="146" t="s">
        <v>190</v>
      </c>
      <c r="E651" s="147" t="s">
        <v>515</v>
      </c>
      <c r="F651" s="504">
        <v>1</v>
      </c>
      <c r="G651" s="248" t="s">
        <v>8727</v>
      </c>
      <c r="H651" s="542" t="s">
        <v>8724</v>
      </c>
      <c r="I651" s="319" t="s">
        <v>1315</v>
      </c>
      <c r="J651" s="537" t="s">
        <v>8728</v>
      </c>
      <c r="K651" s="132" t="s">
        <v>8729</v>
      </c>
      <c r="L651" s="593"/>
      <c r="Q651" s="481"/>
    </row>
    <row r="652" spans="2:17" ht="46.8" x14ac:dyDescent="0.3">
      <c r="B652" s="787" t="s">
        <v>518</v>
      </c>
      <c r="C652" s="789" t="s">
        <v>519</v>
      </c>
      <c r="D652" s="146" t="s">
        <v>190</v>
      </c>
      <c r="E652" s="147" t="s">
        <v>515</v>
      </c>
      <c r="F652" s="504">
        <v>1</v>
      </c>
      <c r="G652" s="248" t="s">
        <v>8730</v>
      </c>
      <c r="H652" s="542" t="s">
        <v>3507</v>
      </c>
      <c r="I652" s="319" t="s">
        <v>1315</v>
      </c>
      <c r="J652" s="537" t="s">
        <v>8731</v>
      </c>
      <c r="K652" s="132" t="s">
        <v>8732</v>
      </c>
      <c r="L652" s="593"/>
      <c r="Q652" s="481"/>
    </row>
    <row r="653" spans="2:17" ht="46.8" x14ac:dyDescent="0.3">
      <c r="B653" s="787" t="s">
        <v>518</v>
      </c>
      <c r="C653" s="789" t="s">
        <v>519</v>
      </c>
      <c r="D653" s="146" t="s">
        <v>190</v>
      </c>
      <c r="E653" s="147" t="s">
        <v>515</v>
      </c>
      <c r="F653" s="504">
        <v>1</v>
      </c>
      <c r="G653" s="248" t="s">
        <v>8733</v>
      </c>
      <c r="H653" s="542" t="s">
        <v>3507</v>
      </c>
      <c r="I653" s="319" t="s">
        <v>1315</v>
      </c>
      <c r="J653" s="537" t="s">
        <v>8734</v>
      </c>
      <c r="K653" s="132" t="s">
        <v>8735</v>
      </c>
      <c r="L653" s="593"/>
      <c r="Q653" s="481"/>
    </row>
    <row r="654" spans="2:17" ht="46.8" x14ac:dyDescent="0.3">
      <c r="B654" s="787" t="s">
        <v>518</v>
      </c>
      <c r="C654" s="789" t="s">
        <v>519</v>
      </c>
      <c r="D654" s="146" t="s">
        <v>190</v>
      </c>
      <c r="E654" s="147" t="s">
        <v>515</v>
      </c>
      <c r="F654" s="504">
        <v>1</v>
      </c>
      <c r="G654" s="248" t="s">
        <v>8736</v>
      </c>
      <c r="H654" s="542" t="s">
        <v>5403</v>
      </c>
      <c r="I654" s="319" t="s">
        <v>1315</v>
      </c>
      <c r="J654" s="537" t="s">
        <v>8737</v>
      </c>
      <c r="K654" s="132" t="s">
        <v>8738</v>
      </c>
      <c r="L654" s="593"/>
      <c r="Q654" s="481"/>
    </row>
    <row r="655" spans="2:17" ht="46.8" x14ac:dyDescent="0.3">
      <c r="B655" s="787" t="s">
        <v>518</v>
      </c>
      <c r="C655" s="789" t="s">
        <v>519</v>
      </c>
      <c r="D655" s="146" t="s">
        <v>190</v>
      </c>
      <c r="E655" s="147" t="s">
        <v>515</v>
      </c>
      <c r="F655" s="504">
        <v>1</v>
      </c>
      <c r="G655" s="248" t="s">
        <v>8739</v>
      </c>
      <c r="H655" s="667" t="s">
        <v>3582</v>
      </c>
      <c r="I655" s="319" t="s">
        <v>946</v>
      </c>
      <c r="J655" s="537" t="s">
        <v>8740</v>
      </c>
      <c r="K655" s="132" t="s">
        <v>8741</v>
      </c>
      <c r="L655" s="593"/>
      <c r="N655" s="132" t="s">
        <v>2513</v>
      </c>
      <c r="O655" s="132">
        <v>11.356</v>
      </c>
      <c r="Q655" s="481"/>
    </row>
    <row r="656" spans="2:17" ht="46.8" x14ac:dyDescent="0.3">
      <c r="B656" s="787" t="s">
        <v>518</v>
      </c>
      <c r="C656" s="789" t="s">
        <v>519</v>
      </c>
      <c r="D656" s="146" t="s">
        <v>190</v>
      </c>
      <c r="E656" s="147" t="s">
        <v>515</v>
      </c>
      <c r="F656" s="504">
        <v>1</v>
      </c>
      <c r="G656" s="248" t="s">
        <v>8742</v>
      </c>
      <c r="H656" s="667" t="s">
        <v>3653</v>
      </c>
      <c r="I656" s="319" t="s">
        <v>946</v>
      </c>
      <c r="J656" s="537" t="s">
        <v>8743</v>
      </c>
      <c r="K656" s="132" t="s">
        <v>8744</v>
      </c>
      <c r="L656" s="593"/>
      <c r="N656" s="132" t="s">
        <v>2512</v>
      </c>
      <c r="O656" s="132">
        <f>O655-0.036</f>
        <v>11.32</v>
      </c>
      <c r="Q656" s="481"/>
    </row>
    <row r="657" spans="2:17" ht="46.8" x14ac:dyDescent="0.3">
      <c r="B657" s="787" t="s">
        <v>518</v>
      </c>
      <c r="C657" s="789" t="s">
        <v>519</v>
      </c>
      <c r="D657" s="146" t="s">
        <v>190</v>
      </c>
      <c r="E657" s="147" t="s">
        <v>515</v>
      </c>
      <c r="F657" s="504">
        <v>1</v>
      </c>
      <c r="G657" s="248" t="s">
        <v>8745</v>
      </c>
      <c r="H657" s="667" t="s">
        <v>3656</v>
      </c>
      <c r="I657" s="319" t="s">
        <v>946</v>
      </c>
      <c r="J657" s="537" t="s">
        <v>8746</v>
      </c>
      <c r="K657" s="132" t="s">
        <v>8747</v>
      </c>
      <c r="L657" s="593"/>
      <c r="N657" s="132" t="s">
        <v>2511</v>
      </c>
      <c r="O657" s="132">
        <f t="shared" ref="O657:O675" si="0">O656-0.036</f>
        <v>11.284000000000001</v>
      </c>
      <c r="Q657" s="481"/>
    </row>
    <row r="658" spans="2:17" ht="46.8" x14ac:dyDescent="0.3">
      <c r="B658" s="787" t="s">
        <v>518</v>
      </c>
      <c r="C658" s="789" t="s">
        <v>519</v>
      </c>
      <c r="D658" s="146" t="s">
        <v>190</v>
      </c>
      <c r="E658" s="147" t="s">
        <v>515</v>
      </c>
      <c r="F658" s="504">
        <v>1</v>
      </c>
      <c r="G658" s="248" t="s">
        <v>8748</v>
      </c>
      <c r="H658" s="667" t="s">
        <v>8749</v>
      </c>
      <c r="I658" s="319" t="s">
        <v>946</v>
      </c>
      <c r="J658" s="537" t="s">
        <v>8750</v>
      </c>
      <c r="K658" s="132" t="s">
        <v>8751</v>
      </c>
      <c r="L658" s="593"/>
      <c r="N658" s="132" t="s">
        <v>1909</v>
      </c>
      <c r="O658" s="132">
        <f t="shared" si="0"/>
        <v>11.248000000000001</v>
      </c>
      <c r="Q658" s="481"/>
    </row>
    <row r="659" spans="2:17" ht="46.8" x14ac:dyDescent="0.3">
      <c r="B659" s="787" t="s">
        <v>518</v>
      </c>
      <c r="C659" s="789" t="s">
        <v>519</v>
      </c>
      <c r="D659" s="146" t="s">
        <v>190</v>
      </c>
      <c r="E659" s="147" t="s">
        <v>515</v>
      </c>
      <c r="F659" s="504">
        <v>1</v>
      </c>
      <c r="G659" s="248" t="s">
        <v>8752</v>
      </c>
      <c r="H659" s="667" t="s">
        <v>4001</v>
      </c>
      <c r="I659" s="319" t="s">
        <v>946</v>
      </c>
      <c r="J659" s="537" t="s">
        <v>8753</v>
      </c>
      <c r="K659" s="132" t="s">
        <v>8754</v>
      </c>
      <c r="L659" s="593"/>
      <c r="N659" s="132" t="s">
        <v>1908</v>
      </c>
      <c r="O659" s="132">
        <f t="shared" si="0"/>
        <v>11.212000000000002</v>
      </c>
      <c r="Q659" s="481"/>
    </row>
    <row r="660" spans="2:17" ht="46.8" x14ac:dyDescent="0.3">
      <c r="B660" s="787" t="s">
        <v>518</v>
      </c>
      <c r="C660" s="789" t="s">
        <v>519</v>
      </c>
      <c r="D660" s="146" t="s">
        <v>190</v>
      </c>
      <c r="E660" s="147" t="s">
        <v>515</v>
      </c>
      <c r="F660" s="504">
        <v>1</v>
      </c>
      <c r="G660" s="248" t="s">
        <v>8755</v>
      </c>
      <c r="H660" s="667" t="s">
        <v>4001</v>
      </c>
      <c r="I660" s="319" t="s">
        <v>946</v>
      </c>
      <c r="J660" s="537" t="s">
        <v>8756</v>
      </c>
      <c r="K660" s="132" t="s">
        <v>8757</v>
      </c>
      <c r="L660" s="593"/>
      <c r="N660" s="132" t="s">
        <v>1907</v>
      </c>
      <c r="O660" s="132">
        <f t="shared" si="0"/>
        <v>11.176000000000002</v>
      </c>
      <c r="Q660" s="481"/>
    </row>
    <row r="661" spans="2:17" ht="46.8" x14ac:dyDescent="0.3">
      <c r="B661" s="787" t="s">
        <v>518</v>
      </c>
      <c r="C661" s="789" t="s">
        <v>519</v>
      </c>
      <c r="D661" s="146" t="s">
        <v>190</v>
      </c>
      <c r="E661" s="147" t="s">
        <v>515</v>
      </c>
      <c r="F661" s="504">
        <v>1</v>
      </c>
      <c r="G661" s="248" t="s">
        <v>8758</v>
      </c>
      <c r="H661" s="667" t="s">
        <v>3799</v>
      </c>
      <c r="I661" s="319" t="s">
        <v>946</v>
      </c>
      <c r="J661" s="537" t="s">
        <v>8759</v>
      </c>
      <c r="K661" s="132" t="s">
        <v>8760</v>
      </c>
      <c r="L661" s="593"/>
      <c r="N661" s="132" t="s">
        <v>1906</v>
      </c>
      <c r="O661" s="132">
        <f t="shared" si="0"/>
        <v>11.140000000000002</v>
      </c>
      <c r="Q661" s="481"/>
    </row>
    <row r="662" spans="2:17" ht="46.8" x14ac:dyDescent="0.3">
      <c r="B662" s="787" t="s">
        <v>518</v>
      </c>
      <c r="C662" s="789" t="s">
        <v>519</v>
      </c>
      <c r="D662" s="146" t="s">
        <v>190</v>
      </c>
      <c r="E662" s="147" t="s">
        <v>515</v>
      </c>
      <c r="F662" s="504">
        <v>1</v>
      </c>
      <c r="G662" s="248" t="s">
        <v>8761</v>
      </c>
      <c r="H662" s="667" t="s">
        <v>4147</v>
      </c>
      <c r="I662" s="319" t="s">
        <v>1053</v>
      </c>
      <c r="J662" s="537" t="s">
        <v>8762</v>
      </c>
      <c r="K662" s="132" t="s">
        <v>8763</v>
      </c>
      <c r="L662" s="593"/>
      <c r="N662" s="132" t="s">
        <v>1905</v>
      </c>
      <c r="O662" s="132">
        <f t="shared" si="0"/>
        <v>11.104000000000003</v>
      </c>
      <c r="Q662" s="481"/>
    </row>
    <row r="663" spans="2:17" ht="46.8" x14ac:dyDescent="0.3">
      <c r="B663" s="787" t="s">
        <v>518</v>
      </c>
      <c r="C663" s="789" t="s">
        <v>519</v>
      </c>
      <c r="D663" s="146" t="s">
        <v>190</v>
      </c>
      <c r="E663" s="147" t="s">
        <v>515</v>
      </c>
      <c r="F663" s="504">
        <v>1</v>
      </c>
      <c r="G663" s="248" t="s">
        <v>8764</v>
      </c>
      <c r="H663" s="667" t="s">
        <v>8765</v>
      </c>
      <c r="I663" s="319" t="s">
        <v>1053</v>
      </c>
      <c r="J663" s="537" t="s">
        <v>8766</v>
      </c>
      <c r="K663" s="132" t="s">
        <v>8767</v>
      </c>
      <c r="L663" s="593"/>
      <c r="N663" s="132" t="s">
        <v>1904</v>
      </c>
      <c r="O663" s="132">
        <f t="shared" si="0"/>
        <v>11.068000000000003</v>
      </c>
      <c r="Q663" s="481"/>
    </row>
    <row r="664" spans="2:17" ht="46.8" x14ac:dyDescent="0.3">
      <c r="B664" s="787" t="s">
        <v>518</v>
      </c>
      <c r="C664" s="789" t="s">
        <v>519</v>
      </c>
      <c r="D664" s="146" t="s">
        <v>190</v>
      </c>
      <c r="E664" s="147" t="s">
        <v>515</v>
      </c>
      <c r="F664" s="504">
        <v>1</v>
      </c>
      <c r="G664" s="248" t="s">
        <v>8768</v>
      </c>
      <c r="H664" s="667" t="s">
        <v>8769</v>
      </c>
      <c r="I664" s="319" t="s">
        <v>1053</v>
      </c>
      <c r="J664" s="537" t="s">
        <v>8770</v>
      </c>
      <c r="K664" s="132" t="s">
        <v>8771</v>
      </c>
      <c r="L664" s="593"/>
      <c r="N664" s="132" t="s">
        <v>1903</v>
      </c>
      <c r="O664" s="132">
        <f t="shared" si="0"/>
        <v>11.032000000000004</v>
      </c>
      <c r="Q664" s="481"/>
    </row>
    <row r="665" spans="2:17" ht="46.8" x14ac:dyDescent="0.3">
      <c r="B665" s="787" t="s">
        <v>518</v>
      </c>
      <c r="C665" s="789" t="s">
        <v>519</v>
      </c>
      <c r="D665" s="146" t="s">
        <v>190</v>
      </c>
      <c r="E665" s="147" t="s">
        <v>515</v>
      </c>
      <c r="F665" s="504">
        <v>1</v>
      </c>
      <c r="G665" s="248" t="s">
        <v>8772</v>
      </c>
      <c r="H665" s="667" t="s">
        <v>4074</v>
      </c>
      <c r="I665" s="319" t="s">
        <v>1053</v>
      </c>
      <c r="J665" s="537" t="s">
        <v>8773</v>
      </c>
      <c r="K665" s="132" t="s">
        <v>8774</v>
      </c>
      <c r="L665" s="593"/>
      <c r="N665" s="132" t="s">
        <v>1902</v>
      </c>
      <c r="O665" s="132">
        <f t="shared" si="0"/>
        <v>10.996000000000004</v>
      </c>
      <c r="Q665" s="481"/>
    </row>
    <row r="666" spans="2:17" ht="46.8" x14ac:dyDescent="0.3">
      <c r="B666" s="787" t="s">
        <v>518</v>
      </c>
      <c r="C666" s="789" t="s">
        <v>519</v>
      </c>
      <c r="D666" s="146" t="s">
        <v>190</v>
      </c>
      <c r="E666" s="147" t="s">
        <v>515</v>
      </c>
      <c r="F666" s="504">
        <v>1</v>
      </c>
      <c r="G666" s="248" t="s">
        <v>8775</v>
      </c>
      <c r="H666" s="667" t="s">
        <v>5616</v>
      </c>
      <c r="I666" s="319" t="s">
        <v>1053</v>
      </c>
      <c r="J666" s="537" t="s">
        <v>8776</v>
      </c>
      <c r="K666" s="132" t="s">
        <v>8777</v>
      </c>
      <c r="L666" s="593"/>
      <c r="N666" s="132" t="s">
        <v>1901</v>
      </c>
      <c r="O666" s="132">
        <f t="shared" si="0"/>
        <v>10.960000000000004</v>
      </c>
      <c r="Q666" s="481"/>
    </row>
    <row r="667" spans="2:17" ht="46.8" x14ac:dyDescent="0.3">
      <c r="B667" s="787" t="s">
        <v>518</v>
      </c>
      <c r="C667" s="789" t="s">
        <v>519</v>
      </c>
      <c r="D667" s="146" t="s">
        <v>190</v>
      </c>
      <c r="E667" s="147" t="s">
        <v>515</v>
      </c>
      <c r="F667" s="504">
        <v>1</v>
      </c>
      <c r="G667" s="248" t="s">
        <v>8778</v>
      </c>
      <c r="H667" s="667" t="s">
        <v>4219</v>
      </c>
      <c r="I667" s="319" t="s">
        <v>1053</v>
      </c>
      <c r="J667" s="537" t="s">
        <v>8779</v>
      </c>
      <c r="K667" s="132" t="s">
        <v>8780</v>
      </c>
      <c r="L667" s="593"/>
      <c r="N667" s="132" t="s">
        <v>1900</v>
      </c>
      <c r="O667" s="132">
        <f t="shared" si="0"/>
        <v>10.924000000000005</v>
      </c>
      <c r="Q667" s="481"/>
    </row>
    <row r="668" spans="2:17" ht="46.8" x14ac:dyDescent="0.3">
      <c r="B668" s="787" t="s">
        <v>518</v>
      </c>
      <c r="C668" s="789" t="s">
        <v>519</v>
      </c>
      <c r="D668" s="146" t="s">
        <v>190</v>
      </c>
      <c r="E668" s="147" t="s">
        <v>515</v>
      </c>
      <c r="F668" s="504">
        <v>1</v>
      </c>
      <c r="G668" s="248" t="s">
        <v>8781</v>
      </c>
      <c r="H668" s="667" t="s">
        <v>8782</v>
      </c>
      <c r="I668" s="319" t="s">
        <v>1579</v>
      </c>
      <c r="J668" s="537" t="s">
        <v>8783</v>
      </c>
      <c r="K668" s="132" t="s">
        <v>8784</v>
      </c>
      <c r="L668" s="593"/>
      <c r="N668" s="132" t="s">
        <v>1899</v>
      </c>
      <c r="O668" s="132">
        <f t="shared" si="0"/>
        <v>10.888000000000005</v>
      </c>
      <c r="Q668" s="481"/>
    </row>
    <row r="669" spans="2:17" ht="46.8" x14ac:dyDescent="0.3">
      <c r="B669" s="787" t="s">
        <v>518</v>
      </c>
      <c r="C669" s="789" t="s">
        <v>519</v>
      </c>
      <c r="D669" s="146" t="s">
        <v>190</v>
      </c>
      <c r="E669" s="147" t="s">
        <v>515</v>
      </c>
      <c r="F669" s="504">
        <v>1</v>
      </c>
      <c r="G669" s="248" t="s">
        <v>8785</v>
      </c>
      <c r="H669" s="667" t="s">
        <v>8786</v>
      </c>
      <c r="I669" s="319" t="s">
        <v>1579</v>
      </c>
      <c r="J669" s="537" t="s">
        <v>8787</v>
      </c>
      <c r="K669" s="132" t="s">
        <v>8788</v>
      </c>
      <c r="L669" s="593"/>
      <c r="N669" s="132" t="s">
        <v>1898</v>
      </c>
      <c r="O669" s="132">
        <f t="shared" si="0"/>
        <v>10.852000000000006</v>
      </c>
      <c r="Q669" s="481"/>
    </row>
    <row r="670" spans="2:17" ht="46.8" x14ac:dyDescent="0.3">
      <c r="B670" s="787" t="s">
        <v>518</v>
      </c>
      <c r="C670" s="789" t="s">
        <v>519</v>
      </c>
      <c r="D670" s="146" t="s">
        <v>190</v>
      </c>
      <c r="E670" s="147" t="s">
        <v>515</v>
      </c>
      <c r="F670" s="504">
        <v>1</v>
      </c>
      <c r="G670" s="248" t="s">
        <v>8789</v>
      </c>
      <c r="H670" s="667" t="s">
        <v>4080</v>
      </c>
      <c r="I670" s="319" t="s">
        <v>1579</v>
      </c>
      <c r="J670" s="537" t="s">
        <v>8790</v>
      </c>
      <c r="K670" s="132" t="s">
        <v>8791</v>
      </c>
      <c r="L670" s="593"/>
      <c r="N670" s="132" t="s">
        <v>1897</v>
      </c>
      <c r="O670" s="132">
        <f t="shared" si="0"/>
        <v>10.816000000000006</v>
      </c>
      <c r="Q670" s="481"/>
    </row>
    <row r="671" spans="2:17" ht="46.8" x14ac:dyDescent="0.3">
      <c r="B671" s="787" t="s">
        <v>518</v>
      </c>
      <c r="C671" s="789" t="s">
        <v>519</v>
      </c>
      <c r="D671" s="146" t="s">
        <v>190</v>
      </c>
      <c r="E671" s="147" t="s">
        <v>515</v>
      </c>
      <c r="F671" s="504">
        <v>1</v>
      </c>
      <c r="G671" s="248" t="s">
        <v>8792</v>
      </c>
      <c r="H671" s="667" t="s">
        <v>8412</v>
      </c>
      <c r="I671" s="319" t="s">
        <v>1579</v>
      </c>
      <c r="J671" s="537" t="s">
        <v>8793</v>
      </c>
      <c r="K671" s="132" t="s">
        <v>8794</v>
      </c>
      <c r="L671" s="593"/>
      <c r="N671" s="132" t="s">
        <v>6086</v>
      </c>
      <c r="O671" s="132">
        <f t="shared" si="0"/>
        <v>10.780000000000006</v>
      </c>
      <c r="Q671" s="481"/>
    </row>
    <row r="672" spans="2:17" ht="46.8" x14ac:dyDescent="0.3">
      <c r="B672" s="787" t="s">
        <v>518</v>
      </c>
      <c r="C672" s="789" t="s">
        <v>519</v>
      </c>
      <c r="D672" s="146" t="s">
        <v>190</v>
      </c>
      <c r="E672" s="147" t="s">
        <v>515</v>
      </c>
      <c r="F672" s="504">
        <v>1</v>
      </c>
      <c r="G672" s="248" t="s">
        <v>8795</v>
      </c>
      <c r="H672" s="667" t="s">
        <v>4565</v>
      </c>
      <c r="I672" s="319" t="s">
        <v>1579</v>
      </c>
      <c r="J672" s="537" t="s">
        <v>8796</v>
      </c>
      <c r="K672" s="132" t="s">
        <v>8797</v>
      </c>
      <c r="L672" s="593"/>
      <c r="N672" s="132" t="s">
        <v>6057</v>
      </c>
      <c r="O672" s="132">
        <f t="shared" si="0"/>
        <v>10.744000000000007</v>
      </c>
      <c r="Q672" s="481"/>
    </row>
    <row r="673" spans="2:17" ht="46.8" x14ac:dyDescent="0.3">
      <c r="B673" s="787" t="s">
        <v>518</v>
      </c>
      <c r="C673" s="789" t="s">
        <v>519</v>
      </c>
      <c r="D673" s="146" t="s">
        <v>190</v>
      </c>
      <c r="E673" s="147" t="s">
        <v>515</v>
      </c>
      <c r="F673" s="504">
        <v>1</v>
      </c>
      <c r="G673" s="248" t="s">
        <v>8798</v>
      </c>
      <c r="H673" s="667" t="s">
        <v>8799</v>
      </c>
      <c r="I673" s="319" t="s">
        <v>1579</v>
      </c>
      <c r="J673" s="537" t="s">
        <v>8800</v>
      </c>
      <c r="K673" s="132" t="s">
        <v>8801</v>
      </c>
      <c r="L673" s="593"/>
      <c r="N673" s="132" t="s">
        <v>1522</v>
      </c>
      <c r="O673" s="132">
        <f t="shared" si="0"/>
        <v>10.708000000000007</v>
      </c>
      <c r="Q673" s="481"/>
    </row>
    <row r="674" spans="2:17" ht="46.8" x14ac:dyDescent="0.3">
      <c r="B674" s="787" t="s">
        <v>518</v>
      </c>
      <c r="C674" s="789" t="s">
        <v>519</v>
      </c>
      <c r="D674" s="146" t="s">
        <v>190</v>
      </c>
      <c r="E674" s="147" t="s">
        <v>515</v>
      </c>
      <c r="F674" s="504">
        <v>1</v>
      </c>
      <c r="G674" s="248" t="s">
        <v>8802</v>
      </c>
      <c r="H674" s="667" t="s">
        <v>8799</v>
      </c>
      <c r="I674" s="319" t="s">
        <v>1579</v>
      </c>
      <c r="J674" s="537" t="s">
        <v>8803</v>
      </c>
      <c r="K674" s="132" t="s">
        <v>8804</v>
      </c>
      <c r="L674" s="593"/>
      <c r="N674" s="132" t="s">
        <v>1590</v>
      </c>
      <c r="O674" s="132">
        <f t="shared" si="0"/>
        <v>10.672000000000008</v>
      </c>
      <c r="Q674" s="481"/>
    </row>
    <row r="675" spans="2:17" ht="46.8" x14ac:dyDescent="0.3">
      <c r="B675" s="787" t="s">
        <v>518</v>
      </c>
      <c r="C675" s="789" t="s">
        <v>519</v>
      </c>
      <c r="D675" s="146" t="s">
        <v>190</v>
      </c>
      <c r="E675" s="147" t="s">
        <v>515</v>
      </c>
      <c r="F675" s="504">
        <v>1</v>
      </c>
      <c r="G675" s="248" t="s">
        <v>8805</v>
      </c>
      <c r="H675" s="667" t="s">
        <v>8806</v>
      </c>
      <c r="I675" s="319" t="s">
        <v>1579</v>
      </c>
      <c r="J675" s="537" t="s">
        <v>8807</v>
      </c>
      <c r="K675" s="132" t="s">
        <v>8808</v>
      </c>
      <c r="L675" s="593"/>
      <c r="N675" s="132" t="s">
        <v>1587</v>
      </c>
      <c r="O675" s="132">
        <f t="shared" si="0"/>
        <v>10.636000000000008</v>
      </c>
      <c r="Q675" s="481"/>
    </row>
    <row r="676" spans="2:17" ht="46.8" x14ac:dyDescent="0.3">
      <c r="B676" s="787" t="s">
        <v>518</v>
      </c>
      <c r="C676" s="789" t="s">
        <v>519</v>
      </c>
      <c r="D676" s="146" t="s">
        <v>190</v>
      </c>
      <c r="E676" s="147" t="s">
        <v>515</v>
      </c>
      <c r="F676" s="504">
        <v>1</v>
      </c>
      <c r="G676" s="248" t="s">
        <v>8809</v>
      </c>
      <c r="H676" s="667" t="s">
        <v>4670</v>
      </c>
      <c r="I676" s="319" t="s">
        <v>1579</v>
      </c>
      <c r="J676" s="537" t="s">
        <v>8810</v>
      </c>
      <c r="K676" s="132" t="s">
        <v>8811</v>
      </c>
      <c r="L676" s="593"/>
      <c r="N676" s="132" t="s">
        <v>1525</v>
      </c>
      <c r="O676" s="132">
        <f>O675-0.036</f>
        <v>10.600000000000009</v>
      </c>
      <c r="Q676" s="481"/>
    </row>
    <row r="677" spans="2:17" ht="46.8" x14ac:dyDescent="0.3">
      <c r="B677" s="787" t="s">
        <v>518</v>
      </c>
      <c r="C677" s="789" t="s">
        <v>519</v>
      </c>
      <c r="D677" s="146" t="s">
        <v>190</v>
      </c>
      <c r="E677" s="147" t="s">
        <v>515</v>
      </c>
      <c r="F677" s="504">
        <v>1</v>
      </c>
      <c r="G677" s="248" t="s">
        <v>8812</v>
      </c>
      <c r="H677" s="667" t="s">
        <v>4670</v>
      </c>
      <c r="I677" s="319" t="s">
        <v>1579</v>
      </c>
      <c r="J677" s="537" t="s">
        <v>8813</v>
      </c>
      <c r="K677" s="132" t="s">
        <v>8814</v>
      </c>
      <c r="L677" s="593"/>
      <c r="Q677" s="481"/>
    </row>
    <row r="678" spans="2:17" ht="46.8" x14ac:dyDescent="0.3">
      <c r="B678" s="787" t="s">
        <v>518</v>
      </c>
      <c r="C678" s="789" t="s">
        <v>519</v>
      </c>
      <c r="D678" s="146" t="s">
        <v>190</v>
      </c>
      <c r="E678" s="147" t="s">
        <v>515</v>
      </c>
      <c r="F678" s="504">
        <v>1</v>
      </c>
      <c r="G678" s="248" t="s">
        <v>8815</v>
      </c>
      <c r="H678" s="667" t="s">
        <v>4153</v>
      </c>
      <c r="I678" s="319" t="s">
        <v>1579</v>
      </c>
      <c r="J678" s="537" t="s">
        <v>8816</v>
      </c>
      <c r="K678" s="132" t="s">
        <v>8817</v>
      </c>
      <c r="L678" s="593"/>
      <c r="Q678" s="481"/>
    </row>
    <row r="679" spans="2:17" ht="46.8" x14ac:dyDescent="0.3">
      <c r="B679" s="787" t="s">
        <v>518</v>
      </c>
      <c r="C679" s="789" t="s">
        <v>519</v>
      </c>
      <c r="D679" s="146" t="s">
        <v>190</v>
      </c>
      <c r="E679" s="147" t="s">
        <v>515</v>
      </c>
      <c r="F679" s="504">
        <v>1</v>
      </c>
      <c r="G679" s="248" t="s">
        <v>8818</v>
      </c>
      <c r="H679" s="667" t="s">
        <v>4153</v>
      </c>
      <c r="I679" s="319" t="s">
        <v>1579</v>
      </c>
      <c r="J679" s="537" t="s">
        <v>8819</v>
      </c>
      <c r="K679" s="132" t="s">
        <v>166</v>
      </c>
      <c r="L679" s="593"/>
      <c r="Q679" s="481"/>
    </row>
    <row r="680" spans="2:17" ht="46.8" x14ac:dyDescent="0.3">
      <c r="B680" s="787" t="s">
        <v>518</v>
      </c>
      <c r="C680" s="789" t="s">
        <v>519</v>
      </c>
      <c r="D680" s="146" t="s">
        <v>190</v>
      </c>
      <c r="E680" s="147" t="s">
        <v>515</v>
      </c>
      <c r="F680" s="504">
        <v>1</v>
      </c>
      <c r="G680" s="248" t="s">
        <v>8820</v>
      </c>
      <c r="H680" s="667" t="s">
        <v>4225</v>
      </c>
      <c r="I680" s="319" t="s">
        <v>949</v>
      </c>
      <c r="J680" s="537" t="s">
        <v>8821</v>
      </c>
      <c r="K680" s="132" t="s">
        <v>8822</v>
      </c>
      <c r="L680" s="593"/>
      <c r="Q680" s="481"/>
    </row>
    <row r="681" spans="2:17" ht="46.8" x14ac:dyDescent="0.3">
      <c r="B681" s="787" t="s">
        <v>518</v>
      </c>
      <c r="C681" s="789" t="s">
        <v>519</v>
      </c>
      <c r="D681" s="146" t="s">
        <v>190</v>
      </c>
      <c r="E681" s="147" t="s">
        <v>515</v>
      </c>
      <c r="F681" s="504">
        <v>1</v>
      </c>
      <c r="G681" s="248" t="s">
        <v>8823</v>
      </c>
      <c r="H681" s="667" t="s">
        <v>4295</v>
      </c>
      <c r="I681" s="319" t="s">
        <v>949</v>
      </c>
      <c r="J681" s="537" t="s">
        <v>8824</v>
      </c>
      <c r="K681" s="132" t="s">
        <v>8825</v>
      </c>
      <c r="L681" s="593"/>
      <c r="Q681" s="481"/>
    </row>
    <row r="682" spans="2:17" ht="46.8" x14ac:dyDescent="0.3">
      <c r="B682" s="787" t="s">
        <v>518</v>
      </c>
      <c r="C682" s="789" t="s">
        <v>519</v>
      </c>
      <c r="D682" s="146" t="s">
        <v>190</v>
      </c>
      <c r="E682" s="147" t="s">
        <v>515</v>
      </c>
      <c r="F682" s="504">
        <v>1</v>
      </c>
      <c r="G682" s="248" t="s">
        <v>8826</v>
      </c>
      <c r="H682" s="667" t="s">
        <v>4292</v>
      </c>
      <c r="I682" s="319" t="s">
        <v>949</v>
      </c>
      <c r="J682" s="537" t="s">
        <v>8827</v>
      </c>
      <c r="K682" s="132" t="s">
        <v>167</v>
      </c>
      <c r="L682" s="593"/>
      <c r="Q682" s="481"/>
    </row>
    <row r="683" spans="2:17" ht="46.8" x14ac:dyDescent="0.3">
      <c r="B683" s="787" t="s">
        <v>518</v>
      </c>
      <c r="C683" s="789" t="s">
        <v>519</v>
      </c>
      <c r="D683" s="146" t="s">
        <v>190</v>
      </c>
      <c r="E683" s="147" t="s">
        <v>515</v>
      </c>
      <c r="F683" s="504">
        <v>1</v>
      </c>
      <c r="G683" s="248" t="s">
        <v>8828</v>
      </c>
      <c r="H683" s="667" t="s">
        <v>4292</v>
      </c>
      <c r="I683" s="319" t="s">
        <v>949</v>
      </c>
      <c r="J683" s="537" t="s">
        <v>8829</v>
      </c>
      <c r="K683" s="132" t="s">
        <v>168</v>
      </c>
      <c r="L683" s="593"/>
      <c r="Q683" s="481"/>
    </row>
    <row r="684" spans="2:17" ht="46.8" x14ac:dyDescent="0.3">
      <c r="B684" s="787" t="s">
        <v>518</v>
      </c>
      <c r="C684" s="789" t="s">
        <v>519</v>
      </c>
      <c r="D684" s="146" t="s">
        <v>190</v>
      </c>
      <c r="E684" s="147" t="s">
        <v>515</v>
      </c>
      <c r="F684" s="504">
        <v>1</v>
      </c>
      <c r="G684" s="248" t="s">
        <v>8830</v>
      </c>
      <c r="H684" s="667" t="s">
        <v>8831</v>
      </c>
      <c r="I684" s="319" t="s">
        <v>949</v>
      </c>
      <c r="J684" s="537" t="s">
        <v>8832</v>
      </c>
      <c r="K684" s="132" t="s">
        <v>169</v>
      </c>
      <c r="L684" s="593"/>
      <c r="Q684" s="481"/>
    </row>
    <row r="685" spans="2:17" ht="46.8" x14ac:dyDescent="0.3">
      <c r="B685" s="787" t="s">
        <v>518</v>
      </c>
      <c r="C685" s="789" t="s">
        <v>519</v>
      </c>
      <c r="D685" s="146" t="s">
        <v>190</v>
      </c>
      <c r="E685" s="147" t="s">
        <v>515</v>
      </c>
      <c r="F685" s="504">
        <v>1</v>
      </c>
      <c r="G685" s="248" t="s">
        <v>8833</v>
      </c>
      <c r="H685" s="667" t="s">
        <v>5932</v>
      </c>
      <c r="I685" s="319" t="s">
        <v>949</v>
      </c>
      <c r="J685" s="537" t="s">
        <v>8834</v>
      </c>
      <c r="K685" s="132" t="s">
        <v>170</v>
      </c>
      <c r="L685" s="593"/>
      <c r="Q685" s="481"/>
    </row>
    <row r="686" spans="2:17" ht="46.8" x14ac:dyDescent="0.3">
      <c r="B686" s="787" t="s">
        <v>518</v>
      </c>
      <c r="C686" s="789" t="s">
        <v>519</v>
      </c>
      <c r="D686" s="146" t="s">
        <v>190</v>
      </c>
      <c r="E686" s="147" t="s">
        <v>515</v>
      </c>
      <c r="F686" s="504">
        <v>1</v>
      </c>
      <c r="G686" s="248" t="s">
        <v>8835</v>
      </c>
      <c r="H686" s="667" t="s">
        <v>5932</v>
      </c>
      <c r="I686" s="319" t="s">
        <v>949</v>
      </c>
      <c r="J686" s="537" t="s">
        <v>8836</v>
      </c>
      <c r="K686" s="132" t="s">
        <v>171</v>
      </c>
      <c r="L686" s="593"/>
      <c r="Q686" s="481"/>
    </row>
    <row r="687" spans="2:17" ht="46.8" x14ac:dyDescent="0.3">
      <c r="B687" s="787" t="s">
        <v>518</v>
      </c>
      <c r="C687" s="789" t="s">
        <v>519</v>
      </c>
      <c r="D687" s="146" t="s">
        <v>190</v>
      </c>
      <c r="E687" s="147" t="s">
        <v>515</v>
      </c>
      <c r="F687" s="1195">
        <v>1</v>
      </c>
      <c r="G687" s="248" t="s">
        <v>8837</v>
      </c>
      <c r="H687" s="667" t="s">
        <v>8502</v>
      </c>
      <c r="I687" s="1521" t="s">
        <v>119</v>
      </c>
      <c r="J687" s="537" t="s">
        <v>521</v>
      </c>
      <c r="K687" s="132" t="s">
        <v>8838</v>
      </c>
      <c r="L687" s="593"/>
      <c r="Q687" s="481"/>
    </row>
    <row r="688" spans="2:17" ht="46.8" x14ac:dyDescent="0.3">
      <c r="B688" s="787" t="s">
        <v>518</v>
      </c>
      <c r="C688" s="789" t="s">
        <v>519</v>
      </c>
      <c r="D688" s="146" t="s">
        <v>190</v>
      </c>
      <c r="E688" s="147" t="s">
        <v>515</v>
      </c>
      <c r="F688" s="1195">
        <v>1</v>
      </c>
      <c r="G688" s="248" t="s">
        <v>8839</v>
      </c>
      <c r="H688" s="667" t="s">
        <v>5974</v>
      </c>
      <c r="I688" s="1521" t="s">
        <v>119</v>
      </c>
      <c r="J688" s="537" t="s">
        <v>575</v>
      </c>
      <c r="K688" s="132" t="s">
        <v>172</v>
      </c>
      <c r="L688" s="593"/>
      <c r="Q688" s="481"/>
    </row>
    <row r="689" spans="2:17" ht="46.8" x14ac:dyDescent="0.3">
      <c r="B689" s="787" t="s">
        <v>518</v>
      </c>
      <c r="C689" s="789" t="s">
        <v>519</v>
      </c>
      <c r="D689" s="146" t="s">
        <v>190</v>
      </c>
      <c r="E689" s="147" t="s">
        <v>515</v>
      </c>
      <c r="F689" s="1195">
        <v>1</v>
      </c>
      <c r="G689" s="248" t="s">
        <v>8840</v>
      </c>
      <c r="H689" s="667" t="s">
        <v>8841</v>
      </c>
      <c r="I689" s="1521" t="s">
        <v>119</v>
      </c>
      <c r="J689" s="537" t="s">
        <v>591</v>
      </c>
      <c r="K689" s="132" t="s">
        <v>173</v>
      </c>
      <c r="L689" s="593"/>
      <c r="Q689" s="481"/>
    </row>
    <row r="690" spans="2:17" ht="15.6" x14ac:dyDescent="0.3">
      <c r="B690" s="787"/>
      <c r="C690" s="789"/>
      <c r="D690" s="146"/>
      <c r="E690" s="147"/>
      <c r="F690" s="491"/>
      <c r="G690" s="302"/>
      <c r="H690" s="667"/>
      <c r="I690" s="319"/>
      <c r="J690" s="537"/>
      <c r="L690" s="593"/>
      <c r="Q690" s="481"/>
    </row>
    <row r="691" spans="2:17" ht="15.6" x14ac:dyDescent="0.3">
      <c r="B691" s="787"/>
      <c r="C691" s="353" t="s">
        <v>771</v>
      </c>
      <c r="D691" s="354" t="s">
        <v>190</v>
      </c>
      <c r="E691" s="355"/>
      <c r="F691" s="1040">
        <f>SUM(F638:F690)</f>
        <v>52</v>
      </c>
      <c r="G691" s="302"/>
      <c r="H691" s="667"/>
      <c r="I691" s="319"/>
      <c r="J691" s="494"/>
      <c r="L691" s="593"/>
      <c r="Q691" s="481"/>
    </row>
    <row r="692" spans="2:17" ht="15.6" x14ac:dyDescent="0.3">
      <c r="B692" s="787"/>
      <c r="C692" s="353" t="s">
        <v>772</v>
      </c>
      <c r="D692" s="354" t="s">
        <v>190</v>
      </c>
      <c r="E692" s="355"/>
      <c r="F692" s="1040">
        <v>49</v>
      </c>
      <c r="G692" s="302"/>
      <c r="H692" s="667"/>
      <c r="I692" s="319"/>
      <c r="J692" s="494"/>
      <c r="L692" s="593"/>
      <c r="Q692" s="481"/>
    </row>
    <row r="693" spans="2:17" ht="15.6" x14ac:dyDescent="0.3">
      <c r="B693" s="787"/>
      <c r="C693" s="361" t="s">
        <v>773</v>
      </c>
      <c r="D693" s="362" t="s">
        <v>190</v>
      </c>
      <c r="E693" s="363"/>
      <c r="F693" s="1041">
        <f>F691-F692</f>
        <v>3</v>
      </c>
      <c r="G693" s="248"/>
      <c r="H693" s="542"/>
      <c r="I693" s="319"/>
      <c r="J693" s="494"/>
      <c r="L693" s="593"/>
      <c r="Q693" s="481"/>
    </row>
    <row r="694" spans="2:17" ht="7.5" customHeight="1" x14ac:dyDescent="0.3">
      <c r="B694" s="338"/>
      <c r="C694" s="142"/>
      <c r="D694" s="143"/>
      <c r="E694" s="144"/>
      <c r="F694" s="1038"/>
      <c r="G694" s="144"/>
      <c r="H694" s="144"/>
      <c r="I694" s="515"/>
      <c r="J694" s="524"/>
      <c r="L694" s="593"/>
    </row>
    <row r="695" spans="2:17" ht="46.8" x14ac:dyDescent="0.3">
      <c r="B695" s="787" t="s">
        <v>633</v>
      </c>
      <c r="C695" s="788" t="s">
        <v>634</v>
      </c>
      <c r="D695" s="127" t="s">
        <v>190</v>
      </c>
      <c r="E695" s="378" t="s">
        <v>510</v>
      </c>
      <c r="F695" s="490">
        <v>1</v>
      </c>
      <c r="G695" s="296" t="s">
        <v>8842</v>
      </c>
      <c r="H695" s="596" t="s">
        <v>8553</v>
      </c>
      <c r="I695" s="319" t="s">
        <v>1262</v>
      </c>
      <c r="J695" s="494" t="s">
        <v>8843</v>
      </c>
      <c r="K695" s="132" t="s">
        <v>8844</v>
      </c>
      <c r="Q695" s="481"/>
    </row>
    <row r="696" spans="2:17" ht="46.8" x14ac:dyDescent="0.3">
      <c r="B696" s="787" t="s">
        <v>633</v>
      </c>
      <c r="C696" s="789" t="s">
        <v>634</v>
      </c>
      <c r="D696" s="146" t="s">
        <v>190</v>
      </c>
      <c r="E696" s="147" t="s">
        <v>510</v>
      </c>
      <c r="F696" s="504">
        <v>1</v>
      </c>
      <c r="G696" s="248" t="s">
        <v>8845</v>
      </c>
      <c r="H696" s="585" t="s">
        <v>4366</v>
      </c>
      <c r="I696" s="319" t="s">
        <v>1509</v>
      </c>
      <c r="J696" s="494" t="s">
        <v>8846</v>
      </c>
      <c r="K696" s="132" t="s">
        <v>8847</v>
      </c>
      <c r="L696" s="593"/>
      <c r="Q696" s="481"/>
    </row>
    <row r="697" spans="2:17" ht="46.8" x14ac:dyDescent="0.3">
      <c r="B697" s="787" t="s">
        <v>633</v>
      </c>
      <c r="C697" s="789" t="s">
        <v>634</v>
      </c>
      <c r="D697" s="146" t="s">
        <v>190</v>
      </c>
      <c r="E697" s="147" t="s">
        <v>510</v>
      </c>
      <c r="F697" s="504">
        <v>1</v>
      </c>
      <c r="G697" s="248" t="s">
        <v>8848</v>
      </c>
      <c r="H697" s="585" t="s">
        <v>4258</v>
      </c>
      <c r="I697" s="319" t="s">
        <v>1026</v>
      </c>
      <c r="J697" s="494" t="s">
        <v>8849</v>
      </c>
      <c r="K697" s="132" t="s">
        <v>8850</v>
      </c>
      <c r="L697" s="593"/>
      <c r="Q697" s="481"/>
    </row>
    <row r="698" spans="2:17" ht="46.8" x14ac:dyDescent="0.3">
      <c r="B698" s="787" t="s">
        <v>633</v>
      </c>
      <c r="C698" s="789" t="s">
        <v>634</v>
      </c>
      <c r="D698" s="146" t="s">
        <v>190</v>
      </c>
      <c r="E698" s="147" t="s">
        <v>510</v>
      </c>
      <c r="F698" s="504">
        <v>1</v>
      </c>
      <c r="G698" s="248" t="s">
        <v>8851</v>
      </c>
      <c r="H698" s="585" t="s">
        <v>8852</v>
      </c>
      <c r="I698" s="319" t="s">
        <v>1026</v>
      </c>
      <c r="J698" s="494" t="s">
        <v>8853</v>
      </c>
      <c r="K698" s="132" t="s">
        <v>8854</v>
      </c>
      <c r="L698" s="593"/>
      <c r="Q698" s="481"/>
    </row>
    <row r="699" spans="2:17" ht="46.8" x14ac:dyDescent="0.3">
      <c r="B699" s="787" t="s">
        <v>633</v>
      </c>
      <c r="C699" s="789" t="s">
        <v>634</v>
      </c>
      <c r="D699" s="146" t="s">
        <v>190</v>
      </c>
      <c r="E699" s="147" t="s">
        <v>510</v>
      </c>
      <c r="F699" s="504">
        <v>1</v>
      </c>
      <c r="G699" s="248" t="s">
        <v>8855</v>
      </c>
      <c r="H699" s="585" t="s">
        <v>4440</v>
      </c>
      <c r="I699" s="319" t="s">
        <v>1282</v>
      </c>
      <c r="J699" s="494" t="s">
        <v>8856</v>
      </c>
      <c r="K699" s="132" t="s">
        <v>8857</v>
      </c>
      <c r="Q699" s="481"/>
    </row>
    <row r="700" spans="2:17" ht="46.8" x14ac:dyDescent="0.3">
      <c r="B700" s="787" t="s">
        <v>633</v>
      </c>
      <c r="C700" s="789" t="s">
        <v>634</v>
      </c>
      <c r="D700" s="146" t="s">
        <v>190</v>
      </c>
      <c r="E700" s="147" t="s">
        <v>510</v>
      </c>
      <c r="F700" s="504">
        <v>1</v>
      </c>
      <c r="G700" s="248" t="s">
        <v>8858</v>
      </c>
      <c r="H700" s="585" t="s">
        <v>4062</v>
      </c>
      <c r="I700" s="319" t="s">
        <v>1282</v>
      </c>
      <c r="J700" s="494" t="s">
        <v>8859</v>
      </c>
      <c r="K700" s="132" t="s">
        <v>8860</v>
      </c>
      <c r="L700" s="593"/>
      <c r="Q700" s="481"/>
    </row>
    <row r="701" spans="2:17" ht="46.8" x14ac:dyDescent="0.3">
      <c r="B701" s="787" t="s">
        <v>633</v>
      </c>
      <c r="C701" s="789" t="s">
        <v>634</v>
      </c>
      <c r="D701" s="146" t="s">
        <v>190</v>
      </c>
      <c r="E701" s="147" t="s">
        <v>510</v>
      </c>
      <c r="F701" s="504">
        <v>1</v>
      </c>
      <c r="G701" s="302" t="s">
        <v>8861</v>
      </c>
      <c r="H701" s="1049" t="s">
        <v>7680</v>
      </c>
      <c r="I701" s="319" t="s">
        <v>1282</v>
      </c>
      <c r="J701" s="494" t="s">
        <v>8862</v>
      </c>
      <c r="K701" s="132" t="s">
        <v>8863</v>
      </c>
      <c r="L701" s="593"/>
      <c r="Q701" s="481"/>
    </row>
    <row r="702" spans="2:17" ht="46.8" x14ac:dyDescent="0.3">
      <c r="B702" s="787" t="s">
        <v>633</v>
      </c>
      <c r="C702" s="789" t="s">
        <v>634</v>
      </c>
      <c r="D702" s="146" t="s">
        <v>190</v>
      </c>
      <c r="E702" s="147" t="s">
        <v>510</v>
      </c>
      <c r="F702" s="504">
        <v>1</v>
      </c>
      <c r="G702" s="302" t="s">
        <v>8864</v>
      </c>
      <c r="H702" s="1049" t="s">
        <v>4133</v>
      </c>
      <c r="I702" s="319" t="s">
        <v>1282</v>
      </c>
      <c r="J702" s="494" t="s">
        <v>8865</v>
      </c>
      <c r="K702" s="132" t="s">
        <v>8866</v>
      </c>
      <c r="L702" s="593"/>
      <c r="Q702" s="481"/>
    </row>
    <row r="703" spans="2:17" ht="46.8" x14ac:dyDescent="0.3">
      <c r="B703" s="787" t="s">
        <v>633</v>
      </c>
      <c r="C703" s="789" t="s">
        <v>634</v>
      </c>
      <c r="D703" s="146" t="s">
        <v>190</v>
      </c>
      <c r="E703" s="147" t="s">
        <v>515</v>
      </c>
      <c r="F703" s="504">
        <v>1</v>
      </c>
      <c r="G703" s="302" t="s">
        <v>8867</v>
      </c>
      <c r="H703" s="1049" t="s">
        <v>5065</v>
      </c>
      <c r="I703" s="319" t="s">
        <v>943</v>
      </c>
      <c r="J703" s="494" t="s">
        <v>8868</v>
      </c>
      <c r="K703" s="132" t="s">
        <v>8869</v>
      </c>
      <c r="Q703" s="481"/>
    </row>
    <row r="704" spans="2:17" ht="46.8" x14ac:dyDescent="0.3">
      <c r="B704" s="787" t="s">
        <v>633</v>
      </c>
      <c r="C704" s="789" t="s">
        <v>634</v>
      </c>
      <c r="D704" s="146" t="s">
        <v>190</v>
      </c>
      <c r="E704" s="147" t="s">
        <v>510</v>
      </c>
      <c r="F704" s="504">
        <v>1</v>
      </c>
      <c r="G704" s="302" t="s">
        <v>8870</v>
      </c>
      <c r="H704" s="1049" t="s">
        <v>5115</v>
      </c>
      <c r="I704" s="319" t="s">
        <v>943</v>
      </c>
      <c r="J704" s="494" t="s">
        <v>8871</v>
      </c>
      <c r="K704" s="132" t="s">
        <v>8872</v>
      </c>
      <c r="L704" s="593"/>
      <c r="Q704" s="481"/>
    </row>
    <row r="705" spans="2:17" ht="46.8" x14ac:dyDescent="0.3">
      <c r="B705" s="787" t="s">
        <v>633</v>
      </c>
      <c r="C705" s="789" t="s">
        <v>634</v>
      </c>
      <c r="D705" s="146" t="s">
        <v>190</v>
      </c>
      <c r="E705" s="147" t="s">
        <v>515</v>
      </c>
      <c r="F705" s="504">
        <v>1</v>
      </c>
      <c r="G705" s="302" t="s">
        <v>8873</v>
      </c>
      <c r="H705" s="1049" t="s">
        <v>5071</v>
      </c>
      <c r="I705" s="319" t="s">
        <v>943</v>
      </c>
      <c r="J705" s="494" t="s">
        <v>8874</v>
      </c>
      <c r="K705" s="132" t="s">
        <v>8875</v>
      </c>
      <c r="L705" s="593"/>
      <c r="Q705" s="481"/>
    </row>
    <row r="706" spans="2:17" ht="46.8" x14ac:dyDescent="0.3">
      <c r="B706" s="787" t="s">
        <v>633</v>
      </c>
      <c r="C706" s="789" t="s">
        <v>634</v>
      </c>
      <c r="D706" s="146" t="s">
        <v>190</v>
      </c>
      <c r="E706" s="147" t="s">
        <v>510</v>
      </c>
      <c r="F706" s="504">
        <v>1</v>
      </c>
      <c r="G706" s="302" t="s">
        <v>8876</v>
      </c>
      <c r="H706" s="1049" t="s">
        <v>8877</v>
      </c>
      <c r="I706" s="319" t="s">
        <v>943</v>
      </c>
      <c r="J706" s="494" t="s">
        <v>8878</v>
      </c>
      <c r="K706" s="132" t="s">
        <v>8879</v>
      </c>
      <c r="L706" s="593"/>
      <c r="Q706" s="481"/>
    </row>
    <row r="707" spans="2:17" ht="46.8" x14ac:dyDescent="0.3">
      <c r="B707" s="787" t="s">
        <v>633</v>
      </c>
      <c r="C707" s="789" t="s">
        <v>634</v>
      </c>
      <c r="D707" s="146" t="s">
        <v>190</v>
      </c>
      <c r="E707" s="147" t="s">
        <v>510</v>
      </c>
      <c r="F707" s="504">
        <v>1</v>
      </c>
      <c r="G707" s="302" t="s">
        <v>8880</v>
      </c>
      <c r="H707" s="1049" t="s">
        <v>4451</v>
      </c>
      <c r="I707" s="319" t="s">
        <v>943</v>
      </c>
      <c r="J707" s="494" t="s">
        <v>8881</v>
      </c>
      <c r="K707" s="132" t="s">
        <v>8882</v>
      </c>
      <c r="L707" s="593"/>
      <c r="Q707" s="481"/>
    </row>
    <row r="708" spans="2:17" ht="46.8" x14ac:dyDescent="0.3">
      <c r="B708" s="787" t="s">
        <v>633</v>
      </c>
      <c r="C708" s="789" t="s">
        <v>634</v>
      </c>
      <c r="D708" s="146" t="s">
        <v>190</v>
      </c>
      <c r="E708" s="147" t="s">
        <v>510</v>
      </c>
      <c r="F708" s="504">
        <v>1</v>
      </c>
      <c r="G708" s="302" t="s">
        <v>8883</v>
      </c>
      <c r="H708" s="1049" t="s">
        <v>4342</v>
      </c>
      <c r="I708" s="319" t="s">
        <v>943</v>
      </c>
      <c r="J708" s="494" t="s">
        <v>8884</v>
      </c>
      <c r="K708" s="132" t="s">
        <v>8885</v>
      </c>
      <c r="L708" s="593"/>
      <c r="Q708" s="481"/>
    </row>
    <row r="709" spans="2:17" ht="46.8" x14ac:dyDescent="0.3">
      <c r="B709" s="787" t="s">
        <v>633</v>
      </c>
      <c r="C709" s="789" t="s">
        <v>634</v>
      </c>
      <c r="D709" s="146" t="s">
        <v>190</v>
      </c>
      <c r="E709" s="147" t="s">
        <v>515</v>
      </c>
      <c r="F709" s="504">
        <v>1</v>
      </c>
      <c r="G709" s="302" t="s">
        <v>8886</v>
      </c>
      <c r="H709" s="542" t="s">
        <v>4345</v>
      </c>
      <c r="I709" s="319" t="s">
        <v>1417</v>
      </c>
      <c r="J709" s="494" t="s">
        <v>8887</v>
      </c>
      <c r="K709" s="132" t="s">
        <v>8888</v>
      </c>
      <c r="Q709" s="481"/>
    </row>
    <row r="710" spans="2:17" ht="46.8" x14ac:dyDescent="0.3">
      <c r="B710" s="787" t="s">
        <v>633</v>
      </c>
      <c r="C710" s="789" t="s">
        <v>634</v>
      </c>
      <c r="D710" s="146" t="s">
        <v>190</v>
      </c>
      <c r="E710" s="147" t="s">
        <v>515</v>
      </c>
      <c r="F710" s="504">
        <v>1</v>
      </c>
      <c r="G710" s="302" t="s">
        <v>8889</v>
      </c>
      <c r="H710" s="542" t="s">
        <v>5251</v>
      </c>
      <c r="I710" s="319" t="s">
        <v>1417</v>
      </c>
      <c r="J710" s="494" t="s">
        <v>8890</v>
      </c>
      <c r="K710" s="132" t="s">
        <v>8891</v>
      </c>
      <c r="L710" s="593"/>
      <c r="Q710" s="481"/>
    </row>
    <row r="711" spans="2:17" ht="46.8" x14ac:dyDescent="0.3">
      <c r="B711" s="787" t="s">
        <v>633</v>
      </c>
      <c r="C711" s="789" t="s">
        <v>634</v>
      </c>
      <c r="D711" s="146" t="s">
        <v>190</v>
      </c>
      <c r="E711" s="147" t="s">
        <v>515</v>
      </c>
      <c r="F711" s="504">
        <v>1</v>
      </c>
      <c r="G711" s="302" t="s">
        <v>8892</v>
      </c>
      <c r="H711" s="542" t="s">
        <v>8893</v>
      </c>
      <c r="I711" s="319" t="s">
        <v>1417</v>
      </c>
      <c r="J711" s="494" t="s">
        <v>8894</v>
      </c>
      <c r="K711" s="132" t="s">
        <v>8895</v>
      </c>
      <c r="L711" s="593"/>
      <c r="Q711" s="481"/>
    </row>
    <row r="712" spans="2:17" ht="46.8" x14ac:dyDescent="0.3">
      <c r="B712" s="787" t="s">
        <v>633</v>
      </c>
      <c r="C712" s="789" t="s">
        <v>634</v>
      </c>
      <c r="D712" s="146" t="s">
        <v>190</v>
      </c>
      <c r="E712" s="147" t="s">
        <v>515</v>
      </c>
      <c r="F712" s="504">
        <v>1</v>
      </c>
      <c r="G712" s="302" t="s">
        <v>8896</v>
      </c>
      <c r="H712" s="542" t="s">
        <v>3576</v>
      </c>
      <c r="I712" s="319" t="s">
        <v>1417</v>
      </c>
      <c r="J712" s="494" t="s">
        <v>8897</v>
      </c>
      <c r="K712" s="132" t="s">
        <v>8898</v>
      </c>
      <c r="L712" s="593"/>
      <c r="Q712" s="481"/>
    </row>
    <row r="713" spans="2:17" ht="46.8" x14ac:dyDescent="0.3">
      <c r="B713" s="787" t="s">
        <v>633</v>
      </c>
      <c r="C713" s="789" t="s">
        <v>634</v>
      </c>
      <c r="D713" s="146" t="s">
        <v>190</v>
      </c>
      <c r="E713" s="147" t="s">
        <v>515</v>
      </c>
      <c r="F713" s="504">
        <v>1</v>
      </c>
      <c r="G713" s="302" t="s">
        <v>8899</v>
      </c>
      <c r="H713" s="542" t="s">
        <v>5339</v>
      </c>
      <c r="I713" s="319" t="s">
        <v>1315</v>
      </c>
      <c r="J713" s="494" t="s">
        <v>8900</v>
      </c>
      <c r="K713" s="132" t="s">
        <v>8901</v>
      </c>
      <c r="Q713" s="481"/>
    </row>
    <row r="714" spans="2:17" ht="46.8" x14ac:dyDescent="0.3">
      <c r="B714" s="787" t="s">
        <v>633</v>
      </c>
      <c r="C714" s="789" t="s">
        <v>634</v>
      </c>
      <c r="D714" s="146" t="s">
        <v>190</v>
      </c>
      <c r="E714" s="147" t="s">
        <v>515</v>
      </c>
      <c r="F714" s="504">
        <v>1</v>
      </c>
      <c r="G714" s="302" t="s">
        <v>8902</v>
      </c>
      <c r="H714" s="542" t="s">
        <v>4354</v>
      </c>
      <c r="I714" s="319" t="s">
        <v>1315</v>
      </c>
      <c r="J714" s="494" t="s">
        <v>8903</v>
      </c>
      <c r="K714" s="132" t="s">
        <v>8904</v>
      </c>
      <c r="L714" s="593"/>
      <c r="Q714" s="481"/>
    </row>
    <row r="715" spans="2:17" ht="46.8" x14ac:dyDescent="0.3">
      <c r="B715" s="787" t="s">
        <v>8905</v>
      </c>
      <c r="C715" s="789" t="s">
        <v>634</v>
      </c>
      <c r="D715" s="146" t="s">
        <v>190</v>
      </c>
      <c r="E715" s="147" t="s">
        <v>515</v>
      </c>
      <c r="F715" s="504">
        <v>1</v>
      </c>
      <c r="G715" s="302" t="s">
        <v>8906</v>
      </c>
      <c r="H715" s="542" t="s">
        <v>3582</v>
      </c>
      <c r="I715" s="319" t="s">
        <v>946</v>
      </c>
      <c r="J715" s="494" t="s">
        <v>8907</v>
      </c>
      <c r="K715" s="132" t="s">
        <v>8908</v>
      </c>
      <c r="L715" s="593"/>
      <c r="Q715" s="481"/>
    </row>
    <row r="716" spans="2:17" ht="46.8" x14ac:dyDescent="0.3">
      <c r="B716" s="787" t="s">
        <v>8905</v>
      </c>
      <c r="C716" s="789" t="s">
        <v>634</v>
      </c>
      <c r="D716" s="146" t="s">
        <v>190</v>
      </c>
      <c r="E716" s="147" t="s">
        <v>515</v>
      </c>
      <c r="F716" s="504">
        <v>1</v>
      </c>
      <c r="G716" s="302" t="s">
        <v>8909</v>
      </c>
      <c r="H716" s="542" t="s">
        <v>8910</v>
      </c>
      <c r="I716" s="319" t="s">
        <v>946</v>
      </c>
      <c r="J716" s="584" t="s">
        <v>8911</v>
      </c>
      <c r="K716" s="132" t="s">
        <v>8912</v>
      </c>
      <c r="L716" s="593"/>
      <c r="Q716" s="481"/>
    </row>
    <row r="717" spans="2:17" ht="46.8" x14ac:dyDescent="0.3">
      <c r="B717" s="787" t="s">
        <v>8905</v>
      </c>
      <c r="C717" s="789" t="s">
        <v>634</v>
      </c>
      <c r="D717" s="146" t="s">
        <v>190</v>
      </c>
      <c r="E717" s="147" t="s">
        <v>515</v>
      </c>
      <c r="F717" s="504">
        <v>1</v>
      </c>
      <c r="G717" s="302" t="s">
        <v>8913</v>
      </c>
      <c r="H717" s="542" t="s">
        <v>8914</v>
      </c>
      <c r="I717" s="319" t="s">
        <v>1579</v>
      </c>
      <c r="J717" s="494" t="s">
        <v>8915</v>
      </c>
      <c r="K717" s="132" t="s">
        <v>8916</v>
      </c>
      <c r="L717" s="593"/>
      <c r="Q717" s="481"/>
    </row>
    <row r="718" spans="2:17" ht="46.8" x14ac:dyDescent="0.3">
      <c r="B718" s="787" t="s">
        <v>8905</v>
      </c>
      <c r="C718" s="789" t="s">
        <v>634</v>
      </c>
      <c r="D718" s="146" t="s">
        <v>190</v>
      </c>
      <c r="E718" s="147" t="s">
        <v>515</v>
      </c>
      <c r="F718" s="504">
        <v>1</v>
      </c>
      <c r="G718" s="302" t="s">
        <v>8917</v>
      </c>
      <c r="H718" s="542" t="s">
        <v>8918</v>
      </c>
      <c r="I718" s="319" t="s">
        <v>1579</v>
      </c>
      <c r="J718" s="584" t="s">
        <v>8919</v>
      </c>
      <c r="K718" s="132" t="s">
        <v>8920</v>
      </c>
      <c r="L718" s="593"/>
      <c r="Q718" s="481"/>
    </row>
    <row r="719" spans="2:17" ht="46.8" x14ac:dyDescent="0.3">
      <c r="B719" s="787" t="s">
        <v>8905</v>
      </c>
      <c r="C719" s="789" t="s">
        <v>634</v>
      </c>
      <c r="D719" s="146" t="s">
        <v>190</v>
      </c>
      <c r="E719" s="147" t="s">
        <v>515</v>
      </c>
      <c r="F719" s="1195">
        <v>1</v>
      </c>
      <c r="G719" s="302" t="s">
        <v>8921</v>
      </c>
      <c r="H719" s="667" t="s">
        <v>5997</v>
      </c>
      <c r="I719" s="1521" t="s">
        <v>119</v>
      </c>
      <c r="J719" s="584" t="s">
        <v>636</v>
      </c>
      <c r="K719" s="132" t="s">
        <v>8922</v>
      </c>
      <c r="L719" s="593"/>
      <c r="Q719" s="481"/>
    </row>
    <row r="720" spans="2:17" ht="46.8" x14ac:dyDescent="0.3">
      <c r="B720" s="787" t="s">
        <v>8905</v>
      </c>
      <c r="C720" s="789" t="s">
        <v>634</v>
      </c>
      <c r="D720" s="146" t="s">
        <v>190</v>
      </c>
      <c r="E720" s="147" t="s">
        <v>515</v>
      </c>
      <c r="F720" s="1195">
        <v>1</v>
      </c>
      <c r="G720" s="302" t="s">
        <v>8923</v>
      </c>
      <c r="H720" s="667" t="s">
        <v>8924</v>
      </c>
      <c r="I720" s="1521" t="s">
        <v>119</v>
      </c>
      <c r="J720" s="584" t="s">
        <v>666</v>
      </c>
      <c r="K720" s="132" t="s">
        <v>8925</v>
      </c>
      <c r="L720" s="593"/>
      <c r="Q720" s="481"/>
    </row>
    <row r="721" spans="2:17" ht="15.6" x14ac:dyDescent="0.3">
      <c r="B721" s="787"/>
      <c r="C721" s="789"/>
      <c r="D721" s="146"/>
      <c r="E721" s="147"/>
      <c r="F721" s="491"/>
      <c r="G721" s="302"/>
      <c r="H721" s="667"/>
      <c r="I721" s="319"/>
      <c r="J721" s="494"/>
      <c r="K721" s="1095"/>
      <c r="Q721" s="481"/>
    </row>
    <row r="722" spans="2:17" ht="15.6" x14ac:dyDescent="0.3">
      <c r="B722" s="787"/>
      <c r="C722" s="353" t="s">
        <v>771</v>
      </c>
      <c r="D722" s="354" t="s">
        <v>190</v>
      </c>
      <c r="E722" s="355"/>
      <c r="F722" s="1042">
        <f>SUM(F695:F721)</f>
        <v>26</v>
      </c>
      <c r="G722" s="302"/>
      <c r="H722" s="667"/>
      <c r="I722" s="319"/>
      <c r="J722" s="494"/>
      <c r="K722" s="1095"/>
      <c r="L722" s="593"/>
      <c r="Q722" s="481"/>
    </row>
    <row r="723" spans="2:17" ht="15.6" x14ac:dyDescent="0.3">
      <c r="B723" s="787"/>
      <c r="C723" s="353" t="s">
        <v>772</v>
      </c>
      <c r="D723" s="354" t="s">
        <v>190</v>
      </c>
      <c r="E723" s="355"/>
      <c r="F723" s="1042">
        <v>24</v>
      </c>
      <c r="G723" s="302"/>
      <c r="H723" s="667"/>
      <c r="I723" s="319"/>
      <c r="J723" s="494"/>
      <c r="K723" s="1095"/>
      <c r="L723" s="593"/>
      <c r="Q723" s="481"/>
    </row>
    <row r="724" spans="2:17" ht="15.6" x14ac:dyDescent="0.3">
      <c r="B724" s="787"/>
      <c r="C724" s="361" t="s">
        <v>773</v>
      </c>
      <c r="D724" s="362" t="s">
        <v>190</v>
      </c>
      <c r="E724" s="363"/>
      <c r="F724" s="810">
        <f>F722-F723</f>
        <v>2</v>
      </c>
      <c r="G724" s="248"/>
      <c r="H724" s="542"/>
      <c r="I724" s="319"/>
      <c r="J724" s="494"/>
      <c r="Q724" s="481"/>
    </row>
    <row r="725" spans="2:17" ht="7.5" customHeight="1" x14ac:dyDescent="0.3">
      <c r="B725" s="338"/>
      <c r="C725" s="142"/>
      <c r="D725" s="143"/>
      <c r="E725" s="144"/>
      <c r="F725" s="1143"/>
      <c r="G725" s="144"/>
      <c r="H725" s="144"/>
      <c r="I725" s="515"/>
      <c r="J725" s="524"/>
      <c r="L725" s="593"/>
    </row>
    <row r="726" spans="2:17" ht="46.8" x14ac:dyDescent="0.3">
      <c r="B726" s="787" t="s">
        <v>741</v>
      </c>
      <c r="C726" s="788" t="s">
        <v>742</v>
      </c>
      <c r="D726" s="127" t="s">
        <v>190</v>
      </c>
      <c r="E726" s="378" t="s">
        <v>510</v>
      </c>
      <c r="F726" s="490">
        <v>1</v>
      </c>
      <c r="G726" s="296" t="s">
        <v>8926</v>
      </c>
      <c r="H726" s="596" t="s">
        <v>4519</v>
      </c>
      <c r="I726" s="319" t="s">
        <v>1315</v>
      </c>
      <c r="J726" s="494" t="s">
        <v>8927</v>
      </c>
      <c r="K726" s="132" t="s">
        <v>8928</v>
      </c>
      <c r="L726" s="593"/>
      <c r="Q726" s="481"/>
    </row>
    <row r="727" spans="2:17" ht="46.8" x14ac:dyDescent="0.3">
      <c r="B727" s="787" t="s">
        <v>741</v>
      </c>
      <c r="C727" s="789" t="s">
        <v>742</v>
      </c>
      <c r="D727" s="146" t="s">
        <v>190</v>
      </c>
      <c r="E727" s="147" t="s">
        <v>510</v>
      </c>
      <c r="F727" s="504">
        <v>1</v>
      </c>
      <c r="G727" s="248" t="s">
        <v>8929</v>
      </c>
      <c r="H727" s="585" t="s">
        <v>5403</v>
      </c>
      <c r="I727" s="319" t="s">
        <v>1315</v>
      </c>
      <c r="J727" s="494" t="s">
        <v>8930</v>
      </c>
      <c r="K727" s="132" t="s">
        <v>8931</v>
      </c>
      <c r="L727" s="593"/>
      <c r="Q727" s="481"/>
    </row>
    <row r="728" spans="2:17" ht="46.8" x14ac:dyDescent="0.3">
      <c r="B728" s="787" t="s">
        <v>741</v>
      </c>
      <c r="C728" s="789" t="s">
        <v>742</v>
      </c>
      <c r="D728" s="146" t="s">
        <v>190</v>
      </c>
      <c r="E728" s="147" t="s">
        <v>510</v>
      </c>
      <c r="F728" s="504">
        <v>1</v>
      </c>
      <c r="G728" s="248" t="s">
        <v>8932</v>
      </c>
      <c r="H728" s="542" t="s">
        <v>8933</v>
      </c>
      <c r="I728" s="319" t="s">
        <v>946</v>
      </c>
      <c r="J728" s="494" t="s">
        <v>8934</v>
      </c>
      <c r="K728" s="132" t="s">
        <v>8935</v>
      </c>
      <c r="L728" s="593"/>
      <c r="Q728" s="481"/>
    </row>
    <row r="729" spans="2:17" ht="46.8" x14ac:dyDescent="0.3">
      <c r="B729" s="787" t="s">
        <v>741</v>
      </c>
      <c r="C729" s="789" t="s">
        <v>742</v>
      </c>
      <c r="D729" s="146" t="s">
        <v>190</v>
      </c>
      <c r="E729" s="147" t="s">
        <v>510</v>
      </c>
      <c r="F729" s="504">
        <v>1</v>
      </c>
      <c r="G729" s="248" t="s">
        <v>8936</v>
      </c>
      <c r="H729" s="542" t="s">
        <v>3799</v>
      </c>
      <c r="I729" s="319" t="s">
        <v>946</v>
      </c>
      <c r="J729" s="494" t="s">
        <v>8937</v>
      </c>
      <c r="K729" s="132" t="s">
        <v>8938</v>
      </c>
      <c r="L729" s="593"/>
      <c r="Q729" s="481"/>
    </row>
    <row r="730" spans="2:17" ht="46.8" x14ac:dyDescent="0.3">
      <c r="B730" s="787" t="s">
        <v>741</v>
      </c>
      <c r="C730" s="789" t="s">
        <v>742</v>
      </c>
      <c r="D730" s="146" t="s">
        <v>190</v>
      </c>
      <c r="E730" s="147" t="s">
        <v>510</v>
      </c>
      <c r="F730" s="504">
        <v>1</v>
      </c>
      <c r="G730" s="248" t="s">
        <v>8939</v>
      </c>
      <c r="H730" s="667" t="s">
        <v>8940</v>
      </c>
      <c r="I730" s="319" t="s">
        <v>1053</v>
      </c>
      <c r="J730" s="494" t="s">
        <v>8941</v>
      </c>
      <c r="K730" s="132" t="s">
        <v>8942</v>
      </c>
      <c r="L730" s="593"/>
      <c r="Q730" s="481"/>
    </row>
    <row r="731" spans="2:17" ht="46.8" x14ac:dyDescent="0.3">
      <c r="B731" s="787" t="s">
        <v>741</v>
      </c>
      <c r="C731" s="789" t="s">
        <v>742</v>
      </c>
      <c r="D731" s="146" t="s">
        <v>190</v>
      </c>
      <c r="E731" s="147" t="s">
        <v>510</v>
      </c>
      <c r="F731" s="504">
        <v>1</v>
      </c>
      <c r="G731" s="248" t="s">
        <v>8943</v>
      </c>
      <c r="H731" s="667" t="s">
        <v>3937</v>
      </c>
      <c r="I731" s="319" t="s">
        <v>1053</v>
      </c>
      <c r="J731" s="494" t="s">
        <v>8944</v>
      </c>
      <c r="K731" s="132" t="s">
        <v>8945</v>
      </c>
      <c r="L731" s="593"/>
      <c r="Q731" s="481"/>
    </row>
    <row r="732" spans="2:17" ht="31.2" x14ac:dyDescent="0.3">
      <c r="B732" s="787" t="s">
        <v>741</v>
      </c>
      <c r="C732" s="789" t="s">
        <v>742</v>
      </c>
      <c r="D732" s="146" t="s">
        <v>190</v>
      </c>
      <c r="E732" s="147" t="s">
        <v>510</v>
      </c>
      <c r="F732" s="504">
        <v>1</v>
      </c>
      <c r="G732" s="248" t="s">
        <v>8946</v>
      </c>
      <c r="H732" s="667" t="s">
        <v>8947</v>
      </c>
      <c r="I732" s="319" t="s">
        <v>1053</v>
      </c>
      <c r="J732" s="494" t="s">
        <v>8948</v>
      </c>
      <c r="K732" s="132" t="s">
        <v>8949</v>
      </c>
      <c r="L732" s="593"/>
      <c r="Q732" s="481"/>
    </row>
    <row r="733" spans="2:17" ht="46.8" x14ac:dyDescent="0.3">
      <c r="B733" s="787" t="s">
        <v>741</v>
      </c>
      <c r="C733" s="789" t="s">
        <v>742</v>
      </c>
      <c r="D733" s="146" t="s">
        <v>190</v>
      </c>
      <c r="E733" s="147" t="s">
        <v>510</v>
      </c>
      <c r="F733" s="504">
        <v>1</v>
      </c>
      <c r="G733" s="248" t="s">
        <v>8950</v>
      </c>
      <c r="H733" s="542" t="s">
        <v>4670</v>
      </c>
      <c r="I733" s="319" t="s">
        <v>1579</v>
      </c>
      <c r="J733" s="494" t="s">
        <v>8951</v>
      </c>
      <c r="K733" s="132" t="s">
        <v>8952</v>
      </c>
      <c r="L733" s="593"/>
      <c r="Q733" s="481"/>
    </row>
    <row r="734" spans="2:17" ht="46.8" x14ac:dyDescent="0.3">
      <c r="B734" s="787" t="s">
        <v>741</v>
      </c>
      <c r="C734" s="789" t="s">
        <v>742</v>
      </c>
      <c r="D734" s="146" t="s">
        <v>190</v>
      </c>
      <c r="E734" s="147" t="s">
        <v>510</v>
      </c>
      <c r="F734" s="1195">
        <v>1</v>
      </c>
      <c r="G734" s="248" t="s">
        <v>8953</v>
      </c>
      <c r="H734" s="667" t="s">
        <v>8954</v>
      </c>
      <c r="I734" s="1521" t="s">
        <v>119</v>
      </c>
      <c r="J734" s="494" t="s">
        <v>744</v>
      </c>
      <c r="K734" s="132" t="s">
        <v>8955</v>
      </c>
      <c r="L734" s="593"/>
      <c r="Q734" s="481"/>
    </row>
    <row r="735" spans="2:17" ht="15.6" x14ac:dyDescent="0.3">
      <c r="B735" s="787"/>
      <c r="C735" s="789"/>
      <c r="D735" s="146"/>
      <c r="E735" s="147"/>
      <c r="F735" s="491"/>
      <c r="G735" s="302"/>
      <c r="H735" s="667"/>
      <c r="I735" s="319"/>
      <c r="J735" s="494"/>
      <c r="K735" s="1095"/>
      <c r="L735" s="593"/>
      <c r="Q735" s="481"/>
    </row>
    <row r="736" spans="2:17" ht="15.6" x14ac:dyDescent="0.3">
      <c r="B736" s="787"/>
      <c r="C736" s="353" t="s">
        <v>771</v>
      </c>
      <c r="D736" s="354" t="s">
        <v>190</v>
      </c>
      <c r="E736" s="355"/>
      <c r="F736" s="1040">
        <f>SUM(F726:F735)</f>
        <v>9</v>
      </c>
      <c r="G736" s="302"/>
      <c r="H736" s="667"/>
      <c r="I736" s="319"/>
      <c r="J736" s="494"/>
      <c r="K736" s="1095"/>
      <c r="L736" s="593"/>
      <c r="Q736" s="481"/>
    </row>
    <row r="737" spans="2:17" ht="15.6" x14ac:dyDescent="0.3">
      <c r="B737" s="787"/>
      <c r="C737" s="353" t="s">
        <v>772</v>
      </c>
      <c r="D737" s="354" t="s">
        <v>190</v>
      </c>
      <c r="E737" s="355"/>
      <c r="F737" s="1040">
        <v>8</v>
      </c>
      <c r="G737" s="302"/>
      <c r="H737" s="667"/>
      <c r="I737" s="319"/>
      <c r="J737" s="494"/>
      <c r="K737" s="1095"/>
      <c r="L737" s="593"/>
      <c r="Q737" s="481"/>
    </row>
    <row r="738" spans="2:17" ht="15.6" x14ac:dyDescent="0.3">
      <c r="B738" s="787"/>
      <c r="C738" s="361" t="s">
        <v>773</v>
      </c>
      <c r="D738" s="362" t="s">
        <v>190</v>
      </c>
      <c r="E738" s="363"/>
      <c r="F738" s="1041">
        <f>F736-F737</f>
        <v>1</v>
      </c>
      <c r="G738" s="248"/>
      <c r="H738" s="542"/>
      <c r="I738" s="319"/>
      <c r="J738" s="494"/>
      <c r="L738" s="593"/>
      <c r="Q738" s="481"/>
    </row>
    <row r="739" spans="2:17" ht="7.5" customHeight="1" x14ac:dyDescent="0.3">
      <c r="B739" s="338"/>
      <c r="C739" s="142"/>
      <c r="D739" s="143"/>
      <c r="E739" s="144"/>
      <c r="F739" s="1038"/>
      <c r="G739" s="144"/>
      <c r="H739" s="144"/>
      <c r="I739" s="515"/>
      <c r="J739" s="524"/>
      <c r="L739" s="593"/>
    </row>
    <row r="740" spans="2:17" ht="15.6" x14ac:dyDescent="0.3">
      <c r="B740" s="574">
        <v>504</v>
      </c>
      <c r="C740" s="575" t="s">
        <v>432</v>
      </c>
      <c r="D740" s="579"/>
      <c r="E740" s="291"/>
      <c r="F740" s="1046"/>
      <c r="G740" s="291"/>
      <c r="H740" s="291"/>
      <c r="I740" s="576"/>
      <c r="J740" s="500"/>
      <c r="L740" s="593"/>
    </row>
    <row r="741" spans="2:17" ht="31.2" x14ac:dyDescent="0.3">
      <c r="B741" s="786" t="s">
        <v>551</v>
      </c>
      <c r="C741" s="788" t="s">
        <v>552</v>
      </c>
      <c r="D741" s="127" t="s">
        <v>190</v>
      </c>
      <c r="E741" s="125" t="s">
        <v>515</v>
      </c>
      <c r="F741" s="490">
        <v>1</v>
      </c>
      <c r="G741" s="296" t="s">
        <v>8956</v>
      </c>
      <c r="H741" s="596" t="s">
        <v>8957</v>
      </c>
      <c r="I741" s="131" t="s">
        <v>1302</v>
      </c>
      <c r="J741" s="494" t="s">
        <v>8958</v>
      </c>
      <c r="K741" s="1010">
        <v>45748</v>
      </c>
      <c r="L741" s="593" t="s">
        <v>8687</v>
      </c>
      <c r="Q741" s="481"/>
    </row>
    <row r="742" spans="2:17" ht="31.2" x14ac:dyDescent="0.3">
      <c r="B742" s="787" t="s">
        <v>551</v>
      </c>
      <c r="C742" s="789" t="s">
        <v>552</v>
      </c>
      <c r="D742" s="146" t="s">
        <v>190</v>
      </c>
      <c r="E742" s="147" t="s">
        <v>515</v>
      </c>
      <c r="F742" s="491">
        <v>1</v>
      </c>
      <c r="G742" s="302" t="s">
        <v>8959</v>
      </c>
      <c r="H742" s="667" t="s">
        <v>8960</v>
      </c>
      <c r="I742" s="319" t="s">
        <v>97</v>
      </c>
      <c r="J742" s="494" t="s">
        <v>8961</v>
      </c>
      <c r="K742" s="1010">
        <v>45778</v>
      </c>
      <c r="L742" s="593"/>
      <c r="Q742" s="481"/>
    </row>
    <row r="743" spans="2:17" ht="31.2" x14ac:dyDescent="0.3">
      <c r="B743" s="787" t="s">
        <v>551</v>
      </c>
      <c r="C743" s="789" t="s">
        <v>552</v>
      </c>
      <c r="D743" s="146" t="s">
        <v>190</v>
      </c>
      <c r="E743" s="147" t="s">
        <v>515</v>
      </c>
      <c r="F743" s="491">
        <v>1</v>
      </c>
      <c r="G743" s="302" t="s">
        <v>8962</v>
      </c>
      <c r="H743" s="667" t="s">
        <v>8963</v>
      </c>
      <c r="I743" s="319" t="s">
        <v>97</v>
      </c>
      <c r="J743" s="494" t="s">
        <v>8964</v>
      </c>
      <c r="K743" s="1010">
        <v>45778</v>
      </c>
      <c r="L743" s="593"/>
      <c r="Q743" s="481"/>
    </row>
    <row r="744" spans="2:17" ht="31.2" x14ac:dyDescent="0.3">
      <c r="B744" s="787" t="s">
        <v>551</v>
      </c>
      <c r="C744" s="789" t="s">
        <v>552</v>
      </c>
      <c r="D744" s="146" t="s">
        <v>190</v>
      </c>
      <c r="E744" s="147" t="s">
        <v>515</v>
      </c>
      <c r="F744" s="491">
        <v>1</v>
      </c>
      <c r="G744" s="302" t="s">
        <v>8965</v>
      </c>
      <c r="H744" s="667" t="s">
        <v>8966</v>
      </c>
      <c r="I744" s="319" t="s">
        <v>937</v>
      </c>
      <c r="J744" s="494" t="s">
        <v>8967</v>
      </c>
      <c r="K744" s="1010">
        <v>45809</v>
      </c>
      <c r="L744" s="593"/>
      <c r="Q744" s="481"/>
    </row>
    <row r="745" spans="2:17" ht="31.2" x14ac:dyDescent="0.3">
      <c r="B745" s="787" t="s">
        <v>551</v>
      </c>
      <c r="C745" s="789" t="s">
        <v>552</v>
      </c>
      <c r="D745" s="146" t="s">
        <v>190</v>
      </c>
      <c r="E745" s="147" t="s">
        <v>515</v>
      </c>
      <c r="F745" s="491">
        <v>1</v>
      </c>
      <c r="G745" s="302" t="s">
        <v>8968</v>
      </c>
      <c r="H745" s="667" t="s">
        <v>8969</v>
      </c>
      <c r="I745" s="319" t="s">
        <v>1262</v>
      </c>
      <c r="J745" s="494" t="s">
        <v>8970</v>
      </c>
      <c r="K745" s="1010">
        <v>45839</v>
      </c>
      <c r="L745" s="593"/>
      <c r="Q745" s="481"/>
    </row>
    <row r="746" spans="2:17" ht="31.2" x14ac:dyDescent="0.3">
      <c r="B746" s="787" t="s">
        <v>551</v>
      </c>
      <c r="C746" s="789" t="s">
        <v>552</v>
      </c>
      <c r="D746" s="146" t="s">
        <v>190</v>
      </c>
      <c r="E746" s="147" t="s">
        <v>515</v>
      </c>
      <c r="F746" s="491">
        <v>1</v>
      </c>
      <c r="G746" s="302" t="s">
        <v>8971</v>
      </c>
      <c r="H746" s="667" t="s">
        <v>8972</v>
      </c>
      <c r="I746" s="319" t="s">
        <v>1262</v>
      </c>
      <c r="J746" s="494" t="s">
        <v>8973</v>
      </c>
      <c r="K746" s="1010">
        <v>45839</v>
      </c>
      <c r="L746" s="593"/>
      <c r="Q746" s="481"/>
    </row>
    <row r="747" spans="2:17" ht="31.2" x14ac:dyDescent="0.3">
      <c r="B747" s="787" t="s">
        <v>551</v>
      </c>
      <c r="C747" s="789" t="s">
        <v>552</v>
      </c>
      <c r="D747" s="146" t="s">
        <v>190</v>
      </c>
      <c r="E747" s="147" t="s">
        <v>515</v>
      </c>
      <c r="F747" s="491">
        <v>1</v>
      </c>
      <c r="G747" s="302" t="s">
        <v>8974</v>
      </c>
      <c r="H747" s="667" t="s">
        <v>8975</v>
      </c>
      <c r="I747" s="319" t="s">
        <v>1262</v>
      </c>
      <c r="J747" s="494" t="s">
        <v>8976</v>
      </c>
      <c r="K747" s="1010">
        <v>45839</v>
      </c>
      <c r="L747" s="593"/>
      <c r="Q747" s="481"/>
    </row>
    <row r="748" spans="2:17" ht="31.2" x14ac:dyDescent="0.3">
      <c r="B748" s="787" t="s">
        <v>551</v>
      </c>
      <c r="C748" s="789" t="s">
        <v>552</v>
      </c>
      <c r="D748" s="146" t="s">
        <v>190</v>
      </c>
      <c r="E748" s="147" t="s">
        <v>515</v>
      </c>
      <c r="F748" s="491">
        <v>1</v>
      </c>
      <c r="G748" s="302" t="s">
        <v>8977</v>
      </c>
      <c r="H748" s="667" t="s">
        <v>8978</v>
      </c>
      <c r="I748" s="319" t="s">
        <v>1262</v>
      </c>
      <c r="J748" s="494" t="s">
        <v>8979</v>
      </c>
      <c r="K748" s="1010">
        <v>45839</v>
      </c>
      <c r="L748" s="593"/>
      <c r="Q748" s="481"/>
    </row>
    <row r="749" spans="2:17" ht="31.2" x14ac:dyDescent="0.3">
      <c r="B749" s="787" t="s">
        <v>551</v>
      </c>
      <c r="C749" s="789" t="s">
        <v>552</v>
      </c>
      <c r="D749" s="146" t="s">
        <v>190</v>
      </c>
      <c r="E749" s="147" t="s">
        <v>515</v>
      </c>
      <c r="F749" s="491">
        <v>1</v>
      </c>
      <c r="G749" s="302" t="s">
        <v>8980</v>
      </c>
      <c r="H749" s="667" t="s">
        <v>8981</v>
      </c>
      <c r="I749" s="319" t="s">
        <v>1262</v>
      </c>
      <c r="J749" s="494" t="s">
        <v>8982</v>
      </c>
      <c r="K749" s="1010">
        <v>45839</v>
      </c>
      <c r="L749" s="593"/>
      <c r="Q749" s="481"/>
    </row>
    <row r="750" spans="2:17" ht="31.2" x14ac:dyDescent="0.3">
      <c r="B750" s="787" t="s">
        <v>551</v>
      </c>
      <c r="C750" s="789" t="s">
        <v>552</v>
      </c>
      <c r="D750" s="146" t="s">
        <v>190</v>
      </c>
      <c r="E750" s="147" t="s">
        <v>515</v>
      </c>
      <c r="F750" s="491">
        <v>1</v>
      </c>
      <c r="G750" s="302" t="s">
        <v>8983</v>
      </c>
      <c r="H750" s="667" t="s">
        <v>8984</v>
      </c>
      <c r="I750" s="319" t="s">
        <v>1262</v>
      </c>
      <c r="J750" s="494" t="s">
        <v>8985</v>
      </c>
      <c r="K750" s="1010">
        <v>45839</v>
      </c>
      <c r="L750" s="593"/>
      <c r="Q750" s="481"/>
    </row>
    <row r="751" spans="2:17" ht="31.2" x14ac:dyDescent="0.3">
      <c r="B751" s="787" t="s">
        <v>551</v>
      </c>
      <c r="C751" s="789" t="s">
        <v>552</v>
      </c>
      <c r="D751" s="146" t="s">
        <v>190</v>
      </c>
      <c r="E751" s="147" t="s">
        <v>515</v>
      </c>
      <c r="F751" s="491">
        <v>1</v>
      </c>
      <c r="G751" s="302" t="s">
        <v>8986</v>
      </c>
      <c r="H751" s="667" t="s">
        <v>8987</v>
      </c>
      <c r="I751" s="319" t="s">
        <v>1262</v>
      </c>
      <c r="J751" s="494" t="s">
        <v>8988</v>
      </c>
      <c r="K751" s="1010">
        <v>45839</v>
      </c>
      <c r="Q751" s="481"/>
    </row>
    <row r="752" spans="2:17" ht="31.2" x14ac:dyDescent="0.3">
      <c r="B752" s="787" t="s">
        <v>551</v>
      </c>
      <c r="C752" s="789" t="s">
        <v>552</v>
      </c>
      <c r="D752" s="146" t="s">
        <v>190</v>
      </c>
      <c r="E752" s="147" t="s">
        <v>515</v>
      </c>
      <c r="F752" s="504">
        <v>1</v>
      </c>
      <c r="G752" s="302" t="s">
        <v>8989</v>
      </c>
      <c r="H752" s="585" t="s">
        <v>8990</v>
      </c>
      <c r="I752" s="319" t="s">
        <v>1509</v>
      </c>
      <c r="J752" s="494" t="s">
        <v>8991</v>
      </c>
      <c r="K752" s="1010">
        <v>45870</v>
      </c>
      <c r="Q752" s="481"/>
    </row>
    <row r="753" spans="2:17" ht="31.2" x14ac:dyDescent="0.3">
      <c r="B753" s="787" t="s">
        <v>551</v>
      </c>
      <c r="C753" s="789" t="s">
        <v>552</v>
      </c>
      <c r="D753" s="146" t="s">
        <v>190</v>
      </c>
      <c r="E753" s="147" t="s">
        <v>515</v>
      </c>
      <c r="F753" s="504">
        <v>1</v>
      </c>
      <c r="G753" s="302" t="s">
        <v>8992</v>
      </c>
      <c r="H753" s="585" t="s">
        <v>8993</v>
      </c>
      <c r="I753" s="319" t="s">
        <v>1509</v>
      </c>
      <c r="J753" s="494" t="s">
        <v>8994</v>
      </c>
      <c r="K753" s="1010">
        <v>45870</v>
      </c>
      <c r="Q753" s="481"/>
    </row>
    <row r="754" spans="2:17" ht="31.2" x14ac:dyDescent="0.3">
      <c r="B754" s="787" t="s">
        <v>551</v>
      </c>
      <c r="C754" s="789" t="s">
        <v>552</v>
      </c>
      <c r="D754" s="146" t="s">
        <v>190</v>
      </c>
      <c r="E754" s="147" t="s">
        <v>515</v>
      </c>
      <c r="F754" s="504">
        <v>1</v>
      </c>
      <c r="G754" s="302" t="s">
        <v>8995</v>
      </c>
      <c r="H754" s="585" t="s">
        <v>8996</v>
      </c>
      <c r="I754" s="319" t="s">
        <v>1509</v>
      </c>
      <c r="J754" s="494" t="s">
        <v>8997</v>
      </c>
      <c r="K754" s="1010">
        <v>45870</v>
      </c>
      <c r="Q754" s="481"/>
    </row>
    <row r="755" spans="2:17" ht="31.2" x14ac:dyDescent="0.3">
      <c r="B755" s="787" t="s">
        <v>551</v>
      </c>
      <c r="C755" s="789" t="s">
        <v>552</v>
      </c>
      <c r="D755" s="146" t="s">
        <v>190</v>
      </c>
      <c r="E755" s="147" t="s">
        <v>515</v>
      </c>
      <c r="F755" s="504">
        <v>1</v>
      </c>
      <c r="G755" s="302" t="s">
        <v>8998</v>
      </c>
      <c r="H755" s="585" t="s">
        <v>8999</v>
      </c>
      <c r="I755" s="319" t="s">
        <v>1509</v>
      </c>
      <c r="J755" s="494" t="s">
        <v>9000</v>
      </c>
      <c r="K755" s="1010">
        <v>45870</v>
      </c>
      <c r="Q755" s="481"/>
    </row>
    <row r="756" spans="2:17" ht="31.2" x14ac:dyDescent="0.3">
      <c r="B756" s="787" t="s">
        <v>551</v>
      </c>
      <c r="C756" s="789" t="s">
        <v>552</v>
      </c>
      <c r="D756" s="146" t="s">
        <v>190</v>
      </c>
      <c r="E756" s="147" t="s">
        <v>515</v>
      </c>
      <c r="F756" s="504">
        <v>1</v>
      </c>
      <c r="G756" s="302" t="s">
        <v>9001</v>
      </c>
      <c r="H756" s="585" t="s">
        <v>8999</v>
      </c>
      <c r="I756" s="319" t="s">
        <v>1509</v>
      </c>
      <c r="J756" s="494" t="s">
        <v>9002</v>
      </c>
      <c r="K756" s="1010">
        <v>45870</v>
      </c>
      <c r="Q756" s="481"/>
    </row>
    <row r="757" spans="2:17" ht="31.2" x14ac:dyDescent="0.3">
      <c r="B757" s="787" t="s">
        <v>551</v>
      </c>
      <c r="C757" s="789" t="s">
        <v>552</v>
      </c>
      <c r="D757" s="146" t="s">
        <v>190</v>
      </c>
      <c r="E757" s="147" t="s">
        <v>515</v>
      </c>
      <c r="F757" s="504">
        <v>1</v>
      </c>
      <c r="G757" s="302" t="s">
        <v>9003</v>
      </c>
      <c r="H757" s="585" t="s">
        <v>9004</v>
      </c>
      <c r="I757" s="319" t="s">
        <v>1509</v>
      </c>
      <c r="J757" s="494" t="s">
        <v>9005</v>
      </c>
      <c r="K757" s="1010">
        <v>45870</v>
      </c>
      <c r="Q757" s="481"/>
    </row>
    <row r="758" spans="2:17" ht="31.2" x14ac:dyDescent="0.3">
      <c r="B758" s="787" t="s">
        <v>551</v>
      </c>
      <c r="C758" s="789" t="s">
        <v>552</v>
      </c>
      <c r="D758" s="146" t="s">
        <v>190</v>
      </c>
      <c r="E758" s="147" t="s">
        <v>515</v>
      </c>
      <c r="F758" s="504">
        <v>1</v>
      </c>
      <c r="G758" s="302" t="s">
        <v>9006</v>
      </c>
      <c r="H758" s="585" t="s">
        <v>9007</v>
      </c>
      <c r="I758" s="319" t="s">
        <v>1509</v>
      </c>
      <c r="J758" s="494" t="s">
        <v>9008</v>
      </c>
      <c r="K758" s="1010">
        <v>45870</v>
      </c>
      <c r="Q758" s="481"/>
    </row>
    <row r="759" spans="2:17" ht="31.2" x14ac:dyDescent="0.3">
      <c r="B759" s="787" t="s">
        <v>551</v>
      </c>
      <c r="C759" s="789" t="s">
        <v>552</v>
      </c>
      <c r="D759" s="146" t="s">
        <v>190</v>
      </c>
      <c r="E759" s="147" t="s">
        <v>515</v>
      </c>
      <c r="F759" s="504">
        <v>1</v>
      </c>
      <c r="G759" s="302" t="s">
        <v>9009</v>
      </c>
      <c r="H759" s="585" t="s">
        <v>9010</v>
      </c>
      <c r="I759" s="319" t="s">
        <v>1509</v>
      </c>
      <c r="J759" s="494" t="s">
        <v>9011</v>
      </c>
      <c r="K759" s="1010">
        <v>45870</v>
      </c>
      <c r="Q759" s="481"/>
    </row>
    <row r="760" spans="2:17" ht="31.2" x14ac:dyDescent="0.3">
      <c r="B760" s="787" t="s">
        <v>551</v>
      </c>
      <c r="C760" s="789" t="s">
        <v>552</v>
      </c>
      <c r="D760" s="146" t="s">
        <v>190</v>
      </c>
      <c r="E760" s="147" t="s">
        <v>515</v>
      </c>
      <c r="F760" s="504">
        <v>1</v>
      </c>
      <c r="G760" s="302" t="s">
        <v>9012</v>
      </c>
      <c r="H760" s="585" t="s">
        <v>9013</v>
      </c>
      <c r="I760" s="319" t="s">
        <v>1509</v>
      </c>
      <c r="J760" s="494" t="s">
        <v>9014</v>
      </c>
      <c r="K760" s="1010">
        <v>45870</v>
      </c>
      <c r="Q760" s="481"/>
    </row>
    <row r="761" spans="2:17" ht="31.2" x14ac:dyDescent="0.3">
      <c r="B761" s="787" t="s">
        <v>551</v>
      </c>
      <c r="C761" s="789" t="s">
        <v>552</v>
      </c>
      <c r="D761" s="146" t="s">
        <v>190</v>
      </c>
      <c r="E761" s="147" t="s">
        <v>515</v>
      </c>
      <c r="F761" s="504">
        <v>1</v>
      </c>
      <c r="G761" s="302" t="s">
        <v>9015</v>
      </c>
      <c r="H761" s="585" t="s">
        <v>9016</v>
      </c>
      <c r="I761" s="319" t="s">
        <v>940</v>
      </c>
      <c r="J761" s="494" t="s">
        <v>9017</v>
      </c>
      <c r="K761" s="1010">
        <v>45901</v>
      </c>
      <c r="Q761" s="481"/>
    </row>
    <row r="762" spans="2:17" ht="31.2" x14ac:dyDescent="0.3">
      <c r="B762" s="787" t="s">
        <v>551</v>
      </c>
      <c r="C762" s="789" t="s">
        <v>552</v>
      </c>
      <c r="D762" s="146" t="s">
        <v>190</v>
      </c>
      <c r="E762" s="147" t="s">
        <v>515</v>
      </c>
      <c r="F762" s="504">
        <v>1</v>
      </c>
      <c r="G762" s="302" t="s">
        <v>9018</v>
      </c>
      <c r="H762" s="585" t="s">
        <v>9019</v>
      </c>
      <c r="I762" s="319" t="s">
        <v>940</v>
      </c>
      <c r="J762" s="494" t="s">
        <v>9020</v>
      </c>
      <c r="K762" s="1010">
        <v>45901</v>
      </c>
      <c r="L762"/>
      <c r="Q762" s="481"/>
    </row>
    <row r="763" spans="2:17" ht="31.2" x14ac:dyDescent="0.3">
      <c r="B763" s="787" t="s">
        <v>551</v>
      </c>
      <c r="C763" s="789" t="s">
        <v>552</v>
      </c>
      <c r="D763" s="146" t="s">
        <v>190</v>
      </c>
      <c r="E763" s="147" t="s">
        <v>515</v>
      </c>
      <c r="F763" s="504">
        <v>1</v>
      </c>
      <c r="G763" s="302" t="s">
        <v>9021</v>
      </c>
      <c r="H763" s="585" t="s">
        <v>9022</v>
      </c>
      <c r="I763" s="319" t="s">
        <v>940</v>
      </c>
      <c r="J763" s="494" t="s">
        <v>9023</v>
      </c>
      <c r="K763" s="1010">
        <v>45901</v>
      </c>
      <c r="L763" s="593"/>
      <c r="Q763" s="481"/>
    </row>
    <row r="764" spans="2:17" ht="31.2" x14ac:dyDescent="0.3">
      <c r="B764" s="787" t="s">
        <v>551</v>
      </c>
      <c r="C764" s="789" t="s">
        <v>552</v>
      </c>
      <c r="D764" s="146" t="s">
        <v>190</v>
      </c>
      <c r="E764" s="147" t="s">
        <v>515</v>
      </c>
      <c r="F764" s="504">
        <v>1</v>
      </c>
      <c r="G764" s="302" t="s">
        <v>9024</v>
      </c>
      <c r="H764" s="585" t="s">
        <v>9025</v>
      </c>
      <c r="I764" s="319" t="s">
        <v>940</v>
      </c>
      <c r="J764" s="494" t="s">
        <v>9026</v>
      </c>
      <c r="K764" s="1010">
        <v>45901</v>
      </c>
      <c r="Q764" s="481"/>
    </row>
    <row r="765" spans="2:17" ht="31.2" x14ac:dyDescent="0.3">
      <c r="B765" s="787" t="s">
        <v>551</v>
      </c>
      <c r="C765" s="789" t="s">
        <v>552</v>
      </c>
      <c r="D765" s="146" t="s">
        <v>190</v>
      </c>
      <c r="E765" s="147" t="s">
        <v>515</v>
      </c>
      <c r="F765" s="504">
        <v>1</v>
      </c>
      <c r="G765" s="302" t="s">
        <v>9027</v>
      </c>
      <c r="H765" s="585" t="s">
        <v>9028</v>
      </c>
      <c r="I765" s="319" t="s">
        <v>940</v>
      </c>
      <c r="J765" s="494" t="s">
        <v>9029</v>
      </c>
      <c r="K765" s="1010">
        <v>45901</v>
      </c>
      <c r="Q765" s="481"/>
    </row>
    <row r="766" spans="2:17" ht="31.2" x14ac:dyDescent="0.3">
      <c r="B766" s="787" t="s">
        <v>551</v>
      </c>
      <c r="C766" s="789" t="s">
        <v>552</v>
      </c>
      <c r="D766" s="146" t="s">
        <v>190</v>
      </c>
      <c r="E766" s="147" t="s">
        <v>515</v>
      </c>
      <c r="F766" s="504">
        <v>1</v>
      </c>
      <c r="G766" s="302" t="s">
        <v>9030</v>
      </c>
      <c r="H766" s="585" t="s">
        <v>9031</v>
      </c>
      <c r="I766" s="319" t="s">
        <v>940</v>
      </c>
      <c r="J766" s="494" t="s">
        <v>9032</v>
      </c>
      <c r="K766" s="1010">
        <v>45901</v>
      </c>
      <c r="L766"/>
      <c r="Q766" s="481"/>
    </row>
    <row r="767" spans="2:17" ht="31.2" x14ac:dyDescent="0.3">
      <c r="B767" s="787" t="s">
        <v>551</v>
      </c>
      <c r="C767" s="789" t="s">
        <v>552</v>
      </c>
      <c r="D767" s="146" t="s">
        <v>190</v>
      </c>
      <c r="E767" s="147" t="s">
        <v>515</v>
      </c>
      <c r="F767" s="504">
        <v>1</v>
      </c>
      <c r="G767" s="302" t="s">
        <v>9033</v>
      </c>
      <c r="H767" s="585" t="s">
        <v>9034</v>
      </c>
      <c r="I767" s="319" t="s">
        <v>940</v>
      </c>
      <c r="J767" s="494" t="s">
        <v>9035</v>
      </c>
      <c r="K767" s="1010">
        <v>45901</v>
      </c>
      <c r="L767"/>
      <c r="Q767" s="481"/>
    </row>
    <row r="768" spans="2:17" ht="31.2" x14ac:dyDescent="0.3">
      <c r="B768" s="787" t="s">
        <v>551</v>
      </c>
      <c r="C768" s="789" t="s">
        <v>552</v>
      </c>
      <c r="D768" s="146" t="s">
        <v>190</v>
      </c>
      <c r="E768" s="147" t="s">
        <v>515</v>
      </c>
      <c r="F768" s="504">
        <v>1</v>
      </c>
      <c r="G768" s="302" t="s">
        <v>9036</v>
      </c>
      <c r="H768" s="585" t="s">
        <v>9037</v>
      </c>
      <c r="I768" s="319" t="s">
        <v>940</v>
      </c>
      <c r="J768" s="494" t="s">
        <v>9038</v>
      </c>
      <c r="K768" s="1010">
        <v>45901</v>
      </c>
      <c r="L768"/>
      <c r="Q768" s="481"/>
    </row>
    <row r="769" spans="2:17" ht="31.2" x14ac:dyDescent="0.3">
      <c r="B769" s="787" t="s">
        <v>551</v>
      </c>
      <c r="C769" s="789" t="s">
        <v>552</v>
      </c>
      <c r="D769" s="146" t="s">
        <v>190</v>
      </c>
      <c r="E769" s="147" t="s">
        <v>515</v>
      </c>
      <c r="F769" s="504">
        <v>1</v>
      </c>
      <c r="G769" s="302" t="s">
        <v>9039</v>
      </c>
      <c r="H769" s="585" t="s">
        <v>9040</v>
      </c>
      <c r="I769" s="319" t="s">
        <v>940</v>
      </c>
      <c r="J769" s="494" t="s">
        <v>9041</v>
      </c>
      <c r="K769" s="1010">
        <v>45901</v>
      </c>
      <c r="L769"/>
      <c r="Q769" s="481"/>
    </row>
    <row r="770" spans="2:17" ht="31.2" x14ac:dyDescent="0.3">
      <c r="B770" s="787" t="s">
        <v>551</v>
      </c>
      <c r="C770" s="789" t="s">
        <v>552</v>
      </c>
      <c r="D770" s="146" t="s">
        <v>190</v>
      </c>
      <c r="E770" s="147" t="s">
        <v>515</v>
      </c>
      <c r="F770" s="504">
        <v>1</v>
      </c>
      <c r="G770" s="302" t="s">
        <v>9042</v>
      </c>
      <c r="H770" s="585" t="s">
        <v>9043</v>
      </c>
      <c r="I770" s="319" t="s">
        <v>940</v>
      </c>
      <c r="J770" s="494" t="s">
        <v>9044</v>
      </c>
      <c r="K770" s="1010">
        <v>45901</v>
      </c>
      <c r="L770"/>
      <c r="Q770" s="481"/>
    </row>
    <row r="771" spans="2:17" ht="31.2" x14ac:dyDescent="0.3">
      <c r="B771" s="787" t="s">
        <v>551</v>
      </c>
      <c r="C771" s="789" t="s">
        <v>552</v>
      </c>
      <c r="D771" s="146" t="s">
        <v>190</v>
      </c>
      <c r="E771" s="147" t="s">
        <v>515</v>
      </c>
      <c r="F771" s="504">
        <v>1</v>
      </c>
      <c r="G771" s="302" t="s">
        <v>9045</v>
      </c>
      <c r="H771" s="585" t="s">
        <v>9046</v>
      </c>
      <c r="I771" s="319" t="s">
        <v>940</v>
      </c>
      <c r="J771" s="494" t="s">
        <v>9047</v>
      </c>
      <c r="K771" s="1010">
        <v>45901</v>
      </c>
      <c r="L771"/>
      <c r="Q771" s="481"/>
    </row>
    <row r="772" spans="2:17" ht="31.2" x14ac:dyDescent="0.3">
      <c r="B772" s="787" t="s">
        <v>551</v>
      </c>
      <c r="C772" s="789" t="s">
        <v>552</v>
      </c>
      <c r="D772" s="146" t="s">
        <v>190</v>
      </c>
      <c r="E772" s="147" t="s">
        <v>515</v>
      </c>
      <c r="F772" s="504">
        <v>1</v>
      </c>
      <c r="G772" s="302" t="s">
        <v>9048</v>
      </c>
      <c r="H772" s="585" t="s">
        <v>9049</v>
      </c>
      <c r="I772" s="319" t="s">
        <v>940</v>
      </c>
      <c r="J772" s="494" t="s">
        <v>9050</v>
      </c>
      <c r="K772" s="1010">
        <v>45901</v>
      </c>
      <c r="L772"/>
      <c r="Q772" s="481"/>
    </row>
    <row r="773" spans="2:17" ht="31.2" x14ac:dyDescent="0.3">
      <c r="B773" s="787" t="s">
        <v>551</v>
      </c>
      <c r="C773" s="789" t="s">
        <v>552</v>
      </c>
      <c r="D773" s="146" t="s">
        <v>190</v>
      </c>
      <c r="E773" s="147" t="s">
        <v>515</v>
      </c>
      <c r="F773" s="504">
        <v>1</v>
      </c>
      <c r="G773" s="302" t="s">
        <v>9051</v>
      </c>
      <c r="H773" s="585" t="s">
        <v>9052</v>
      </c>
      <c r="I773" s="319" t="s">
        <v>940</v>
      </c>
      <c r="J773" s="494" t="s">
        <v>9053</v>
      </c>
      <c r="K773" s="1010">
        <v>45901</v>
      </c>
      <c r="L773"/>
      <c r="Q773" s="481"/>
    </row>
    <row r="774" spans="2:17" ht="31.2" x14ac:dyDescent="0.3">
      <c r="B774" s="787" t="s">
        <v>551</v>
      </c>
      <c r="C774" s="789" t="s">
        <v>552</v>
      </c>
      <c r="D774" s="146" t="s">
        <v>190</v>
      </c>
      <c r="E774" s="147" t="s">
        <v>515</v>
      </c>
      <c r="F774" s="504">
        <v>1</v>
      </c>
      <c r="G774" s="302" t="s">
        <v>9054</v>
      </c>
      <c r="H774" s="585" t="s">
        <v>9055</v>
      </c>
      <c r="I774" s="319" t="s">
        <v>940</v>
      </c>
      <c r="J774" s="494" t="s">
        <v>9056</v>
      </c>
      <c r="K774" s="1010">
        <v>45901</v>
      </c>
      <c r="L774"/>
      <c r="Q774" s="481"/>
    </row>
    <row r="775" spans="2:17" ht="31.2" x14ac:dyDescent="0.3">
      <c r="B775" s="787" t="s">
        <v>551</v>
      </c>
      <c r="C775" s="789" t="s">
        <v>552</v>
      </c>
      <c r="D775" s="146" t="s">
        <v>190</v>
      </c>
      <c r="E775" s="147" t="s">
        <v>515</v>
      </c>
      <c r="F775" s="491">
        <v>1</v>
      </c>
      <c r="G775" s="302" t="s">
        <v>9006</v>
      </c>
      <c r="H775" s="667" t="s">
        <v>9007</v>
      </c>
      <c r="I775" s="319" t="s">
        <v>1026</v>
      </c>
      <c r="J775" s="494" t="s">
        <v>9057</v>
      </c>
      <c r="K775" s="1010">
        <v>45931</v>
      </c>
      <c r="L775"/>
      <c r="Q775" s="481"/>
    </row>
    <row r="776" spans="2:17" ht="31.2" x14ac:dyDescent="0.3">
      <c r="B776" s="787" t="s">
        <v>551</v>
      </c>
      <c r="C776" s="789" t="s">
        <v>552</v>
      </c>
      <c r="D776" s="146" t="s">
        <v>190</v>
      </c>
      <c r="E776" s="147" t="s">
        <v>515</v>
      </c>
      <c r="F776" s="504">
        <v>1</v>
      </c>
      <c r="G776" s="302" t="s">
        <v>9058</v>
      </c>
      <c r="H776" s="585" t="s">
        <v>9059</v>
      </c>
      <c r="I776" s="319" t="s">
        <v>1026</v>
      </c>
      <c r="J776" s="494" t="s">
        <v>9060</v>
      </c>
      <c r="K776" s="1010">
        <v>45931</v>
      </c>
      <c r="L776"/>
      <c r="Q776" s="481"/>
    </row>
    <row r="777" spans="2:17" ht="31.2" x14ac:dyDescent="0.3">
      <c r="B777" s="787" t="s">
        <v>551</v>
      </c>
      <c r="C777" s="789" t="s">
        <v>552</v>
      </c>
      <c r="D777" s="146" t="s">
        <v>190</v>
      </c>
      <c r="E777" s="147" t="s">
        <v>515</v>
      </c>
      <c r="F777" s="504">
        <v>1</v>
      </c>
      <c r="G777" s="302" t="s">
        <v>9061</v>
      </c>
      <c r="H777" s="585" t="s">
        <v>9059</v>
      </c>
      <c r="I777" s="319" t="s">
        <v>1026</v>
      </c>
      <c r="J777" s="494" t="s">
        <v>9062</v>
      </c>
      <c r="K777" s="1010">
        <v>45931</v>
      </c>
      <c r="Q777" s="481"/>
    </row>
    <row r="778" spans="2:17" ht="31.2" x14ac:dyDescent="0.3">
      <c r="B778" s="787" t="s">
        <v>551</v>
      </c>
      <c r="C778" s="789" t="s">
        <v>552</v>
      </c>
      <c r="D778" s="146" t="s">
        <v>190</v>
      </c>
      <c r="E778" s="147" t="s">
        <v>515</v>
      </c>
      <c r="F778" s="504">
        <v>1</v>
      </c>
      <c r="G778" s="302" t="s">
        <v>9063</v>
      </c>
      <c r="H778" s="585" t="s">
        <v>9064</v>
      </c>
      <c r="I778" s="319" t="s">
        <v>1026</v>
      </c>
      <c r="J778" s="494" t="s">
        <v>9065</v>
      </c>
      <c r="K778" s="1010">
        <v>45931</v>
      </c>
      <c r="Q778" s="481"/>
    </row>
    <row r="779" spans="2:17" ht="31.2" x14ac:dyDescent="0.3">
      <c r="B779" s="787" t="s">
        <v>551</v>
      </c>
      <c r="C779" s="789" t="s">
        <v>552</v>
      </c>
      <c r="D779" s="146" t="s">
        <v>190</v>
      </c>
      <c r="E779" s="147" t="s">
        <v>515</v>
      </c>
      <c r="F779" s="504">
        <v>1</v>
      </c>
      <c r="G779" s="302" t="s">
        <v>9066</v>
      </c>
      <c r="H779" s="585" t="s">
        <v>9067</v>
      </c>
      <c r="I779" s="319" t="s">
        <v>1026</v>
      </c>
      <c r="J779" s="494" t="s">
        <v>9068</v>
      </c>
      <c r="K779" s="1010">
        <v>45931</v>
      </c>
      <c r="L779"/>
      <c r="Q779" s="481"/>
    </row>
    <row r="780" spans="2:17" ht="31.2" x14ac:dyDescent="0.3">
      <c r="B780" s="787" t="s">
        <v>551</v>
      </c>
      <c r="C780" s="789" t="s">
        <v>552</v>
      </c>
      <c r="D780" s="146" t="s">
        <v>190</v>
      </c>
      <c r="E780" s="147" t="s">
        <v>515</v>
      </c>
      <c r="F780" s="504">
        <v>1</v>
      </c>
      <c r="G780" s="302" t="s">
        <v>9069</v>
      </c>
      <c r="H780" s="585" t="s">
        <v>9070</v>
      </c>
      <c r="I780" s="319" t="s">
        <v>1026</v>
      </c>
      <c r="J780" s="494" t="s">
        <v>9071</v>
      </c>
      <c r="K780" s="1010">
        <v>45931</v>
      </c>
      <c r="Q780" s="481"/>
    </row>
    <row r="781" spans="2:17" ht="31.2" x14ac:dyDescent="0.3">
      <c r="B781" s="787" t="s">
        <v>551</v>
      </c>
      <c r="C781" s="789" t="s">
        <v>552</v>
      </c>
      <c r="D781" s="146" t="s">
        <v>190</v>
      </c>
      <c r="E781" s="147" t="s">
        <v>515</v>
      </c>
      <c r="F781" s="504">
        <v>1</v>
      </c>
      <c r="G781" s="302" t="s">
        <v>9072</v>
      </c>
      <c r="H781" s="585" t="s">
        <v>9073</v>
      </c>
      <c r="I781" s="319" t="s">
        <v>1026</v>
      </c>
      <c r="J781" s="494" t="s">
        <v>9074</v>
      </c>
      <c r="K781" s="1010">
        <v>45931</v>
      </c>
      <c r="Q781" s="481"/>
    </row>
    <row r="782" spans="2:17" ht="31.2" x14ac:dyDescent="0.3">
      <c r="B782" s="787" t="s">
        <v>551</v>
      </c>
      <c r="C782" s="789" t="s">
        <v>552</v>
      </c>
      <c r="D782" s="146" t="s">
        <v>190</v>
      </c>
      <c r="E782" s="147" t="s">
        <v>515</v>
      </c>
      <c r="F782" s="504">
        <v>1</v>
      </c>
      <c r="G782" s="302" t="s">
        <v>9075</v>
      </c>
      <c r="H782" s="585" t="s">
        <v>9076</v>
      </c>
      <c r="I782" s="319" t="s">
        <v>1026</v>
      </c>
      <c r="J782" s="494" t="s">
        <v>9077</v>
      </c>
      <c r="K782" s="1010">
        <v>45931</v>
      </c>
      <c r="L782"/>
      <c r="Q782" s="481"/>
    </row>
    <row r="783" spans="2:17" ht="31.2" x14ac:dyDescent="0.3">
      <c r="B783" s="787" t="s">
        <v>551</v>
      </c>
      <c r="C783" s="789" t="s">
        <v>552</v>
      </c>
      <c r="D783" s="146" t="s">
        <v>190</v>
      </c>
      <c r="E783" s="147" t="s">
        <v>515</v>
      </c>
      <c r="F783" s="491">
        <v>1</v>
      </c>
      <c r="G783" s="302" t="s">
        <v>9078</v>
      </c>
      <c r="H783" s="585" t="s">
        <v>9079</v>
      </c>
      <c r="I783" s="319" t="s">
        <v>1026</v>
      </c>
      <c r="J783" s="494" t="s">
        <v>9080</v>
      </c>
      <c r="K783" s="1010">
        <v>45931</v>
      </c>
      <c r="L783"/>
      <c r="Q783" s="481"/>
    </row>
    <row r="784" spans="2:17" ht="31.2" x14ac:dyDescent="0.3">
      <c r="B784" s="787" t="s">
        <v>551</v>
      </c>
      <c r="C784" s="789" t="s">
        <v>552</v>
      </c>
      <c r="D784" s="146" t="s">
        <v>190</v>
      </c>
      <c r="E784" s="147" t="s">
        <v>515</v>
      </c>
      <c r="F784" s="504">
        <v>1</v>
      </c>
      <c r="G784" s="302" t="s">
        <v>9081</v>
      </c>
      <c r="H784" s="585" t="s">
        <v>9082</v>
      </c>
      <c r="I784" s="319" t="s">
        <v>1026</v>
      </c>
      <c r="J784" s="494" t="s">
        <v>9083</v>
      </c>
      <c r="K784" s="1010">
        <v>45931</v>
      </c>
      <c r="Q784" s="481"/>
    </row>
    <row r="785" spans="2:17" ht="31.2" x14ac:dyDescent="0.3">
      <c r="B785" s="787" t="s">
        <v>551</v>
      </c>
      <c r="C785" s="789" t="s">
        <v>552</v>
      </c>
      <c r="D785" s="146" t="s">
        <v>190</v>
      </c>
      <c r="E785" s="147" t="s">
        <v>515</v>
      </c>
      <c r="F785" s="504">
        <v>1</v>
      </c>
      <c r="G785" s="302" t="s">
        <v>9084</v>
      </c>
      <c r="H785" s="585" t="s">
        <v>9085</v>
      </c>
      <c r="I785" s="319" t="s">
        <v>1026</v>
      </c>
      <c r="J785" s="494" t="s">
        <v>9086</v>
      </c>
      <c r="K785" s="1010">
        <v>45931</v>
      </c>
      <c r="L785"/>
      <c r="Q785" s="481"/>
    </row>
    <row r="786" spans="2:17" ht="31.2" x14ac:dyDescent="0.3">
      <c r="B786" s="787" t="s">
        <v>551</v>
      </c>
      <c r="C786" s="789" t="s">
        <v>552</v>
      </c>
      <c r="D786" s="146" t="s">
        <v>190</v>
      </c>
      <c r="E786" s="147" t="s">
        <v>515</v>
      </c>
      <c r="F786" s="504">
        <v>1</v>
      </c>
      <c r="G786" s="302" t="s">
        <v>9087</v>
      </c>
      <c r="H786" s="585" t="s">
        <v>9088</v>
      </c>
      <c r="I786" s="319" t="s">
        <v>1026</v>
      </c>
      <c r="J786" s="494" t="s">
        <v>9089</v>
      </c>
      <c r="K786" s="1010">
        <v>45931</v>
      </c>
      <c r="L786"/>
      <c r="Q786" s="481"/>
    </row>
    <row r="787" spans="2:17" ht="31.2" x14ac:dyDescent="0.3">
      <c r="B787" s="787" t="s">
        <v>551</v>
      </c>
      <c r="C787" s="789" t="s">
        <v>552</v>
      </c>
      <c r="D787" s="146" t="s">
        <v>190</v>
      </c>
      <c r="E787" s="147" t="s">
        <v>515</v>
      </c>
      <c r="F787" s="504">
        <v>1</v>
      </c>
      <c r="G787" s="302" t="s">
        <v>9090</v>
      </c>
      <c r="H787" s="585" t="s">
        <v>9091</v>
      </c>
      <c r="I787" s="319" t="s">
        <v>1026</v>
      </c>
      <c r="J787" s="494" t="s">
        <v>9092</v>
      </c>
      <c r="K787" s="1010">
        <v>45931</v>
      </c>
      <c r="L787"/>
      <c r="Q787" s="481"/>
    </row>
    <row r="788" spans="2:17" ht="31.2" x14ac:dyDescent="0.3">
      <c r="B788" s="787" t="s">
        <v>551</v>
      </c>
      <c r="C788" s="789" t="s">
        <v>552</v>
      </c>
      <c r="D788" s="146" t="s">
        <v>190</v>
      </c>
      <c r="E788" s="147" t="s">
        <v>515</v>
      </c>
      <c r="F788" s="504">
        <v>1</v>
      </c>
      <c r="G788" s="302" t="s">
        <v>9093</v>
      </c>
      <c r="H788" s="585" t="s">
        <v>9094</v>
      </c>
      <c r="I788" s="319" t="s">
        <v>1026</v>
      </c>
      <c r="J788" s="494" t="s">
        <v>9095</v>
      </c>
      <c r="K788" s="1010">
        <v>45931</v>
      </c>
      <c r="L788"/>
      <c r="Q788" s="481"/>
    </row>
    <row r="789" spans="2:17" ht="31.2" x14ac:dyDescent="0.3">
      <c r="B789" s="787" t="s">
        <v>551</v>
      </c>
      <c r="C789" s="789" t="s">
        <v>552</v>
      </c>
      <c r="D789" s="146" t="s">
        <v>190</v>
      </c>
      <c r="E789" s="147" t="s">
        <v>515</v>
      </c>
      <c r="F789" s="504">
        <v>1</v>
      </c>
      <c r="G789" s="302" t="s">
        <v>9096</v>
      </c>
      <c r="H789" s="585" t="s">
        <v>9094</v>
      </c>
      <c r="I789" s="319" t="s">
        <v>1026</v>
      </c>
      <c r="J789" s="494" t="s">
        <v>9097</v>
      </c>
      <c r="K789" s="1010">
        <v>45931</v>
      </c>
      <c r="Q789" s="481"/>
    </row>
    <row r="790" spans="2:17" ht="31.2" x14ac:dyDescent="0.3">
      <c r="B790" s="787" t="s">
        <v>551</v>
      </c>
      <c r="C790" s="789" t="s">
        <v>552</v>
      </c>
      <c r="D790" s="146" t="s">
        <v>190</v>
      </c>
      <c r="E790" s="147" t="s">
        <v>515</v>
      </c>
      <c r="F790" s="504">
        <v>1</v>
      </c>
      <c r="G790" s="302" t="s">
        <v>9098</v>
      </c>
      <c r="H790" s="585" t="s">
        <v>9099</v>
      </c>
      <c r="I790" s="319" t="s">
        <v>1282</v>
      </c>
      <c r="J790" s="494" t="s">
        <v>9100</v>
      </c>
      <c r="K790" s="1010">
        <v>45962</v>
      </c>
      <c r="Q790" s="481"/>
    </row>
    <row r="791" spans="2:17" ht="31.2" x14ac:dyDescent="0.3">
      <c r="B791" s="787" t="s">
        <v>551</v>
      </c>
      <c r="C791" s="789" t="s">
        <v>552</v>
      </c>
      <c r="D791" s="146" t="s">
        <v>190</v>
      </c>
      <c r="E791" s="147" t="s">
        <v>515</v>
      </c>
      <c r="F791" s="504">
        <v>1</v>
      </c>
      <c r="G791" s="302" t="s">
        <v>9101</v>
      </c>
      <c r="H791" s="585" t="s">
        <v>9102</v>
      </c>
      <c r="I791" s="319" t="s">
        <v>1282</v>
      </c>
      <c r="J791" s="494" t="s">
        <v>9103</v>
      </c>
      <c r="K791" s="1010">
        <v>45962</v>
      </c>
      <c r="Q791" s="481"/>
    </row>
    <row r="792" spans="2:17" ht="31.2" x14ac:dyDescent="0.3">
      <c r="B792" s="787" t="s">
        <v>551</v>
      </c>
      <c r="C792" s="789" t="s">
        <v>552</v>
      </c>
      <c r="D792" s="146" t="s">
        <v>190</v>
      </c>
      <c r="E792" s="147" t="s">
        <v>515</v>
      </c>
      <c r="F792" s="504">
        <v>1</v>
      </c>
      <c r="G792" s="302" t="s">
        <v>9104</v>
      </c>
      <c r="H792" s="585" t="s">
        <v>9105</v>
      </c>
      <c r="I792" s="319" t="s">
        <v>1282</v>
      </c>
      <c r="J792" s="494" t="s">
        <v>9106</v>
      </c>
      <c r="K792" s="1010">
        <v>45962</v>
      </c>
      <c r="Q792" s="481"/>
    </row>
    <row r="793" spans="2:17" ht="31.2" x14ac:dyDescent="0.3">
      <c r="B793" s="787" t="s">
        <v>551</v>
      </c>
      <c r="C793" s="789" t="s">
        <v>552</v>
      </c>
      <c r="D793" s="146" t="s">
        <v>190</v>
      </c>
      <c r="E793" s="147" t="s">
        <v>515</v>
      </c>
      <c r="F793" s="504">
        <v>1</v>
      </c>
      <c r="G793" s="302" t="s">
        <v>9107</v>
      </c>
      <c r="H793" s="585" t="s">
        <v>9108</v>
      </c>
      <c r="I793" s="319" t="s">
        <v>1282</v>
      </c>
      <c r="J793" s="494" t="s">
        <v>9109</v>
      </c>
      <c r="K793" s="1010">
        <v>45962</v>
      </c>
      <c r="Q793" s="481"/>
    </row>
    <row r="794" spans="2:17" ht="31.2" x14ac:dyDescent="0.3">
      <c r="B794" s="787" t="s">
        <v>551</v>
      </c>
      <c r="C794" s="789" t="s">
        <v>552</v>
      </c>
      <c r="D794" s="146" t="s">
        <v>190</v>
      </c>
      <c r="E794" s="147" t="s">
        <v>515</v>
      </c>
      <c r="F794" s="504">
        <v>1</v>
      </c>
      <c r="G794" s="302" t="s">
        <v>9110</v>
      </c>
      <c r="H794" s="585" t="s">
        <v>9111</v>
      </c>
      <c r="I794" s="319" t="s">
        <v>1282</v>
      </c>
      <c r="J794" s="494" t="s">
        <v>9112</v>
      </c>
      <c r="K794" s="1010">
        <v>45962</v>
      </c>
      <c r="Q794" s="481"/>
    </row>
    <row r="795" spans="2:17" ht="31.2" x14ac:dyDescent="0.3">
      <c r="B795" s="787" t="s">
        <v>551</v>
      </c>
      <c r="C795" s="789" t="s">
        <v>552</v>
      </c>
      <c r="D795" s="146" t="s">
        <v>190</v>
      </c>
      <c r="E795" s="147" t="s">
        <v>515</v>
      </c>
      <c r="F795" s="504">
        <v>1</v>
      </c>
      <c r="G795" s="302" t="s">
        <v>9113</v>
      </c>
      <c r="H795" s="585" t="s">
        <v>9114</v>
      </c>
      <c r="I795" s="319" t="s">
        <v>1282</v>
      </c>
      <c r="J795" s="494" t="s">
        <v>9115</v>
      </c>
      <c r="K795" s="1010">
        <v>45962</v>
      </c>
      <c r="Q795" s="481"/>
    </row>
    <row r="796" spans="2:17" ht="31.2" x14ac:dyDescent="0.3">
      <c r="B796" s="787" t="s">
        <v>551</v>
      </c>
      <c r="C796" s="789" t="s">
        <v>552</v>
      </c>
      <c r="D796" s="146" t="s">
        <v>190</v>
      </c>
      <c r="E796" s="147" t="s">
        <v>515</v>
      </c>
      <c r="F796" s="504">
        <v>1</v>
      </c>
      <c r="G796" s="302" t="s">
        <v>9116</v>
      </c>
      <c r="H796" s="585" t="s">
        <v>9117</v>
      </c>
      <c r="I796" s="319" t="s">
        <v>1282</v>
      </c>
      <c r="J796" s="494" t="s">
        <v>9118</v>
      </c>
      <c r="K796" s="1010">
        <v>45962</v>
      </c>
      <c r="Q796" s="481"/>
    </row>
    <row r="797" spans="2:17" ht="31.2" x14ac:dyDescent="0.3">
      <c r="B797" s="787" t="s">
        <v>551</v>
      </c>
      <c r="C797" s="789" t="s">
        <v>552</v>
      </c>
      <c r="D797" s="146" t="s">
        <v>190</v>
      </c>
      <c r="E797" s="147" t="s">
        <v>515</v>
      </c>
      <c r="F797" s="504">
        <v>1</v>
      </c>
      <c r="G797" s="302" t="s">
        <v>9119</v>
      </c>
      <c r="H797" s="585" t="s">
        <v>9120</v>
      </c>
      <c r="I797" s="319" t="s">
        <v>1282</v>
      </c>
      <c r="J797" s="494" t="s">
        <v>9121</v>
      </c>
      <c r="K797" s="1010">
        <v>45962</v>
      </c>
      <c r="Q797" s="481"/>
    </row>
    <row r="798" spans="2:17" ht="31.2" x14ac:dyDescent="0.3">
      <c r="B798" s="787" t="s">
        <v>551</v>
      </c>
      <c r="C798" s="789" t="s">
        <v>552</v>
      </c>
      <c r="D798" s="146" t="s">
        <v>190</v>
      </c>
      <c r="E798" s="147" t="s">
        <v>515</v>
      </c>
      <c r="F798" s="504">
        <v>1</v>
      </c>
      <c r="G798" s="302" t="s">
        <v>9122</v>
      </c>
      <c r="H798" s="542" t="s">
        <v>9123</v>
      </c>
      <c r="I798" s="319" t="s">
        <v>1282</v>
      </c>
      <c r="J798" s="494" t="s">
        <v>9124</v>
      </c>
      <c r="K798" s="1010">
        <v>45962</v>
      </c>
      <c r="Q798" s="481"/>
    </row>
    <row r="799" spans="2:17" ht="31.2" x14ac:dyDescent="0.3">
      <c r="B799" s="787" t="s">
        <v>551</v>
      </c>
      <c r="C799" s="789" t="s">
        <v>552</v>
      </c>
      <c r="D799" s="146" t="s">
        <v>190</v>
      </c>
      <c r="E799" s="147" t="s">
        <v>515</v>
      </c>
      <c r="F799" s="504">
        <v>1</v>
      </c>
      <c r="G799" s="302" t="s">
        <v>9125</v>
      </c>
      <c r="H799" s="585" t="s">
        <v>9126</v>
      </c>
      <c r="I799" s="319" t="s">
        <v>1282</v>
      </c>
      <c r="J799" s="494" t="s">
        <v>9127</v>
      </c>
      <c r="K799" s="1010">
        <v>45962</v>
      </c>
      <c r="Q799" s="481"/>
    </row>
    <row r="800" spans="2:17" ht="31.2" x14ac:dyDescent="0.3">
      <c r="B800" s="787" t="s">
        <v>551</v>
      </c>
      <c r="C800" s="789" t="s">
        <v>552</v>
      </c>
      <c r="D800" s="146" t="s">
        <v>190</v>
      </c>
      <c r="E800" s="147" t="s">
        <v>515</v>
      </c>
      <c r="F800" s="504">
        <v>1</v>
      </c>
      <c r="G800" s="302" t="s">
        <v>9128</v>
      </c>
      <c r="H800" s="585" t="s">
        <v>9129</v>
      </c>
      <c r="I800" s="319" t="s">
        <v>1282</v>
      </c>
      <c r="J800" s="494" t="s">
        <v>9130</v>
      </c>
      <c r="K800" s="1010">
        <v>45962</v>
      </c>
      <c r="Q800" s="481"/>
    </row>
    <row r="801" spans="2:17" ht="31.2" x14ac:dyDescent="0.3">
      <c r="B801" s="787" t="s">
        <v>551</v>
      </c>
      <c r="C801" s="789" t="s">
        <v>552</v>
      </c>
      <c r="D801" s="146" t="s">
        <v>190</v>
      </c>
      <c r="E801" s="147" t="s">
        <v>515</v>
      </c>
      <c r="F801" s="504">
        <v>1</v>
      </c>
      <c r="G801" s="302" t="s">
        <v>9131</v>
      </c>
      <c r="H801" s="585" t="s">
        <v>9132</v>
      </c>
      <c r="I801" s="319" t="s">
        <v>1282</v>
      </c>
      <c r="J801" s="494" t="s">
        <v>9133</v>
      </c>
      <c r="K801" s="1010">
        <v>45962</v>
      </c>
      <c r="Q801" s="481"/>
    </row>
    <row r="802" spans="2:17" ht="31.2" x14ac:dyDescent="0.3">
      <c r="B802" s="787" t="s">
        <v>551</v>
      </c>
      <c r="C802" s="789" t="s">
        <v>552</v>
      </c>
      <c r="D802" s="146" t="s">
        <v>190</v>
      </c>
      <c r="E802" s="147" t="s">
        <v>515</v>
      </c>
      <c r="F802" s="504">
        <v>1</v>
      </c>
      <c r="G802" s="302" t="s">
        <v>9134</v>
      </c>
      <c r="H802" s="585" t="s">
        <v>9135</v>
      </c>
      <c r="I802" s="319" t="s">
        <v>1282</v>
      </c>
      <c r="J802" s="494" t="s">
        <v>9136</v>
      </c>
      <c r="K802" s="1010">
        <v>45962</v>
      </c>
      <c r="Q802" s="481"/>
    </row>
    <row r="803" spans="2:17" ht="31.2" x14ac:dyDescent="0.3">
      <c r="B803" s="787" t="s">
        <v>551</v>
      </c>
      <c r="C803" s="789" t="s">
        <v>552</v>
      </c>
      <c r="D803" s="146" t="s">
        <v>190</v>
      </c>
      <c r="E803" s="147" t="s">
        <v>515</v>
      </c>
      <c r="F803" s="504">
        <v>1</v>
      </c>
      <c r="G803" s="302" t="s">
        <v>9137</v>
      </c>
      <c r="H803" s="585" t="s">
        <v>9138</v>
      </c>
      <c r="I803" s="319" t="s">
        <v>1282</v>
      </c>
      <c r="J803" s="494" t="s">
        <v>9139</v>
      </c>
      <c r="K803" s="1010">
        <v>45962</v>
      </c>
      <c r="Q803" s="481"/>
    </row>
    <row r="804" spans="2:17" ht="31.2" x14ac:dyDescent="0.3">
      <c r="B804" s="787" t="s">
        <v>551</v>
      </c>
      <c r="C804" s="789" t="s">
        <v>552</v>
      </c>
      <c r="D804" s="146" t="s">
        <v>190</v>
      </c>
      <c r="E804" s="147" t="s">
        <v>515</v>
      </c>
      <c r="F804" s="504">
        <v>1</v>
      </c>
      <c r="G804" s="302" t="s">
        <v>9140</v>
      </c>
      <c r="H804" s="585" t="s">
        <v>9141</v>
      </c>
      <c r="I804" s="319" t="s">
        <v>1282</v>
      </c>
      <c r="J804" s="494" t="s">
        <v>9142</v>
      </c>
      <c r="K804" s="1010">
        <v>45962</v>
      </c>
      <c r="Q804" s="481"/>
    </row>
    <row r="805" spans="2:17" ht="31.2" x14ac:dyDescent="0.3">
      <c r="B805" s="787" t="s">
        <v>551</v>
      </c>
      <c r="C805" s="789" t="s">
        <v>552</v>
      </c>
      <c r="D805" s="146" t="s">
        <v>190</v>
      </c>
      <c r="E805" s="147" t="s">
        <v>515</v>
      </c>
      <c r="F805" s="504">
        <v>1</v>
      </c>
      <c r="G805" s="302" t="s">
        <v>9143</v>
      </c>
      <c r="H805" s="585" t="s">
        <v>9144</v>
      </c>
      <c r="I805" s="319" t="s">
        <v>1282</v>
      </c>
      <c r="J805" s="494" t="s">
        <v>9145</v>
      </c>
      <c r="K805" s="1010">
        <v>45962</v>
      </c>
      <c r="Q805" s="481"/>
    </row>
    <row r="806" spans="2:17" ht="31.2" x14ac:dyDescent="0.3">
      <c r="B806" s="787" t="s">
        <v>551</v>
      </c>
      <c r="C806" s="789" t="s">
        <v>552</v>
      </c>
      <c r="D806" s="146" t="s">
        <v>190</v>
      </c>
      <c r="E806" s="147" t="s">
        <v>515</v>
      </c>
      <c r="F806" s="504">
        <v>1</v>
      </c>
      <c r="G806" s="302" t="s">
        <v>9146</v>
      </c>
      <c r="H806" s="585" t="s">
        <v>9147</v>
      </c>
      <c r="I806" s="319" t="s">
        <v>1282</v>
      </c>
      <c r="J806" s="494" t="s">
        <v>9148</v>
      </c>
      <c r="K806" s="1010">
        <v>45962</v>
      </c>
      <c r="Q806" s="481"/>
    </row>
    <row r="807" spans="2:17" ht="31.2" x14ac:dyDescent="0.3">
      <c r="B807" s="787" t="s">
        <v>551</v>
      </c>
      <c r="C807" s="789" t="s">
        <v>552</v>
      </c>
      <c r="D807" s="146" t="s">
        <v>190</v>
      </c>
      <c r="E807" s="147" t="s">
        <v>515</v>
      </c>
      <c r="F807" s="504">
        <v>1</v>
      </c>
      <c r="G807" s="302" t="s">
        <v>9149</v>
      </c>
      <c r="H807" s="585" t="s">
        <v>9147</v>
      </c>
      <c r="I807" s="319" t="s">
        <v>1282</v>
      </c>
      <c r="J807" s="494" t="s">
        <v>9150</v>
      </c>
      <c r="K807" s="1010">
        <v>45962</v>
      </c>
      <c r="Q807" s="481"/>
    </row>
    <row r="808" spans="2:17" ht="31.2" x14ac:dyDescent="0.3">
      <c r="B808" s="787" t="s">
        <v>551</v>
      </c>
      <c r="C808" s="789" t="s">
        <v>552</v>
      </c>
      <c r="D808" s="146" t="s">
        <v>190</v>
      </c>
      <c r="E808" s="147" t="s">
        <v>515</v>
      </c>
      <c r="F808" s="504">
        <v>1</v>
      </c>
      <c r="G808" s="302" t="s">
        <v>9151</v>
      </c>
      <c r="H808" s="585" t="s">
        <v>9152</v>
      </c>
      <c r="I808" s="319" t="s">
        <v>943</v>
      </c>
      <c r="J808" s="584" t="s">
        <v>9153</v>
      </c>
      <c r="K808" s="1010">
        <v>45992</v>
      </c>
      <c r="Q808" s="481"/>
    </row>
    <row r="809" spans="2:17" ht="31.2" x14ac:dyDescent="0.3">
      <c r="B809" s="787" t="s">
        <v>551</v>
      </c>
      <c r="C809" s="789" t="s">
        <v>552</v>
      </c>
      <c r="D809" s="146" t="s">
        <v>190</v>
      </c>
      <c r="E809" s="147" t="s">
        <v>515</v>
      </c>
      <c r="F809" s="504">
        <v>1</v>
      </c>
      <c r="G809" s="302" t="s">
        <v>9154</v>
      </c>
      <c r="H809" s="585" t="s">
        <v>9155</v>
      </c>
      <c r="I809" s="319" t="s">
        <v>943</v>
      </c>
      <c r="J809" s="584" t="s">
        <v>9156</v>
      </c>
      <c r="K809" s="1010">
        <v>45992</v>
      </c>
      <c r="Q809" s="481"/>
    </row>
    <row r="810" spans="2:17" ht="31.2" x14ac:dyDescent="0.3">
      <c r="B810" s="787" t="s">
        <v>551</v>
      </c>
      <c r="C810" s="789" t="s">
        <v>552</v>
      </c>
      <c r="D810" s="146" t="s">
        <v>190</v>
      </c>
      <c r="E810" s="147" t="s">
        <v>515</v>
      </c>
      <c r="F810" s="504">
        <v>1</v>
      </c>
      <c r="G810" s="302" t="s">
        <v>9157</v>
      </c>
      <c r="H810" s="585" t="s">
        <v>9158</v>
      </c>
      <c r="I810" s="319" t="s">
        <v>943</v>
      </c>
      <c r="J810" s="584" t="s">
        <v>9159</v>
      </c>
      <c r="K810" s="1010">
        <v>45992</v>
      </c>
      <c r="Q810" s="481"/>
    </row>
    <row r="811" spans="2:17" ht="31.2" x14ac:dyDescent="0.3">
      <c r="B811" s="787" t="s">
        <v>551</v>
      </c>
      <c r="C811" s="789" t="s">
        <v>552</v>
      </c>
      <c r="D811" s="146" t="s">
        <v>190</v>
      </c>
      <c r="E811" s="147" t="s">
        <v>515</v>
      </c>
      <c r="F811" s="504">
        <v>1</v>
      </c>
      <c r="G811" s="302" t="s">
        <v>9160</v>
      </c>
      <c r="H811" s="585" t="s">
        <v>9161</v>
      </c>
      <c r="I811" s="319" t="s">
        <v>943</v>
      </c>
      <c r="J811" s="494" t="s">
        <v>9162</v>
      </c>
      <c r="K811" s="1010">
        <v>45992</v>
      </c>
      <c r="Q811" s="481"/>
    </row>
    <row r="812" spans="2:17" ht="31.2" x14ac:dyDescent="0.3">
      <c r="B812" s="787" t="s">
        <v>551</v>
      </c>
      <c r="C812" s="789" t="s">
        <v>552</v>
      </c>
      <c r="D812" s="146" t="s">
        <v>190</v>
      </c>
      <c r="E812" s="147" t="s">
        <v>515</v>
      </c>
      <c r="F812" s="504">
        <v>1</v>
      </c>
      <c r="G812" s="302" t="s">
        <v>9163</v>
      </c>
      <c r="H812" s="585" t="s">
        <v>9164</v>
      </c>
      <c r="I812" s="319" t="s">
        <v>943</v>
      </c>
      <c r="J812" s="584" t="s">
        <v>9165</v>
      </c>
      <c r="K812" s="1010">
        <v>45992</v>
      </c>
      <c r="Q812" s="481"/>
    </row>
    <row r="813" spans="2:17" ht="31.2" x14ac:dyDescent="0.3">
      <c r="B813" s="787" t="s">
        <v>551</v>
      </c>
      <c r="C813" s="789" t="s">
        <v>552</v>
      </c>
      <c r="D813" s="146" t="s">
        <v>190</v>
      </c>
      <c r="E813" s="147" t="s">
        <v>515</v>
      </c>
      <c r="F813" s="504">
        <v>1</v>
      </c>
      <c r="G813" s="302" t="s">
        <v>9166</v>
      </c>
      <c r="H813" s="585" t="s">
        <v>9167</v>
      </c>
      <c r="I813" s="319" t="s">
        <v>943</v>
      </c>
      <c r="J813" s="584" t="s">
        <v>9168</v>
      </c>
      <c r="K813" s="1010">
        <v>45992</v>
      </c>
      <c r="Q813" s="481"/>
    </row>
    <row r="814" spans="2:17" ht="31.2" x14ac:dyDescent="0.3">
      <c r="B814" s="787" t="s">
        <v>551</v>
      </c>
      <c r="C814" s="789" t="s">
        <v>552</v>
      </c>
      <c r="D814" s="146" t="s">
        <v>190</v>
      </c>
      <c r="E814" s="147" t="s">
        <v>515</v>
      </c>
      <c r="F814" s="504">
        <v>1</v>
      </c>
      <c r="G814" s="302" t="s">
        <v>9169</v>
      </c>
      <c r="H814" s="585" t="s">
        <v>9170</v>
      </c>
      <c r="I814" s="319" t="s">
        <v>943</v>
      </c>
      <c r="J814" s="584" t="s">
        <v>9171</v>
      </c>
      <c r="K814" s="1010">
        <v>45992</v>
      </c>
      <c r="Q814" s="481"/>
    </row>
    <row r="815" spans="2:17" ht="31.2" x14ac:dyDescent="0.3">
      <c r="B815" s="787" t="s">
        <v>551</v>
      </c>
      <c r="C815" s="789" t="s">
        <v>552</v>
      </c>
      <c r="D815" s="146" t="s">
        <v>190</v>
      </c>
      <c r="E815" s="147" t="s">
        <v>515</v>
      </c>
      <c r="F815" s="504">
        <v>1</v>
      </c>
      <c r="G815" s="302" t="s">
        <v>9172</v>
      </c>
      <c r="H815" s="585" t="s">
        <v>9173</v>
      </c>
      <c r="I815" s="319" t="s">
        <v>943</v>
      </c>
      <c r="J815" s="584" t="s">
        <v>9174</v>
      </c>
      <c r="K815" s="1010">
        <v>45992</v>
      </c>
      <c r="Q815" s="481"/>
    </row>
    <row r="816" spans="2:17" ht="31.2" x14ac:dyDescent="0.3">
      <c r="B816" s="787" t="s">
        <v>551</v>
      </c>
      <c r="C816" s="789" t="s">
        <v>552</v>
      </c>
      <c r="D816" s="146" t="s">
        <v>190</v>
      </c>
      <c r="E816" s="147" t="s">
        <v>515</v>
      </c>
      <c r="F816" s="504">
        <v>1</v>
      </c>
      <c r="G816" s="302" t="s">
        <v>9175</v>
      </c>
      <c r="H816" s="585" t="s">
        <v>9176</v>
      </c>
      <c r="I816" s="319" t="s">
        <v>943</v>
      </c>
      <c r="J816" s="584" t="s">
        <v>9177</v>
      </c>
      <c r="K816" s="1010">
        <v>45992</v>
      </c>
      <c r="Q816" s="481"/>
    </row>
    <row r="817" spans="2:17" ht="31.2" x14ac:dyDescent="0.3">
      <c r="B817" s="787" t="s">
        <v>551</v>
      </c>
      <c r="C817" s="789" t="s">
        <v>552</v>
      </c>
      <c r="D817" s="146" t="s">
        <v>190</v>
      </c>
      <c r="E817" s="147" t="s">
        <v>515</v>
      </c>
      <c r="F817" s="504">
        <v>1</v>
      </c>
      <c r="G817" s="594" t="s">
        <v>9178</v>
      </c>
      <c r="H817" s="585" t="s">
        <v>9179</v>
      </c>
      <c r="I817" s="319" t="s">
        <v>943</v>
      </c>
      <c r="J817" s="584" t="s">
        <v>9180</v>
      </c>
      <c r="K817" s="1010">
        <v>45992</v>
      </c>
      <c r="Q817" s="481"/>
    </row>
    <row r="818" spans="2:17" ht="31.2" x14ac:dyDescent="0.3">
      <c r="B818" s="787" t="s">
        <v>551</v>
      </c>
      <c r="C818" s="789" t="s">
        <v>552</v>
      </c>
      <c r="D818" s="146" t="s">
        <v>190</v>
      </c>
      <c r="E818" s="147" t="s">
        <v>515</v>
      </c>
      <c r="F818" s="504">
        <v>1</v>
      </c>
      <c r="G818" s="302" t="s">
        <v>9181</v>
      </c>
      <c r="H818" s="585" t="s">
        <v>9182</v>
      </c>
      <c r="I818" s="319" t="s">
        <v>943</v>
      </c>
      <c r="J818" s="494" t="s">
        <v>9183</v>
      </c>
      <c r="K818" s="1010">
        <v>45992</v>
      </c>
      <c r="Q818" s="481"/>
    </row>
    <row r="819" spans="2:17" ht="31.2" x14ac:dyDescent="0.3">
      <c r="B819" s="787" t="s">
        <v>551</v>
      </c>
      <c r="C819" s="789" t="s">
        <v>552</v>
      </c>
      <c r="D819" s="146" t="s">
        <v>190</v>
      </c>
      <c r="E819" s="147" t="s">
        <v>515</v>
      </c>
      <c r="F819" s="504">
        <v>1</v>
      </c>
      <c r="G819" s="302" t="s">
        <v>9184</v>
      </c>
      <c r="H819" s="585" t="s">
        <v>9185</v>
      </c>
      <c r="I819" s="319" t="s">
        <v>943</v>
      </c>
      <c r="J819" s="584" t="s">
        <v>9186</v>
      </c>
      <c r="K819" s="1010">
        <v>45992</v>
      </c>
      <c r="Q819" s="481"/>
    </row>
    <row r="820" spans="2:17" ht="31.2" x14ac:dyDescent="0.3">
      <c r="B820" s="787" t="s">
        <v>551</v>
      </c>
      <c r="C820" s="789" t="s">
        <v>552</v>
      </c>
      <c r="D820" s="146" t="s">
        <v>190</v>
      </c>
      <c r="E820" s="147" t="s">
        <v>515</v>
      </c>
      <c r="F820" s="504">
        <v>1</v>
      </c>
      <c r="G820" s="302" t="s">
        <v>9187</v>
      </c>
      <c r="H820" s="585" t="s">
        <v>9188</v>
      </c>
      <c r="I820" s="319" t="s">
        <v>1417</v>
      </c>
      <c r="J820" s="584" t="s">
        <v>9189</v>
      </c>
      <c r="K820" s="1010">
        <v>46023</v>
      </c>
      <c r="Q820" s="481"/>
    </row>
    <row r="821" spans="2:17" ht="31.2" x14ac:dyDescent="0.3">
      <c r="B821" s="787" t="s">
        <v>551</v>
      </c>
      <c r="C821" s="789" t="s">
        <v>552</v>
      </c>
      <c r="D821" s="146" t="s">
        <v>190</v>
      </c>
      <c r="E821" s="147" t="s">
        <v>515</v>
      </c>
      <c r="F821" s="504">
        <v>1</v>
      </c>
      <c r="G821" s="302" t="s">
        <v>9190</v>
      </c>
      <c r="H821" s="585" t="s">
        <v>9191</v>
      </c>
      <c r="I821" s="319" t="s">
        <v>1417</v>
      </c>
      <c r="J821" s="584" t="s">
        <v>9192</v>
      </c>
      <c r="K821" s="1010">
        <v>46023</v>
      </c>
      <c r="Q821" s="481"/>
    </row>
    <row r="822" spans="2:17" ht="31.2" x14ac:dyDescent="0.3">
      <c r="B822" s="787" t="s">
        <v>551</v>
      </c>
      <c r="C822" s="789" t="s">
        <v>552</v>
      </c>
      <c r="D822" s="146" t="s">
        <v>190</v>
      </c>
      <c r="E822" s="147" t="s">
        <v>515</v>
      </c>
      <c r="F822" s="504">
        <v>1</v>
      </c>
      <c r="G822" s="302" t="s">
        <v>9193</v>
      </c>
      <c r="H822" s="585" t="s">
        <v>9194</v>
      </c>
      <c r="I822" s="319" t="s">
        <v>1417</v>
      </c>
      <c r="J822" s="584" t="s">
        <v>9195</v>
      </c>
      <c r="K822" s="1010">
        <v>46023</v>
      </c>
      <c r="Q822" s="481"/>
    </row>
    <row r="823" spans="2:17" ht="31.2" x14ac:dyDescent="0.3">
      <c r="B823" s="787" t="s">
        <v>551</v>
      </c>
      <c r="C823" s="789" t="s">
        <v>552</v>
      </c>
      <c r="D823" s="146" t="s">
        <v>190</v>
      </c>
      <c r="E823" s="147" t="s">
        <v>515</v>
      </c>
      <c r="F823" s="504">
        <v>1</v>
      </c>
      <c r="G823" s="302" t="s">
        <v>9196</v>
      </c>
      <c r="H823" s="585" t="s">
        <v>9197</v>
      </c>
      <c r="I823" s="319" t="s">
        <v>1417</v>
      </c>
      <c r="J823" s="584" t="s">
        <v>9198</v>
      </c>
      <c r="K823" s="1010">
        <v>46023</v>
      </c>
      <c r="Q823" s="481"/>
    </row>
    <row r="824" spans="2:17" ht="31.2" x14ac:dyDescent="0.3">
      <c r="B824" s="787" t="s">
        <v>551</v>
      </c>
      <c r="C824" s="789" t="s">
        <v>552</v>
      </c>
      <c r="D824" s="146" t="s">
        <v>190</v>
      </c>
      <c r="E824" s="147" t="s">
        <v>515</v>
      </c>
      <c r="F824" s="504">
        <v>1</v>
      </c>
      <c r="G824" s="302" t="s">
        <v>9199</v>
      </c>
      <c r="H824" s="585" t="s">
        <v>9200</v>
      </c>
      <c r="I824" s="319" t="s">
        <v>1417</v>
      </c>
      <c r="J824" s="584" t="s">
        <v>9201</v>
      </c>
      <c r="K824" s="1010">
        <v>46023</v>
      </c>
      <c r="Q824" s="481"/>
    </row>
    <row r="825" spans="2:17" ht="31.2" x14ac:dyDescent="0.3">
      <c r="B825" s="787" t="s">
        <v>551</v>
      </c>
      <c r="C825" s="789" t="s">
        <v>552</v>
      </c>
      <c r="D825" s="146" t="s">
        <v>190</v>
      </c>
      <c r="E825" s="147" t="s">
        <v>515</v>
      </c>
      <c r="F825" s="504">
        <v>1</v>
      </c>
      <c r="G825" s="302" t="s">
        <v>9202</v>
      </c>
      <c r="H825" s="585" t="s">
        <v>9203</v>
      </c>
      <c r="I825" s="319" t="s">
        <v>1417</v>
      </c>
      <c r="J825" s="584" t="s">
        <v>9204</v>
      </c>
      <c r="K825" s="1010">
        <v>46023</v>
      </c>
      <c r="Q825" s="481"/>
    </row>
    <row r="826" spans="2:17" ht="31.2" x14ac:dyDescent="0.3">
      <c r="B826" s="787" t="s">
        <v>551</v>
      </c>
      <c r="C826" s="789" t="s">
        <v>552</v>
      </c>
      <c r="D826" s="146" t="s">
        <v>190</v>
      </c>
      <c r="E826" s="147" t="s">
        <v>515</v>
      </c>
      <c r="F826" s="504">
        <v>1</v>
      </c>
      <c r="G826" s="302" t="s">
        <v>9205</v>
      </c>
      <c r="H826" s="585" t="s">
        <v>9206</v>
      </c>
      <c r="I826" s="319" t="s">
        <v>1417</v>
      </c>
      <c r="J826" s="584" t="s">
        <v>9207</v>
      </c>
      <c r="K826" s="1010">
        <v>46023</v>
      </c>
      <c r="Q826" s="481"/>
    </row>
    <row r="827" spans="2:17" ht="31.2" x14ac:dyDescent="0.3">
      <c r="B827" s="787" t="s">
        <v>551</v>
      </c>
      <c r="C827" s="789" t="s">
        <v>552</v>
      </c>
      <c r="D827" s="146" t="s">
        <v>190</v>
      </c>
      <c r="E827" s="147" t="s">
        <v>515</v>
      </c>
      <c r="F827" s="504">
        <v>1</v>
      </c>
      <c r="G827" s="302" t="s">
        <v>9208</v>
      </c>
      <c r="H827" s="585" t="s">
        <v>9209</v>
      </c>
      <c r="I827" s="319" t="s">
        <v>1315</v>
      </c>
      <c r="J827" s="494" t="s">
        <v>9210</v>
      </c>
      <c r="K827" s="1010">
        <v>46054</v>
      </c>
      <c r="Q827" s="481"/>
    </row>
    <row r="828" spans="2:17" ht="31.2" x14ac:dyDescent="0.3">
      <c r="B828" s="787" t="s">
        <v>551</v>
      </c>
      <c r="C828" s="789" t="s">
        <v>552</v>
      </c>
      <c r="D828" s="146" t="s">
        <v>190</v>
      </c>
      <c r="E828" s="147" t="s">
        <v>515</v>
      </c>
      <c r="F828" s="504">
        <v>1</v>
      </c>
      <c r="G828" s="302" t="s">
        <v>9211</v>
      </c>
      <c r="H828" s="585" t="s">
        <v>9212</v>
      </c>
      <c r="I828" s="319" t="s">
        <v>1315</v>
      </c>
      <c r="J828" s="494" t="s">
        <v>9213</v>
      </c>
      <c r="K828" s="1010">
        <v>46054</v>
      </c>
      <c r="Q828" s="481"/>
    </row>
    <row r="829" spans="2:17" ht="31.2" x14ac:dyDescent="0.3">
      <c r="B829" s="787" t="s">
        <v>551</v>
      </c>
      <c r="C829" s="789" t="s">
        <v>552</v>
      </c>
      <c r="D829" s="146" t="s">
        <v>190</v>
      </c>
      <c r="E829" s="147" t="s">
        <v>515</v>
      </c>
      <c r="F829" s="504">
        <v>1</v>
      </c>
      <c r="G829" s="302" t="s">
        <v>9214</v>
      </c>
      <c r="H829" s="585" t="s">
        <v>9215</v>
      </c>
      <c r="I829" s="319" t="s">
        <v>1315</v>
      </c>
      <c r="J829" s="494" t="s">
        <v>9216</v>
      </c>
      <c r="K829" s="1010">
        <v>46054</v>
      </c>
      <c r="Q829" s="481"/>
    </row>
    <row r="830" spans="2:17" ht="31.2" x14ac:dyDescent="0.3">
      <c r="B830" s="787" t="s">
        <v>551</v>
      </c>
      <c r="C830" s="789" t="s">
        <v>552</v>
      </c>
      <c r="D830" s="146" t="s">
        <v>190</v>
      </c>
      <c r="E830" s="147" t="s">
        <v>515</v>
      </c>
      <c r="F830" s="504">
        <v>1</v>
      </c>
      <c r="G830" s="302" t="s">
        <v>9217</v>
      </c>
      <c r="H830" s="585" t="s">
        <v>9218</v>
      </c>
      <c r="I830" s="319" t="s">
        <v>1315</v>
      </c>
      <c r="J830" s="494" t="s">
        <v>9219</v>
      </c>
      <c r="K830" s="1010">
        <v>46054</v>
      </c>
      <c r="Q830" s="481"/>
    </row>
    <row r="831" spans="2:17" ht="31.2" x14ac:dyDescent="0.3">
      <c r="B831" s="787" t="s">
        <v>551</v>
      </c>
      <c r="C831" s="789" t="s">
        <v>552</v>
      </c>
      <c r="D831" s="146" t="s">
        <v>190</v>
      </c>
      <c r="E831" s="147" t="s">
        <v>515</v>
      </c>
      <c r="F831" s="504">
        <v>1</v>
      </c>
      <c r="G831" s="302" t="s">
        <v>9220</v>
      </c>
      <c r="H831" s="585" t="s">
        <v>9221</v>
      </c>
      <c r="I831" s="319" t="s">
        <v>1315</v>
      </c>
      <c r="J831" s="494" t="s">
        <v>9222</v>
      </c>
      <c r="K831" s="1010">
        <v>46054</v>
      </c>
      <c r="Q831" s="481"/>
    </row>
    <row r="832" spans="2:17" ht="31.2" x14ac:dyDescent="0.3">
      <c r="B832" s="787" t="s">
        <v>551</v>
      </c>
      <c r="C832" s="789" t="s">
        <v>552</v>
      </c>
      <c r="D832" s="146" t="s">
        <v>190</v>
      </c>
      <c r="E832" s="147" t="s">
        <v>515</v>
      </c>
      <c r="F832" s="504">
        <v>1</v>
      </c>
      <c r="G832" s="302" t="s">
        <v>9223</v>
      </c>
      <c r="H832" s="585" t="s">
        <v>9221</v>
      </c>
      <c r="I832" s="319" t="s">
        <v>1315</v>
      </c>
      <c r="J832" s="584" t="s">
        <v>9224</v>
      </c>
      <c r="K832" s="1010">
        <v>46054</v>
      </c>
      <c r="Q832" s="481"/>
    </row>
    <row r="833" spans="2:17" ht="31.2" x14ac:dyDescent="0.3">
      <c r="B833" s="787" t="s">
        <v>551</v>
      </c>
      <c r="C833" s="789" t="s">
        <v>552</v>
      </c>
      <c r="D833" s="146" t="s">
        <v>190</v>
      </c>
      <c r="E833" s="147" t="s">
        <v>515</v>
      </c>
      <c r="F833" s="504">
        <v>1</v>
      </c>
      <c r="G833" s="302" t="s">
        <v>9225</v>
      </c>
      <c r="H833" s="1049" t="s">
        <v>9226</v>
      </c>
      <c r="I833" s="319" t="s">
        <v>946</v>
      </c>
      <c r="J833" s="584" t="s">
        <v>9227</v>
      </c>
      <c r="K833" s="1010">
        <v>46082</v>
      </c>
      <c r="Q833" s="481"/>
    </row>
    <row r="834" spans="2:17" ht="31.2" x14ac:dyDescent="0.3">
      <c r="B834" s="787" t="s">
        <v>551</v>
      </c>
      <c r="C834" s="789" t="s">
        <v>552</v>
      </c>
      <c r="D834" s="146" t="s">
        <v>190</v>
      </c>
      <c r="E834" s="147" t="s">
        <v>515</v>
      </c>
      <c r="F834" s="504">
        <v>1</v>
      </c>
      <c r="G834" s="302" t="s">
        <v>9228</v>
      </c>
      <c r="H834" s="1049" t="s">
        <v>9226</v>
      </c>
      <c r="I834" s="319" t="s">
        <v>946</v>
      </c>
      <c r="J834" s="584" t="s">
        <v>9229</v>
      </c>
      <c r="K834" s="1010">
        <v>46082</v>
      </c>
      <c r="Q834" s="481"/>
    </row>
    <row r="835" spans="2:17" ht="31.2" x14ac:dyDescent="0.3">
      <c r="B835" s="787" t="s">
        <v>551</v>
      </c>
      <c r="C835" s="789" t="s">
        <v>552</v>
      </c>
      <c r="D835" s="146" t="s">
        <v>190</v>
      </c>
      <c r="E835" s="147" t="s">
        <v>515</v>
      </c>
      <c r="F835" s="504">
        <v>1</v>
      </c>
      <c r="G835" s="302" t="s">
        <v>9230</v>
      </c>
      <c r="H835" s="1049" t="s">
        <v>9231</v>
      </c>
      <c r="I835" s="319" t="s">
        <v>946</v>
      </c>
      <c r="J835" s="494" t="s">
        <v>9232</v>
      </c>
      <c r="K835" s="1010">
        <v>46082</v>
      </c>
      <c r="Q835" s="481"/>
    </row>
    <row r="836" spans="2:17" ht="31.2" x14ac:dyDescent="0.3">
      <c r="B836" s="787" t="s">
        <v>551</v>
      </c>
      <c r="C836" s="789" t="s">
        <v>552</v>
      </c>
      <c r="D836" s="146" t="s">
        <v>190</v>
      </c>
      <c r="E836" s="147" t="s">
        <v>515</v>
      </c>
      <c r="F836" s="504">
        <v>1</v>
      </c>
      <c r="G836" s="302" t="s">
        <v>9233</v>
      </c>
      <c r="H836" s="1049" t="s">
        <v>9234</v>
      </c>
      <c r="I836" s="319" t="s">
        <v>946</v>
      </c>
      <c r="J836" s="584" t="s">
        <v>9235</v>
      </c>
      <c r="K836" s="1010">
        <v>46082</v>
      </c>
      <c r="Q836" s="481"/>
    </row>
    <row r="837" spans="2:17" ht="31.2" x14ac:dyDescent="0.3">
      <c r="B837" s="787" t="s">
        <v>551</v>
      </c>
      <c r="C837" s="789" t="s">
        <v>552</v>
      </c>
      <c r="D837" s="146" t="s">
        <v>190</v>
      </c>
      <c r="E837" s="147" t="s">
        <v>515</v>
      </c>
      <c r="F837" s="504">
        <v>1</v>
      </c>
      <c r="G837" s="302" t="s">
        <v>9236</v>
      </c>
      <c r="H837" s="1049" t="s">
        <v>4613</v>
      </c>
      <c r="I837" s="319" t="s">
        <v>946</v>
      </c>
      <c r="J837" s="494" t="s">
        <v>9237</v>
      </c>
      <c r="K837" s="1010">
        <v>46082</v>
      </c>
      <c r="Q837" s="481"/>
    </row>
    <row r="838" spans="2:17" ht="31.2" x14ac:dyDescent="0.3">
      <c r="B838" s="787" t="s">
        <v>551</v>
      </c>
      <c r="C838" s="789" t="s">
        <v>552</v>
      </c>
      <c r="D838" s="146" t="s">
        <v>190</v>
      </c>
      <c r="E838" s="147" t="s">
        <v>515</v>
      </c>
      <c r="F838" s="504">
        <v>1</v>
      </c>
      <c r="G838" s="302" t="s">
        <v>9238</v>
      </c>
      <c r="H838" s="1049" t="s">
        <v>9239</v>
      </c>
      <c r="I838" s="319" t="s">
        <v>946</v>
      </c>
      <c r="J838" s="584" t="s">
        <v>9240</v>
      </c>
      <c r="K838" s="1010">
        <v>46082</v>
      </c>
      <c r="Q838" s="481"/>
    </row>
    <row r="839" spans="2:17" ht="31.2" x14ac:dyDescent="0.3">
      <c r="B839" s="787" t="s">
        <v>551</v>
      </c>
      <c r="C839" s="789" t="s">
        <v>552</v>
      </c>
      <c r="D839" s="146" t="s">
        <v>190</v>
      </c>
      <c r="E839" s="147" t="s">
        <v>515</v>
      </c>
      <c r="F839" s="504">
        <v>1</v>
      </c>
      <c r="G839" s="302" t="s">
        <v>9241</v>
      </c>
      <c r="H839" s="1049" t="s">
        <v>9242</v>
      </c>
      <c r="I839" s="319" t="s">
        <v>946</v>
      </c>
      <c r="J839" s="494" t="s">
        <v>9243</v>
      </c>
      <c r="K839" s="1010">
        <v>46082</v>
      </c>
      <c r="Q839" s="481"/>
    </row>
    <row r="840" spans="2:17" ht="31.2" x14ac:dyDescent="0.3">
      <c r="B840" s="787" t="s">
        <v>551</v>
      </c>
      <c r="C840" s="789" t="s">
        <v>552</v>
      </c>
      <c r="D840" s="146" t="s">
        <v>190</v>
      </c>
      <c r="E840" s="147" t="s">
        <v>515</v>
      </c>
      <c r="F840" s="504">
        <v>1</v>
      </c>
      <c r="G840" s="302" t="s">
        <v>9244</v>
      </c>
      <c r="H840" s="1049" t="s">
        <v>9245</v>
      </c>
      <c r="I840" s="319" t="s">
        <v>946</v>
      </c>
      <c r="J840" s="494" t="s">
        <v>9246</v>
      </c>
      <c r="K840" s="1010">
        <v>46082</v>
      </c>
      <c r="Q840" s="481"/>
    </row>
    <row r="841" spans="2:17" ht="31.2" x14ac:dyDescent="0.3">
      <c r="B841" s="787" t="s">
        <v>551</v>
      </c>
      <c r="C841" s="789" t="s">
        <v>552</v>
      </c>
      <c r="D841" s="146" t="s">
        <v>190</v>
      </c>
      <c r="E841" s="147" t="s">
        <v>515</v>
      </c>
      <c r="F841" s="504">
        <v>1</v>
      </c>
      <c r="G841" s="302" t="s">
        <v>9247</v>
      </c>
      <c r="H841" s="1049" t="s">
        <v>9248</v>
      </c>
      <c r="I841" s="319" t="s">
        <v>946</v>
      </c>
      <c r="J841" s="494" t="s">
        <v>9249</v>
      </c>
      <c r="K841" s="1010">
        <v>46082</v>
      </c>
      <c r="Q841" s="481"/>
    </row>
    <row r="842" spans="2:17" ht="31.2" x14ac:dyDescent="0.3">
      <c r="B842" s="787" t="s">
        <v>551</v>
      </c>
      <c r="C842" s="789" t="s">
        <v>552</v>
      </c>
      <c r="D842" s="146" t="s">
        <v>190</v>
      </c>
      <c r="E842" s="147" t="s">
        <v>515</v>
      </c>
      <c r="F842" s="504">
        <v>1</v>
      </c>
      <c r="G842" s="302" t="s">
        <v>9250</v>
      </c>
      <c r="H842" s="1049" t="s">
        <v>4616</v>
      </c>
      <c r="I842" s="319" t="s">
        <v>946</v>
      </c>
      <c r="J842" s="494" t="s">
        <v>9251</v>
      </c>
      <c r="K842" s="1010">
        <v>46082</v>
      </c>
      <c r="Q842" s="481"/>
    </row>
    <row r="843" spans="2:17" ht="31.2" x14ac:dyDescent="0.3">
      <c r="B843" s="787" t="s">
        <v>551</v>
      </c>
      <c r="C843" s="789" t="s">
        <v>552</v>
      </c>
      <c r="D843" s="146" t="s">
        <v>190</v>
      </c>
      <c r="E843" s="147" t="s">
        <v>515</v>
      </c>
      <c r="F843" s="504">
        <v>1</v>
      </c>
      <c r="G843" s="302" t="s">
        <v>9252</v>
      </c>
      <c r="H843" s="1049" t="s">
        <v>9253</v>
      </c>
      <c r="I843" s="319" t="s">
        <v>946</v>
      </c>
      <c r="J843" s="584" t="s">
        <v>9254</v>
      </c>
      <c r="K843" s="1010">
        <v>46082</v>
      </c>
      <c r="Q843" s="481"/>
    </row>
    <row r="844" spans="2:17" ht="31.2" x14ac:dyDescent="0.3">
      <c r="B844" s="787" t="s">
        <v>551</v>
      </c>
      <c r="C844" s="789" t="s">
        <v>552</v>
      </c>
      <c r="D844" s="146" t="s">
        <v>190</v>
      </c>
      <c r="E844" s="147" t="s">
        <v>515</v>
      </c>
      <c r="F844" s="504">
        <v>1</v>
      </c>
      <c r="G844" s="302" t="s">
        <v>9255</v>
      </c>
      <c r="H844" s="1049" t="s">
        <v>9256</v>
      </c>
      <c r="I844" s="319" t="s">
        <v>946</v>
      </c>
      <c r="J844" s="584" t="s">
        <v>9257</v>
      </c>
      <c r="K844" s="1010">
        <v>46082</v>
      </c>
      <c r="Q844" s="481"/>
    </row>
    <row r="845" spans="2:17" ht="31.2" x14ac:dyDescent="0.3">
      <c r="B845" s="787" t="s">
        <v>551</v>
      </c>
      <c r="C845" s="789" t="s">
        <v>552</v>
      </c>
      <c r="D845" s="146" t="s">
        <v>190</v>
      </c>
      <c r="E845" s="147" t="s">
        <v>515</v>
      </c>
      <c r="F845" s="504">
        <v>1</v>
      </c>
      <c r="G845" s="302" t="s">
        <v>9258</v>
      </c>
      <c r="H845" s="1049" t="s">
        <v>9259</v>
      </c>
      <c r="I845" s="319" t="s">
        <v>1053</v>
      </c>
      <c r="J845" s="584" t="s">
        <v>9260</v>
      </c>
      <c r="K845" s="1010">
        <v>46113</v>
      </c>
      <c r="Q845" s="481"/>
    </row>
    <row r="846" spans="2:17" ht="31.2" x14ac:dyDescent="0.3">
      <c r="B846" s="787" t="s">
        <v>551</v>
      </c>
      <c r="C846" s="789" t="s">
        <v>552</v>
      </c>
      <c r="D846" s="146" t="s">
        <v>190</v>
      </c>
      <c r="E846" s="147" t="s">
        <v>515</v>
      </c>
      <c r="F846" s="504">
        <v>1</v>
      </c>
      <c r="G846" s="302" t="s">
        <v>9261</v>
      </c>
      <c r="H846" s="1049" t="s">
        <v>9262</v>
      </c>
      <c r="I846" s="319" t="s">
        <v>1053</v>
      </c>
      <c r="J846" s="584" t="s">
        <v>9263</v>
      </c>
      <c r="K846" s="1010">
        <v>46113</v>
      </c>
      <c r="Q846" s="481"/>
    </row>
    <row r="847" spans="2:17" ht="31.2" x14ac:dyDescent="0.3">
      <c r="B847" s="787" t="s">
        <v>551</v>
      </c>
      <c r="C847" s="789" t="s">
        <v>552</v>
      </c>
      <c r="D847" s="146" t="s">
        <v>190</v>
      </c>
      <c r="E847" s="147" t="s">
        <v>515</v>
      </c>
      <c r="F847" s="504">
        <v>1</v>
      </c>
      <c r="G847" s="302" t="s">
        <v>9264</v>
      </c>
      <c r="H847" s="1049" t="s">
        <v>9265</v>
      </c>
      <c r="I847" s="319" t="s">
        <v>1053</v>
      </c>
      <c r="J847" s="584" t="s">
        <v>9266</v>
      </c>
      <c r="K847" s="1010">
        <v>46113</v>
      </c>
      <c r="Q847" s="481"/>
    </row>
    <row r="848" spans="2:17" ht="31.2" x14ac:dyDescent="0.3">
      <c r="B848" s="787" t="s">
        <v>551</v>
      </c>
      <c r="C848" s="789" t="s">
        <v>552</v>
      </c>
      <c r="D848" s="146" t="s">
        <v>190</v>
      </c>
      <c r="E848" s="147" t="s">
        <v>515</v>
      </c>
      <c r="F848" s="504">
        <v>1</v>
      </c>
      <c r="G848" s="302" t="s">
        <v>9267</v>
      </c>
      <c r="H848" s="1049" t="s">
        <v>9268</v>
      </c>
      <c r="I848" s="319" t="s">
        <v>1053</v>
      </c>
      <c r="J848" s="584" t="s">
        <v>9269</v>
      </c>
      <c r="K848" s="1010">
        <v>46113</v>
      </c>
      <c r="Q848" s="481"/>
    </row>
    <row r="849" spans="2:17" ht="31.2" x14ac:dyDescent="0.3">
      <c r="B849" s="787" t="s">
        <v>551</v>
      </c>
      <c r="C849" s="789" t="s">
        <v>552</v>
      </c>
      <c r="D849" s="146" t="s">
        <v>190</v>
      </c>
      <c r="E849" s="147" t="s">
        <v>515</v>
      </c>
      <c r="F849" s="504">
        <v>1</v>
      </c>
      <c r="G849" s="302" t="s">
        <v>9270</v>
      </c>
      <c r="H849" s="1049" t="s">
        <v>9271</v>
      </c>
      <c r="I849" s="319" t="s">
        <v>1053</v>
      </c>
      <c r="J849" s="584" t="s">
        <v>9272</v>
      </c>
      <c r="K849" s="1010">
        <v>46113</v>
      </c>
      <c r="Q849" s="481"/>
    </row>
    <row r="850" spans="2:17" ht="31.2" x14ac:dyDescent="0.3">
      <c r="B850" s="787" t="s">
        <v>551</v>
      </c>
      <c r="C850" s="789" t="s">
        <v>552</v>
      </c>
      <c r="D850" s="146" t="s">
        <v>190</v>
      </c>
      <c r="E850" s="147" t="s">
        <v>515</v>
      </c>
      <c r="F850" s="504">
        <v>1</v>
      </c>
      <c r="G850" s="302" t="s">
        <v>9273</v>
      </c>
      <c r="H850" s="1049" t="s">
        <v>9274</v>
      </c>
      <c r="I850" s="319" t="s">
        <v>1053</v>
      </c>
      <c r="J850" s="584" t="s">
        <v>9275</v>
      </c>
      <c r="K850" s="1010">
        <v>46113</v>
      </c>
      <c r="Q850" s="481"/>
    </row>
    <row r="851" spans="2:17" ht="31.2" x14ac:dyDescent="0.3">
      <c r="B851" s="787" t="s">
        <v>551</v>
      </c>
      <c r="C851" s="789" t="s">
        <v>552</v>
      </c>
      <c r="D851" s="146" t="s">
        <v>190</v>
      </c>
      <c r="E851" s="147" t="s">
        <v>515</v>
      </c>
      <c r="F851" s="504">
        <v>1</v>
      </c>
      <c r="G851" s="302" t="s">
        <v>9276</v>
      </c>
      <c r="H851" s="1049" t="s">
        <v>9277</v>
      </c>
      <c r="I851" s="319" t="s">
        <v>1053</v>
      </c>
      <c r="J851" s="584" t="s">
        <v>9278</v>
      </c>
      <c r="K851" s="1010">
        <v>46113</v>
      </c>
      <c r="Q851" s="481"/>
    </row>
    <row r="852" spans="2:17" ht="31.2" x14ac:dyDescent="0.3">
      <c r="B852" s="787" t="s">
        <v>551</v>
      </c>
      <c r="C852" s="789" t="s">
        <v>552</v>
      </c>
      <c r="D852" s="146" t="s">
        <v>190</v>
      </c>
      <c r="E852" s="147" t="s">
        <v>515</v>
      </c>
      <c r="F852" s="504">
        <v>1</v>
      </c>
      <c r="G852" s="302" t="s">
        <v>9279</v>
      </c>
      <c r="H852" s="1049" t="s">
        <v>9280</v>
      </c>
      <c r="I852" s="319" t="s">
        <v>1579</v>
      </c>
      <c r="J852" s="584" t="s">
        <v>9281</v>
      </c>
      <c r="K852" s="1010">
        <v>46143</v>
      </c>
      <c r="Q852" s="481"/>
    </row>
    <row r="853" spans="2:17" ht="31.2" x14ac:dyDescent="0.3">
      <c r="B853" s="787" t="s">
        <v>551</v>
      </c>
      <c r="C853" s="789" t="s">
        <v>552</v>
      </c>
      <c r="D853" s="146" t="s">
        <v>190</v>
      </c>
      <c r="E853" s="147" t="s">
        <v>515</v>
      </c>
      <c r="F853" s="504">
        <v>1</v>
      </c>
      <c r="G853" s="302" t="s">
        <v>9282</v>
      </c>
      <c r="H853" s="1049" t="s">
        <v>9283</v>
      </c>
      <c r="I853" s="319" t="s">
        <v>1579</v>
      </c>
      <c r="J853" s="584" t="s">
        <v>9284</v>
      </c>
      <c r="K853" s="1010">
        <v>46143</v>
      </c>
      <c r="Q853" s="481"/>
    </row>
    <row r="854" spans="2:17" ht="31.2" x14ac:dyDescent="0.3">
      <c r="B854" s="787" t="s">
        <v>551</v>
      </c>
      <c r="C854" s="789" t="s">
        <v>552</v>
      </c>
      <c r="D854" s="146" t="s">
        <v>190</v>
      </c>
      <c r="E854" s="147" t="s">
        <v>515</v>
      </c>
      <c r="F854" s="504">
        <v>1</v>
      </c>
      <c r="G854" s="302" t="s">
        <v>9285</v>
      </c>
      <c r="H854" s="1049" t="s">
        <v>9286</v>
      </c>
      <c r="I854" s="319" t="s">
        <v>1579</v>
      </c>
      <c r="J854" s="584" t="s">
        <v>9287</v>
      </c>
      <c r="K854" s="1010">
        <v>46143</v>
      </c>
      <c r="Q854" s="481"/>
    </row>
    <row r="855" spans="2:17" ht="31.2" x14ac:dyDescent="0.3">
      <c r="B855" s="787" t="s">
        <v>551</v>
      </c>
      <c r="C855" s="789" t="s">
        <v>552</v>
      </c>
      <c r="D855" s="146" t="s">
        <v>190</v>
      </c>
      <c r="E855" s="147" t="s">
        <v>515</v>
      </c>
      <c r="F855" s="504">
        <v>1</v>
      </c>
      <c r="G855" s="302" t="s">
        <v>9288</v>
      </c>
      <c r="H855" s="1049" t="s">
        <v>9289</v>
      </c>
      <c r="I855" s="319" t="s">
        <v>1579</v>
      </c>
      <c r="J855" s="584" t="s">
        <v>539</v>
      </c>
      <c r="K855" s="1010">
        <v>46143</v>
      </c>
      <c r="Q855" s="481"/>
    </row>
    <row r="856" spans="2:17" ht="31.2" x14ac:dyDescent="0.3">
      <c r="B856" s="787" t="s">
        <v>551</v>
      </c>
      <c r="C856" s="789" t="s">
        <v>552</v>
      </c>
      <c r="D856" s="146" t="s">
        <v>190</v>
      </c>
      <c r="E856" s="147" t="s">
        <v>515</v>
      </c>
      <c r="F856" s="504">
        <v>1</v>
      </c>
      <c r="G856" s="302" t="s">
        <v>9290</v>
      </c>
      <c r="H856" s="1049" t="s">
        <v>9291</v>
      </c>
      <c r="I856" s="319" t="s">
        <v>1579</v>
      </c>
      <c r="J856" s="584" t="s">
        <v>525</v>
      </c>
      <c r="K856" s="1010">
        <v>46143</v>
      </c>
      <c r="Q856" s="481"/>
    </row>
    <row r="857" spans="2:17" ht="31.2" x14ac:dyDescent="0.3">
      <c r="B857" s="787" t="s">
        <v>551</v>
      </c>
      <c r="C857" s="789" t="s">
        <v>552</v>
      </c>
      <c r="D857" s="146" t="s">
        <v>190</v>
      </c>
      <c r="E857" s="147" t="s">
        <v>515</v>
      </c>
      <c r="F857" s="504">
        <v>1</v>
      </c>
      <c r="G857" s="302" t="s">
        <v>9292</v>
      </c>
      <c r="H857" s="1049" t="s">
        <v>9293</v>
      </c>
      <c r="I857" s="319" t="s">
        <v>1579</v>
      </c>
      <c r="J857" s="584" t="s">
        <v>714</v>
      </c>
      <c r="K857" s="1010">
        <v>46143</v>
      </c>
      <c r="Q857" s="481"/>
    </row>
    <row r="858" spans="2:17" ht="31.2" x14ac:dyDescent="0.3">
      <c r="B858" s="787" t="s">
        <v>551</v>
      </c>
      <c r="C858" s="789" t="s">
        <v>552</v>
      </c>
      <c r="D858" s="146" t="s">
        <v>190</v>
      </c>
      <c r="E858" s="147" t="s">
        <v>515</v>
      </c>
      <c r="F858" s="504">
        <v>1</v>
      </c>
      <c r="G858" s="302" t="s">
        <v>9294</v>
      </c>
      <c r="H858" s="1049" t="s">
        <v>9295</v>
      </c>
      <c r="I858" s="319" t="s">
        <v>1579</v>
      </c>
      <c r="J858" s="584" t="s">
        <v>9296</v>
      </c>
      <c r="K858" s="1010">
        <v>46143</v>
      </c>
      <c r="Q858" s="481"/>
    </row>
    <row r="859" spans="2:17" ht="31.2" x14ac:dyDescent="0.3">
      <c r="B859" s="787" t="s">
        <v>551</v>
      </c>
      <c r="C859" s="789" t="s">
        <v>552</v>
      </c>
      <c r="D859" s="146" t="s">
        <v>190</v>
      </c>
      <c r="E859" s="147" t="s">
        <v>515</v>
      </c>
      <c r="F859" s="504">
        <v>1</v>
      </c>
      <c r="G859" s="302" t="s">
        <v>9297</v>
      </c>
      <c r="H859" s="1049" t="s">
        <v>5944</v>
      </c>
      <c r="I859" s="319" t="s">
        <v>949</v>
      </c>
      <c r="J859" s="584" t="s">
        <v>9298</v>
      </c>
      <c r="K859" s="1010">
        <v>46174</v>
      </c>
      <c r="Q859" s="481"/>
    </row>
    <row r="860" spans="2:17" ht="31.2" x14ac:dyDescent="0.3">
      <c r="B860" s="787" t="s">
        <v>551</v>
      </c>
      <c r="C860" s="789" t="s">
        <v>552</v>
      </c>
      <c r="D860" s="146" t="s">
        <v>190</v>
      </c>
      <c r="E860" s="147" t="s">
        <v>515</v>
      </c>
      <c r="F860" s="504">
        <v>1</v>
      </c>
      <c r="G860" s="302" t="s">
        <v>9299</v>
      </c>
      <c r="H860" s="1049" t="s">
        <v>9300</v>
      </c>
      <c r="I860" s="319" t="s">
        <v>949</v>
      </c>
      <c r="J860" s="584" t="s">
        <v>9301</v>
      </c>
      <c r="K860" s="1010">
        <v>46174</v>
      </c>
      <c r="Q860" s="481"/>
    </row>
    <row r="861" spans="2:17" ht="31.2" x14ac:dyDescent="0.3">
      <c r="B861" s="787" t="s">
        <v>551</v>
      </c>
      <c r="C861" s="789" t="s">
        <v>552</v>
      </c>
      <c r="D861" s="146" t="s">
        <v>190</v>
      </c>
      <c r="E861" s="147" t="s">
        <v>515</v>
      </c>
      <c r="F861" s="504">
        <v>1</v>
      </c>
      <c r="G861" s="302" t="s">
        <v>9302</v>
      </c>
      <c r="H861" s="1049" t="s">
        <v>9303</v>
      </c>
      <c r="I861" s="319" t="s">
        <v>949</v>
      </c>
      <c r="J861" s="584" t="s">
        <v>9304</v>
      </c>
      <c r="K861" s="1010">
        <v>46174</v>
      </c>
      <c r="Q861" s="481"/>
    </row>
    <row r="862" spans="2:17" ht="31.2" x14ac:dyDescent="0.3">
      <c r="B862" s="787" t="s">
        <v>551</v>
      </c>
      <c r="C862" s="789" t="s">
        <v>552</v>
      </c>
      <c r="D862" s="146" t="s">
        <v>190</v>
      </c>
      <c r="E862" s="147" t="s">
        <v>515</v>
      </c>
      <c r="F862" s="504">
        <v>1</v>
      </c>
      <c r="G862" s="302" t="s">
        <v>9305</v>
      </c>
      <c r="H862" s="1049" t="s">
        <v>9306</v>
      </c>
      <c r="I862" s="319" t="s">
        <v>949</v>
      </c>
      <c r="J862" s="584" t="s">
        <v>716</v>
      </c>
      <c r="K862" s="1010">
        <v>46174</v>
      </c>
      <c r="Q862" s="481"/>
    </row>
    <row r="863" spans="2:17" ht="31.2" x14ac:dyDescent="0.3">
      <c r="B863" s="787" t="s">
        <v>551</v>
      </c>
      <c r="C863" s="789" t="s">
        <v>552</v>
      </c>
      <c r="D863" s="146" t="s">
        <v>190</v>
      </c>
      <c r="E863" s="147" t="s">
        <v>515</v>
      </c>
      <c r="F863" s="504">
        <v>1</v>
      </c>
      <c r="G863" s="302" t="s">
        <v>9307</v>
      </c>
      <c r="H863" s="1049" t="s">
        <v>9308</v>
      </c>
      <c r="I863" s="319" t="s">
        <v>949</v>
      </c>
      <c r="J863" s="584" t="s">
        <v>9309</v>
      </c>
      <c r="K863" s="1010">
        <v>46174</v>
      </c>
      <c r="Q863" s="481"/>
    </row>
    <row r="864" spans="2:17" ht="31.2" x14ac:dyDescent="0.3">
      <c r="B864" s="787" t="s">
        <v>551</v>
      </c>
      <c r="C864" s="789" t="s">
        <v>552</v>
      </c>
      <c r="D864" s="146" t="s">
        <v>190</v>
      </c>
      <c r="E864" s="147" t="s">
        <v>515</v>
      </c>
      <c r="F864" s="504">
        <v>1</v>
      </c>
      <c r="G864" s="302" t="s">
        <v>9310</v>
      </c>
      <c r="H864" s="1049" t="s">
        <v>4628</v>
      </c>
      <c r="I864" s="319" t="s">
        <v>949</v>
      </c>
      <c r="J864" s="584" t="s">
        <v>9311</v>
      </c>
      <c r="K864" s="1010">
        <v>46174</v>
      </c>
      <c r="Q864" s="481"/>
    </row>
    <row r="865" spans="2:17" ht="31.2" x14ac:dyDescent="0.3">
      <c r="B865" s="787" t="s">
        <v>551</v>
      </c>
      <c r="C865" s="789" t="s">
        <v>552</v>
      </c>
      <c r="D865" s="146" t="s">
        <v>190</v>
      </c>
      <c r="E865" s="147" t="s">
        <v>515</v>
      </c>
      <c r="F865" s="504">
        <v>1</v>
      </c>
      <c r="G865" s="302" t="s">
        <v>9312</v>
      </c>
      <c r="H865" s="1049" t="s">
        <v>4628</v>
      </c>
      <c r="I865" s="319" t="s">
        <v>949</v>
      </c>
      <c r="J865" s="584" t="s">
        <v>9313</v>
      </c>
      <c r="K865" s="1010">
        <v>46174</v>
      </c>
      <c r="Q865" s="481"/>
    </row>
    <row r="866" spans="2:17" ht="31.2" x14ac:dyDescent="0.3">
      <c r="B866" s="787" t="s">
        <v>551</v>
      </c>
      <c r="C866" s="789" t="s">
        <v>552</v>
      </c>
      <c r="D866" s="146" t="s">
        <v>190</v>
      </c>
      <c r="E866" s="147" t="s">
        <v>515</v>
      </c>
      <c r="F866" s="1195">
        <v>1</v>
      </c>
      <c r="G866" s="302" t="s">
        <v>9314</v>
      </c>
      <c r="H866" s="1049" t="s">
        <v>4631</v>
      </c>
      <c r="I866" s="1521" t="s">
        <v>119</v>
      </c>
      <c r="J866" s="584" t="s">
        <v>691</v>
      </c>
      <c r="K866" s="1010">
        <v>46204</v>
      </c>
      <c r="Q866" s="481"/>
    </row>
    <row r="867" spans="2:17" ht="31.2" x14ac:dyDescent="0.3">
      <c r="B867" s="787" t="s">
        <v>551</v>
      </c>
      <c r="C867" s="789" t="s">
        <v>552</v>
      </c>
      <c r="D867" s="146" t="s">
        <v>190</v>
      </c>
      <c r="E867" s="147" t="s">
        <v>515</v>
      </c>
      <c r="F867" s="1195">
        <v>1</v>
      </c>
      <c r="G867" s="302" t="s">
        <v>9315</v>
      </c>
      <c r="H867" s="1049" t="s">
        <v>4631</v>
      </c>
      <c r="I867" s="1521" t="s">
        <v>119</v>
      </c>
      <c r="J867" s="584" t="s">
        <v>746</v>
      </c>
      <c r="K867" s="1010">
        <v>46204</v>
      </c>
      <c r="Q867" s="481"/>
    </row>
    <row r="868" spans="2:17" ht="31.2" x14ac:dyDescent="0.3">
      <c r="B868" s="787" t="s">
        <v>551</v>
      </c>
      <c r="C868" s="789" t="s">
        <v>552</v>
      </c>
      <c r="D868" s="146" t="s">
        <v>190</v>
      </c>
      <c r="E868" s="147" t="s">
        <v>515</v>
      </c>
      <c r="F868" s="1195">
        <v>1</v>
      </c>
      <c r="G868" s="302" t="s">
        <v>9316</v>
      </c>
      <c r="H868" s="1049" t="s">
        <v>9317</v>
      </c>
      <c r="I868" s="1521" t="s">
        <v>119</v>
      </c>
      <c r="J868" s="584" t="s">
        <v>554</v>
      </c>
      <c r="K868" s="1010">
        <v>46204</v>
      </c>
      <c r="Q868" s="481"/>
    </row>
    <row r="869" spans="2:17" ht="31.2" x14ac:dyDescent="0.3">
      <c r="B869" s="787" t="s">
        <v>551</v>
      </c>
      <c r="C869" s="789" t="s">
        <v>552</v>
      </c>
      <c r="D869" s="146" t="s">
        <v>190</v>
      </c>
      <c r="E869" s="147" t="s">
        <v>515</v>
      </c>
      <c r="F869" s="1195">
        <v>1</v>
      </c>
      <c r="G869" s="302" t="s">
        <v>9318</v>
      </c>
      <c r="H869" s="1049" t="s">
        <v>9319</v>
      </c>
      <c r="I869" s="1521" t="s">
        <v>119</v>
      </c>
      <c r="J869" s="584" t="s">
        <v>616</v>
      </c>
      <c r="K869" s="1010">
        <v>46204</v>
      </c>
      <c r="Q869" s="481"/>
    </row>
    <row r="870" spans="2:17" ht="31.2" x14ac:dyDescent="0.3">
      <c r="B870" s="787" t="s">
        <v>551</v>
      </c>
      <c r="C870" s="789" t="s">
        <v>552</v>
      </c>
      <c r="D870" s="146" t="s">
        <v>190</v>
      </c>
      <c r="E870" s="147" t="s">
        <v>515</v>
      </c>
      <c r="F870" s="1195">
        <v>1</v>
      </c>
      <c r="G870" s="302" t="s">
        <v>9320</v>
      </c>
      <c r="H870" s="1049" t="s">
        <v>9321</v>
      </c>
      <c r="I870" s="1521" t="s">
        <v>119</v>
      </c>
      <c r="J870" s="584" t="s">
        <v>652</v>
      </c>
      <c r="K870" s="1010">
        <v>46204</v>
      </c>
      <c r="Q870" s="481"/>
    </row>
    <row r="871" spans="2:17" ht="31.2" x14ac:dyDescent="0.3">
      <c r="B871" s="787" t="s">
        <v>551</v>
      </c>
      <c r="C871" s="789" t="s">
        <v>552</v>
      </c>
      <c r="D871" s="146" t="s">
        <v>190</v>
      </c>
      <c r="E871" s="147" t="s">
        <v>515</v>
      </c>
      <c r="F871" s="1195">
        <v>1</v>
      </c>
      <c r="G871" s="302" t="s">
        <v>9322</v>
      </c>
      <c r="H871" s="1049" t="s">
        <v>9323</v>
      </c>
      <c r="I871" s="1521" t="s">
        <v>119</v>
      </c>
      <c r="J871" s="584" t="s">
        <v>708</v>
      </c>
      <c r="K871" s="1010">
        <v>46204</v>
      </c>
      <c r="Q871" s="481"/>
    </row>
    <row r="872" spans="2:17" ht="31.2" x14ac:dyDescent="0.3">
      <c r="B872" s="787" t="s">
        <v>551</v>
      </c>
      <c r="C872" s="789" t="s">
        <v>552</v>
      </c>
      <c r="D872" s="146" t="s">
        <v>190</v>
      </c>
      <c r="E872" s="147" t="s">
        <v>515</v>
      </c>
      <c r="F872" s="1195">
        <v>1</v>
      </c>
      <c r="G872" s="302" t="s">
        <v>9324</v>
      </c>
      <c r="H872" s="1049" t="s">
        <v>9325</v>
      </c>
      <c r="I872" s="1521" t="s">
        <v>119</v>
      </c>
      <c r="J872" s="584" t="s">
        <v>710</v>
      </c>
      <c r="K872" s="1010">
        <v>46204</v>
      </c>
      <c r="Q872" s="481"/>
    </row>
    <row r="873" spans="2:17" ht="31.2" x14ac:dyDescent="0.3">
      <c r="B873" s="787" t="s">
        <v>551</v>
      </c>
      <c r="C873" s="789" t="s">
        <v>552</v>
      </c>
      <c r="D873" s="146" t="s">
        <v>190</v>
      </c>
      <c r="E873" s="147" t="s">
        <v>515</v>
      </c>
      <c r="F873" s="1195">
        <v>1</v>
      </c>
      <c r="G873" s="302" t="s">
        <v>9326</v>
      </c>
      <c r="H873" s="1049" t="s">
        <v>9327</v>
      </c>
      <c r="I873" s="1521" t="s">
        <v>119</v>
      </c>
      <c r="J873" s="584" t="s">
        <v>644</v>
      </c>
      <c r="K873" s="1010">
        <v>46204</v>
      </c>
      <c r="Q873" s="481"/>
    </row>
    <row r="874" spans="2:17" ht="31.2" x14ac:dyDescent="0.3">
      <c r="B874" s="787" t="s">
        <v>551</v>
      </c>
      <c r="C874" s="789" t="s">
        <v>552</v>
      </c>
      <c r="D874" s="146" t="s">
        <v>190</v>
      </c>
      <c r="E874" s="147" t="s">
        <v>515</v>
      </c>
      <c r="F874" s="1195">
        <v>1</v>
      </c>
      <c r="G874" s="302" t="s">
        <v>9328</v>
      </c>
      <c r="H874" s="1049" t="s">
        <v>9329</v>
      </c>
      <c r="I874" s="1521" t="s">
        <v>119</v>
      </c>
      <c r="J874" s="584" t="s">
        <v>668</v>
      </c>
      <c r="K874" s="1010">
        <v>46204</v>
      </c>
      <c r="Q874" s="481"/>
    </row>
    <row r="875" spans="2:17" ht="31.2" x14ac:dyDescent="0.3">
      <c r="B875" s="787" t="s">
        <v>551</v>
      </c>
      <c r="C875" s="789" t="s">
        <v>552</v>
      </c>
      <c r="D875" s="146" t="s">
        <v>190</v>
      </c>
      <c r="E875" s="147" t="s">
        <v>515</v>
      </c>
      <c r="F875" s="1195">
        <v>1</v>
      </c>
      <c r="G875" s="302" t="s">
        <v>9330</v>
      </c>
      <c r="H875" s="1049" t="s">
        <v>9331</v>
      </c>
      <c r="I875" s="1521" t="s">
        <v>119</v>
      </c>
      <c r="J875" s="584" t="s">
        <v>630</v>
      </c>
      <c r="K875" s="1010">
        <v>46204</v>
      </c>
      <c r="Q875" s="481"/>
    </row>
    <row r="876" spans="2:17" ht="31.2" x14ac:dyDescent="0.3">
      <c r="B876" s="787" t="s">
        <v>551</v>
      </c>
      <c r="C876" s="789" t="s">
        <v>552</v>
      </c>
      <c r="D876" s="146" t="s">
        <v>190</v>
      </c>
      <c r="E876" s="147" t="s">
        <v>515</v>
      </c>
      <c r="F876" s="1195">
        <v>1</v>
      </c>
      <c r="G876" s="302" t="s">
        <v>9332</v>
      </c>
      <c r="H876" s="1049" t="s">
        <v>9333</v>
      </c>
      <c r="I876" s="1521" t="s">
        <v>119</v>
      </c>
      <c r="J876" s="584" t="s">
        <v>670</v>
      </c>
      <c r="K876" s="1010">
        <v>46204</v>
      </c>
      <c r="Q876" s="481"/>
    </row>
    <row r="877" spans="2:17" ht="31.2" x14ac:dyDescent="0.3">
      <c r="B877" s="787" t="s">
        <v>551</v>
      </c>
      <c r="C877" s="789" t="s">
        <v>552</v>
      </c>
      <c r="D877" s="146" t="s">
        <v>190</v>
      </c>
      <c r="E877" s="147" t="s">
        <v>515</v>
      </c>
      <c r="F877" s="1195">
        <v>1</v>
      </c>
      <c r="G877" s="302" t="s">
        <v>9334</v>
      </c>
      <c r="H877" s="1049" t="s">
        <v>9335</v>
      </c>
      <c r="I877" s="1521" t="s">
        <v>119</v>
      </c>
      <c r="J877" s="584" t="s">
        <v>748</v>
      </c>
      <c r="K877" s="1010">
        <v>46204</v>
      </c>
      <c r="Q877" s="481"/>
    </row>
    <row r="878" spans="2:17" ht="31.2" x14ac:dyDescent="0.3">
      <c r="B878" s="787" t="s">
        <v>551</v>
      </c>
      <c r="C878" s="789" t="s">
        <v>552</v>
      </c>
      <c r="D878" s="146" t="s">
        <v>190</v>
      </c>
      <c r="E878" s="147" t="s">
        <v>515</v>
      </c>
      <c r="F878" s="1195">
        <v>1</v>
      </c>
      <c r="G878" s="302" t="s">
        <v>9336</v>
      </c>
      <c r="H878" s="1049" t="s">
        <v>9335</v>
      </c>
      <c r="I878" s="1521" t="s">
        <v>119</v>
      </c>
      <c r="J878" s="584" t="s">
        <v>750</v>
      </c>
      <c r="K878" s="1010">
        <v>46204</v>
      </c>
      <c r="Q878" s="481"/>
    </row>
    <row r="879" spans="2:17" ht="31.2" x14ac:dyDescent="0.3">
      <c r="B879" s="787" t="s">
        <v>551</v>
      </c>
      <c r="C879" s="789" t="s">
        <v>552</v>
      </c>
      <c r="D879" s="146" t="s">
        <v>190</v>
      </c>
      <c r="E879" s="147" t="s">
        <v>515</v>
      </c>
      <c r="F879" s="1195">
        <v>1</v>
      </c>
      <c r="G879" s="302" t="s">
        <v>9337</v>
      </c>
      <c r="H879" s="1049" t="s">
        <v>9335</v>
      </c>
      <c r="I879" s="1521" t="s">
        <v>119</v>
      </c>
      <c r="J879" s="584" t="s">
        <v>752</v>
      </c>
      <c r="K879" s="1010">
        <v>46204</v>
      </c>
      <c r="Q879" s="481"/>
    </row>
    <row r="880" spans="2:17" ht="31.2" x14ac:dyDescent="0.3">
      <c r="B880" s="787" t="s">
        <v>551</v>
      </c>
      <c r="C880" s="789" t="s">
        <v>552</v>
      </c>
      <c r="D880" s="146" t="s">
        <v>190</v>
      </c>
      <c r="E880" s="147" t="s">
        <v>515</v>
      </c>
      <c r="F880" s="1195">
        <v>1</v>
      </c>
      <c r="G880" s="302" t="s">
        <v>9338</v>
      </c>
      <c r="H880" s="1049" t="s">
        <v>9335</v>
      </c>
      <c r="I880" s="1521" t="s">
        <v>119</v>
      </c>
      <c r="J880" s="584" t="s">
        <v>754</v>
      </c>
      <c r="K880" s="1010">
        <v>46204</v>
      </c>
      <c r="Q880" s="481"/>
    </row>
    <row r="881" spans="2:17" ht="15.6" x14ac:dyDescent="0.3">
      <c r="B881" s="787"/>
      <c r="C881" s="789"/>
      <c r="D881" s="146"/>
      <c r="E881" s="147"/>
      <c r="F881" s="491"/>
      <c r="G881" s="302"/>
      <c r="H881" s="667"/>
      <c r="I881" s="319"/>
      <c r="J881" s="494"/>
      <c r="K881" s="1010"/>
      <c r="L881"/>
      <c r="Q881" s="481"/>
    </row>
    <row r="882" spans="2:17" ht="15.6" x14ac:dyDescent="0.3">
      <c r="B882" s="787"/>
      <c r="C882" s="353" t="s">
        <v>771</v>
      </c>
      <c r="D882" s="354" t="s">
        <v>190</v>
      </c>
      <c r="E882" s="355"/>
      <c r="F882" s="1042">
        <f>SUM(F741:F881)</f>
        <v>140</v>
      </c>
      <c r="G882" s="302"/>
      <c r="H882" s="667"/>
      <c r="I882" s="319"/>
      <c r="J882" s="494"/>
      <c r="L882"/>
      <c r="Q882" s="481"/>
    </row>
    <row r="883" spans="2:17" ht="15.6" x14ac:dyDescent="0.3">
      <c r="B883" s="787"/>
      <c r="C883" s="353" t="s">
        <v>772</v>
      </c>
      <c r="D883" s="354" t="s">
        <v>190</v>
      </c>
      <c r="E883" s="355"/>
      <c r="F883" s="1042">
        <v>125</v>
      </c>
      <c r="G883" s="302"/>
      <c r="H883" s="667"/>
      <c r="I883" s="319"/>
      <c r="J883" s="494"/>
      <c r="L883"/>
      <c r="Q883" s="481"/>
    </row>
    <row r="884" spans="2:17" ht="15.6" x14ac:dyDescent="0.3">
      <c r="B884" s="787"/>
      <c r="C884" s="361" t="s">
        <v>773</v>
      </c>
      <c r="D884" s="362" t="s">
        <v>190</v>
      </c>
      <c r="E884" s="363"/>
      <c r="F884" s="810">
        <f>F882-F883</f>
        <v>15</v>
      </c>
      <c r="G884" s="248"/>
      <c r="H884" s="542"/>
      <c r="I884" s="319"/>
      <c r="J884" s="494"/>
      <c r="Q884" s="481"/>
    </row>
    <row r="885" spans="2:17" ht="7.35" customHeight="1" x14ac:dyDescent="0.3">
      <c r="B885" s="338"/>
      <c r="C885" s="142"/>
      <c r="D885" s="143"/>
      <c r="E885" s="144"/>
      <c r="F885" s="1143"/>
      <c r="G885" s="144"/>
      <c r="H885" s="144"/>
      <c r="I885" s="515"/>
      <c r="J885" s="524"/>
    </row>
    <row r="886" spans="2:17" ht="15.6" x14ac:dyDescent="0.3">
      <c r="B886" s="786" t="s">
        <v>603</v>
      </c>
      <c r="C886" s="788" t="s">
        <v>604</v>
      </c>
      <c r="D886" s="127" t="s">
        <v>190</v>
      </c>
      <c r="E886" s="125" t="s">
        <v>515</v>
      </c>
      <c r="F886" s="504">
        <v>8</v>
      </c>
      <c r="G886" s="302" t="s">
        <v>9339</v>
      </c>
      <c r="H886" s="585">
        <v>46064</v>
      </c>
      <c r="I886" s="319" t="s">
        <v>1315</v>
      </c>
      <c r="J886" s="494" t="s">
        <v>9340</v>
      </c>
      <c r="K886" s="1130" t="s">
        <v>9341</v>
      </c>
      <c r="L886" s="593"/>
      <c r="Q886" s="481"/>
    </row>
    <row r="887" spans="2:17" ht="15.6" x14ac:dyDescent="0.3">
      <c r="B887" s="787" t="s">
        <v>603</v>
      </c>
      <c r="C887" s="789" t="s">
        <v>604</v>
      </c>
      <c r="D887" s="146" t="s">
        <v>190</v>
      </c>
      <c r="E887" s="147" t="s">
        <v>515</v>
      </c>
      <c r="F887" s="504">
        <v>8</v>
      </c>
      <c r="G887" s="302" t="s">
        <v>9342</v>
      </c>
      <c r="H887" s="585">
        <v>46069</v>
      </c>
      <c r="I887" s="319" t="s">
        <v>1315</v>
      </c>
      <c r="J887" s="494" t="s">
        <v>9343</v>
      </c>
      <c r="K887" s="1130" t="s">
        <v>9341</v>
      </c>
      <c r="L887" s="593"/>
      <c r="Q887" s="481"/>
    </row>
    <row r="888" spans="2:17" ht="15.6" x14ac:dyDescent="0.3">
      <c r="B888" s="787" t="s">
        <v>603</v>
      </c>
      <c r="C888" s="789" t="s">
        <v>604</v>
      </c>
      <c r="D888" s="146" t="s">
        <v>190</v>
      </c>
      <c r="E888" s="147" t="s">
        <v>515</v>
      </c>
      <c r="F888" s="504">
        <v>4</v>
      </c>
      <c r="G888" s="302" t="s">
        <v>9344</v>
      </c>
      <c r="H888" s="585">
        <v>46073</v>
      </c>
      <c r="I888" s="319" t="s">
        <v>1315</v>
      </c>
      <c r="J888" s="494" t="s">
        <v>9345</v>
      </c>
      <c r="K888" s="1130" t="s">
        <v>9346</v>
      </c>
      <c r="L888" s="593"/>
      <c r="Q888" s="481"/>
    </row>
    <row r="889" spans="2:17" ht="15.6" x14ac:dyDescent="0.3">
      <c r="B889" s="787" t="s">
        <v>603</v>
      </c>
      <c r="C889" s="789" t="s">
        <v>604</v>
      </c>
      <c r="D889" s="146" t="s">
        <v>190</v>
      </c>
      <c r="E889" s="147" t="s">
        <v>515</v>
      </c>
      <c r="F889" s="504">
        <v>4</v>
      </c>
      <c r="G889" s="302" t="s">
        <v>9347</v>
      </c>
      <c r="H889" s="585">
        <v>46076</v>
      </c>
      <c r="I889" s="319" t="s">
        <v>1315</v>
      </c>
      <c r="J889" s="494" t="s">
        <v>9348</v>
      </c>
      <c r="K889" s="1130" t="s">
        <v>9346</v>
      </c>
      <c r="L889" s="593"/>
      <c r="Q889" s="481"/>
    </row>
    <row r="890" spans="2:17" ht="15.6" x14ac:dyDescent="0.3">
      <c r="B890" s="787" t="s">
        <v>603</v>
      </c>
      <c r="C890" s="789" t="s">
        <v>604</v>
      </c>
      <c r="D890" s="146" t="s">
        <v>190</v>
      </c>
      <c r="E890" s="147" t="s">
        <v>515</v>
      </c>
      <c r="F890" s="504">
        <v>4</v>
      </c>
      <c r="G890" s="302" t="s">
        <v>9349</v>
      </c>
      <c r="H890" s="585">
        <v>46077</v>
      </c>
      <c r="I890" s="319" t="s">
        <v>1315</v>
      </c>
      <c r="J890" s="494" t="s">
        <v>9350</v>
      </c>
      <c r="K890" s="1130" t="s">
        <v>9346</v>
      </c>
      <c r="L890" s="593"/>
      <c r="Q890" s="481"/>
    </row>
    <row r="891" spans="2:17" ht="15.6" x14ac:dyDescent="0.3">
      <c r="B891" s="787" t="s">
        <v>603</v>
      </c>
      <c r="C891" s="789" t="s">
        <v>604</v>
      </c>
      <c r="D891" s="146" t="s">
        <v>190</v>
      </c>
      <c r="E891" s="147" t="s">
        <v>515</v>
      </c>
      <c r="F891" s="504">
        <v>4</v>
      </c>
      <c r="G891" s="302" t="s">
        <v>9351</v>
      </c>
      <c r="H891" s="585">
        <v>46079</v>
      </c>
      <c r="I891" s="319" t="s">
        <v>1315</v>
      </c>
      <c r="J891" s="494" t="s">
        <v>9352</v>
      </c>
      <c r="K891" s="1130" t="s">
        <v>9346</v>
      </c>
      <c r="L891" s="593"/>
      <c r="Q891" s="481"/>
    </row>
    <row r="892" spans="2:17" ht="15.6" x14ac:dyDescent="0.3">
      <c r="B892" s="787" t="s">
        <v>603</v>
      </c>
      <c r="C892" s="789" t="s">
        <v>604</v>
      </c>
      <c r="D892" s="146" t="s">
        <v>190</v>
      </c>
      <c r="E892" s="147" t="s">
        <v>515</v>
      </c>
      <c r="F892" s="491">
        <v>4</v>
      </c>
      <c r="G892" s="302" t="s">
        <v>9353</v>
      </c>
      <c r="H892" s="1049">
        <v>46088</v>
      </c>
      <c r="I892" s="319" t="s">
        <v>946</v>
      </c>
      <c r="J892" s="494" t="s">
        <v>9354</v>
      </c>
      <c r="K892" s="1130" t="s">
        <v>9346</v>
      </c>
      <c r="L892" s="593"/>
      <c r="Q892" s="481"/>
    </row>
    <row r="893" spans="2:17" ht="15.6" x14ac:dyDescent="0.3">
      <c r="B893" s="787" t="s">
        <v>603</v>
      </c>
      <c r="C893" s="789" t="s">
        <v>604</v>
      </c>
      <c r="D893" s="146" t="s">
        <v>190</v>
      </c>
      <c r="E893" s="147" t="s">
        <v>515</v>
      </c>
      <c r="F893" s="491">
        <v>4</v>
      </c>
      <c r="G893" s="302" t="s">
        <v>9355</v>
      </c>
      <c r="H893" s="1049">
        <v>46091</v>
      </c>
      <c r="I893" s="319" t="s">
        <v>946</v>
      </c>
      <c r="J893" s="494" t="s">
        <v>9356</v>
      </c>
      <c r="K893" s="1130" t="s">
        <v>9346</v>
      </c>
      <c r="L893" s="593"/>
      <c r="Q893" s="481"/>
    </row>
    <row r="894" spans="2:17" ht="15.6" x14ac:dyDescent="0.3">
      <c r="B894" s="787" t="s">
        <v>603</v>
      </c>
      <c r="C894" s="789" t="s">
        <v>604</v>
      </c>
      <c r="D894" s="146" t="s">
        <v>190</v>
      </c>
      <c r="E894" s="147" t="s">
        <v>515</v>
      </c>
      <c r="F894" s="491">
        <v>4</v>
      </c>
      <c r="G894" s="302" t="s">
        <v>9357</v>
      </c>
      <c r="H894" s="1049">
        <v>46119</v>
      </c>
      <c r="I894" s="319" t="s">
        <v>1053</v>
      </c>
      <c r="J894" s="494" t="s">
        <v>9358</v>
      </c>
      <c r="K894" s="1130" t="s">
        <v>9346</v>
      </c>
      <c r="L894" s="593"/>
      <c r="Q894" s="481"/>
    </row>
    <row r="895" spans="2:17" ht="15.6" x14ac:dyDescent="0.3">
      <c r="B895" s="787" t="s">
        <v>603</v>
      </c>
      <c r="C895" s="789" t="s">
        <v>604</v>
      </c>
      <c r="D895" s="146" t="s">
        <v>190</v>
      </c>
      <c r="E895" s="147" t="s">
        <v>515</v>
      </c>
      <c r="F895" s="491">
        <v>4</v>
      </c>
      <c r="G895" s="302" t="s">
        <v>9359</v>
      </c>
      <c r="H895" s="1049">
        <v>46125</v>
      </c>
      <c r="I895" s="319" t="s">
        <v>1053</v>
      </c>
      <c r="J895" s="494" t="s">
        <v>9360</v>
      </c>
      <c r="K895" s="1130" t="s">
        <v>9346</v>
      </c>
      <c r="L895" s="593"/>
      <c r="Q895" s="481"/>
    </row>
    <row r="896" spans="2:17" ht="15.6" x14ac:dyDescent="0.3">
      <c r="B896" s="787" t="s">
        <v>603</v>
      </c>
      <c r="C896" s="789" t="s">
        <v>604</v>
      </c>
      <c r="D896" s="146" t="s">
        <v>190</v>
      </c>
      <c r="E896" s="147" t="s">
        <v>515</v>
      </c>
      <c r="F896" s="491">
        <v>4</v>
      </c>
      <c r="G896" s="302" t="s">
        <v>9361</v>
      </c>
      <c r="H896" s="1049">
        <v>46130</v>
      </c>
      <c r="I896" s="319" t="s">
        <v>1053</v>
      </c>
      <c r="J896" s="494" t="s">
        <v>9362</v>
      </c>
      <c r="K896" s="1130" t="s">
        <v>9346</v>
      </c>
      <c r="L896" s="593"/>
      <c r="Q896" s="481"/>
    </row>
    <row r="897" spans="2:17" ht="15.6" x14ac:dyDescent="0.3">
      <c r="B897" s="787" t="s">
        <v>603</v>
      </c>
      <c r="C897" s="789" t="s">
        <v>604</v>
      </c>
      <c r="D897" s="146" t="s">
        <v>190</v>
      </c>
      <c r="E897" s="147" t="s">
        <v>515</v>
      </c>
      <c r="F897" s="491">
        <v>4</v>
      </c>
      <c r="G897" s="594" t="s">
        <v>9363</v>
      </c>
      <c r="H897" s="1049">
        <v>46142</v>
      </c>
      <c r="I897" s="784" t="s">
        <v>1053</v>
      </c>
      <c r="J897" s="584" t="s">
        <v>9364</v>
      </c>
      <c r="K897" s="1130" t="s">
        <v>9346</v>
      </c>
      <c r="L897" s="593"/>
      <c r="Q897" s="481"/>
    </row>
    <row r="898" spans="2:17" ht="15.6" x14ac:dyDescent="0.3">
      <c r="B898" s="787" t="s">
        <v>603</v>
      </c>
      <c r="C898" s="789" t="s">
        <v>604</v>
      </c>
      <c r="D898" s="146" t="s">
        <v>190</v>
      </c>
      <c r="E898" s="147" t="s">
        <v>515</v>
      </c>
      <c r="F898" s="491">
        <v>4</v>
      </c>
      <c r="G898" s="594" t="s">
        <v>9365</v>
      </c>
      <c r="H898" s="1049">
        <v>46192</v>
      </c>
      <c r="I898" s="784" t="s">
        <v>949</v>
      </c>
      <c r="J898" s="494" t="s">
        <v>9366</v>
      </c>
      <c r="K898" s="1130" t="s">
        <v>9367</v>
      </c>
      <c r="L898" s="593"/>
      <c r="Q898" s="481"/>
    </row>
    <row r="899" spans="2:17" ht="15.6" x14ac:dyDescent="0.3">
      <c r="B899" s="787" t="s">
        <v>603</v>
      </c>
      <c r="C899" s="789" t="s">
        <v>604</v>
      </c>
      <c r="D899" s="146" t="s">
        <v>190</v>
      </c>
      <c r="E899" s="147" t="s">
        <v>515</v>
      </c>
      <c r="F899" s="491">
        <v>4</v>
      </c>
      <c r="G899" s="594" t="s">
        <v>9368</v>
      </c>
      <c r="H899" s="1049">
        <v>46202</v>
      </c>
      <c r="I899" s="784" t="s">
        <v>949</v>
      </c>
      <c r="J899" s="494" t="s">
        <v>9369</v>
      </c>
      <c r="K899" s="1130" t="s">
        <v>9367</v>
      </c>
      <c r="L899" s="593"/>
      <c r="Q899" s="481"/>
    </row>
    <row r="900" spans="2:17" ht="15.6" x14ac:dyDescent="0.3">
      <c r="B900" s="787" t="s">
        <v>603</v>
      </c>
      <c r="C900" s="789" t="s">
        <v>604</v>
      </c>
      <c r="D900" s="146" t="s">
        <v>190</v>
      </c>
      <c r="E900" s="147" t="s">
        <v>515</v>
      </c>
      <c r="F900" s="491">
        <v>4</v>
      </c>
      <c r="G900" s="594" t="s">
        <v>9370</v>
      </c>
      <c r="H900" s="1049">
        <v>46203</v>
      </c>
      <c r="I900" s="784" t="s">
        <v>949</v>
      </c>
      <c r="J900" s="494" t="s">
        <v>9371</v>
      </c>
      <c r="K900" s="1130" t="s">
        <v>9367</v>
      </c>
      <c r="L900" s="593"/>
      <c r="Q900" s="481"/>
    </row>
    <row r="901" spans="2:17" ht="15.6" x14ac:dyDescent="0.3">
      <c r="B901" s="787" t="s">
        <v>603</v>
      </c>
      <c r="C901" s="789" t="s">
        <v>604</v>
      </c>
      <c r="D901" s="146" t="s">
        <v>190</v>
      </c>
      <c r="E901" s="147" t="s">
        <v>515</v>
      </c>
      <c r="F901" s="1520">
        <v>4</v>
      </c>
      <c r="G901" s="594" t="s">
        <v>605</v>
      </c>
      <c r="H901" s="1049">
        <v>46210</v>
      </c>
      <c r="I901" s="1306" t="s">
        <v>119</v>
      </c>
      <c r="J901" s="494" t="s">
        <v>606</v>
      </c>
      <c r="K901" s="1130" t="s">
        <v>9367</v>
      </c>
      <c r="L901" s="593"/>
      <c r="Q901" s="481"/>
    </row>
    <row r="902" spans="2:17" ht="15.6" x14ac:dyDescent="0.3">
      <c r="B902" s="787" t="s">
        <v>603</v>
      </c>
      <c r="C902" s="789" t="s">
        <v>604</v>
      </c>
      <c r="D902" s="146" t="s">
        <v>190</v>
      </c>
      <c r="E902" s="147" t="s">
        <v>515</v>
      </c>
      <c r="F902" s="1520">
        <v>4</v>
      </c>
      <c r="G902" s="594" t="s">
        <v>631</v>
      </c>
      <c r="H902" s="1049">
        <v>46220</v>
      </c>
      <c r="I902" s="1306" t="s">
        <v>119</v>
      </c>
      <c r="J902" s="494" t="s">
        <v>632</v>
      </c>
      <c r="K902" s="1130" t="s">
        <v>9346</v>
      </c>
      <c r="L902" s="593"/>
      <c r="Q902" s="481"/>
    </row>
    <row r="903" spans="2:17" ht="15.6" x14ac:dyDescent="0.3">
      <c r="B903" s="787" t="s">
        <v>603</v>
      </c>
      <c r="C903" s="789" t="s">
        <v>604</v>
      </c>
      <c r="D903" s="146" t="s">
        <v>190</v>
      </c>
      <c r="E903" s="147" t="s">
        <v>515</v>
      </c>
      <c r="F903" s="1520">
        <v>4</v>
      </c>
      <c r="G903" s="594" t="s">
        <v>675</v>
      </c>
      <c r="H903" s="1049">
        <v>46227</v>
      </c>
      <c r="I903" s="1306" t="s">
        <v>119</v>
      </c>
      <c r="J903" s="494" t="s">
        <v>676</v>
      </c>
      <c r="K903" s="1130" t="s">
        <v>9346</v>
      </c>
      <c r="L903" s="593"/>
      <c r="Q903" s="481"/>
    </row>
    <row r="904" spans="2:17" ht="15.6" x14ac:dyDescent="0.3">
      <c r="B904" s="787" t="s">
        <v>603</v>
      </c>
      <c r="C904" s="789" t="s">
        <v>604</v>
      </c>
      <c r="D904" s="146" t="s">
        <v>190</v>
      </c>
      <c r="E904" s="147" t="s">
        <v>515</v>
      </c>
      <c r="F904" s="1520">
        <v>4</v>
      </c>
      <c r="G904" s="594" t="s">
        <v>711</v>
      </c>
      <c r="H904" s="1049">
        <v>46231</v>
      </c>
      <c r="I904" s="1306" t="s">
        <v>119</v>
      </c>
      <c r="J904" s="494" t="s">
        <v>712</v>
      </c>
      <c r="K904" s="1130" t="s">
        <v>9346</v>
      </c>
      <c r="L904" s="593"/>
      <c r="Q904" s="481"/>
    </row>
    <row r="905" spans="2:17" ht="15.6" x14ac:dyDescent="0.3">
      <c r="B905" s="787" t="s">
        <v>603</v>
      </c>
      <c r="C905" s="789" t="s">
        <v>604</v>
      </c>
      <c r="D905" s="146" t="s">
        <v>190</v>
      </c>
      <c r="E905" s="147" t="s">
        <v>515</v>
      </c>
      <c r="F905" s="1520">
        <v>4</v>
      </c>
      <c r="G905" s="594" t="s">
        <v>755</v>
      </c>
      <c r="H905" s="1049">
        <v>46233</v>
      </c>
      <c r="I905" s="1306" t="s">
        <v>119</v>
      </c>
      <c r="J905" s="494" t="s">
        <v>756</v>
      </c>
      <c r="K905" s="1130" t="s">
        <v>9346</v>
      </c>
      <c r="L905" s="593"/>
      <c r="Q905" s="481"/>
    </row>
    <row r="906" spans="2:17" ht="15.6" x14ac:dyDescent="0.3">
      <c r="B906" s="787"/>
      <c r="C906" s="789"/>
      <c r="D906" s="146"/>
      <c r="E906" s="147"/>
      <c r="F906" s="491"/>
      <c r="G906" s="302"/>
      <c r="H906" s="667"/>
      <c r="I906" s="319"/>
      <c r="J906" s="494"/>
      <c r="K906" s="1130"/>
      <c r="L906"/>
      <c r="Q906" s="481"/>
    </row>
    <row r="907" spans="2:17" ht="15.6" x14ac:dyDescent="0.3">
      <c r="B907" s="787"/>
      <c r="C907" s="353" t="s">
        <v>771</v>
      </c>
      <c r="D907" s="354" t="s">
        <v>190</v>
      </c>
      <c r="E907" s="355"/>
      <c r="F907" s="1040">
        <f>SUM(F886:F906)</f>
        <v>88</v>
      </c>
      <c r="G907" s="302"/>
      <c r="H907" s="667"/>
      <c r="I907" s="319"/>
      <c r="J907" s="494"/>
      <c r="L907"/>
      <c r="Q907" s="481"/>
    </row>
    <row r="908" spans="2:17" ht="15.6" x14ac:dyDescent="0.3">
      <c r="B908" s="787"/>
      <c r="C908" s="353" t="s">
        <v>772</v>
      </c>
      <c r="D908" s="354" t="s">
        <v>190</v>
      </c>
      <c r="E908" s="355"/>
      <c r="F908" s="1040">
        <v>68</v>
      </c>
      <c r="G908" s="302"/>
      <c r="H908" s="667"/>
      <c r="I908" s="319"/>
      <c r="J908" s="494"/>
      <c r="L908"/>
      <c r="Q908" s="481"/>
    </row>
    <row r="909" spans="2:17" ht="15.6" x14ac:dyDescent="0.3">
      <c r="B909" s="787"/>
      <c r="C909" s="361" t="s">
        <v>773</v>
      </c>
      <c r="D909" s="362" t="s">
        <v>190</v>
      </c>
      <c r="E909" s="363"/>
      <c r="F909" s="1041">
        <f>F907-F908</f>
        <v>20</v>
      </c>
      <c r="G909" s="248"/>
      <c r="H909" s="542"/>
      <c r="I909" s="319"/>
      <c r="J909" s="494"/>
      <c r="Q909" s="481"/>
    </row>
    <row r="910" spans="2:17" ht="7.35" customHeight="1" x14ac:dyDescent="0.3">
      <c r="B910" s="338"/>
      <c r="C910" s="142"/>
      <c r="D910" s="143"/>
      <c r="E910" s="144"/>
      <c r="F910" s="1038"/>
      <c r="G910" s="144"/>
      <c r="H910" s="144"/>
      <c r="I910" s="515"/>
      <c r="J910" s="524"/>
    </row>
    <row r="911" spans="2:17" ht="31.2" x14ac:dyDescent="0.3">
      <c r="B911" s="786" t="s">
        <v>592</v>
      </c>
      <c r="C911" s="788" t="s">
        <v>593</v>
      </c>
      <c r="D911" s="127" t="s">
        <v>190</v>
      </c>
      <c r="E911" s="125" t="s">
        <v>510</v>
      </c>
      <c r="F911" s="490">
        <v>1</v>
      </c>
      <c r="G911" s="296" t="s">
        <v>9372</v>
      </c>
      <c r="H911" s="596" t="s">
        <v>9373</v>
      </c>
      <c r="I911" s="131" t="s">
        <v>943</v>
      </c>
      <c r="J911" s="494" t="s">
        <v>9374</v>
      </c>
      <c r="K911" s="1010">
        <v>45992</v>
      </c>
      <c r="L911" s="593" t="s">
        <v>8687</v>
      </c>
      <c r="Q911" s="481"/>
    </row>
    <row r="912" spans="2:17" ht="31.2" x14ac:dyDescent="0.3">
      <c r="B912" s="787" t="s">
        <v>592</v>
      </c>
      <c r="C912" s="789" t="s">
        <v>593</v>
      </c>
      <c r="D912" s="146" t="s">
        <v>190</v>
      </c>
      <c r="E912" s="147" t="s">
        <v>510</v>
      </c>
      <c r="F912" s="491">
        <v>1</v>
      </c>
      <c r="G912" s="302" t="s">
        <v>9375</v>
      </c>
      <c r="H912" s="667" t="s">
        <v>9376</v>
      </c>
      <c r="I912" s="319" t="s">
        <v>943</v>
      </c>
      <c r="J912" s="494" t="s">
        <v>9377</v>
      </c>
      <c r="K912" s="1010">
        <v>45992</v>
      </c>
      <c r="L912" s="593"/>
      <c r="Q912" s="481"/>
    </row>
    <row r="913" spans="2:17" ht="31.2" x14ac:dyDescent="0.3">
      <c r="B913" s="787" t="s">
        <v>592</v>
      </c>
      <c r="C913" s="789" t="s">
        <v>593</v>
      </c>
      <c r="D913" s="146" t="s">
        <v>190</v>
      </c>
      <c r="E913" s="147" t="s">
        <v>510</v>
      </c>
      <c r="F913" s="491">
        <v>1</v>
      </c>
      <c r="G913" s="302" t="s">
        <v>9378</v>
      </c>
      <c r="H913" s="667" t="s">
        <v>9182</v>
      </c>
      <c r="I913" s="319" t="s">
        <v>943</v>
      </c>
      <c r="J913" s="494" t="s">
        <v>9379</v>
      </c>
      <c r="K913" s="1010">
        <v>45992</v>
      </c>
      <c r="L913" s="593"/>
      <c r="Q913" s="481"/>
    </row>
    <row r="914" spans="2:17" ht="31.2" x14ac:dyDescent="0.3">
      <c r="B914" s="787" t="s">
        <v>592</v>
      </c>
      <c r="C914" s="789" t="s">
        <v>593</v>
      </c>
      <c r="D914" s="146" t="s">
        <v>190</v>
      </c>
      <c r="E914" s="147" t="s">
        <v>510</v>
      </c>
      <c r="F914" s="491">
        <v>1</v>
      </c>
      <c r="G914" s="302" t="s">
        <v>9380</v>
      </c>
      <c r="H914" s="585" t="s">
        <v>9381</v>
      </c>
      <c r="I914" s="319" t="s">
        <v>1417</v>
      </c>
      <c r="J914" s="494" t="s">
        <v>9382</v>
      </c>
      <c r="K914" s="1010">
        <v>46023</v>
      </c>
      <c r="L914" s="593"/>
      <c r="Q914" s="481"/>
    </row>
    <row r="915" spans="2:17" ht="31.2" x14ac:dyDescent="0.3">
      <c r="B915" s="787" t="s">
        <v>592</v>
      </c>
      <c r="C915" s="789" t="s">
        <v>593</v>
      </c>
      <c r="D915" s="146" t="s">
        <v>190</v>
      </c>
      <c r="E915" s="147" t="s">
        <v>510</v>
      </c>
      <c r="F915" s="491">
        <v>1</v>
      </c>
      <c r="G915" s="302" t="s">
        <v>9383</v>
      </c>
      <c r="H915" s="585" t="s">
        <v>9384</v>
      </c>
      <c r="I915" s="319" t="s">
        <v>1417</v>
      </c>
      <c r="J915" s="494" t="s">
        <v>9385</v>
      </c>
      <c r="K915" s="1010">
        <v>46023</v>
      </c>
      <c r="L915" s="593"/>
      <c r="Q915" s="481"/>
    </row>
    <row r="916" spans="2:17" ht="31.2" x14ac:dyDescent="0.3">
      <c r="B916" s="787" t="s">
        <v>592</v>
      </c>
      <c r="C916" s="789" t="s">
        <v>593</v>
      </c>
      <c r="D916" s="146" t="s">
        <v>190</v>
      </c>
      <c r="E916" s="147" t="s">
        <v>510</v>
      </c>
      <c r="F916" s="491">
        <v>1</v>
      </c>
      <c r="G916" s="302" t="s">
        <v>9386</v>
      </c>
      <c r="H916" s="585" t="s">
        <v>5217</v>
      </c>
      <c r="I916" s="319" t="s">
        <v>1417</v>
      </c>
      <c r="J916" s="494" t="s">
        <v>9387</v>
      </c>
      <c r="K916" s="1010">
        <v>46023</v>
      </c>
      <c r="L916" s="593"/>
      <c r="Q916" s="481"/>
    </row>
    <row r="917" spans="2:17" ht="31.2" x14ac:dyDescent="0.3">
      <c r="B917" s="787" t="s">
        <v>592</v>
      </c>
      <c r="C917" s="789" t="s">
        <v>593</v>
      </c>
      <c r="D917" s="146" t="s">
        <v>190</v>
      </c>
      <c r="E917" s="147" t="s">
        <v>510</v>
      </c>
      <c r="F917" s="491">
        <v>1</v>
      </c>
      <c r="G917" s="302" t="s">
        <v>9388</v>
      </c>
      <c r="H917" s="585" t="s">
        <v>9389</v>
      </c>
      <c r="I917" s="319" t="s">
        <v>1417</v>
      </c>
      <c r="J917" s="494" t="s">
        <v>9390</v>
      </c>
      <c r="K917" s="1010">
        <v>46023</v>
      </c>
      <c r="L917" s="593"/>
      <c r="Q917" s="481"/>
    </row>
    <row r="918" spans="2:17" ht="31.2" x14ac:dyDescent="0.3">
      <c r="B918" s="787" t="s">
        <v>592</v>
      </c>
      <c r="C918" s="789" t="s">
        <v>593</v>
      </c>
      <c r="D918" s="146" t="s">
        <v>190</v>
      </c>
      <c r="E918" s="147" t="s">
        <v>510</v>
      </c>
      <c r="F918" s="491">
        <v>1</v>
      </c>
      <c r="G918" s="302" t="s">
        <v>9391</v>
      </c>
      <c r="H918" s="585" t="s">
        <v>9392</v>
      </c>
      <c r="I918" s="319" t="s">
        <v>1417</v>
      </c>
      <c r="J918" s="494" t="s">
        <v>9393</v>
      </c>
      <c r="K918" s="1010">
        <v>46023</v>
      </c>
      <c r="L918" s="593"/>
      <c r="Q918" s="481"/>
    </row>
    <row r="919" spans="2:17" ht="31.2" x14ac:dyDescent="0.3">
      <c r="B919" s="787" t="s">
        <v>592</v>
      </c>
      <c r="C919" s="789" t="s">
        <v>593</v>
      </c>
      <c r="D919" s="146" t="s">
        <v>190</v>
      </c>
      <c r="E919" s="147" t="s">
        <v>510</v>
      </c>
      <c r="F919" s="491">
        <v>1</v>
      </c>
      <c r="G919" s="302" t="s">
        <v>9394</v>
      </c>
      <c r="H919" s="585" t="s">
        <v>9395</v>
      </c>
      <c r="I919" s="319" t="s">
        <v>1417</v>
      </c>
      <c r="J919" s="494" t="s">
        <v>9396</v>
      </c>
      <c r="K919" s="1010">
        <v>46023</v>
      </c>
      <c r="L919" s="593"/>
      <c r="Q919" s="481"/>
    </row>
    <row r="920" spans="2:17" ht="31.2" x14ac:dyDescent="0.3">
      <c r="B920" s="787" t="s">
        <v>592</v>
      </c>
      <c r="C920" s="789" t="s">
        <v>593</v>
      </c>
      <c r="D920" s="146" t="s">
        <v>190</v>
      </c>
      <c r="E920" s="147" t="s">
        <v>510</v>
      </c>
      <c r="F920" s="491">
        <v>1</v>
      </c>
      <c r="G920" s="302" t="s">
        <v>9397</v>
      </c>
      <c r="H920" s="585" t="s">
        <v>9398</v>
      </c>
      <c r="I920" s="319" t="s">
        <v>1417</v>
      </c>
      <c r="J920" s="494" t="s">
        <v>9399</v>
      </c>
      <c r="K920" s="1010">
        <v>46023</v>
      </c>
      <c r="L920" s="593"/>
      <c r="Q920" s="481"/>
    </row>
    <row r="921" spans="2:17" ht="31.2" x14ac:dyDescent="0.3">
      <c r="B921" s="787" t="s">
        <v>592</v>
      </c>
      <c r="C921" s="789" t="s">
        <v>593</v>
      </c>
      <c r="D921" s="146" t="s">
        <v>190</v>
      </c>
      <c r="E921" s="147" t="s">
        <v>510</v>
      </c>
      <c r="F921" s="491">
        <v>1</v>
      </c>
      <c r="G921" s="302" t="s">
        <v>9400</v>
      </c>
      <c r="H921" s="585" t="s">
        <v>5228</v>
      </c>
      <c r="I921" s="319" t="s">
        <v>1417</v>
      </c>
      <c r="J921" s="494" t="s">
        <v>9401</v>
      </c>
      <c r="K921" s="1010">
        <v>46023</v>
      </c>
      <c r="L921" s="593"/>
      <c r="Q921" s="481"/>
    </row>
    <row r="922" spans="2:17" ht="31.2" x14ac:dyDescent="0.3">
      <c r="B922" s="787" t="s">
        <v>592</v>
      </c>
      <c r="C922" s="789" t="s">
        <v>593</v>
      </c>
      <c r="D922" s="146" t="s">
        <v>190</v>
      </c>
      <c r="E922" s="147" t="s">
        <v>510</v>
      </c>
      <c r="F922" s="491">
        <v>1</v>
      </c>
      <c r="G922" s="302" t="s">
        <v>9402</v>
      </c>
      <c r="H922" s="585" t="s">
        <v>9392</v>
      </c>
      <c r="I922" s="319" t="s">
        <v>1417</v>
      </c>
      <c r="J922" s="494" t="s">
        <v>9403</v>
      </c>
      <c r="K922" s="1010">
        <v>46023</v>
      </c>
      <c r="L922" s="593"/>
      <c r="Q922" s="481"/>
    </row>
    <row r="923" spans="2:17" ht="31.2" x14ac:dyDescent="0.3">
      <c r="B923" s="787" t="s">
        <v>592</v>
      </c>
      <c r="C923" s="789" t="s">
        <v>593</v>
      </c>
      <c r="D923" s="146" t="s">
        <v>190</v>
      </c>
      <c r="E923" s="147" t="s">
        <v>510</v>
      </c>
      <c r="F923" s="491">
        <v>1</v>
      </c>
      <c r="G923" s="594" t="s">
        <v>9404</v>
      </c>
      <c r="H923" s="585" t="s">
        <v>9405</v>
      </c>
      <c r="I923" s="319" t="s">
        <v>1417</v>
      </c>
      <c r="J923" s="494" t="s">
        <v>9406</v>
      </c>
      <c r="K923" s="1010">
        <v>46023</v>
      </c>
      <c r="L923" s="593"/>
      <c r="Q923" s="481"/>
    </row>
    <row r="924" spans="2:17" ht="31.2" x14ac:dyDescent="0.3">
      <c r="B924" s="787" t="s">
        <v>592</v>
      </c>
      <c r="C924" s="789" t="s">
        <v>593</v>
      </c>
      <c r="D924" s="146" t="s">
        <v>190</v>
      </c>
      <c r="E924" s="147" t="s">
        <v>510</v>
      </c>
      <c r="F924" s="491">
        <v>1</v>
      </c>
      <c r="G924" s="594" t="s">
        <v>9407</v>
      </c>
      <c r="H924" s="1049" t="s">
        <v>9408</v>
      </c>
      <c r="I924" s="319" t="s">
        <v>1315</v>
      </c>
      <c r="J924" s="494" t="s">
        <v>9409</v>
      </c>
      <c r="K924" s="1010">
        <v>46054</v>
      </c>
      <c r="L924" s="593"/>
      <c r="Q924" s="481"/>
    </row>
    <row r="925" spans="2:17" ht="31.2" x14ac:dyDescent="0.3">
      <c r="B925" s="787" t="s">
        <v>592</v>
      </c>
      <c r="C925" s="789" t="s">
        <v>593</v>
      </c>
      <c r="D925" s="146" t="s">
        <v>190</v>
      </c>
      <c r="E925" s="147" t="s">
        <v>510</v>
      </c>
      <c r="F925" s="491">
        <v>1</v>
      </c>
      <c r="G925" s="594" t="s">
        <v>9410</v>
      </c>
      <c r="H925" s="1049" t="s">
        <v>9411</v>
      </c>
      <c r="I925" s="319" t="s">
        <v>1315</v>
      </c>
      <c r="J925" s="494" t="s">
        <v>9412</v>
      </c>
      <c r="K925" s="1010">
        <v>46054</v>
      </c>
      <c r="L925" s="593"/>
      <c r="Q925" s="481"/>
    </row>
    <row r="926" spans="2:17" ht="31.2" x14ac:dyDescent="0.3">
      <c r="B926" s="787" t="s">
        <v>592</v>
      </c>
      <c r="C926" s="789" t="s">
        <v>593</v>
      </c>
      <c r="D926" s="146" t="s">
        <v>190</v>
      </c>
      <c r="E926" s="147" t="s">
        <v>510</v>
      </c>
      <c r="F926" s="491">
        <v>1</v>
      </c>
      <c r="G926" s="594" t="s">
        <v>9413</v>
      </c>
      <c r="H926" s="1049" t="s">
        <v>9414</v>
      </c>
      <c r="I926" s="319" t="s">
        <v>1315</v>
      </c>
      <c r="J926" s="494" t="s">
        <v>9415</v>
      </c>
      <c r="K926" s="1010">
        <v>46054</v>
      </c>
      <c r="L926" s="593"/>
      <c r="Q926" s="481"/>
    </row>
    <row r="927" spans="2:17" ht="31.2" x14ac:dyDescent="0.3">
      <c r="B927" s="787" t="s">
        <v>592</v>
      </c>
      <c r="C927" s="789" t="s">
        <v>593</v>
      </c>
      <c r="D927" s="146" t="s">
        <v>190</v>
      </c>
      <c r="E927" s="147" t="s">
        <v>510</v>
      </c>
      <c r="F927" s="491">
        <v>1</v>
      </c>
      <c r="G927" s="594" t="s">
        <v>9416</v>
      </c>
      <c r="H927" s="1049" t="s">
        <v>9417</v>
      </c>
      <c r="I927" s="319" t="s">
        <v>1315</v>
      </c>
      <c r="J927" s="494" t="s">
        <v>9418</v>
      </c>
      <c r="K927" s="1010">
        <v>46054</v>
      </c>
      <c r="L927" s="593"/>
      <c r="Q927" s="481"/>
    </row>
    <row r="928" spans="2:17" ht="31.2" x14ac:dyDescent="0.3">
      <c r="B928" s="787" t="s">
        <v>592</v>
      </c>
      <c r="C928" s="789" t="s">
        <v>593</v>
      </c>
      <c r="D928" s="146" t="s">
        <v>190</v>
      </c>
      <c r="E928" s="147" t="s">
        <v>510</v>
      </c>
      <c r="F928" s="491">
        <v>1</v>
      </c>
      <c r="G928" s="594" t="s">
        <v>9419</v>
      </c>
      <c r="H928" s="1049" t="s">
        <v>9420</v>
      </c>
      <c r="I928" s="319" t="s">
        <v>1315</v>
      </c>
      <c r="J928" s="494" t="s">
        <v>9421</v>
      </c>
      <c r="K928" s="1010">
        <v>46054</v>
      </c>
      <c r="L928" s="593"/>
      <c r="Q928" s="481"/>
    </row>
    <row r="929" spans="2:17" ht="31.2" x14ac:dyDescent="0.3">
      <c r="B929" s="787" t="s">
        <v>592</v>
      </c>
      <c r="C929" s="789" t="s">
        <v>593</v>
      </c>
      <c r="D929" s="146" t="s">
        <v>190</v>
      </c>
      <c r="E929" s="147" t="s">
        <v>510</v>
      </c>
      <c r="F929" s="491">
        <v>1</v>
      </c>
      <c r="G929" s="594" t="s">
        <v>9422</v>
      </c>
      <c r="H929" s="1049" t="s">
        <v>9423</v>
      </c>
      <c r="I929" s="319" t="s">
        <v>1315</v>
      </c>
      <c r="J929" s="494" t="s">
        <v>664</v>
      </c>
      <c r="K929" s="1010">
        <v>46054</v>
      </c>
      <c r="L929" s="593"/>
      <c r="Q929" s="481"/>
    </row>
    <row r="930" spans="2:17" ht="31.2" x14ac:dyDescent="0.3">
      <c r="B930" s="787" t="s">
        <v>592</v>
      </c>
      <c r="C930" s="789" t="s">
        <v>593</v>
      </c>
      <c r="D930" s="146" t="s">
        <v>190</v>
      </c>
      <c r="E930" s="147" t="s">
        <v>510</v>
      </c>
      <c r="F930" s="491">
        <v>1</v>
      </c>
      <c r="G930" s="594" t="s">
        <v>9424</v>
      </c>
      <c r="H930" s="1049" t="s">
        <v>9425</v>
      </c>
      <c r="I930" s="319" t="s">
        <v>1315</v>
      </c>
      <c r="J930" s="494" t="s">
        <v>662</v>
      </c>
      <c r="K930" s="1010">
        <v>46054</v>
      </c>
      <c r="L930" s="593"/>
      <c r="Q930" s="481"/>
    </row>
    <row r="931" spans="2:17" ht="31.2" x14ac:dyDescent="0.3">
      <c r="B931" s="787" t="s">
        <v>592</v>
      </c>
      <c r="C931" s="789" t="s">
        <v>593</v>
      </c>
      <c r="D931" s="146" t="s">
        <v>190</v>
      </c>
      <c r="E931" s="147" t="s">
        <v>510</v>
      </c>
      <c r="F931" s="491">
        <v>1</v>
      </c>
      <c r="G931" s="594" t="s">
        <v>9426</v>
      </c>
      <c r="H931" s="1049" t="s">
        <v>4610</v>
      </c>
      <c r="I931" s="319" t="s">
        <v>1315</v>
      </c>
      <c r="J931" s="494" t="s">
        <v>9427</v>
      </c>
      <c r="K931" s="1010">
        <v>46054</v>
      </c>
      <c r="L931" s="593"/>
      <c r="Q931" s="481"/>
    </row>
    <row r="932" spans="2:17" ht="31.2" x14ac:dyDescent="0.3">
      <c r="B932" s="787" t="s">
        <v>592</v>
      </c>
      <c r="C932" s="789" t="s">
        <v>593</v>
      </c>
      <c r="D932" s="146" t="s">
        <v>190</v>
      </c>
      <c r="E932" s="147" t="s">
        <v>510</v>
      </c>
      <c r="F932" s="491">
        <v>1</v>
      </c>
      <c r="G932" s="594" t="s">
        <v>9428</v>
      </c>
      <c r="H932" s="1049" t="s">
        <v>4610</v>
      </c>
      <c r="I932" s="319" t="s">
        <v>1315</v>
      </c>
      <c r="J932" s="494" t="s">
        <v>682</v>
      </c>
      <c r="K932" s="1010">
        <v>46054</v>
      </c>
      <c r="L932" s="593"/>
      <c r="Q932" s="481"/>
    </row>
    <row r="933" spans="2:17" ht="31.2" x14ac:dyDescent="0.3">
      <c r="B933" s="787" t="s">
        <v>592</v>
      </c>
      <c r="C933" s="789" t="s">
        <v>593</v>
      </c>
      <c r="D933" s="146" t="s">
        <v>190</v>
      </c>
      <c r="E933" s="147" t="s">
        <v>510</v>
      </c>
      <c r="F933" s="491">
        <v>1</v>
      </c>
      <c r="G933" s="594" t="s">
        <v>9429</v>
      </c>
      <c r="H933" s="1049" t="s">
        <v>9430</v>
      </c>
      <c r="I933" s="319" t="s">
        <v>946</v>
      </c>
      <c r="J933" s="494" t="s">
        <v>9431</v>
      </c>
      <c r="K933" s="1010">
        <v>46082</v>
      </c>
      <c r="L933" s="593"/>
      <c r="Q933" s="481"/>
    </row>
    <row r="934" spans="2:17" ht="31.2" x14ac:dyDescent="0.3">
      <c r="B934" s="787" t="s">
        <v>592</v>
      </c>
      <c r="C934" s="789" t="s">
        <v>593</v>
      </c>
      <c r="D934" s="146" t="s">
        <v>190</v>
      </c>
      <c r="E934" s="147" t="s">
        <v>510</v>
      </c>
      <c r="F934" s="491">
        <v>1</v>
      </c>
      <c r="G934" s="594" t="s">
        <v>9432</v>
      </c>
      <c r="H934" s="1049" t="s">
        <v>9231</v>
      </c>
      <c r="I934" s="319" t="s">
        <v>946</v>
      </c>
      <c r="J934" s="494" t="s">
        <v>9433</v>
      </c>
      <c r="K934" s="1010">
        <v>46082</v>
      </c>
      <c r="L934" s="593"/>
      <c r="Q934" s="481"/>
    </row>
    <row r="935" spans="2:17" ht="31.2" x14ac:dyDescent="0.3">
      <c r="B935" s="787" t="s">
        <v>592</v>
      </c>
      <c r="C935" s="789" t="s">
        <v>593</v>
      </c>
      <c r="D935" s="146" t="s">
        <v>190</v>
      </c>
      <c r="E935" s="147" t="s">
        <v>510</v>
      </c>
      <c r="F935" s="491">
        <v>1</v>
      </c>
      <c r="G935" s="594" t="s">
        <v>9434</v>
      </c>
      <c r="H935" s="1049" t="s">
        <v>9435</v>
      </c>
      <c r="I935" s="319" t="s">
        <v>946</v>
      </c>
      <c r="J935" s="494" t="s">
        <v>9436</v>
      </c>
      <c r="K935" s="1010">
        <v>46082</v>
      </c>
      <c r="L935" s="593"/>
      <c r="Q935" s="481"/>
    </row>
    <row r="936" spans="2:17" ht="31.2" x14ac:dyDescent="0.3">
      <c r="B936" s="787" t="s">
        <v>592</v>
      </c>
      <c r="C936" s="789" t="s">
        <v>593</v>
      </c>
      <c r="D936" s="146" t="s">
        <v>190</v>
      </c>
      <c r="E936" s="147" t="s">
        <v>510</v>
      </c>
      <c r="F936" s="491">
        <v>1</v>
      </c>
      <c r="G936" s="594" t="s">
        <v>9437</v>
      </c>
      <c r="H936" s="1049" t="s">
        <v>4613</v>
      </c>
      <c r="I936" s="319" t="s">
        <v>946</v>
      </c>
      <c r="J936" s="494" t="s">
        <v>9438</v>
      </c>
      <c r="K936" s="1010">
        <v>46082</v>
      </c>
      <c r="L936" s="593"/>
      <c r="Q936" s="481"/>
    </row>
    <row r="937" spans="2:17" ht="31.2" x14ac:dyDescent="0.3">
      <c r="B937" s="787" t="s">
        <v>592</v>
      </c>
      <c r="C937" s="789" t="s">
        <v>593</v>
      </c>
      <c r="D937" s="146" t="s">
        <v>190</v>
      </c>
      <c r="E937" s="147" t="s">
        <v>510</v>
      </c>
      <c r="F937" s="491">
        <v>1</v>
      </c>
      <c r="G937" s="594" t="s">
        <v>9439</v>
      </c>
      <c r="H937" s="1049" t="s">
        <v>9440</v>
      </c>
      <c r="I937" s="319" t="s">
        <v>946</v>
      </c>
      <c r="J937" s="494" t="s">
        <v>9441</v>
      </c>
      <c r="K937" s="1010">
        <v>46082</v>
      </c>
      <c r="L937" s="593"/>
      <c r="Q937" s="481"/>
    </row>
    <row r="938" spans="2:17" ht="31.2" x14ac:dyDescent="0.3">
      <c r="B938" s="787" t="s">
        <v>592</v>
      </c>
      <c r="C938" s="789" t="s">
        <v>593</v>
      </c>
      <c r="D938" s="146" t="s">
        <v>190</v>
      </c>
      <c r="E938" s="147" t="s">
        <v>510</v>
      </c>
      <c r="F938" s="491">
        <v>1</v>
      </c>
      <c r="G938" s="594" t="s">
        <v>9442</v>
      </c>
      <c r="H938" s="1049" t="s">
        <v>9242</v>
      </c>
      <c r="I938" s="319" t="s">
        <v>946</v>
      </c>
      <c r="J938" s="494" t="s">
        <v>581</v>
      </c>
      <c r="K938" s="1010">
        <v>46082</v>
      </c>
      <c r="L938" s="593"/>
      <c r="Q938" s="481"/>
    </row>
    <row r="939" spans="2:17" ht="31.2" x14ac:dyDescent="0.3">
      <c r="B939" s="787" t="s">
        <v>592</v>
      </c>
      <c r="C939" s="789" t="s">
        <v>593</v>
      </c>
      <c r="D939" s="146" t="s">
        <v>190</v>
      </c>
      <c r="E939" s="147" t="s">
        <v>510</v>
      </c>
      <c r="F939" s="491">
        <v>1</v>
      </c>
      <c r="G939" s="594" t="s">
        <v>9443</v>
      </c>
      <c r="H939" s="1049" t="s">
        <v>9444</v>
      </c>
      <c r="I939" s="319" t="s">
        <v>946</v>
      </c>
      <c r="J939" s="494" t="s">
        <v>579</v>
      </c>
      <c r="K939" s="1010">
        <v>46082</v>
      </c>
      <c r="L939" s="593"/>
      <c r="Q939" s="481"/>
    </row>
    <row r="940" spans="2:17" ht="31.2" x14ac:dyDescent="0.3">
      <c r="B940" s="787" t="s">
        <v>592</v>
      </c>
      <c r="C940" s="789" t="s">
        <v>593</v>
      </c>
      <c r="D940" s="146" t="s">
        <v>190</v>
      </c>
      <c r="E940" s="147" t="s">
        <v>510</v>
      </c>
      <c r="F940" s="491">
        <v>1</v>
      </c>
      <c r="G940" s="594" t="s">
        <v>9445</v>
      </c>
      <c r="H940" s="1049" t="s">
        <v>4616</v>
      </c>
      <c r="I940" s="319" t="s">
        <v>946</v>
      </c>
      <c r="J940" s="494" t="s">
        <v>9446</v>
      </c>
      <c r="K940" s="1010">
        <v>46082</v>
      </c>
      <c r="L940" s="593"/>
      <c r="Q940" s="481"/>
    </row>
    <row r="941" spans="2:17" ht="31.2" x14ac:dyDescent="0.3">
      <c r="B941" s="787" t="s">
        <v>592</v>
      </c>
      <c r="C941" s="789" t="s">
        <v>593</v>
      </c>
      <c r="D941" s="146" t="s">
        <v>190</v>
      </c>
      <c r="E941" s="147" t="s">
        <v>510</v>
      </c>
      <c r="F941" s="491">
        <v>1</v>
      </c>
      <c r="G941" s="594" t="s">
        <v>9447</v>
      </c>
      <c r="H941" s="1049" t="s">
        <v>9256</v>
      </c>
      <c r="I941" s="319" t="s">
        <v>946</v>
      </c>
      <c r="J941" s="494" t="s">
        <v>9448</v>
      </c>
      <c r="K941" s="1010">
        <v>46082</v>
      </c>
      <c r="L941" s="593"/>
      <c r="Q941" s="481"/>
    </row>
    <row r="942" spans="2:17" ht="31.2" x14ac:dyDescent="0.3">
      <c r="B942" s="787" t="s">
        <v>592</v>
      </c>
      <c r="C942" s="789" t="s">
        <v>593</v>
      </c>
      <c r="D942" s="146" t="s">
        <v>190</v>
      </c>
      <c r="E942" s="147" t="s">
        <v>510</v>
      </c>
      <c r="F942" s="491">
        <v>1</v>
      </c>
      <c r="G942" s="594" t="s">
        <v>9449</v>
      </c>
      <c r="H942" s="1049" t="s">
        <v>9256</v>
      </c>
      <c r="I942" s="319" t="s">
        <v>946</v>
      </c>
      <c r="J942" s="494" t="s">
        <v>9450</v>
      </c>
      <c r="K942" s="1010">
        <v>46082</v>
      </c>
      <c r="L942" s="593"/>
      <c r="Q942" s="481"/>
    </row>
    <row r="943" spans="2:17" ht="31.2" x14ac:dyDescent="0.3">
      <c r="B943" s="787" t="s">
        <v>592</v>
      </c>
      <c r="C943" s="789" t="s">
        <v>593</v>
      </c>
      <c r="D943" s="146" t="s">
        <v>190</v>
      </c>
      <c r="E943" s="147" t="s">
        <v>510</v>
      </c>
      <c r="F943" s="504">
        <v>1</v>
      </c>
      <c r="G943" s="594" t="s">
        <v>9451</v>
      </c>
      <c r="H943" s="1049" t="s">
        <v>9452</v>
      </c>
      <c r="I943" s="319" t="s">
        <v>1579</v>
      </c>
      <c r="J943" s="494" t="s">
        <v>9453</v>
      </c>
      <c r="K943" s="1010">
        <v>46143</v>
      </c>
      <c r="Q943" s="481"/>
    </row>
    <row r="944" spans="2:17" ht="31.2" x14ac:dyDescent="0.3">
      <c r="B944" s="787" t="s">
        <v>592</v>
      </c>
      <c r="C944" s="789" t="s">
        <v>593</v>
      </c>
      <c r="D944" s="146" t="s">
        <v>190</v>
      </c>
      <c r="E944" s="147" t="s">
        <v>510</v>
      </c>
      <c r="F944" s="504">
        <v>1</v>
      </c>
      <c r="G944" s="594" t="s">
        <v>9454</v>
      </c>
      <c r="H944" s="1049" t="s">
        <v>9455</v>
      </c>
      <c r="I944" s="319" t="s">
        <v>1579</v>
      </c>
      <c r="J944" s="494" t="s">
        <v>9456</v>
      </c>
      <c r="K944" s="1010">
        <v>46143</v>
      </c>
      <c r="Q944" s="481"/>
    </row>
    <row r="945" spans="2:17" ht="31.2" x14ac:dyDescent="0.3">
      <c r="B945" s="787" t="s">
        <v>592</v>
      </c>
      <c r="C945" s="789" t="s">
        <v>593</v>
      </c>
      <c r="D945" s="146" t="s">
        <v>190</v>
      </c>
      <c r="E945" s="147" t="s">
        <v>510</v>
      </c>
      <c r="F945" s="504">
        <v>1</v>
      </c>
      <c r="G945" s="594" t="s">
        <v>9457</v>
      </c>
      <c r="H945" s="1049" t="s">
        <v>9458</v>
      </c>
      <c r="I945" s="319" t="s">
        <v>1579</v>
      </c>
      <c r="J945" s="494" t="s">
        <v>9459</v>
      </c>
      <c r="K945" s="1010">
        <v>46143</v>
      </c>
      <c r="Q945" s="481"/>
    </row>
    <row r="946" spans="2:17" ht="31.2" x14ac:dyDescent="0.3">
      <c r="B946" s="787" t="s">
        <v>592</v>
      </c>
      <c r="C946" s="789" t="s">
        <v>593</v>
      </c>
      <c r="D946" s="146" t="s">
        <v>190</v>
      </c>
      <c r="E946" s="147" t="s">
        <v>510</v>
      </c>
      <c r="F946" s="504">
        <v>1</v>
      </c>
      <c r="G946" s="594" t="s">
        <v>9460</v>
      </c>
      <c r="H946" s="1049" t="s">
        <v>9461</v>
      </c>
      <c r="I946" s="319" t="s">
        <v>1579</v>
      </c>
      <c r="J946" s="494" t="s">
        <v>9462</v>
      </c>
      <c r="K946" s="1010">
        <v>46143</v>
      </c>
      <c r="Q946" s="481"/>
    </row>
    <row r="947" spans="2:17" ht="31.2" x14ac:dyDescent="0.3">
      <c r="B947" s="787" t="s">
        <v>592</v>
      </c>
      <c r="C947" s="789" t="s">
        <v>593</v>
      </c>
      <c r="D947" s="146" t="s">
        <v>190</v>
      </c>
      <c r="E947" s="147" t="s">
        <v>510</v>
      </c>
      <c r="F947" s="504">
        <v>1</v>
      </c>
      <c r="G947" s="594" t="s">
        <v>9463</v>
      </c>
      <c r="H947" s="1049" t="s">
        <v>9464</v>
      </c>
      <c r="I947" s="319" t="s">
        <v>1579</v>
      </c>
      <c r="J947" s="494" t="s">
        <v>9465</v>
      </c>
      <c r="K947" s="1010">
        <v>46143</v>
      </c>
      <c r="Q947" s="481"/>
    </row>
    <row r="948" spans="2:17" ht="31.2" x14ac:dyDescent="0.3">
      <c r="B948" s="787" t="s">
        <v>592</v>
      </c>
      <c r="C948" s="789" t="s">
        <v>593</v>
      </c>
      <c r="D948" s="146" t="s">
        <v>190</v>
      </c>
      <c r="E948" s="147" t="s">
        <v>510</v>
      </c>
      <c r="F948" s="504">
        <v>1</v>
      </c>
      <c r="G948" s="594" t="s">
        <v>9466</v>
      </c>
      <c r="H948" s="1049" t="s">
        <v>4625</v>
      </c>
      <c r="I948" s="319" t="s">
        <v>1579</v>
      </c>
      <c r="J948" s="494" t="s">
        <v>9467</v>
      </c>
      <c r="K948" s="1010">
        <v>46143</v>
      </c>
      <c r="Q948" s="481"/>
    </row>
    <row r="949" spans="2:17" ht="31.2" x14ac:dyDescent="0.3">
      <c r="B949" s="787" t="s">
        <v>592</v>
      </c>
      <c r="C949" s="789" t="s">
        <v>593</v>
      </c>
      <c r="D949" s="146" t="s">
        <v>190</v>
      </c>
      <c r="E949" s="147" t="s">
        <v>510</v>
      </c>
      <c r="F949" s="504">
        <v>1</v>
      </c>
      <c r="G949" s="594" t="s">
        <v>9468</v>
      </c>
      <c r="H949" s="1049" t="s">
        <v>4625</v>
      </c>
      <c r="I949" s="319" t="s">
        <v>1579</v>
      </c>
      <c r="J949" s="494" t="s">
        <v>9469</v>
      </c>
      <c r="K949" s="1010">
        <v>46143</v>
      </c>
      <c r="Q949" s="481"/>
    </row>
    <row r="950" spans="2:17" ht="31.2" x14ac:dyDescent="0.3">
      <c r="B950" s="787" t="s">
        <v>592</v>
      </c>
      <c r="C950" s="789" t="s">
        <v>593</v>
      </c>
      <c r="D950" s="146" t="s">
        <v>190</v>
      </c>
      <c r="E950" s="147" t="s">
        <v>510</v>
      </c>
      <c r="F950" s="504">
        <v>1</v>
      </c>
      <c r="G950" s="594" t="s">
        <v>9470</v>
      </c>
      <c r="H950" s="1049" t="s">
        <v>9471</v>
      </c>
      <c r="I950" s="319" t="s">
        <v>949</v>
      </c>
      <c r="J950" s="494" t="s">
        <v>9472</v>
      </c>
      <c r="K950" s="1010">
        <v>46174</v>
      </c>
      <c r="Q950" s="481"/>
    </row>
    <row r="951" spans="2:17" ht="31.2" x14ac:dyDescent="0.3">
      <c r="B951" s="787" t="s">
        <v>592</v>
      </c>
      <c r="C951" s="789" t="s">
        <v>593</v>
      </c>
      <c r="D951" s="146" t="s">
        <v>190</v>
      </c>
      <c r="E951" s="147" t="s">
        <v>510</v>
      </c>
      <c r="F951" s="504">
        <v>1</v>
      </c>
      <c r="G951" s="594" t="s">
        <v>9473</v>
      </c>
      <c r="H951" s="1049" t="s">
        <v>9474</v>
      </c>
      <c r="I951" s="319" t="s">
        <v>949</v>
      </c>
      <c r="J951" s="494" t="s">
        <v>9475</v>
      </c>
      <c r="K951" s="1010">
        <v>46174</v>
      </c>
      <c r="Q951" s="481"/>
    </row>
    <row r="952" spans="2:17" ht="31.2" x14ac:dyDescent="0.3">
      <c r="B952" s="787" t="s">
        <v>592</v>
      </c>
      <c r="C952" s="789" t="s">
        <v>593</v>
      </c>
      <c r="D952" s="146" t="s">
        <v>190</v>
      </c>
      <c r="E952" s="147" t="s">
        <v>510</v>
      </c>
      <c r="F952" s="504">
        <v>1</v>
      </c>
      <c r="G952" s="594" t="s">
        <v>9476</v>
      </c>
      <c r="H952" s="1049" t="s">
        <v>9477</v>
      </c>
      <c r="I952" s="319" t="s">
        <v>949</v>
      </c>
      <c r="J952" s="494" t="s">
        <v>9478</v>
      </c>
      <c r="K952" s="1010">
        <v>46174</v>
      </c>
      <c r="Q952" s="481"/>
    </row>
    <row r="953" spans="2:17" ht="31.2" x14ac:dyDescent="0.3">
      <c r="B953" s="787" t="s">
        <v>592</v>
      </c>
      <c r="C953" s="789" t="s">
        <v>593</v>
      </c>
      <c r="D953" s="146" t="s">
        <v>190</v>
      </c>
      <c r="E953" s="147" t="s">
        <v>510</v>
      </c>
      <c r="F953" s="504">
        <v>1</v>
      </c>
      <c r="G953" s="594" t="s">
        <v>9479</v>
      </c>
      <c r="H953" s="1049" t="s">
        <v>9480</v>
      </c>
      <c r="I953" s="319" t="s">
        <v>949</v>
      </c>
      <c r="J953" s="494" t="s">
        <v>9481</v>
      </c>
      <c r="K953" s="1010">
        <v>46174</v>
      </c>
      <c r="Q953" s="481"/>
    </row>
    <row r="954" spans="2:17" ht="31.2" x14ac:dyDescent="0.3">
      <c r="B954" s="787" t="s">
        <v>592</v>
      </c>
      <c r="C954" s="789" t="s">
        <v>593</v>
      </c>
      <c r="D954" s="146" t="s">
        <v>190</v>
      </c>
      <c r="E954" s="147" t="s">
        <v>510</v>
      </c>
      <c r="F954" s="504">
        <v>1</v>
      </c>
      <c r="G954" s="594" t="s">
        <v>9482</v>
      </c>
      <c r="H954" s="1049" t="s">
        <v>9483</v>
      </c>
      <c r="I954" s="319" t="s">
        <v>949</v>
      </c>
      <c r="J954" s="494" t="s">
        <v>9484</v>
      </c>
      <c r="K954" s="1010">
        <v>46174</v>
      </c>
      <c r="Q954" s="481"/>
    </row>
    <row r="955" spans="2:17" ht="31.2" x14ac:dyDescent="0.3">
      <c r="B955" s="787" t="s">
        <v>592</v>
      </c>
      <c r="C955" s="789" t="s">
        <v>593</v>
      </c>
      <c r="D955" s="146" t="s">
        <v>190</v>
      </c>
      <c r="E955" s="147" t="s">
        <v>510</v>
      </c>
      <c r="F955" s="504">
        <v>1</v>
      </c>
      <c r="G955" s="594" t="s">
        <v>9485</v>
      </c>
      <c r="H955" s="1049" t="s">
        <v>9486</v>
      </c>
      <c r="I955" s="319" t="s">
        <v>949</v>
      </c>
      <c r="J955" s="494" t="s">
        <v>9487</v>
      </c>
      <c r="K955" s="1010">
        <v>46174</v>
      </c>
      <c r="Q955" s="481"/>
    </row>
    <row r="956" spans="2:17" ht="31.2" x14ac:dyDescent="0.3">
      <c r="B956" s="787" t="s">
        <v>592</v>
      </c>
      <c r="C956" s="789" t="s">
        <v>593</v>
      </c>
      <c r="D956" s="146" t="s">
        <v>190</v>
      </c>
      <c r="E956" s="147" t="s">
        <v>510</v>
      </c>
      <c r="F956" s="1195">
        <v>1</v>
      </c>
      <c r="G956" s="594" t="s">
        <v>9488</v>
      </c>
      <c r="H956" s="1049" t="s">
        <v>9489</v>
      </c>
      <c r="I956" s="1521" t="s">
        <v>119</v>
      </c>
      <c r="J956" s="494" t="s">
        <v>595</v>
      </c>
      <c r="K956" s="1010">
        <v>46204</v>
      </c>
      <c r="Q956" s="481"/>
    </row>
    <row r="957" spans="2:17" ht="31.2" x14ac:dyDescent="0.3">
      <c r="B957" s="787" t="s">
        <v>592</v>
      </c>
      <c r="C957" s="789" t="s">
        <v>593</v>
      </c>
      <c r="D957" s="146" t="s">
        <v>190</v>
      </c>
      <c r="E957" s="147" t="s">
        <v>510</v>
      </c>
      <c r="F957" s="1195">
        <v>1</v>
      </c>
      <c r="G957" s="594" t="s">
        <v>9490</v>
      </c>
      <c r="H957" s="1049" t="s">
        <v>9491</v>
      </c>
      <c r="I957" s="1521" t="s">
        <v>119</v>
      </c>
      <c r="J957" s="494" t="s">
        <v>624</v>
      </c>
      <c r="K957" s="1010">
        <v>46204</v>
      </c>
      <c r="Q957" s="481"/>
    </row>
    <row r="958" spans="2:17" ht="31.2" x14ac:dyDescent="0.3">
      <c r="B958" s="787" t="s">
        <v>592</v>
      </c>
      <c r="C958" s="789" t="s">
        <v>593</v>
      </c>
      <c r="D958" s="146" t="s">
        <v>190</v>
      </c>
      <c r="E958" s="147" t="s">
        <v>510</v>
      </c>
      <c r="F958" s="1195">
        <v>1</v>
      </c>
      <c r="G958" s="594" t="s">
        <v>9492</v>
      </c>
      <c r="H958" s="1049" t="s">
        <v>9493</v>
      </c>
      <c r="I958" s="1521" t="s">
        <v>119</v>
      </c>
      <c r="J958" s="494" t="s">
        <v>646</v>
      </c>
      <c r="K958" s="1010">
        <v>46204</v>
      </c>
      <c r="Q958" s="481"/>
    </row>
    <row r="959" spans="2:17" ht="31.2" x14ac:dyDescent="0.3">
      <c r="B959" s="787" t="s">
        <v>592</v>
      </c>
      <c r="C959" s="789" t="s">
        <v>593</v>
      </c>
      <c r="D959" s="146" t="s">
        <v>190</v>
      </c>
      <c r="E959" s="147" t="s">
        <v>510</v>
      </c>
      <c r="F959" s="1195">
        <v>1</v>
      </c>
      <c r="G959" s="594" t="s">
        <v>9494</v>
      </c>
      <c r="H959" s="1049" t="s">
        <v>9495</v>
      </c>
      <c r="I959" s="1521" t="s">
        <v>119</v>
      </c>
      <c r="J959" s="494" t="s">
        <v>678</v>
      </c>
      <c r="K959" s="1010">
        <v>46204</v>
      </c>
      <c r="Q959" s="481"/>
    </row>
    <row r="960" spans="2:17" ht="15.6" x14ac:dyDescent="0.3">
      <c r="B960" s="787"/>
      <c r="C960" s="789"/>
      <c r="D960" s="146"/>
      <c r="E960" s="147"/>
      <c r="F960" s="491"/>
      <c r="G960" s="594"/>
      <c r="H960" s="1049"/>
      <c r="I960" s="319"/>
      <c r="J960" s="494"/>
      <c r="K960" s="1010"/>
      <c r="Q960" s="481"/>
    </row>
    <row r="961" spans="2:17" ht="15.6" x14ac:dyDescent="0.3">
      <c r="B961" s="787"/>
      <c r="C961" s="353" t="s">
        <v>771</v>
      </c>
      <c r="D961" s="354" t="s">
        <v>190</v>
      </c>
      <c r="E961" s="355"/>
      <c r="F961" s="1040">
        <f>SUM(F911:F960)</f>
        <v>49</v>
      </c>
      <c r="G961" s="302"/>
      <c r="H961" s="667"/>
      <c r="I961" s="319"/>
      <c r="J961" s="494"/>
      <c r="K961" s="1010"/>
      <c r="L961" s="593"/>
      <c r="Q961" s="481"/>
    </row>
    <row r="962" spans="2:17" ht="15.6" x14ac:dyDescent="0.3">
      <c r="B962" s="787"/>
      <c r="C962" s="353" t="s">
        <v>772</v>
      </c>
      <c r="D962" s="354" t="s">
        <v>190</v>
      </c>
      <c r="E962" s="355"/>
      <c r="F962" s="1040">
        <v>45</v>
      </c>
      <c r="G962" s="302"/>
      <c r="H962" s="667"/>
      <c r="I962" s="319"/>
      <c r="J962" s="494"/>
      <c r="K962" s="1010"/>
      <c r="L962" s="593"/>
      <c r="Q962" s="481"/>
    </row>
    <row r="963" spans="2:17" ht="15.6" x14ac:dyDescent="0.3">
      <c r="B963" s="787"/>
      <c r="C963" s="361" t="s">
        <v>773</v>
      </c>
      <c r="D963" s="362" t="s">
        <v>190</v>
      </c>
      <c r="E963" s="363"/>
      <c r="F963" s="1041">
        <f>F961-F962</f>
        <v>4</v>
      </c>
      <c r="G963" s="302"/>
      <c r="H963" s="667"/>
      <c r="I963" s="319"/>
      <c r="J963" s="494"/>
      <c r="K963" s="1010"/>
      <c r="L963" s="593"/>
      <c r="Q963" s="481"/>
    </row>
    <row r="964" spans="2:17" ht="7.35" customHeight="1" x14ac:dyDescent="0.3">
      <c r="B964" s="338"/>
      <c r="C964" s="142"/>
      <c r="D964" s="143"/>
      <c r="E964" s="144"/>
      <c r="F964" s="1038"/>
      <c r="G964" s="144"/>
      <c r="H964" s="144"/>
      <c r="I964" s="515"/>
      <c r="J964" s="524"/>
    </row>
    <row r="965" spans="2:17" ht="15.6" x14ac:dyDescent="0.3">
      <c r="B965" s="574">
        <v>505</v>
      </c>
      <c r="C965" s="575" t="s">
        <v>382</v>
      </c>
      <c r="D965" s="579"/>
      <c r="E965" s="291"/>
      <c r="F965" s="1046"/>
      <c r="G965" s="291"/>
      <c r="H965" s="291"/>
      <c r="I965" s="576"/>
      <c r="J965" s="500"/>
    </row>
    <row r="966" spans="2:17" ht="15.6" x14ac:dyDescent="0.3">
      <c r="B966" s="786" t="s">
        <v>9496</v>
      </c>
      <c r="C966" s="788" t="s">
        <v>9497</v>
      </c>
      <c r="D966" s="127" t="s">
        <v>333</v>
      </c>
      <c r="E966" s="125"/>
      <c r="F966" s="490">
        <v>119.49</v>
      </c>
      <c r="G966" s="296" t="s">
        <v>9498</v>
      </c>
      <c r="H966" s="596">
        <v>45808</v>
      </c>
      <c r="I966" s="131" t="s">
        <v>97</v>
      </c>
      <c r="J966" s="494"/>
      <c r="L966"/>
      <c r="Q966" s="481"/>
    </row>
    <row r="967" spans="2:17" ht="15.6" x14ac:dyDescent="0.3">
      <c r="B967" s="787" t="s">
        <v>9496</v>
      </c>
      <c r="C967" s="789" t="s">
        <v>9497</v>
      </c>
      <c r="D967" s="146" t="s">
        <v>333</v>
      </c>
      <c r="E967" s="147"/>
      <c r="F967" s="491">
        <v>168.42</v>
      </c>
      <c r="G967" s="302" t="s">
        <v>9499</v>
      </c>
      <c r="H967" s="667">
        <v>45930</v>
      </c>
      <c r="I967" s="319" t="s">
        <v>940</v>
      </c>
      <c r="J967" s="1013"/>
      <c r="L967"/>
      <c r="Q967" s="481"/>
    </row>
    <row r="968" spans="2:17" ht="31.2" x14ac:dyDescent="0.3">
      <c r="B968" s="787" t="s">
        <v>9496</v>
      </c>
      <c r="C968" s="789" t="s">
        <v>9497</v>
      </c>
      <c r="D968" s="146" t="s">
        <v>333</v>
      </c>
      <c r="E968" s="147"/>
      <c r="F968" s="491">
        <f>330.24-F967-F966</f>
        <v>42.330000000000027</v>
      </c>
      <c r="G968" s="302" t="s">
        <v>9500</v>
      </c>
      <c r="H968" s="667">
        <v>46053</v>
      </c>
      <c r="I968" s="319" t="s">
        <v>1417</v>
      </c>
      <c r="J968" s="1129" t="s">
        <v>9501</v>
      </c>
      <c r="L968"/>
      <c r="Q968" s="481"/>
    </row>
    <row r="969" spans="2:17" ht="15.6" x14ac:dyDescent="0.3">
      <c r="B969" s="787"/>
      <c r="C969" s="789"/>
      <c r="D969" s="146"/>
      <c r="E969" s="147"/>
      <c r="F969" s="491"/>
      <c r="G969" s="302"/>
      <c r="H969" s="667"/>
      <c r="I969" s="319"/>
      <c r="J969" s="494"/>
      <c r="L969"/>
      <c r="Q969" s="481"/>
    </row>
    <row r="970" spans="2:17" ht="15.6" x14ac:dyDescent="0.3">
      <c r="B970" s="787"/>
      <c r="C970" s="353" t="s">
        <v>771</v>
      </c>
      <c r="D970" s="354" t="s">
        <v>333</v>
      </c>
      <c r="E970" s="147"/>
      <c r="F970" s="1040">
        <f>ROUND(SUM(F966:F969),3)</f>
        <v>330.24</v>
      </c>
      <c r="G970" s="302"/>
      <c r="H970" s="667"/>
      <c r="I970" s="319"/>
      <c r="J970" s="494"/>
      <c r="L970"/>
      <c r="Q970" s="481"/>
    </row>
    <row r="971" spans="2:17" ht="15.6" x14ac:dyDescent="0.3">
      <c r="B971" s="787"/>
      <c r="C971" s="353" t="s">
        <v>772</v>
      </c>
      <c r="D971" s="354" t="s">
        <v>333</v>
      </c>
      <c r="E971" s="147"/>
      <c r="F971" s="1040">
        <v>330.24</v>
      </c>
      <c r="G971" s="302"/>
      <c r="H971" s="667"/>
      <c r="I971" s="319"/>
      <c r="J971" s="494"/>
      <c r="L971"/>
      <c r="Q971" s="481"/>
    </row>
    <row r="972" spans="2:17" ht="15.6" x14ac:dyDescent="0.3">
      <c r="B972" s="787"/>
      <c r="C972" s="361" t="s">
        <v>773</v>
      </c>
      <c r="D972" s="362" t="s">
        <v>333</v>
      </c>
      <c r="E972" s="355"/>
      <c r="F972" s="1041">
        <f>F970-F971</f>
        <v>0</v>
      </c>
      <c r="G972" s="302"/>
      <c r="H972" s="667"/>
      <c r="I972" s="319"/>
      <c r="J972" s="494"/>
      <c r="L972"/>
      <c r="Q972" s="481"/>
    </row>
    <row r="973" spans="2:17" ht="7.5" customHeight="1" x14ac:dyDescent="0.3">
      <c r="B973" s="338"/>
      <c r="C973" s="142"/>
      <c r="D973" s="143"/>
      <c r="E973" s="144"/>
      <c r="F973" s="1038"/>
      <c r="G973" s="144"/>
      <c r="H973" s="144"/>
      <c r="I973" s="515"/>
      <c r="J973" s="524"/>
      <c r="L973"/>
    </row>
    <row r="974" spans="2:17" ht="57.6" x14ac:dyDescent="0.3">
      <c r="B974" s="786" t="s">
        <v>9502</v>
      </c>
      <c r="C974" s="788" t="s">
        <v>9503</v>
      </c>
      <c r="D974" s="127" t="s">
        <v>333</v>
      </c>
      <c r="E974" s="125"/>
      <c r="F974" s="490">
        <v>119.49</v>
      </c>
      <c r="G974" s="1172" t="s">
        <v>9504</v>
      </c>
      <c r="H974" s="596" t="s">
        <v>9505</v>
      </c>
      <c r="I974" s="131" t="s">
        <v>937</v>
      </c>
      <c r="J974" s="494"/>
      <c r="L974"/>
      <c r="Q974" s="481"/>
    </row>
    <row r="975" spans="2:17" ht="15.6" x14ac:dyDescent="0.3">
      <c r="B975" s="787" t="s">
        <v>9502</v>
      </c>
      <c r="C975" s="789" t="s">
        <v>9503</v>
      </c>
      <c r="D975" s="146" t="s">
        <v>333</v>
      </c>
      <c r="E975" s="147"/>
      <c r="F975" s="491">
        <v>168.42</v>
      </c>
      <c r="G975" s="302" t="s">
        <v>760</v>
      </c>
      <c r="H975" s="667"/>
      <c r="I975" s="319" t="s">
        <v>1282</v>
      </c>
      <c r="J975" s="494"/>
      <c r="L975"/>
      <c r="Q975" s="481"/>
    </row>
    <row r="976" spans="2:17" ht="15.6" x14ac:dyDescent="0.3">
      <c r="B976" s="787" t="s">
        <v>9502</v>
      </c>
      <c r="C976" s="789" t="s">
        <v>9503</v>
      </c>
      <c r="D976" s="146" t="s">
        <v>333</v>
      </c>
      <c r="E976" s="147"/>
      <c r="F976" s="491">
        <f>330.24-F974-F975</f>
        <v>42.330000000000013</v>
      </c>
      <c r="G976" s="302" t="s">
        <v>760</v>
      </c>
      <c r="H976" s="667"/>
      <c r="I976" s="319" t="s">
        <v>946</v>
      </c>
      <c r="J976" s="494"/>
      <c r="L976"/>
      <c r="Q976" s="481"/>
    </row>
    <row r="977" spans="2:17" ht="15.6" x14ac:dyDescent="0.3">
      <c r="B977" s="787"/>
      <c r="C977" s="789"/>
      <c r="D977" s="146"/>
      <c r="E977" s="147"/>
      <c r="F977" s="491"/>
      <c r="G977" s="302"/>
      <c r="H977" s="667"/>
      <c r="I977" s="319"/>
      <c r="J977" s="494"/>
      <c r="L977"/>
      <c r="Q977" s="481"/>
    </row>
    <row r="978" spans="2:17" ht="15.6" x14ac:dyDescent="0.3">
      <c r="B978" s="787"/>
      <c r="C978" s="353" t="s">
        <v>771</v>
      </c>
      <c r="D978" s="354" t="s">
        <v>333</v>
      </c>
      <c r="E978" s="147"/>
      <c r="F978" s="1040">
        <f>SUM(F974:F977)</f>
        <v>330.24</v>
      </c>
      <c r="G978" s="302"/>
      <c r="H978" s="667"/>
      <c r="I978" s="319"/>
      <c r="J978" s="494"/>
      <c r="L978"/>
      <c r="Q978" s="481"/>
    </row>
    <row r="979" spans="2:17" ht="15.6" x14ac:dyDescent="0.3">
      <c r="B979" s="787"/>
      <c r="C979" s="353" t="s">
        <v>772</v>
      </c>
      <c r="D979" s="354" t="s">
        <v>333</v>
      </c>
      <c r="E979" s="147"/>
      <c r="F979" s="1040">
        <v>330.24</v>
      </c>
      <c r="G979" s="302"/>
      <c r="H979" s="667"/>
      <c r="I979" s="319"/>
      <c r="J979" s="494"/>
      <c r="L979"/>
      <c r="Q979" s="481"/>
    </row>
    <row r="980" spans="2:17" ht="15.6" x14ac:dyDescent="0.3">
      <c r="B980" s="787"/>
      <c r="C980" s="361" t="s">
        <v>773</v>
      </c>
      <c r="D980" s="362" t="s">
        <v>333</v>
      </c>
      <c r="E980" s="355"/>
      <c r="F980" s="1041">
        <f>F978-F979</f>
        <v>0</v>
      </c>
      <c r="G980" s="302"/>
      <c r="H980" s="667"/>
      <c r="I980" s="319"/>
      <c r="J980" s="494"/>
      <c r="L980"/>
      <c r="Q980" s="481"/>
    </row>
    <row r="981" spans="2:17" ht="7.5" customHeight="1" x14ac:dyDescent="0.3">
      <c r="B981" s="338"/>
      <c r="C981" s="142"/>
      <c r="D981" s="143"/>
      <c r="E981" s="144"/>
      <c r="F981" s="1038"/>
      <c r="G981" s="144"/>
      <c r="H981" s="144"/>
      <c r="I981" s="515"/>
      <c r="J981" s="524"/>
      <c r="L981"/>
    </row>
    <row r="982" spans="2:17" ht="31.2" x14ac:dyDescent="0.3">
      <c r="B982" s="786" t="s">
        <v>522</v>
      </c>
      <c r="C982" s="788" t="s">
        <v>523</v>
      </c>
      <c r="D982" s="127" t="s">
        <v>190</v>
      </c>
      <c r="E982" s="125" t="s">
        <v>515</v>
      </c>
      <c r="F982" s="490">
        <v>1</v>
      </c>
      <c r="G982" s="296" t="s">
        <v>9506</v>
      </c>
      <c r="H982" s="596" t="s">
        <v>9507</v>
      </c>
      <c r="I982" s="319" t="s">
        <v>943</v>
      </c>
      <c r="J982" s="494" t="s">
        <v>8958</v>
      </c>
      <c r="K982" s="1010"/>
      <c r="L982" s="593"/>
      <c r="Q982" s="481"/>
    </row>
    <row r="983" spans="2:17" ht="31.2" x14ac:dyDescent="0.3">
      <c r="B983" s="787" t="s">
        <v>522</v>
      </c>
      <c r="C983" s="789" t="s">
        <v>523</v>
      </c>
      <c r="D983" s="146" t="s">
        <v>190</v>
      </c>
      <c r="E983" s="147" t="s">
        <v>515</v>
      </c>
      <c r="F983" s="491">
        <v>1</v>
      </c>
      <c r="G983" s="302" t="s">
        <v>9508</v>
      </c>
      <c r="H983" s="667" t="s">
        <v>9509</v>
      </c>
      <c r="I983" s="319" t="s">
        <v>943</v>
      </c>
      <c r="J983" s="494" t="s">
        <v>8961</v>
      </c>
      <c r="K983" s="1010"/>
      <c r="L983" s="593"/>
      <c r="Q983" s="481"/>
    </row>
    <row r="984" spans="2:17" ht="31.2" x14ac:dyDescent="0.3">
      <c r="B984" s="787" t="s">
        <v>522</v>
      </c>
      <c r="C984" s="789" t="s">
        <v>523</v>
      </c>
      <c r="D984" s="146" t="s">
        <v>190</v>
      </c>
      <c r="E984" s="147" t="s">
        <v>515</v>
      </c>
      <c r="F984" s="491">
        <v>1</v>
      </c>
      <c r="G984" s="302" t="s">
        <v>9510</v>
      </c>
      <c r="H984" s="667" t="s">
        <v>9511</v>
      </c>
      <c r="I984" s="319" t="s">
        <v>943</v>
      </c>
      <c r="J984" s="494" t="s">
        <v>8964</v>
      </c>
      <c r="K984" s="1010"/>
      <c r="L984" s="593"/>
      <c r="Q984" s="481"/>
    </row>
    <row r="985" spans="2:17" ht="31.2" x14ac:dyDescent="0.3">
      <c r="B985" s="787" t="s">
        <v>522</v>
      </c>
      <c r="C985" s="789" t="s">
        <v>523</v>
      </c>
      <c r="D985" s="146" t="s">
        <v>190</v>
      </c>
      <c r="E985" s="147" t="s">
        <v>515</v>
      </c>
      <c r="F985" s="491">
        <v>1</v>
      </c>
      <c r="G985" s="302" t="s">
        <v>9512</v>
      </c>
      <c r="H985" s="667" t="s">
        <v>9513</v>
      </c>
      <c r="I985" s="319" t="s">
        <v>943</v>
      </c>
      <c r="J985" s="494" t="s">
        <v>8973</v>
      </c>
      <c r="K985" s="1010"/>
      <c r="L985" s="593"/>
      <c r="Q985" s="481"/>
    </row>
    <row r="986" spans="2:17" ht="31.2" x14ac:dyDescent="0.3">
      <c r="B986" s="787" t="s">
        <v>522</v>
      </c>
      <c r="C986" s="789" t="s">
        <v>523</v>
      </c>
      <c r="D986" s="146" t="s">
        <v>190</v>
      </c>
      <c r="E986" s="147" t="s">
        <v>515</v>
      </c>
      <c r="F986" s="491">
        <v>1</v>
      </c>
      <c r="G986" s="302" t="s">
        <v>9514</v>
      </c>
      <c r="H986" s="667" t="s">
        <v>9515</v>
      </c>
      <c r="I986" s="319" t="s">
        <v>943</v>
      </c>
      <c r="J986" s="494" t="s">
        <v>8976</v>
      </c>
      <c r="K986" s="1010"/>
      <c r="L986" s="593"/>
      <c r="Q986" s="481"/>
    </row>
    <row r="987" spans="2:17" ht="31.2" x14ac:dyDescent="0.3">
      <c r="B987" s="787" t="s">
        <v>522</v>
      </c>
      <c r="C987" s="789" t="s">
        <v>523</v>
      </c>
      <c r="D987" s="146" t="s">
        <v>190</v>
      </c>
      <c r="E987" s="147" t="s">
        <v>515</v>
      </c>
      <c r="F987" s="491">
        <v>1</v>
      </c>
      <c r="G987" s="302" t="s">
        <v>9516</v>
      </c>
      <c r="H987" s="667" t="s">
        <v>9517</v>
      </c>
      <c r="I987" s="319" t="s">
        <v>943</v>
      </c>
      <c r="J987" s="494" t="s">
        <v>8982</v>
      </c>
      <c r="K987" s="1010"/>
      <c r="L987" s="593"/>
      <c r="Q987" s="481"/>
    </row>
    <row r="988" spans="2:17" ht="31.2" x14ac:dyDescent="0.3">
      <c r="B988" s="787" t="s">
        <v>522</v>
      </c>
      <c r="C988" s="789" t="s">
        <v>523</v>
      </c>
      <c r="D988" s="146" t="s">
        <v>190</v>
      </c>
      <c r="E988" s="147" t="s">
        <v>515</v>
      </c>
      <c r="F988" s="491">
        <v>1</v>
      </c>
      <c r="G988" s="302" t="s">
        <v>9518</v>
      </c>
      <c r="H988" s="667" t="s">
        <v>9519</v>
      </c>
      <c r="I988" s="319" t="s">
        <v>943</v>
      </c>
      <c r="J988" s="494" t="s">
        <v>8985</v>
      </c>
      <c r="K988" s="1010"/>
      <c r="L988" s="593"/>
      <c r="Q988" s="481"/>
    </row>
    <row r="989" spans="2:17" ht="31.2" x14ac:dyDescent="0.3">
      <c r="B989" s="787" t="s">
        <v>522</v>
      </c>
      <c r="C989" s="789" t="s">
        <v>523</v>
      </c>
      <c r="D989" s="146" t="s">
        <v>190</v>
      </c>
      <c r="E989" s="147" t="s">
        <v>515</v>
      </c>
      <c r="F989" s="491">
        <v>1</v>
      </c>
      <c r="G989" s="302" t="s">
        <v>9520</v>
      </c>
      <c r="H989" s="667" t="s">
        <v>9521</v>
      </c>
      <c r="I989" s="319" t="s">
        <v>943</v>
      </c>
      <c r="J989" s="494" t="s">
        <v>8988</v>
      </c>
      <c r="K989" s="1010"/>
      <c r="Q989" s="481"/>
    </row>
    <row r="990" spans="2:17" ht="31.2" x14ac:dyDescent="0.3">
      <c r="B990" s="787" t="s">
        <v>522</v>
      </c>
      <c r="C990" s="789" t="s">
        <v>523</v>
      </c>
      <c r="D990" s="146" t="s">
        <v>190</v>
      </c>
      <c r="E990" s="147" t="s">
        <v>515</v>
      </c>
      <c r="F990" s="504">
        <v>1</v>
      </c>
      <c r="G990" s="302" t="s">
        <v>9522</v>
      </c>
      <c r="H990" s="667" t="s">
        <v>9523</v>
      </c>
      <c r="I990" s="319" t="s">
        <v>943</v>
      </c>
      <c r="J990" s="494" t="s">
        <v>8991</v>
      </c>
      <c r="K990" s="1010"/>
      <c r="Q990" s="481"/>
    </row>
    <row r="991" spans="2:17" ht="31.2" x14ac:dyDescent="0.3">
      <c r="B991" s="787" t="s">
        <v>522</v>
      </c>
      <c r="C991" s="789" t="s">
        <v>523</v>
      </c>
      <c r="D991" s="146" t="s">
        <v>190</v>
      </c>
      <c r="E991" s="147" t="s">
        <v>515</v>
      </c>
      <c r="F991" s="491">
        <v>1</v>
      </c>
      <c r="G991" s="302" t="s">
        <v>9524</v>
      </c>
      <c r="H991" s="667" t="s">
        <v>9525</v>
      </c>
      <c r="I991" s="319" t="s">
        <v>943</v>
      </c>
      <c r="J991" s="494" t="s">
        <v>8994</v>
      </c>
      <c r="K991" s="1010"/>
      <c r="L991" s="593"/>
      <c r="Q991" s="481"/>
    </row>
    <row r="992" spans="2:17" ht="31.2" x14ac:dyDescent="0.3">
      <c r="B992" s="787" t="s">
        <v>522</v>
      </c>
      <c r="C992" s="789" t="s">
        <v>523</v>
      </c>
      <c r="D992" s="146" t="s">
        <v>190</v>
      </c>
      <c r="E992" s="147" t="s">
        <v>515</v>
      </c>
      <c r="F992" s="491">
        <v>1</v>
      </c>
      <c r="G992" s="302" t="s">
        <v>9526</v>
      </c>
      <c r="H992" s="667" t="s">
        <v>9527</v>
      </c>
      <c r="I992" s="319" t="s">
        <v>943</v>
      </c>
      <c r="J992" s="494" t="s">
        <v>8997</v>
      </c>
      <c r="K992" s="1010"/>
      <c r="L992" s="593"/>
      <c r="Q992" s="481"/>
    </row>
    <row r="993" spans="2:17" ht="31.2" x14ac:dyDescent="0.3">
      <c r="B993" s="787" t="s">
        <v>522</v>
      </c>
      <c r="C993" s="789" t="s">
        <v>523</v>
      </c>
      <c r="D993" s="146" t="s">
        <v>190</v>
      </c>
      <c r="E993" s="147" t="s">
        <v>515</v>
      </c>
      <c r="F993" s="491">
        <v>1</v>
      </c>
      <c r="G993" s="302" t="s">
        <v>9528</v>
      </c>
      <c r="H993" s="667" t="s">
        <v>9529</v>
      </c>
      <c r="I993" s="319" t="s">
        <v>943</v>
      </c>
      <c r="J993" s="494" t="s">
        <v>9057</v>
      </c>
      <c r="K993" s="1010"/>
      <c r="L993" s="593"/>
      <c r="Q993" s="481"/>
    </row>
    <row r="994" spans="2:17" ht="31.2" x14ac:dyDescent="0.3">
      <c r="B994" s="787" t="s">
        <v>522</v>
      </c>
      <c r="C994" s="789" t="s">
        <v>523</v>
      </c>
      <c r="D994" s="146" t="s">
        <v>190</v>
      </c>
      <c r="E994" s="147" t="s">
        <v>515</v>
      </c>
      <c r="F994" s="491">
        <v>1</v>
      </c>
      <c r="G994" s="302" t="s">
        <v>9530</v>
      </c>
      <c r="H994" s="667" t="s">
        <v>9531</v>
      </c>
      <c r="I994" s="319" t="s">
        <v>943</v>
      </c>
      <c r="J994" s="494" t="s">
        <v>9002</v>
      </c>
      <c r="K994" s="1010"/>
      <c r="L994" s="593"/>
      <c r="Q994" s="481"/>
    </row>
    <row r="995" spans="2:17" ht="31.2" x14ac:dyDescent="0.3">
      <c r="B995" s="787" t="s">
        <v>522</v>
      </c>
      <c r="C995" s="789" t="s">
        <v>523</v>
      </c>
      <c r="D995" s="146" t="s">
        <v>190</v>
      </c>
      <c r="E995" s="147" t="s">
        <v>515</v>
      </c>
      <c r="F995" s="491">
        <v>1</v>
      </c>
      <c r="G995" s="302" t="s">
        <v>9532</v>
      </c>
      <c r="H995" s="667" t="s">
        <v>9533</v>
      </c>
      <c r="I995" s="319" t="s">
        <v>943</v>
      </c>
      <c r="J995" s="494" t="s">
        <v>9005</v>
      </c>
      <c r="K995" s="1010"/>
      <c r="L995" s="593"/>
      <c r="Q995" s="481"/>
    </row>
    <row r="996" spans="2:17" ht="31.2" x14ac:dyDescent="0.3">
      <c r="B996" s="787" t="s">
        <v>522</v>
      </c>
      <c r="C996" s="789" t="s">
        <v>523</v>
      </c>
      <c r="D996" s="146" t="s">
        <v>190</v>
      </c>
      <c r="E996" s="147" t="s">
        <v>515</v>
      </c>
      <c r="F996" s="491">
        <v>1</v>
      </c>
      <c r="G996" s="302" t="s">
        <v>9534</v>
      </c>
      <c r="H996" s="667" t="s">
        <v>9535</v>
      </c>
      <c r="I996" s="319" t="s">
        <v>943</v>
      </c>
      <c r="J996" s="494" t="s">
        <v>9008</v>
      </c>
      <c r="K996" s="1010"/>
      <c r="L996" s="593"/>
      <c r="Q996" s="481"/>
    </row>
    <row r="997" spans="2:17" ht="31.2" x14ac:dyDescent="0.3">
      <c r="B997" s="787" t="s">
        <v>522</v>
      </c>
      <c r="C997" s="789" t="s">
        <v>523</v>
      </c>
      <c r="D997" s="146" t="s">
        <v>190</v>
      </c>
      <c r="E997" s="147" t="s">
        <v>515</v>
      </c>
      <c r="F997" s="491">
        <v>1</v>
      </c>
      <c r="G997" s="302" t="s">
        <v>9536</v>
      </c>
      <c r="H997" s="667" t="s">
        <v>9537</v>
      </c>
      <c r="I997" s="319" t="s">
        <v>943</v>
      </c>
      <c r="J997" s="494" t="s">
        <v>9011</v>
      </c>
      <c r="K997" s="1010"/>
      <c r="L997" s="593"/>
      <c r="Q997" s="481"/>
    </row>
    <row r="998" spans="2:17" ht="31.2" x14ac:dyDescent="0.3">
      <c r="B998" s="787" t="s">
        <v>522</v>
      </c>
      <c r="C998" s="789" t="s">
        <v>523</v>
      </c>
      <c r="D998" s="146" t="s">
        <v>190</v>
      </c>
      <c r="E998" s="147" t="s">
        <v>515</v>
      </c>
      <c r="F998" s="491">
        <v>1</v>
      </c>
      <c r="G998" s="302" t="s">
        <v>9538</v>
      </c>
      <c r="H998" s="667" t="s">
        <v>9539</v>
      </c>
      <c r="I998" s="319" t="s">
        <v>943</v>
      </c>
      <c r="J998" s="494" t="s">
        <v>9014</v>
      </c>
      <c r="K998" s="1010"/>
      <c r="L998" s="593"/>
      <c r="Q998" s="481"/>
    </row>
    <row r="999" spans="2:17" ht="31.2" x14ac:dyDescent="0.3">
      <c r="B999" s="787" t="s">
        <v>522</v>
      </c>
      <c r="C999" s="789" t="s">
        <v>523</v>
      </c>
      <c r="D999" s="146" t="s">
        <v>190</v>
      </c>
      <c r="E999" s="147" t="s">
        <v>515</v>
      </c>
      <c r="F999" s="491">
        <v>1</v>
      </c>
      <c r="G999" s="302" t="s">
        <v>9540</v>
      </c>
      <c r="H999" s="667" t="s">
        <v>9541</v>
      </c>
      <c r="I999" s="319" t="s">
        <v>943</v>
      </c>
      <c r="J999" s="494" t="s">
        <v>9017</v>
      </c>
      <c r="K999" s="1010"/>
      <c r="L999" s="593"/>
      <c r="Q999" s="481"/>
    </row>
    <row r="1000" spans="2:17" ht="31.2" x14ac:dyDescent="0.3">
      <c r="B1000" s="787" t="s">
        <v>522</v>
      </c>
      <c r="C1000" s="789" t="s">
        <v>523</v>
      </c>
      <c r="D1000" s="146" t="s">
        <v>190</v>
      </c>
      <c r="E1000" s="147" t="s">
        <v>515</v>
      </c>
      <c r="F1000" s="491">
        <v>1</v>
      </c>
      <c r="G1000" s="302" t="s">
        <v>9542</v>
      </c>
      <c r="H1000" s="667" t="s">
        <v>9543</v>
      </c>
      <c r="I1000" s="319" t="s">
        <v>943</v>
      </c>
      <c r="J1000" s="494" t="s">
        <v>9020</v>
      </c>
      <c r="K1000" s="1010"/>
      <c r="L1000" s="593"/>
      <c r="Q1000" s="481"/>
    </row>
    <row r="1001" spans="2:17" ht="31.2" x14ac:dyDescent="0.3">
      <c r="B1001" s="787" t="s">
        <v>522</v>
      </c>
      <c r="C1001" s="789" t="s">
        <v>523</v>
      </c>
      <c r="D1001" s="146" t="s">
        <v>190</v>
      </c>
      <c r="E1001" s="147" t="s">
        <v>515</v>
      </c>
      <c r="F1001" s="491">
        <v>1</v>
      </c>
      <c r="G1001" s="302" t="s">
        <v>9544</v>
      </c>
      <c r="H1001" s="667" t="s">
        <v>9545</v>
      </c>
      <c r="I1001" s="319" t="s">
        <v>943</v>
      </c>
      <c r="J1001" s="494" t="s">
        <v>9023</v>
      </c>
      <c r="K1001" s="1010"/>
      <c r="L1001" s="593"/>
      <c r="Q1001" s="481"/>
    </row>
    <row r="1002" spans="2:17" ht="31.2" x14ac:dyDescent="0.3">
      <c r="B1002" s="787" t="s">
        <v>522</v>
      </c>
      <c r="C1002" s="789" t="s">
        <v>523</v>
      </c>
      <c r="D1002" s="146" t="s">
        <v>190</v>
      </c>
      <c r="E1002" s="147" t="s">
        <v>515</v>
      </c>
      <c r="F1002" s="491">
        <v>1</v>
      </c>
      <c r="G1002" s="302" t="s">
        <v>9546</v>
      </c>
      <c r="H1002" s="667" t="s">
        <v>9547</v>
      </c>
      <c r="I1002" s="319" t="s">
        <v>943</v>
      </c>
      <c r="J1002" s="494" t="s">
        <v>9026</v>
      </c>
      <c r="K1002" s="1010"/>
      <c r="L1002" s="593"/>
      <c r="Q1002" s="481"/>
    </row>
    <row r="1003" spans="2:17" ht="31.2" x14ac:dyDescent="0.3">
      <c r="B1003" s="787" t="s">
        <v>522</v>
      </c>
      <c r="C1003" s="789" t="s">
        <v>523</v>
      </c>
      <c r="D1003" s="146" t="s">
        <v>190</v>
      </c>
      <c r="E1003" s="147" t="s">
        <v>515</v>
      </c>
      <c r="F1003" s="491">
        <v>1</v>
      </c>
      <c r="G1003" s="302" t="s">
        <v>9548</v>
      </c>
      <c r="H1003" s="667" t="s">
        <v>9549</v>
      </c>
      <c r="I1003" s="319" t="s">
        <v>943</v>
      </c>
      <c r="J1003" s="494" t="s">
        <v>9029</v>
      </c>
      <c r="K1003" s="1010"/>
      <c r="L1003" s="593"/>
      <c r="Q1003" s="481"/>
    </row>
    <row r="1004" spans="2:17" ht="31.2" x14ac:dyDescent="0.3">
      <c r="B1004" s="787" t="s">
        <v>522</v>
      </c>
      <c r="C1004" s="789" t="s">
        <v>523</v>
      </c>
      <c r="D1004" s="146" t="s">
        <v>190</v>
      </c>
      <c r="E1004" s="147" t="s">
        <v>515</v>
      </c>
      <c r="F1004" s="491">
        <v>1</v>
      </c>
      <c r="G1004" s="302" t="s">
        <v>9550</v>
      </c>
      <c r="H1004" s="667" t="s">
        <v>9551</v>
      </c>
      <c r="I1004" s="319" t="s">
        <v>943</v>
      </c>
      <c r="J1004" s="494" t="s">
        <v>9060</v>
      </c>
      <c r="K1004" s="1010"/>
      <c r="L1004" s="593"/>
      <c r="Q1004" s="481"/>
    </row>
    <row r="1005" spans="2:17" ht="31.2" x14ac:dyDescent="0.3">
      <c r="B1005" s="787" t="s">
        <v>522</v>
      </c>
      <c r="C1005" s="789" t="s">
        <v>523</v>
      </c>
      <c r="D1005" s="146" t="s">
        <v>190</v>
      </c>
      <c r="E1005" s="147" t="s">
        <v>515</v>
      </c>
      <c r="F1005" s="491">
        <v>1</v>
      </c>
      <c r="G1005" s="302" t="s">
        <v>9552</v>
      </c>
      <c r="H1005" s="667" t="s">
        <v>9553</v>
      </c>
      <c r="I1005" s="319" t="s">
        <v>943</v>
      </c>
      <c r="J1005" s="494" t="s">
        <v>9068</v>
      </c>
      <c r="K1005" s="1010"/>
      <c r="L1005" s="593"/>
      <c r="Q1005" s="481"/>
    </row>
    <row r="1006" spans="2:17" ht="31.2" x14ac:dyDescent="0.3">
      <c r="B1006" s="787" t="s">
        <v>522</v>
      </c>
      <c r="C1006" s="789" t="s">
        <v>523</v>
      </c>
      <c r="D1006" s="146" t="s">
        <v>190</v>
      </c>
      <c r="E1006" s="147" t="s">
        <v>515</v>
      </c>
      <c r="F1006" s="491">
        <v>1</v>
      </c>
      <c r="G1006" s="302" t="s">
        <v>9554</v>
      </c>
      <c r="H1006" s="667" t="s">
        <v>9555</v>
      </c>
      <c r="I1006" s="319" t="s">
        <v>943</v>
      </c>
      <c r="J1006" s="494" t="s">
        <v>9044</v>
      </c>
      <c r="K1006" s="1010"/>
      <c r="L1006" s="593"/>
      <c r="Q1006" s="481"/>
    </row>
    <row r="1007" spans="2:17" ht="31.2" x14ac:dyDescent="0.3">
      <c r="B1007" s="787" t="s">
        <v>522</v>
      </c>
      <c r="C1007" s="789" t="s">
        <v>523</v>
      </c>
      <c r="D1007" s="146" t="s">
        <v>190</v>
      </c>
      <c r="E1007" s="147" t="s">
        <v>515</v>
      </c>
      <c r="F1007" s="491">
        <v>1</v>
      </c>
      <c r="G1007" s="302" t="s">
        <v>9556</v>
      </c>
      <c r="H1007" s="667" t="s">
        <v>9557</v>
      </c>
      <c r="I1007" s="319" t="s">
        <v>943</v>
      </c>
      <c r="J1007" s="494" t="s">
        <v>9032</v>
      </c>
      <c r="K1007" s="1010"/>
      <c r="L1007" s="593"/>
      <c r="Q1007" s="481"/>
    </row>
    <row r="1008" spans="2:17" ht="31.2" x14ac:dyDescent="0.3">
      <c r="B1008" s="787" t="s">
        <v>522</v>
      </c>
      <c r="C1008" s="789" t="s">
        <v>523</v>
      </c>
      <c r="D1008" s="146" t="s">
        <v>190</v>
      </c>
      <c r="E1008" s="147" t="s">
        <v>515</v>
      </c>
      <c r="F1008" s="491">
        <v>1</v>
      </c>
      <c r="G1008" s="302" t="s">
        <v>9558</v>
      </c>
      <c r="H1008" s="667" t="s">
        <v>9559</v>
      </c>
      <c r="I1008" s="319" t="s">
        <v>943</v>
      </c>
      <c r="J1008" s="494" t="s">
        <v>9047</v>
      </c>
      <c r="K1008" s="1010"/>
      <c r="L1008" s="593"/>
      <c r="Q1008" s="481"/>
    </row>
    <row r="1009" spans="2:17" ht="31.2" x14ac:dyDescent="0.3">
      <c r="B1009" s="787" t="s">
        <v>522</v>
      </c>
      <c r="C1009" s="789" t="s">
        <v>523</v>
      </c>
      <c r="D1009" s="146" t="s">
        <v>190</v>
      </c>
      <c r="E1009" s="147" t="s">
        <v>515</v>
      </c>
      <c r="F1009" s="491">
        <v>1</v>
      </c>
      <c r="G1009" s="302" t="s">
        <v>9560</v>
      </c>
      <c r="H1009" s="667" t="s">
        <v>9561</v>
      </c>
      <c r="I1009" s="319" t="s">
        <v>943</v>
      </c>
      <c r="J1009" s="494" t="s">
        <v>9050</v>
      </c>
      <c r="K1009" s="1010"/>
      <c r="L1009" s="593"/>
      <c r="Q1009" s="481"/>
    </row>
    <row r="1010" spans="2:17" ht="31.2" x14ac:dyDescent="0.3">
      <c r="B1010" s="787" t="s">
        <v>522</v>
      </c>
      <c r="C1010" s="789" t="s">
        <v>523</v>
      </c>
      <c r="D1010" s="146" t="s">
        <v>190</v>
      </c>
      <c r="E1010" s="147" t="s">
        <v>515</v>
      </c>
      <c r="F1010" s="491">
        <v>1</v>
      </c>
      <c r="G1010" s="302" t="s">
        <v>9562</v>
      </c>
      <c r="H1010" s="667" t="s">
        <v>9563</v>
      </c>
      <c r="I1010" s="319" t="s">
        <v>943</v>
      </c>
      <c r="J1010" s="494" t="s">
        <v>9056</v>
      </c>
      <c r="K1010" s="1010"/>
      <c r="L1010" s="593"/>
      <c r="Q1010" s="481"/>
    </row>
    <row r="1011" spans="2:17" ht="31.2" x14ac:dyDescent="0.3">
      <c r="B1011" s="787" t="s">
        <v>522</v>
      </c>
      <c r="C1011" s="789" t="s">
        <v>523</v>
      </c>
      <c r="D1011" s="146" t="s">
        <v>190</v>
      </c>
      <c r="E1011" s="147" t="s">
        <v>515</v>
      </c>
      <c r="F1011" s="491">
        <v>1</v>
      </c>
      <c r="G1011" s="302" t="s">
        <v>9564</v>
      </c>
      <c r="H1011" s="667" t="s">
        <v>9565</v>
      </c>
      <c r="I1011" s="319" t="s">
        <v>943</v>
      </c>
      <c r="J1011" s="494" t="s">
        <v>9062</v>
      </c>
      <c r="K1011" s="1010"/>
      <c r="L1011" s="593"/>
      <c r="Q1011" s="481"/>
    </row>
    <row r="1012" spans="2:17" ht="31.2" x14ac:dyDescent="0.3">
      <c r="B1012" s="787" t="s">
        <v>522</v>
      </c>
      <c r="C1012" s="789" t="s">
        <v>523</v>
      </c>
      <c r="D1012" s="146" t="s">
        <v>190</v>
      </c>
      <c r="E1012" s="147" t="s">
        <v>515</v>
      </c>
      <c r="F1012" s="491">
        <v>1</v>
      </c>
      <c r="G1012" s="302" t="s">
        <v>9566</v>
      </c>
      <c r="H1012" s="667" t="s">
        <v>9567</v>
      </c>
      <c r="I1012" s="319" t="s">
        <v>943</v>
      </c>
      <c r="J1012" s="494" t="s">
        <v>9071</v>
      </c>
      <c r="K1012" s="1010"/>
      <c r="L1012" s="593"/>
      <c r="Q1012" s="481"/>
    </row>
    <row r="1013" spans="2:17" ht="31.2" x14ac:dyDescent="0.3">
      <c r="B1013" s="787" t="s">
        <v>522</v>
      </c>
      <c r="C1013" s="789" t="s">
        <v>523</v>
      </c>
      <c r="D1013" s="146" t="s">
        <v>190</v>
      </c>
      <c r="E1013" s="147" t="s">
        <v>515</v>
      </c>
      <c r="F1013" s="491">
        <v>1</v>
      </c>
      <c r="G1013" s="302" t="s">
        <v>9568</v>
      </c>
      <c r="H1013" s="667" t="s">
        <v>9569</v>
      </c>
      <c r="I1013" s="319" t="s">
        <v>943</v>
      </c>
      <c r="J1013" s="494" t="s">
        <v>9038</v>
      </c>
      <c r="K1013" s="1010"/>
      <c r="L1013" s="593"/>
      <c r="Q1013" s="481"/>
    </row>
    <row r="1014" spans="2:17" ht="31.2" x14ac:dyDescent="0.3">
      <c r="B1014" s="787" t="s">
        <v>522</v>
      </c>
      <c r="C1014" s="789" t="s">
        <v>523</v>
      </c>
      <c r="D1014" s="146" t="s">
        <v>190</v>
      </c>
      <c r="E1014" s="147" t="s">
        <v>515</v>
      </c>
      <c r="F1014" s="491">
        <v>1</v>
      </c>
      <c r="G1014" s="302" t="s">
        <v>9570</v>
      </c>
      <c r="H1014" s="667" t="s">
        <v>9571</v>
      </c>
      <c r="I1014" s="319" t="s">
        <v>943</v>
      </c>
      <c r="J1014" s="494" t="s">
        <v>9065</v>
      </c>
      <c r="K1014" s="1010"/>
      <c r="L1014" s="593"/>
      <c r="Q1014" s="481"/>
    </row>
    <row r="1015" spans="2:17" ht="31.2" x14ac:dyDescent="0.3">
      <c r="B1015" s="787" t="s">
        <v>522</v>
      </c>
      <c r="C1015" s="789" t="s">
        <v>523</v>
      </c>
      <c r="D1015" s="146" t="s">
        <v>190</v>
      </c>
      <c r="E1015" s="147" t="s">
        <v>515</v>
      </c>
      <c r="F1015" s="491">
        <v>1</v>
      </c>
      <c r="G1015" s="302" t="s">
        <v>9572</v>
      </c>
      <c r="H1015" s="667" t="s">
        <v>9573</v>
      </c>
      <c r="I1015" s="319" t="s">
        <v>943</v>
      </c>
      <c r="J1015" s="494" t="s">
        <v>9000</v>
      </c>
      <c r="K1015" s="1010"/>
      <c r="L1015" s="593"/>
      <c r="Q1015" s="481"/>
    </row>
    <row r="1016" spans="2:17" ht="31.2" x14ac:dyDescent="0.3">
      <c r="B1016" s="787" t="s">
        <v>522</v>
      </c>
      <c r="C1016" s="789" t="s">
        <v>523</v>
      </c>
      <c r="D1016" s="146" t="s">
        <v>190</v>
      </c>
      <c r="E1016" s="147" t="s">
        <v>515</v>
      </c>
      <c r="F1016" s="491">
        <v>1</v>
      </c>
      <c r="G1016" s="302" t="s">
        <v>9574</v>
      </c>
      <c r="H1016" s="667" t="s">
        <v>9575</v>
      </c>
      <c r="I1016" s="319" t="s">
        <v>943</v>
      </c>
      <c r="J1016" s="494" t="s">
        <v>9074</v>
      </c>
      <c r="K1016" s="1010"/>
      <c r="L1016" s="593"/>
      <c r="Q1016" s="481"/>
    </row>
    <row r="1017" spans="2:17" ht="31.2" x14ac:dyDescent="0.3">
      <c r="B1017" s="787" t="s">
        <v>522</v>
      </c>
      <c r="C1017" s="789" t="s">
        <v>523</v>
      </c>
      <c r="D1017" s="146" t="s">
        <v>190</v>
      </c>
      <c r="E1017" s="147" t="s">
        <v>515</v>
      </c>
      <c r="F1017" s="491">
        <v>1</v>
      </c>
      <c r="G1017" s="302" t="s">
        <v>9576</v>
      </c>
      <c r="H1017" s="667" t="s">
        <v>9577</v>
      </c>
      <c r="I1017" s="319" t="s">
        <v>943</v>
      </c>
      <c r="J1017" s="494" t="s">
        <v>9089</v>
      </c>
      <c r="K1017" s="1010"/>
      <c r="L1017" s="593"/>
      <c r="Q1017" s="481"/>
    </row>
    <row r="1018" spans="2:17" ht="31.2" x14ac:dyDescent="0.3">
      <c r="B1018" s="787" t="s">
        <v>522</v>
      </c>
      <c r="C1018" s="789" t="s">
        <v>523</v>
      </c>
      <c r="D1018" s="146" t="s">
        <v>190</v>
      </c>
      <c r="E1018" s="147" t="s">
        <v>515</v>
      </c>
      <c r="F1018" s="491">
        <v>1</v>
      </c>
      <c r="G1018" s="302" t="s">
        <v>9578</v>
      </c>
      <c r="H1018" s="667" t="s">
        <v>9579</v>
      </c>
      <c r="I1018" s="319" t="s">
        <v>943</v>
      </c>
      <c r="J1018" s="494" t="s">
        <v>9080</v>
      </c>
      <c r="K1018" s="1010"/>
      <c r="L1018" s="593"/>
      <c r="Q1018" s="481"/>
    </row>
    <row r="1019" spans="2:17" ht="31.2" x14ac:dyDescent="0.3">
      <c r="B1019" s="787" t="s">
        <v>522</v>
      </c>
      <c r="C1019" s="789" t="s">
        <v>523</v>
      </c>
      <c r="D1019" s="146" t="s">
        <v>190</v>
      </c>
      <c r="E1019" s="147" t="s">
        <v>515</v>
      </c>
      <c r="F1019" s="491">
        <v>1</v>
      </c>
      <c r="G1019" s="302" t="s">
        <v>9580</v>
      </c>
      <c r="H1019" s="667" t="s">
        <v>9581</v>
      </c>
      <c r="I1019" s="319" t="s">
        <v>943</v>
      </c>
      <c r="J1019" s="494" t="s">
        <v>9095</v>
      </c>
      <c r="K1019" s="1010"/>
      <c r="L1019" s="593"/>
      <c r="Q1019" s="481"/>
    </row>
    <row r="1020" spans="2:17" ht="31.2" x14ac:dyDescent="0.3">
      <c r="B1020" s="787" t="s">
        <v>522</v>
      </c>
      <c r="C1020" s="789" t="s">
        <v>523</v>
      </c>
      <c r="D1020" s="146" t="s">
        <v>190</v>
      </c>
      <c r="E1020" s="147" t="s">
        <v>515</v>
      </c>
      <c r="F1020" s="491">
        <v>1</v>
      </c>
      <c r="G1020" s="302" t="s">
        <v>9582</v>
      </c>
      <c r="H1020" s="667" t="s">
        <v>9583</v>
      </c>
      <c r="I1020" s="319" t="s">
        <v>943</v>
      </c>
      <c r="J1020" s="494" t="s">
        <v>9103</v>
      </c>
      <c r="K1020" s="1010"/>
      <c r="L1020" s="593"/>
      <c r="Q1020" s="481"/>
    </row>
    <row r="1021" spans="2:17" ht="31.2" x14ac:dyDescent="0.3">
      <c r="B1021" s="787" t="s">
        <v>522</v>
      </c>
      <c r="C1021" s="789" t="s">
        <v>523</v>
      </c>
      <c r="D1021" s="146" t="s">
        <v>190</v>
      </c>
      <c r="E1021" s="147" t="s">
        <v>515</v>
      </c>
      <c r="F1021" s="491">
        <v>1</v>
      </c>
      <c r="G1021" s="302" t="s">
        <v>9584</v>
      </c>
      <c r="H1021" s="667" t="s">
        <v>9585</v>
      </c>
      <c r="I1021" s="319" t="s">
        <v>943</v>
      </c>
      <c r="J1021" s="494" t="s">
        <v>9097</v>
      </c>
      <c r="K1021" s="1010"/>
      <c r="L1021" s="593"/>
      <c r="Q1021" s="481"/>
    </row>
    <row r="1022" spans="2:17" ht="31.2" x14ac:dyDescent="0.3">
      <c r="B1022" s="787" t="s">
        <v>522</v>
      </c>
      <c r="C1022" s="789" t="s">
        <v>523</v>
      </c>
      <c r="D1022" s="146" t="s">
        <v>190</v>
      </c>
      <c r="E1022" s="147" t="s">
        <v>515</v>
      </c>
      <c r="F1022" s="491">
        <v>1</v>
      </c>
      <c r="G1022" s="594" t="s">
        <v>9586</v>
      </c>
      <c r="H1022" s="1049" t="s">
        <v>9587</v>
      </c>
      <c r="I1022" s="319" t="s">
        <v>943</v>
      </c>
      <c r="J1022" s="494" t="s">
        <v>9106</v>
      </c>
      <c r="K1022" s="1010"/>
      <c r="L1022" s="593"/>
      <c r="Q1022" s="481"/>
    </row>
    <row r="1023" spans="2:17" ht="31.2" x14ac:dyDescent="0.3">
      <c r="B1023" s="787" t="s">
        <v>522</v>
      </c>
      <c r="C1023" s="789" t="s">
        <v>523</v>
      </c>
      <c r="D1023" s="146" t="s">
        <v>190</v>
      </c>
      <c r="E1023" s="147" t="s">
        <v>515</v>
      </c>
      <c r="F1023" s="491">
        <v>1</v>
      </c>
      <c r="G1023" s="594" t="s">
        <v>9588</v>
      </c>
      <c r="H1023" s="1049" t="s">
        <v>9587</v>
      </c>
      <c r="I1023" s="319" t="s">
        <v>943</v>
      </c>
      <c r="J1023" s="494" t="s">
        <v>9109</v>
      </c>
      <c r="K1023" s="1010"/>
      <c r="L1023" s="593"/>
      <c r="Q1023" s="481"/>
    </row>
    <row r="1024" spans="2:17" ht="31.2" x14ac:dyDescent="0.3">
      <c r="B1024" s="787" t="s">
        <v>522</v>
      </c>
      <c r="C1024" s="789" t="s">
        <v>523</v>
      </c>
      <c r="D1024" s="146" t="s">
        <v>190</v>
      </c>
      <c r="E1024" s="147" t="s">
        <v>515</v>
      </c>
      <c r="F1024" s="491">
        <v>1</v>
      </c>
      <c r="G1024" s="594" t="s">
        <v>9589</v>
      </c>
      <c r="H1024" s="1049" t="s">
        <v>9590</v>
      </c>
      <c r="I1024" s="319" t="s">
        <v>1417</v>
      </c>
      <c r="J1024" s="494" t="s">
        <v>9035</v>
      </c>
      <c r="K1024" s="1010"/>
      <c r="L1024" s="593"/>
      <c r="Q1024" s="481"/>
    </row>
    <row r="1025" spans="2:17" ht="31.2" x14ac:dyDescent="0.3">
      <c r="B1025" s="787" t="s">
        <v>522</v>
      </c>
      <c r="C1025" s="789" t="s">
        <v>523</v>
      </c>
      <c r="D1025" s="146" t="s">
        <v>190</v>
      </c>
      <c r="E1025" s="147" t="s">
        <v>515</v>
      </c>
      <c r="F1025" s="491">
        <v>1</v>
      </c>
      <c r="G1025" s="594" t="s">
        <v>9591</v>
      </c>
      <c r="H1025" s="1049" t="s">
        <v>9592</v>
      </c>
      <c r="I1025" s="319" t="s">
        <v>1417</v>
      </c>
      <c r="J1025" s="494" t="s">
        <v>9041</v>
      </c>
      <c r="K1025" s="1010"/>
      <c r="L1025" s="593"/>
      <c r="Q1025" s="481"/>
    </row>
    <row r="1026" spans="2:17" ht="31.2" x14ac:dyDescent="0.3">
      <c r="B1026" s="787" t="s">
        <v>522</v>
      </c>
      <c r="C1026" s="789" t="s">
        <v>523</v>
      </c>
      <c r="D1026" s="146" t="s">
        <v>190</v>
      </c>
      <c r="E1026" s="147" t="s">
        <v>515</v>
      </c>
      <c r="F1026" s="491">
        <v>1</v>
      </c>
      <c r="G1026" s="594" t="s">
        <v>9593</v>
      </c>
      <c r="H1026" s="1049" t="s">
        <v>9594</v>
      </c>
      <c r="I1026" s="319" t="s">
        <v>1417</v>
      </c>
      <c r="J1026" s="494" t="s">
        <v>9053</v>
      </c>
      <c r="K1026" s="1010"/>
      <c r="L1026" s="593"/>
      <c r="Q1026" s="481"/>
    </row>
    <row r="1027" spans="2:17" ht="31.2" x14ac:dyDescent="0.3">
      <c r="B1027" s="787" t="s">
        <v>522</v>
      </c>
      <c r="C1027" s="789" t="s">
        <v>523</v>
      </c>
      <c r="D1027" s="146" t="s">
        <v>190</v>
      </c>
      <c r="E1027" s="147" t="s">
        <v>515</v>
      </c>
      <c r="F1027" s="491">
        <v>1</v>
      </c>
      <c r="G1027" s="594" t="s">
        <v>9595</v>
      </c>
      <c r="H1027" s="1049" t="s">
        <v>9579</v>
      </c>
      <c r="I1027" s="319" t="s">
        <v>1417</v>
      </c>
      <c r="J1027" s="494" t="s">
        <v>9083</v>
      </c>
      <c r="K1027" s="1010"/>
      <c r="L1027" s="593"/>
      <c r="Q1027" s="481"/>
    </row>
    <row r="1028" spans="2:17" ht="31.2" x14ac:dyDescent="0.3">
      <c r="B1028" s="787" t="s">
        <v>522</v>
      </c>
      <c r="C1028" s="789" t="s">
        <v>523</v>
      </c>
      <c r="D1028" s="146" t="s">
        <v>190</v>
      </c>
      <c r="E1028" s="147" t="s">
        <v>515</v>
      </c>
      <c r="F1028" s="491">
        <v>1</v>
      </c>
      <c r="G1028" s="594" t="s">
        <v>9596</v>
      </c>
      <c r="H1028" s="1049" t="s">
        <v>9597</v>
      </c>
      <c r="I1028" s="319" t="s">
        <v>1417</v>
      </c>
      <c r="J1028" s="494" t="s">
        <v>9118</v>
      </c>
      <c r="K1028" s="1010"/>
      <c r="L1028" s="593"/>
      <c r="Q1028" s="481"/>
    </row>
    <row r="1029" spans="2:17" ht="31.2" x14ac:dyDescent="0.3">
      <c r="B1029" s="787" t="s">
        <v>522</v>
      </c>
      <c r="C1029" s="789" t="s">
        <v>523</v>
      </c>
      <c r="D1029" s="146" t="s">
        <v>190</v>
      </c>
      <c r="E1029" s="147" t="s">
        <v>515</v>
      </c>
      <c r="F1029" s="491">
        <v>1</v>
      </c>
      <c r="G1029" s="594" t="s">
        <v>9598</v>
      </c>
      <c r="H1029" s="1049" t="s">
        <v>9599</v>
      </c>
      <c r="I1029" s="319" t="s">
        <v>1417</v>
      </c>
      <c r="J1029" s="494" t="s">
        <v>9121</v>
      </c>
      <c r="K1029" s="1010"/>
      <c r="L1029" s="593"/>
      <c r="Q1029" s="481"/>
    </row>
    <row r="1030" spans="2:17" ht="31.2" x14ac:dyDescent="0.3">
      <c r="B1030" s="787" t="s">
        <v>522</v>
      </c>
      <c r="C1030" s="789" t="s">
        <v>523</v>
      </c>
      <c r="D1030" s="146" t="s">
        <v>190</v>
      </c>
      <c r="E1030" s="147" t="s">
        <v>515</v>
      </c>
      <c r="F1030" s="491">
        <v>1</v>
      </c>
      <c r="G1030" s="594" t="s">
        <v>9600</v>
      </c>
      <c r="H1030" s="1049" t="s">
        <v>9601</v>
      </c>
      <c r="I1030" s="319" t="s">
        <v>1417</v>
      </c>
      <c r="J1030" s="494" t="s">
        <v>9156</v>
      </c>
      <c r="K1030" s="1010"/>
      <c r="L1030" s="593"/>
      <c r="Q1030" s="481"/>
    </row>
    <row r="1031" spans="2:17" ht="31.2" x14ac:dyDescent="0.3">
      <c r="B1031" s="787" t="s">
        <v>522</v>
      </c>
      <c r="C1031" s="789" t="s">
        <v>523</v>
      </c>
      <c r="D1031" s="146" t="s">
        <v>190</v>
      </c>
      <c r="E1031" s="147" t="s">
        <v>515</v>
      </c>
      <c r="F1031" s="491">
        <v>1</v>
      </c>
      <c r="G1031" s="594" t="s">
        <v>9602</v>
      </c>
      <c r="H1031" s="1049" t="s">
        <v>9603</v>
      </c>
      <c r="I1031" s="319" t="s">
        <v>1417</v>
      </c>
      <c r="J1031" s="494" t="s">
        <v>9150</v>
      </c>
      <c r="K1031" s="1010"/>
      <c r="L1031" s="593"/>
      <c r="Q1031" s="481"/>
    </row>
    <row r="1032" spans="2:17" ht="31.2" x14ac:dyDescent="0.3">
      <c r="B1032" s="787" t="s">
        <v>522</v>
      </c>
      <c r="C1032" s="789" t="s">
        <v>523</v>
      </c>
      <c r="D1032" s="146" t="s">
        <v>190</v>
      </c>
      <c r="E1032" s="147" t="s">
        <v>515</v>
      </c>
      <c r="F1032" s="491">
        <v>1</v>
      </c>
      <c r="G1032" s="594" t="s">
        <v>9604</v>
      </c>
      <c r="H1032" s="1049" t="s">
        <v>9605</v>
      </c>
      <c r="I1032" s="319" t="s">
        <v>1417</v>
      </c>
      <c r="J1032" s="494" t="s">
        <v>9606</v>
      </c>
      <c r="K1032" s="1010"/>
      <c r="L1032" s="593"/>
      <c r="Q1032" s="481"/>
    </row>
    <row r="1033" spans="2:17" ht="31.2" x14ac:dyDescent="0.3">
      <c r="B1033" s="787" t="s">
        <v>522</v>
      </c>
      <c r="C1033" s="789" t="s">
        <v>523</v>
      </c>
      <c r="D1033" s="146" t="s">
        <v>190</v>
      </c>
      <c r="E1033" s="147" t="s">
        <v>515</v>
      </c>
      <c r="F1033" s="491">
        <v>1</v>
      </c>
      <c r="G1033" s="594" t="s">
        <v>9607</v>
      </c>
      <c r="H1033" s="1049" t="s">
        <v>9608</v>
      </c>
      <c r="I1033" s="319" t="s">
        <v>1417</v>
      </c>
      <c r="J1033" s="494" t="s">
        <v>9171</v>
      </c>
      <c r="K1033" s="1010"/>
      <c r="L1033" s="593"/>
      <c r="Q1033" s="481"/>
    </row>
    <row r="1034" spans="2:17" ht="31.2" x14ac:dyDescent="0.3">
      <c r="B1034" s="787" t="s">
        <v>522</v>
      </c>
      <c r="C1034" s="789" t="s">
        <v>523</v>
      </c>
      <c r="D1034" s="146" t="s">
        <v>190</v>
      </c>
      <c r="E1034" s="147" t="s">
        <v>515</v>
      </c>
      <c r="F1034" s="491">
        <v>1</v>
      </c>
      <c r="G1034" s="594" t="s">
        <v>9609</v>
      </c>
      <c r="H1034" s="1049" t="s">
        <v>9610</v>
      </c>
      <c r="I1034" s="319" t="s">
        <v>1417</v>
      </c>
      <c r="J1034" s="494" t="s">
        <v>9115</v>
      </c>
      <c r="K1034" s="1010"/>
      <c r="L1034" s="593"/>
      <c r="Q1034" s="481"/>
    </row>
    <row r="1035" spans="2:17" ht="31.2" x14ac:dyDescent="0.3">
      <c r="B1035" s="787" t="s">
        <v>522</v>
      </c>
      <c r="C1035" s="789" t="s">
        <v>523</v>
      </c>
      <c r="D1035" s="146" t="s">
        <v>190</v>
      </c>
      <c r="E1035" s="147" t="s">
        <v>515</v>
      </c>
      <c r="F1035" s="491">
        <v>1</v>
      </c>
      <c r="G1035" s="594" t="s">
        <v>9611</v>
      </c>
      <c r="H1035" s="1049" t="s">
        <v>9612</v>
      </c>
      <c r="I1035" s="319" t="s">
        <v>1417</v>
      </c>
      <c r="J1035" s="494" t="s">
        <v>9136</v>
      </c>
      <c r="K1035" s="1010"/>
      <c r="L1035" s="593"/>
      <c r="Q1035" s="481"/>
    </row>
    <row r="1036" spans="2:17" ht="31.2" x14ac:dyDescent="0.3">
      <c r="B1036" s="787" t="s">
        <v>522</v>
      </c>
      <c r="C1036" s="789" t="s">
        <v>523</v>
      </c>
      <c r="D1036" s="146" t="s">
        <v>190</v>
      </c>
      <c r="E1036" s="147" t="s">
        <v>515</v>
      </c>
      <c r="F1036" s="491">
        <v>1</v>
      </c>
      <c r="G1036" s="594" t="s">
        <v>9613</v>
      </c>
      <c r="H1036" s="1049" t="s">
        <v>9614</v>
      </c>
      <c r="I1036" s="319" t="s">
        <v>1417</v>
      </c>
      <c r="J1036" s="494" t="s">
        <v>9133</v>
      </c>
      <c r="K1036" s="1010"/>
      <c r="L1036" s="593"/>
      <c r="Q1036" s="481"/>
    </row>
    <row r="1037" spans="2:17" ht="31.2" x14ac:dyDescent="0.3">
      <c r="B1037" s="787" t="s">
        <v>522</v>
      </c>
      <c r="C1037" s="789" t="s">
        <v>523</v>
      </c>
      <c r="D1037" s="146" t="s">
        <v>190</v>
      </c>
      <c r="E1037" s="147" t="s">
        <v>515</v>
      </c>
      <c r="F1037" s="491">
        <v>1</v>
      </c>
      <c r="G1037" s="594" t="s">
        <v>9615</v>
      </c>
      <c r="H1037" s="1049" t="s">
        <v>9616</v>
      </c>
      <c r="I1037" s="319" t="s">
        <v>1417</v>
      </c>
      <c r="J1037" s="494" t="s">
        <v>9142</v>
      </c>
      <c r="K1037" s="1010"/>
      <c r="L1037" s="593"/>
      <c r="Q1037" s="481"/>
    </row>
    <row r="1038" spans="2:17" ht="31.2" x14ac:dyDescent="0.3">
      <c r="B1038" s="787" t="s">
        <v>522</v>
      </c>
      <c r="C1038" s="789" t="s">
        <v>523</v>
      </c>
      <c r="D1038" s="146" t="s">
        <v>190</v>
      </c>
      <c r="E1038" s="147" t="s">
        <v>515</v>
      </c>
      <c r="F1038" s="491">
        <v>1</v>
      </c>
      <c r="G1038" s="594" t="s">
        <v>9617</v>
      </c>
      <c r="H1038" s="1049" t="s">
        <v>9618</v>
      </c>
      <c r="I1038" s="319" t="s">
        <v>1417</v>
      </c>
      <c r="J1038" s="494" t="s">
        <v>9145</v>
      </c>
      <c r="K1038" s="1010"/>
      <c r="L1038" s="593"/>
      <c r="Q1038" s="481"/>
    </row>
    <row r="1039" spans="2:17" ht="31.2" x14ac:dyDescent="0.3">
      <c r="B1039" s="787" t="s">
        <v>522</v>
      </c>
      <c r="C1039" s="789" t="s">
        <v>523</v>
      </c>
      <c r="D1039" s="146" t="s">
        <v>190</v>
      </c>
      <c r="E1039" s="147" t="s">
        <v>515</v>
      </c>
      <c r="F1039" s="491">
        <v>1</v>
      </c>
      <c r="G1039" s="594" t="s">
        <v>9619</v>
      </c>
      <c r="H1039" s="1049" t="s">
        <v>9620</v>
      </c>
      <c r="I1039" s="319" t="s">
        <v>1417</v>
      </c>
      <c r="J1039" s="494" t="s">
        <v>9139</v>
      </c>
      <c r="K1039" s="1010"/>
      <c r="L1039" s="593"/>
      <c r="Q1039" s="481"/>
    </row>
    <row r="1040" spans="2:17" ht="31.2" x14ac:dyDescent="0.3">
      <c r="B1040" s="787" t="s">
        <v>522</v>
      </c>
      <c r="C1040" s="789" t="s">
        <v>523</v>
      </c>
      <c r="D1040" s="146" t="s">
        <v>190</v>
      </c>
      <c r="E1040" s="147" t="s">
        <v>515</v>
      </c>
      <c r="F1040" s="491">
        <v>1</v>
      </c>
      <c r="G1040" s="594" t="s">
        <v>9621</v>
      </c>
      <c r="H1040" s="1049" t="s">
        <v>9622</v>
      </c>
      <c r="I1040" s="319" t="s">
        <v>1417</v>
      </c>
      <c r="J1040" s="494" t="s">
        <v>9168</v>
      </c>
      <c r="K1040" s="1010"/>
      <c r="L1040" s="593"/>
      <c r="Q1040" s="481"/>
    </row>
    <row r="1041" spans="2:17" ht="31.2" x14ac:dyDescent="0.3">
      <c r="B1041" s="787" t="s">
        <v>522</v>
      </c>
      <c r="C1041" s="789" t="s">
        <v>523</v>
      </c>
      <c r="D1041" s="146" t="s">
        <v>190</v>
      </c>
      <c r="E1041" s="147" t="s">
        <v>515</v>
      </c>
      <c r="F1041" s="491">
        <v>1</v>
      </c>
      <c r="G1041" s="594" t="s">
        <v>9623</v>
      </c>
      <c r="H1041" s="1049" t="s">
        <v>9624</v>
      </c>
      <c r="I1041" s="319" t="s">
        <v>1417</v>
      </c>
      <c r="J1041" s="494" t="s">
        <v>9077</v>
      </c>
      <c r="K1041" s="1010"/>
      <c r="L1041" s="593"/>
      <c r="Q1041" s="481"/>
    </row>
    <row r="1042" spans="2:17" ht="31.2" x14ac:dyDescent="0.3">
      <c r="B1042" s="787" t="s">
        <v>522</v>
      </c>
      <c r="C1042" s="789" t="s">
        <v>523</v>
      </c>
      <c r="D1042" s="146" t="s">
        <v>190</v>
      </c>
      <c r="E1042" s="147" t="s">
        <v>515</v>
      </c>
      <c r="F1042" s="491">
        <v>1</v>
      </c>
      <c r="G1042" s="594" t="s">
        <v>9625</v>
      </c>
      <c r="H1042" s="1049" t="s">
        <v>9626</v>
      </c>
      <c r="I1042" s="319" t="s">
        <v>1417</v>
      </c>
      <c r="J1042" s="494" t="s">
        <v>9086</v>
      </c>
      <c r="K1042" s="1010"/>
      <c r="L1042" s="593"/>
      <c r="Q1042" s="481"/>
    </row>
    <row r="1043" spans="2:17" ht="31.2" x14ac:dyDescent="0.3">
      <c r="B1043" s="787" t="s">
        <v>522</v>
      </c>
      <c r="C1043" s="789" t="s">
        <v>523</v>
      </c>
      <c r="D1043" s="146" t="s">
        <v>190</v>
      </c>
      <c r="E1043" s="147" t="s">
        <v>515</v>
      </c>
      <c r="F1043" s="491">
        <v>1</v>
      </c>
      <c r="G1043" s="594" t="s">
        <v>9627</v>
      </c>
      <c r="H1043" s="1049" t="s">
        <v>9628</v>
      </c>
      <c r="I1043" s="319" t="s">
        <v>1417</v>
      </c>
      <c r="J1043" s="494" t="s">
        <v>9092</v>
      </c>
      <c r="K1043" s="1010"/>
      <c r="L1043" s="593"/>
      <c r="Q1043" s="481"/>
    </row>
    <row r="1044" spans="2:17" ht="31.2" x14ac:dyDescent="0.3">
      <c r="B1044" s="787" t="s">
        <v>522</v>
      </c>
      <c r="C1044" s="789" t="s">
        <v>523</v>
      </c>
      <c r="D1044" s="146" t="s">
        <v>190</v>
      </c>
      <c r="E1044" s="147" t="s">
        <v>515</v>
      </c>
      <c r="F1044" s="491">
        <v>1</v>
      </c>
      <c r="G1044" s="594" t="s">
        <v>9629</v>
      </c>
      <c r="H1044" s="1049" t="s">
        <v>9630</v>
      </c>
      <c r="I1044" s="319" t="s">
        <v>1417</v>
      </c>
      <c r="J1044" s="494" t="s">
        <v>9100</v>
      </c>
      <c r="K1044" s="1010"/>
      <c r="L1044" s="593"/>
      <c r="Q1044" s="481"/>
    </row>
    <row r="1045" spans="2:17" ht="31.2" x14ac:dyDescent="0.3">
      <c r="B1045" s="787" t="s">
        <v>522</v>
      </c>
      <c r="C1045" s="789" t="s">
        <v>523</v>
      </c>
      <c r="D1045" s="146" t="s">
        <v>190</v>
      </c>
      <c r="E1045" s="147" t="s">
        <v>515</v>
      </c>
      <c r="F1045" s="491">
        <v>1</v>
      </c>
      <c r="G1045" s="594" t="s">
        <v>9631</v>
      </c>
      <c r="H1045" s="1049" t="s">
        <v>9632</v>
      </c>
      <c r="I1045" s="319" t="s">
        <v>1417</v>
      </c>
      <c r="J1045" s="494" t="s">
        <v>9130</v>
      </c>
      <c r="K1045" s="1010"/>
      <c r="L1045" s="593"/>
      <c r="Q1045" s="481"/>
    </row>
    <row r="1046" spans="2:17" ht="31.2" x14ac:dyDescent="0.3">
      <c r="B1046" s="787" t="s">
        <v>522</v>
      </c>
      <c r="C1046" s="789" t="s">
        <v>523</v>
      </c>
      <c r="D1046" s="146" t="s">
        <v>190</v>
      </c>
      <c r="E1046" s="147" t="s">
        <v>515</v>
      </c>
      <c r="F1046" s="491">
        <v>1</v>
      </c>
      <c r="G1046" s="594" t="s">
        <v>9633</v>
      </c>
      <c r="H1046" s="1049" t="s">
        <v>9634</v>
      </c>
      <c r="I1046" s="319" t="s">
        <v>1417</v>
      </c>
      <c r="J1046" s="494" t="s">
        <v>9148</v>
      </c>
      <c r="K1046" s="1010"/>
      <c r="L1046" s="593"/>
      <c r="Q1046" s="481"/>
    </row>
    <row r="1047" spans="2:17" ht="31.2" x14ac:dyDescent="0.3">
      <c r="B1047" s="787" t="s">
        <v>522</v>
      </c>
      <c r="C1047" s="789" t="s">
        <v>523</v>
      </c>
      <c r="D1047" s="146" t="s">
        <v>190</v>
      </c>
      <c r="E1047" s="147" t="s">
        <v>515</v>
      </c>
      <c r="F1047" s="491">
        <v>1</v>
      </c>
      <c r="G1047" s="594" t="s">
        <v>9635</v>
      </c>
      <c r="H1047" s="1049" t="s">
        <v>9636</v>
      </c>
      <c r="I1047" s="319" t="s">
        <v>1417</v>
      </c>
      <c r="J1047" s="494" t="s">
        <v>9159</v>
      </c>
      <c r="K1047" s="1010"/>
      <c r="L1047" s="593"/>
      <c r="Q1047" s="481"/>
    </row>
    <row r="1048" spans="2:17" ht="31.2" x14ac:dyDescent="0.3">
      <c r="B1048" s="787" t="s">
        <v>522</v>
      </c>
      <c r="C1048" s="789" t="s">
        <v>523</v>
      </c>
      <c r="D1048" s="146" t="s">
        <v>190</v>
      </c>
      <c r="E1048" s="147" t="s">
        <v>515</v>
      </c>
      <c r="F1048" s="491">
        <v>1</v>
      </c>
      <c r="G1048" s="594" t="s">
        <v>9637</v>
      </c>
      <c r="H1048" s="1049" t="s">
        <v>9638</v>
      </c>
      <c r="I1048" s="319" t="s">
        <v>1417</v>
      </c>
      <c r="J1048" s="494" t="s">
        <v>9153</v>
      </c>
      <c r="K1048" s="1010"/>
      <c r="L1048" s="593"/>
      <c r="Q1048" s="481"/>
    </row>
    <row r="1049" spans="2:17" ht="31.2" x14ac:dyDescent="0.3">
      <c r="B1049" s="787" t="s">
        <v>522</v>
      </c>
      <c r="C1049" s="789" t="s">
        <v>523</v>
      </c>
      <c r="D1049" s="146" t="s">
        <v>190</v>
      </c>
      <c r="E1049" s="147" t="s">
        <v>515</v>
      </c>
      <c r="F1049" s="491">
        <v>1</v>
      </c>
      <c r="G1049" s="594" t="s">
        <v>9639</v>
      </c>
      <c r="H1049" s="1049" t="s">
        <v>9640</v>
      </c>
      <c r="I1049" s="319" t="s">
        <v>1315</v>
      </c>
      <c r="J1049" s="494" t="s">
        <v>8970</v>
      </c>
      <c r="K1049" s="1010"/>
      <c r="L1049" s="593"/>
      <c r="Q1049" s="481"/>
    </row>
    <row r="1050" spans="2:17" ht="31.2" x14ac:dyDescent="0.3">
      <c r="B1050" s="787" t="s">
        <v>522</v>
      </c>
      <c r="C1050" s="789" t="s">
        <v>523</v>
      </c>
      <c r="D1050" s="146" t="s">
        <v>190</v>
      </c>
      <c r="E1050" s="147" t="s">
        <v>515</v>
      </c>
      <c r="F1050" s="491">
        <v>1</v>
      </c>
      <c r="G1050" s="594" t="s">
        <v>9641</v>
      </c>
      <c r="H1050" s="1049" t="s">
        <v>9642</v>
      </c>
      <c r="I1050" s="319" t="s">
        <v>1315</v>
      </c>
      <c r="J1050" s="494" t="s">
        <v>8979</v>
      </c>
      <c r="K1050" s="1010"/>
      <c r="L1050" s="593"/>
      <c r="Q1050" s="481"/>
    </row>
    <row r="1051" spans="2:17" ht="31.2" x14ac:dyDescent="0.3">
      <c r="B1051" s="787" t="s">
        <v>522</v>
      </c>
      <c r="C1051" s="789" t="s">
        <v>523</v>
      </c>
      <c r="D1051" s="146" t="s">
        <v>190</v>
      </c>
      <c r="E1051" s="147" t="s">
        <v>515</v>
      </c>
      <c r="F1051" s="491">
        <v>1</v>
      </c>
      <c r="G1051" s="594" t="s">
        <v>9643</v>
      </c>
      <c r="H1051" s="1049" t="s">
        <v>9644</v>
      </c>
      <c r="I1051" s="319" t="s">
        <v>1315</v>
      </c>
      <c r="J1051" s="494" t="s">
        <v>9112</v>
      </c>
      <c r="K1051" s="1010"/>
      <c r="L1051" s="593"/>
      <c r="Q1051" s="481"/>
    </row>
    <row r="1052" spans="2:17" ht="31.2" x14ac:dyDescent="0.3">
      <c r="B1052" s="787" t="s">
        <v>522</v>
      </c>
      <c r="C1052" s="789" t="s">
        <v>523</v>
      </c>
      <c r="D1052" s="146" t="s">
        <v>190</v>
      </c>
      <c r="E1052" s="147" t="s">
        <v>515</v>
      </c>
      <c r="F1052" s="491">
        <v>1</v>
      </c>
      <c r="G1052" s="594" t="s">
        <v>9645</v>
      </c>
      <c r="H1052" s="1049" t="s">
        <v>9646</v>
      </c>
      <c r="I1052" s="319" t="s">
        <v>1315</v>
      </c>
      <c r="J1052" s="494" t="s">
        <v>9124</v>
      </c>
      <c r="K1052" s="1010"/>
      <c r="L1052" s="593"/>
      <c r="Q1052" s="481"/>
    </row>
    <row r="1053" spans="2:17" ht="31.2" x14ac:dyDescent="0.3">
      <c r="B1053" s="787" t="s">
        <v>522</v>
      </c>
      <c r="C1053" s="789" t="s">
        <v>523</v>
      </c>
      <c r="D1053" s="146" t="s">
        <v>190</v>
      </c>
      <c r="E1053" s="147" t="s">
        <v>515</v>
      </c>
      <c r="F1053" s="491">
        <v>1</v>
      </c>
      <c r="G1053" s="594" t="s">
        <v>9647</v>
      </c>
      <c r="H1053" s="1049" t="s">
        <v>9648</v>
      </c>
      <c r="I1053" s="319" t="s">
        <v>1315</v>
      </c>
      <c r="J1053" s="494" t="s">
        <v>9165</v>
      </c>
      <c r="K1053" s="1010"/>
      <c r="L1053" s="593"/>
      <c r="Q1053" s="481"/>
    </row>
    <row r="1054" spans="2:17" ht="31.2" x14ac:dyDescent="0.3">
      <c r="B1054" s="787" t="s">
        <v>522</v>
      </c>
      <c r="C1054" s="789" t="s">
        <v>523</v>
      </c>
      <c r="D1054" s="146" t="s">
        <v>190</v>
      </c>
      <c r="E1054" s="147" t="s">
        <v>515</v>
      </c>
      <c r="F1054" s="491">
        <v>1</v>
      </c>
      <c r="G1054" s="594" t="s">
        <v>9649</v>
      </c>
      <c r="H1054" s="1049" t="s">
        <v>9650</v>
      </c>
      <c r="I1054" s="319" t="s">
        <v>1315</v>
      </c>
      <c r="J1054" s="494" t="s">
        <v>9177</v>
      </c>
      <c r="K1054" s="1010"/>
      <c r="L1054" s="593"/>
      <c r="Q1054" s="481"/>
    </row>
    <row r="1055" spans="2:17" ht="31.2" x14ac:dyDescent="0.3">
      <c r="B1055" s="787" t="s">
        <v>522</v>
      </c>
      <c r="C1055" s="789" t="s">
        <v>523</v>
      </c>
      <c r="D1055" s="146" t="s">
        <v>190</v>
      </c>
      <c r="E1055" s="147" t="s">
        <v>515</v>
      </c>
      <c r="F1055" s="491">
        <v>1</v>
      </c>
      <c r="G1055" s="594" t="s">
        <v>9651</v>
      </c>
      <c r="H1055" s="1049" t="s">
        <v>9652</v>
      </c>
      <c r="I1055" s="319" t="s">
        <v>1315</v>
      </c>
      <c r="J1055" s="494" t="s">
        <v>9186</v>
      </c>
      <c r="K1055" s="1010"/>
      <c r="L1055" s="593"/>
      <c r="Q1055" s="481"/>
    </row>
    <row r="1056" spans="2:17" ht="31.2" x14ac:dyDescent="0.3">
      <c r="B1056" s="787" t="s">
        <v>522</v>
      </c>
      <c r="C1056" s="789" t="s">
        <v>523</v>
      </c>
      <c r="D1056" s="146" t="s">
        <v>190</v>
      </c>
      <c r="E1056" s="147" t="s">
        <v>515</v>
      </c>
      <c r="F1056" s="491">
        <v>1</v>
      </c>
      <c r="G1056" s="594" t="s">
        <v>9653</v>
      </c>
      <c r="H1056" s="1049" t="s">
        <v>9654</v>
      </c>
      <c r="I1056" s="319" t="s">
        <v>1315</v>
      </c>
      <c r="J1056" s="494" t="s">
        <v>9180</v>
      </c>
      <c r="K1056" s="1010"/>
      <c r="L1056" s="593"/>
      <c r="Q1056" s="481"/>
    </row>
    <row r="1057" spans="2:17" ht="31.2" x14ac:dyDescent="0.3">
      <c r="B1057" s="787" t="s">
        <v>522</v>
      </c>
      <c r="C1057" s="789" t="s">
        <v>523</v>
      </c>
      <c r="D1057" s="146" t="s">
        <v>190</v>
      </c>
      <c r="E1057" s="147" t="s">
        <v>515</v>
      </c>
      <c r="F1057" s="491">
        <v>1</v>
      </c>
      <c r="G1057" s="594" t="s">
        <v>9655</v>
      </c>
      <c r="H1057" s="1049" t="s">
        <v>9656</v>
      </c>
      <c r="I1057" s="319" t="s">
        <v>1315</v>
      </c>
      <c r="J1057" s="494" t="s">
        <v>9183</v>
      </c>
      <c r="K1057" s="1010"/>
      <c r="L1057" s="593"/>
      <c r="Q1057" s="481"/>
    </row>
    <row r="1058" spans="2:17" ht="31.2" x14ac:dyDescent="0.3">
      <c r="B1058" s="787" t="s">
        <v>522</v>
      </c>
      <c r="C1058" s="789" t="s">
        <v>523</v>
      </c>
      <c r="D1058" s="146" t="s">
        <v>190</v>
      </c>
      <c r="E1058" s="147" t="s">
        <v>515</v>
      </c>
      <c r="F1058" s="491">
        <v>1</v>
      </c>
      <c r="G1058" s="594" t="s">
        <v>9657</v>
      </c>
      <c r="H1058" s="1049" t="s">
        <v>9658</v>
      </c>
      <c r="I1058" s="319" t="s">
        <v>1315</v>
      </c>
      <c r="J1058" s="494" t="s">
        <v>9192</v>
      </c>
      <c r="K1058" s="1010"/>
      <c r="L1058" s="593"/>
      <c r="Q1058" s="481"/>
    </row>
    <row r="1059" spans="2:17" ht="31.2" x14ac:dyDescent="0.3">
      <c r="B1059" s="787" t="s">
        <v>522</v>
      </c>
      <c r="C1059" s="789" t="s">
        <v>523</v>
      </c>
      <c r="D1059" s="146" t="s">
        <v>190</v>
      </c>
      <c r="E1059" s="147" t="s">
        <v>515</v>
      </c>
      <c r="F1059" s="491">
        <v>1</v>
      </c>
      <c r="G1059" s="594" t="s">
        <v>9659</v>
      </c>
      <c r="H1059" s="1049" t="s">
        <v>9660</v>
      </c>
      <c r="I1059" s="319" t="s">
        <v>1315</v>
      </c>
      <c r="J1059" s="494" t="s">
        <v>9189</v>
      </c>
      <c r="K1059" s="1010"/>
      <c r="L1059" s="593"/>
      <c r="Q1059" s="481"/>
    </row>
    <row r="1060" spans="2:17" ht="31.2" x14ac:dyDescent="0.3">
      <c r="B1060" s="787" t="s">
        <v>522</v>
      </c>
      <c r="C1060" s="789" t="s">
        <v>523</v>
      </c>
      <c r="D1060" s="146" t="s">
        <v>190</v>
      </c>
      <c r="E1060" s="147" t="s">
        <v>515</v>
      </c>
      <c r="F1060" s="491">
        <v>1</v>
      </c>
      <c r="G1060" s="594" t="s">
        <v>9661</v>
      </c>
      <c r="H1060" s="1049" t="s">
        <v>9662</v>
      </c>
      <c r="I1060" s="319" t="s">
        <v>1315</v>
      </c>
      <c r="J1060" s="494" t="s">
        <v>9195</v>
      </c>
      <c r="K1060" s="1010"/>
      <c r="L1060" s="593"/>
      <c r="Q1060" s="481"/>
    </row>
    <row r="1061" spans="2:17" ht="31.2" x14ac:dyDescent="0.3">
      <c r="B1061" s="787" t="s">
        <v>522</v>
      </c>
      <c r="C1061" s="789" t="s">
        <v>523</v>
      </c>
      <c r="D1061" s="146" t="s">
        <v>190</v>
      </c>
      <c r="E1061" s="147" t="s">
        <v>515</v>
      </c>
      <c r="F1061" s="491">
        <v>1</v>
      </c>
      <c r="G1061" s="594" t="s">
        <v>9663</v>
      </c>
      <c r="H1061" s="1049" t="s">
        <v>9664</v>
      </c>
      <c r="I1061" s="319" t="s">
        <v>1315</v>
      </c>
      <c r="J1061" s="494" t="s">
        <v>9204</v>
      </c>
      <c r="K1061" s="1010"/>
      <c r="L1061" s="593"/>
      <c r="Q1061" s="481"/>
    </row>
    <row r="1062" spans="2:17" ht="31.2" x14ac:dyDescent="0.3">
      <c r="B1062" s="787" t="s">
        <v>522</v>
      </c>
      <c r="C1062" s="789" t="s">
        <v>523</v>
      </c>
      <c r="D1062" s="146" t="s">
        <v>190</v>
      </c>
      <c r="E1062" s="147" t="s">
        <v>515</v>
      </c>
      <c r="F1062" s="491">
        <v>1</v>
      </c>
      <c r="G1062" s="594" t="s">
        <v>9665</v>
      </c>
      <c r="H1062" s="1049" t="s">
        <v>9666</v>
      </c>
      <c r="I1062" s="319" t="s">
        <v>946</v>
      </c>
      <c r="J1062" s="584" t="s">
        <v>8967</v>
      </c>
      <c r="K1062" s="1010"/>
      <c r="L1062" s="593"/>
      <c r="Q1062" s="481"/>
    </row>
    <row r="1063" spans="2:17" ht="31.2" x14ac:dyDescent="0.3">
      <c r="B1063" s="787" t="s">
        <v>522</v>
      </c>
      <c r="C1063" s="789" t="s">
        <v>523</v>
      </c>
      <c r="D1063" s="146" t="s">
        <v>190</v>
      </c>
      <c r="E1063" s="147" t="s">
        <v>515</v>
      </c>
      <c r="F1063" s="491">
        <v>1</v>
      </c>
      <c r="G1063" s="594" t="s">
        <v>9667</v>
      </c>
      <c r="H1063" s="1049" t="s">
        <v>9668</v>
      </c>
      <c r="I1063" s="319" t="s">
        <v>946</v>
      </c>
      <c r="J1063" s="584" t="s">
        <v>9198</v>
      </c>
      <c r="K1063" s="1010"/>
      <c r="L1063" s="593"/>
      <c r="Q1063" s="481"/>
    </row>
    <row r="1064" spans="2:17" ht="31.2" x14ac:dyDescent="0.3">
      <c r="B1064" s="787" t="s">
        <v>522</v>
      </c>
      <c r="C1064" s="789" t="s">
        <v>523</v>
      </c>
      <c r="D1064" s="146" t="s">
        <v>190</v>
      </c>
      <c r="E1064" s="147" t="s">
        <v>515</v>
      </c>
      <c r="F1064" s="491">
        <v>1</v>
      </c>
      <c r="G1064" s="594" t="s">
        <v>9669</v>
      </c>
      <c r="H1064" s="1049" t="s">
        <v>9670</v>
      </c>
      <c r="I1064" s="319" t="s">
        <v>946</v>
      </c>
      <c r="J1064" s="584" t="s">
        <v>9174</v>
      </c>
      <c r="K1064" s="1010"/>
      <c r="L1064" s="593"/>
      <c r="Q1064" s="481"/>
    </row>
    <row r="1065" spans="2:17" ht="31.2" x14ac:dyDescent="0.3">
      <c r="B1065" s="787" t="s">
        <v>522</v>
      </c>
      <c r="C1065" s="789" t="s">
        <v>523</v>
      </c>
      <c r="D1065" s="146" t="s">
        <v>190</v>
      </c>
      <c r="E1065" s="147" t="s">
        <v>515</v>
      </c>
      <c r="F1065" s="491">
        <v>1</v>
      </c>
      <c r="G1065" s="594" t="s">
        <v>9671</v>
      </c>
      <c r="H1065" s="1049" t="s">
        <v>9672</v>
      </c>
      <c r="I1065" s="319" t="s">
        <v>946</v>
      </c>
      <c r="J1065" s="584" t="s">
        <v>9235</v>
      </c>
      <c r="K1065" s="1010"/>
      <c r="L1065" s="593"/>
      <c r="Q1065" s="481"/>
    </row>
    <row r="1066" spans="2:17" ht="31.2" x14ac:dyDescent="0.3">
      <c r="B1066" s="787" t="s">
        <v>522</v>
      </c>
      <c r="C1066" s="789" t="s">
        <v>523</v>
      </c>
      <c r="D1066" s="146" t="s">
        <v>190</v>
      </c>
      <c r="E1066" s="147" t="s">
        <v>515</v>
      </c>
      <c r="F1066" s="491">
        <v>1</v>
      </c>
      <c r="G1066" s="594" t="s">
        <v>9673</v>
      </c>
      <c r="H1066" s="1049" t="s">
        <v>9672</v>
      </c>
      <c r="I1066" s="319" t="s">
        <v>946</v>
      </c>
      <c r="J1066" s="584" t="s">
        <v>9240</v>
      </c>
      <c r="K1066" s="1010"/>
      <c r="L1066" s="593"/>
      <c r="Q1066" s="481"/>
    </row>
    <row r="1067" spans="2:17" ht="31.2" x14ac:dyDescent="0.3">
      <c r="B1067" s="787" t="s">
        <v>522</v>
      </c>
      <c r="C1067" s="789" t="s">
        <v>523</v>
      </c>
      <c r="D1067" s="146" t="s">
        <v>190</v>
      </c>
      <c r="E1067" s="147" t="s">
        <v>515</v>
      </c>
      <c r="F1067" s="491">
        <v>1</v>
      </c>
      <c r="G1067" s="594" t="s">
        <v>9674</v>
      </c>
      <c r="H1067" s="1049" t="s">
        <v>9675</v>
      </c>
      <c r="I1067" s="784" t="s">
        <v>1053</v>
      </c>
      <c r="J1067" s="584" t="s">
        <v>9229</v>
      </c>
      <c r="K1067" s="1010"/>
      <c r="L1067" s="593"/>
      <c r="Q1067" s="481"/>
    </row>
    <row r="1068" spans="2:17" ht="31.2" x14ac:dyDescent="0.3">
      <c r="B1068" s="787" t="s">
        <v>522</v>
      </c>
      <c r="C1068" s="789" t="s">
        <v>523</v>
      </c>
      <c r="D1068" s="146" t="s">
        <v>190</v>
      </c>
      <c r="E1068" s="147" t="s">
        <v>515</v>
      </c>
      <c r="F1068" s="491">
        <v>1</v>
      </c>
      <c r="G1068" s="594" t="s">
        <v>9676</v>
      </c>
      <c r="H1068" s="1049" t="s">
        <v>9677</v>
      </c>
      <c r="I1068" s="784" t="s">
        <v>1053</v>
      </c>
      <c r="J1068" s="584" t="s">
        <v>9224</v>
      </c>
      <c r="K1068" s="1010"/>
      <c r="L1068" s="593"/>
      <c r="Q1068" s="481"/>
    </row>
    <row r="1069" spans="2:17" ht="31.2" x14ac:dyDescent="0.3">
      <c r="B1069" s="787" t="s">
        <v>522</v>
      </c>
      <c r="C1069" s="789" t="s">
        <v>523</v>
      </c>
      <c r="D1069" s="146" t="s">
        <v>190</v>
      </c>
      <c r="E1069" s="147" t="s">
        <v>515</v>
      </c>
      <c r="F1069" s="491">
        <v>1</v>
      </c>
      <c r="G1069" s="594" t="s">
        <v>9678</v>
      </c>
      <c r="H1069" s="1049" t="s">
        <v>9679</v>
      </c>
      <c r="I1069" s="319" t="s">
        <v>1053</v>
      </c>
      <c r="J1069" s="584" t="s">
        <v>9210</v>
      </c>
      <c r="K1069" s="1010"/>
      <c r="L1069" s="593"/>
      <c r="Q1069" s="481"/>
    </row>
    <row r="1070" spans="2:17" ht="31.2" x14ac:dyDescent="0.3">
      <c r="B1070" s="787" t="s">
        <v>522</v>
      </c>
      <c r="C1070" s="789" t="s">
        <v>523</v>
      </c>
      <c r="D1070" s="146" t="s">
        <v>190</v>
      </c>
      <c r="E1070" s="147" t="s">
        <v>515</v>
      </c>
      <c r="F1070" s="491">
        <v>1</v>
      </c>
      <c r="G1070" s="594" t="s">
        <v>9680</v>
      </c>
      <c r="H1070" s="1049" t="s">
        <v>9679</v>
      </c>
      <c r="I1070" s="319" t="s">
        <v>1053</v>
      </c>
      <c r="J1070" s="584" t="s">
        <v>9222</v>
      </c>
      <c r="K1070" s="1010"/>
      <c r="L1070" s="593"/>
      <c r="Q1070" s="481"/>
    </row>
    <row r="1071" spans="2:17" ht="31.2" x14ac:dyDescent="0.3">
      <c r="B1071" s="787" t="s">
        <v>522</v>
      </c>
      <c r="C1071" s="789" t="s">
        <v>523</v>
      </c>
      <c r="D1071" s="146" t="s">
        <v>190</v>
      </c>
      <c r="E1071" s="147" t="s">
        <v>515</v>
      </c>
      <c r="F1071" s="491">
        <v>1</v>
      </c>
      <c r="G1071" s="594" t="s">
        <v>9681</v>
      </c>
      <c r="H1071" s="1049" t="s">
        <v>9682</v>
      </c>
      <c r="I1071" s="319" t="s">
        <v>1053</v>
      </c>
      <c r="J1071" s="584" t="s">
        <v>9243</v>
      </c>
      <c r="K1071" s="1010"/>
      <c r="L1071" s="593"/>
      <c r="Q1071" s="481"/>
    </row>
    <row r="1072" spans="2:17" ht="31.2" x14ac:dyDescent="0.3">
      <c r="B1072" s="787" t="s">
        <v>522</v>
      </c>
      <c r="C1072" s="789" t="s">
        <v>523</v>
      </c>
      <c r="D1072" s="146" t="s">
        <v>190</v>
      </c>
      <c r="E1072" s="147" t="s">
        <v>515</v>
      </c>
      <c r="F1072" s="491">
        <v>1</v>
      </c>
      <c r="G1072" s="594" t="s">
        <v>9683</v>
      </c>
      <c r="H1072" s="1049" t="s">
        <v>9684</v>
      </c>
      <c r="I1072" s="319" t="s">
        <v>1053</v>
      </c>
      <c r="J1072" s="584" t="s">
        <v>9237</v>
      </c>
      <c r="K1072" s="1010"/>
      <c r="L1072" s="593"/>
      <c r="Q1072" s="481"/>
    </row>
    <row r="1073" spans="2:17" ht="31.2" x14ac:dyDescent="0.3">
      <c r="B1073" s="787" t="s">
        <v>522</v>
      </c>
      <c r="C1073" s="789" t="s">
        <v>523</v>
      </c>
      <c r="D1073" s="146" t="s">
        <v>190</v>
      </c>
      <c r="E1073" s="147" t="s">
        <v>515</v>
      </c>
      <c r="F1073" s="491">
        <v>1</v>
      </c>
      <c r="G1073" s="594" t="s">
        <v>9685</v>
      </c>
      <c r="H1073" s="1049" t="s">
        <v>9686</v>
      </c>
      <c r="I1073" s="319" t="s">
        <v>1053</v>
      </c>
      <c r="J1073" s="584" t="s">
        <v>9232</v>
      </c>
      <c r="K1073" s="1010"/>
      <c r="L1073" s="593"/>
      <c r="Q1073" s="481"/>
    </row>
    <row r="1074" spans="2:17" ht="30.6" customHeight="1" x14ac:dyDescent="0.3">
      <c r="B1074" s="787" t="s">
        <v>522</v>
      </c>
      <c r="C1074" s="789" t="s">
        <v>523</v>
      </c>
      <c r="D1074" s="146" t="s">
        <v>190</v>
      </c>
      <c r="E1074" s="147" t="s">
        <v>515</v>
      </c>
      <c r="F1074" s="491">
        <v>1</v>
      </c>
      <c r="G1074" s="594" t="s">
        <v>9687</v>
      </c>
      <c r="H1074" s="1049" t="s">
        <v>9686</v>
      </c>
      <c r="I1074" s="319" t="s">
        <v>1053</v>
      </c>
      <c r="J1074" s="584" t="s">
        <v>9219</v>
      </c>
      <c r="K1074" s="1010"/>
      <c r="L1074" s="593"/>
      <c r="Q1074" s="481"/>
    </row>
    <row r="1075" spans="2:17" ht="31.2" x14ac:dyDescent="0.3">
      <c r="B1075" s="787" t="s">
        <v>522</v>
      </c>
      <c r="C1075" s="789" t="s">
        <v>523</v>
      </c>
      <c r="D1075" s="146" t="s">
        <v>190</v>
      </c>
      <c r="E1075" s="147" t="s">
        <v>515</v>
      </c>
      <c r="F1075" s="491">
        <v>1</v>
      </c>
      <c r="G1075" s="594" t="s">
        <v>9688</v>
      </c>
      <c r="H1075" s="1049" t="s">
        <v>9689</v>
      </c>
      <c r="I1075" s="319" t="s">
        <v>1053</v>
      </c>
      <c r="J1075" s="584" t="s">
        <v>9213</v>
      </c>
      <c r="K1075" s="1010"/>
      <c r="L1075" s="593"/>
      <c r="Q1075" s="481"/>
    </row>
    <row r="1076" spans="2:17" ht="31.2" x14ac:dyDescent="0.3">
      <c r="B1076" s="787" t="s">
        <v>522</v>
      </c>
      <c r="C1076" s="789" t="s">
        <v>523</v>
      </c>
      <c r="D1076" s="146" t="s">
        <v>190</v>
      </c>
      <c r="E1076" s="147" t="s">
        <v>515</v>
      </c>
      <c r="F1076" s="491">
        <v>1</v>
      </c>
      <c r="G1076" s="594" t="s">
        <v>9690</v>
      </c>
      <c r="H1076" s="1049" t="s">
        <v>9689</v>
      </c>
      <c r="I1076" s="319" t="s">
        <v>1053</v>
      </c>
      <c r="J1076" s="584" t="s">
        <v>9216</v>
      </c>
      <c r="K1076" s="1010"/>
      <c r="L1076" s="593"/>
      <c r="Q1076" s="481"/>
    </row>
    <row r="1077" spans="2:17" ht="31.2" x14ac:dyDescent="0.3">
      <c r="B1077" s="787" t="s">
        <v>522</v>
      </c>
      <c r="C1077" s="789" t="s">
        <v>523</v>
      </c>
      <c r="D1077" s="146" t="s">
        <v>190</v>
      </c>
      <c r="E1077" s="147" t="s">
        <v>515</v>
      </c>
      <c r="F1077" s="491">
        <v>1</v>
      </c>
      <c r="G1077" s="594" t="s">
        <v>9691</v>
      </c>
      <c r="H1077" s="1049" t="s">
        <v>9692</v>
      </c>
      <c r="I1077" s="319" t="s">
        <v>1053</v>
      </c>
      <c r="J1077" s="584" t="s">
        <v>9254</v>
      </c>
      <c r="K1077" s="1010"/>
      <c r="L1077" s="593"/>
      <c r="Q1077" s="481"/>
    </row>
    <row r="1078" spans="2:17" ht="31.2" x14ac:dyDescent="0.3">
      <c r="B1078" s="787" t="s">
        <v>522</v>
      </c>
      <c r="C1078" s="789" t="s">
        <v>523</v>
      </c>
      <c r="D1078" s="146" t="s">
        <v>190</v>
      </c>
      <c r="E1078" s="147" t="s">
        <v>515</v>
      </c>
      <c r="F1078" s="491">
        <v>1</v>
      </c>
      <c r="G1078" s="594" t="s">
        <v>9693</v>
      </c>
      <c r="H1078" s="1049" t="s">
        <v>9694</v>
      </c>
      <c r="I1078" s="319" t="s">
        <v>1579</v>
      </c>
      <c r="J1078" s="584" t="s">
        <v>9260</v>
      </c>
      <c r="K1078" s="1010"/>
      <c r="L1078" s="593"/>
      <c r="Q1078" s="481"/>
    </row>
    <row r="1079" spans="2:17" ht="31.2" x14ac:dyDescent="0.3">
      <c r="B1079" s="787" t="s">
        <v>522</v>
      </c>
      <c r="C1079" s="789" t="s">
        <v>523</v>
      </c>
      <c r="D1079" s="146" t="s">
        <v>190</v>
      </c>
      <c r="E1079" s="147" t="s">
        <v>515</v>
      </c>
      <c r="F1079" s="491">
        <v>1</v>
      </c>
      <c r="G1079" s="594" t="s">
        <v>9693</v>
      </c>
      <c r="H1079" s="1049" t="s">
        <v>9694</v>
      </c>
      <c r="I1079" s="319" t="s">
        <v>1579</v>
      </c>
      <c r="J1079" s="584" t="s">
        <v>9257</v>
      </c>
      <c r="K1079" s="1010"/>
      <c r="L1079" s="593"/>
      <c r="Q1079" s="481"/>
    </row>
    <row r="1080" spans="2:17" ht="31.2" x14ac:dyDescent="0.3">
      <c r="B1080" s="787" t="s">
        <v>522</v>
      </c>
      <c r="C1080" s="789" t="s">
        <v>523</v>
      </c>
      <c r="D1080" s="146" t="s">
        <v>190</v>
      </c>
      <c r="E1080" s="147" t="s">
        <v>515</v>
      </c>
      <c r="F1080" s="491">
        <v>1</v>
      </c>
      <c r="G1080" s="594" t="s">
        <v>9693</v>
      </c>
      <c r="H1080" s="1049" t="s">
        <v>9694</v>
      </c>
      <c r="I1080" s="319" t="s">
        <v>1579</v>
      </c>
      <c r="J1080" s="584" t="s">
        <v>9263</v>
      </c>
      <c r="K1080" s="1010"/>
      <c r="L1080" s="593"/>
      <c r="Q1080" s="481"/>
    </row>
    <row r="1081" spans="2:17" ht="15.6" x14ac:dyDescent="0.3">
      <c r="B1081" s="787" t="s">
        <v>522</v>
      </c>
      <c r="C1081" s="789" t="s">
        <v>523</v>
      </c>
      <c r="D1081" s="146" t="s">
        <v>190</v>
      </c>
      <c r="E1081" s="147" t="s">
        <v>515</v>
      </c>
      <c r="F1081" s="491">
        <v>1</v>
      </c>
      <c r="G1081" s="594" t="s">
        <v>9695</v>
      </c>
      <c r="H1081" s="1049">
        <v>46154</v>
      </c>
      <c r="I1081" s="319" t="s">
        <v>1579</v>
      </c>
      <c r="J1081" s="584" t="s">
        <v>9227</v>
      </c>
      <c r="K1081" s="1010"/>
      <c r="L1081" s="593"/>
      <c r="Q1081" s="481"/>
    </row>
    <row r="1082" spans="2:17" ht="15.6" x14ac:dyDescent="0.3">
      <c r="B1082" s="787" t="s">
        <v>522</v>
      </c>
      <c r="C1082" s="789" t="s">
        <v>523</v>
      </c>
      <c r="D1082" s="146" t="s">
        <v>190</v>
      </c>
      <c r="E1082" s="147" t="s">
        <v>515</v>
      </c>
      <c r="F1082" s="491">
        <v>1</v>
      </c>
      <c r="G1082" s="594" t="s">
        <v>9696</v>
      </c>
      <c r="H1082" s="1049">
        <v>46154</v>
      </c>
      <c r="I1082" s="319" t="s">
        <v>1579</v>
      </c>
      <c r="J1082" s="584" t="s">
        <v>9246</v>
      </c>
      <c r="K1082" s="1010"/>
      <c r="L1082" s="593"/>
      <c r="Q1082" s="481"/>
    </row>
    <row r="1083" spans="2:17" ht="31.2" x14ac:dyDescent="0.3">
      <c r="B1083" s="787" t="s">
        <v>522</v>
      </c>
      <c r="C1083" s="789" t="s">
        <v>523</v>
      </c>
      <c r="D1083" s="146" t="s">
        <v>190</v>
      </c>
      <c r="E1083" s="147" t="s">
        <v>515</v>
      </c>
      <c r="F1083" s="491">
        <v>1</v>
      </c>
      <c r="G1083" s="594" t="s">
        <v>9697</v>
      </c>
      <c r="H1083" s="1049" t="s">
        <v>9698</v>
      </c>
      <c r="I1083" s="319" t="s">
        <v>1579</v>
      </c>
      <c r="J1083" s="584" t="s">
        <v>9266</v>
      </c>
      <c r="K1083" s="1010"/>
      <c r="L1083" s="593"/>
      <c r="Q1083" s="481"/>
    </row>
    <row r="1084" spans="2:17" ht="31.2" x14ac:dyDescent="0.3">
      <c r="B1084" s="787" t="s">
        <v>522</v>
      </c>
      <c r="C1084" s="789" t="s">
        <v>523</v>
      </c>
      <c r="D1084" s="146" t="s">
        <v>190</v>
      </c>
      <c r="E1084" s="147" t="s">
        <v>515</v>
      </c>
      <c r="F1084" s="491">
        <v>1</v>
      </c>
      <c r="G1084" s="594" t="s">
        <v>9699</v>
      </c>
      <c r="H1084" s="1049" t="s">
        <v>9700</v>
      </c>
      <c r="I1084" s="319" t="s">
        <v>949</v>
      </c>
      <c r="J1084" s="584" t="s">
        <v>9272</v>
      </c>
      <c r="K1084" s="1010"/>
      <c r="L1084" s="593"/>
      <c r="Q1084" s="481"/>
    </row>
    <row r="1085" spans="2:17" ht="31.2" x14ac:dyDescent="0.3">
      <c r="B1085" s="787" t="s">
        <v>522</v>
      </c>
      <c r="C1085" s="789" t="s">
        <v>523</v>
      </c>
      <c r="D1085" s="146" t="s">
        <v>190</v>
      </c>
      <c r="E1085" s="147" t="s">
        <v>515</v>
      </c>
      <c r="F1085" s="491">
        <v>1</v>
      </c>
      <c r="G1085" s="594" t="s">
        <v>9699</v>
      </c>
      <c r="H1085" s="1049" t="s">
        <v>9700</v>
      </c>
      <c r="I1085" s="319" t="s">
        <v>949</v>
      </c>
      <c r="J1085" s="584" t="s">
        <v>9269</v>
      </c>
      <c r="K1085" s="1010"/>
      <c r="L1085" s="593"/>
      <c r="Q1085" s="481"/>
    </row>
    <row r="1086" spans="2:17" ht="31.2" x14ac:dyDescent="0.3">
      <c r="B1086" s="787" t="s">
        <v>522</v>
      </c>
      <c r="C1086" s="789" t="s">
        <v>523</v>
      </c>
      <c r="D1086" s="146" t="s">
        <v>190</v>
      </c>
      <c r="E1086" s="147" t="s">
        <v>515</v>
      </c>
      <c r="F1086" s="491">
        <v>1</v>
      </c>
      <c r="G1086" s="594" t="s">
        <v>9701</v>
      </c>
      <c r="H1086" s="1049" t="s">
        <v>9702</v>
      </c>
      <c r="I1086" s="319" t="s">
        <v>949</v>
      </c>
      <c r="J1086" s="584" t="s">
        <v>9278</v>
      </c>
      <c r="K1086" s="1010"/>
      <c r="L1086" s="593"/>
      <c r="Q1086" s="481"/>
    </row>
    <row r="1087" spans="2:17" ht="31.2" x14ac:dyDescent="0.3">
      <c r="B1087" s="787" t="s">
        <v>522</v>
      </c>
      <c r="C1087" s="789" t="s">
        <v>523</v>
      </c>
      <c r="D1087" s="146" t="s">
        <v>190</v>
      </c>
      <c r="E1087" s="147" t="s">
        <v>515</v>
      </c>
      <c r="F1087" s="491">
        <v>1</v>
      </c>
      <c r="G1087" s="594" t="s">
        <v>9703</v>
      </c>
      <c r="H1087" s="1049" t="s">
        <v>9474</v>
      </c>
      <c r="I1087" s="319" t="s">
        <v>949</v>
      </c>
      <c r="J1087" s="584" t="s">
        <v>9281</v>
      </c>
      <c r="K1087" s="1010"/>
      <c r="L1087" s="593"/>
      <c r="Q1087" s="481"/>
    </row>
    <row r="1088" spans="2:17" ht="31.2" x14ac:dyDescent="0.3">
      <c r="B1088" s="787" t="s">
        <v>522</v>
      </c>
      <c r="C1088" s="789" t="s">
        <v>523</v>
      </c>
      <c r="D1088" s="146" t="s">
        <v>190</v>
      </c>
      <c r="E1088" s="147" t="s">
        <v>515</v>
      </c>
      <c r="F1088" s="491">
        <v>1</v>
      </c>
      <c r="G1088" s="594" t="s">
        <v>9704</v>
      </c>
      <c r="H1088" s="1049" t="s">
        <v>9705</v>
      </c>
      <c r="I1088" s="319" t="s">
        <v>949</v>
      </c>
      <c r="J1088" s="584" t="s">
        <v>9706</v>
      </c>
      <c r="K1088" s="1010"/>
      <c r="L1088" s="593"/>
      <c r="Q1088" s="481"/>
    </row>
    <row r="1089" spans="2:17" ht="31.2" x14ac:dyDescent="0.3">
      <c r="B1089" s="787" t="s">
        <v>522</v>
      </c>
      <c r="C1089" s="789" t="s">
        <v>523</v>
      </c>
      <c r="D1089" s="146" t="s">
        <v>190</v>
      </c>
      <c r="E1089" s="147" t="s">
        <v>515</v>
      </c>
      <c r="F1089" s="491">
        <v>1</v>
      </c>
      <c r="G1089" s="594" t="s">
        <v>9707</v>
      </c>
      <c r="H1089" s="1049" t="s">
        <v>9480</v>
      </c>
      <c r="I1089" s="319" t="s">
        <v>949</v>
      </c>
      <c r="J1089" s="584" t="s">
        <v>9275</v>
      </c>
      <c r="K1089" s="1010"/>
      <c r="L1089" s="593"/>
      <c r="Q1089" s="481"/>
    </row>
    <row r="1090" spans="2:17" ht="31.2" x14ac:dyDescent="0.3">
      <c r="B1090" s="787" t="s">
        <v>522</v>
      </c>
      <c r="C1090" s="789" t="s">
        <v>523</v>
      </c>
      <c r="D1090" s="146" t="s">
        <v>190</v>
      </c>
      <c r="E1090" s="147" t="s">
        <v>515</v>
      </c>
      <c r="F1090" s="491">
        <v>1</v>
      </c>
      <c r="G1090" s="594" t="s">
        <v>9708</v>
      </c>
      <c r="H1090" s="1049" t="s">
        <v>9705</v>
      </c>
      <c r="I1090" s="319" t="s">
        <v>949</v>
      </c>
      <c r="J1090" s="584" t="s">
        <v>9287</v>
      </c>
      <c r="K1090" s="1010"/>
      <c r="L1090" s="593"/>
      <c r="Q1090" s="481"/>
    </row>
    <row r="1091" spans="2:17" ht="15.6" x14ac:dyDescent="0.3">
      <c r="B1091" s="787" t="s">
        <v>522</v>
      </c>
      <c r="C1091" s="789" t="s">
        <v>523</v>
      </c>
      <c r="D1091" s="146" t="s">
        <v>190</v>
      </c>
      <c r="E1091" s="147" t="s">
        <v>515</v>
      </c>
      <c r="F1091" s="1520">
        <v>1</v>
      </c>
      <c r="G1091" s="594" t="s">
        <v>524</v>
      </c>
      <c r="H1091" s="1049">
        <v>46205</v>
      </c>
      <c r="I1091" s="1521" t="s">
        <v>119</v>
      </c>
      <c r="J1091" s="584" t="s">
        <v>525</v>
      </c>
      <c r="K1091" s="1010"/>
      <c r="L1091" s="593"/>
      <c r="Q1091" s="481"/>
    </row>
    <row r="1092" spans="2:17" ht="15.6" x14ac:dyDescent="0.3">
      <c r="B1092" s="787" t="s">
        <v>522</v>
      </c>
      <c r="C1092" s="789" t="s">
        <v>523</v>
      </c>
      <c r="D1092" s="146" t="s">
        <v>190</v>
      </c>
      <c r="E1092" s="147" t="s">
        <v>515</v>
      </c>
      <c r="F1092" s="1520">
        <v>1</v>
      </c>
      <c r="G1092" s="594" t="s">
        <v>538</v>
      </c>
      <c r="H1092" s="1049">
        <v>46210</v>
      </c>
      <c r="I1092" s="1521" t="s">
        <v>119</v>
      </c>
      <c r="J1092" s="584" t="s">
        <v>539</v>
      </c>
      <c r="K1092" s="1010"/>
      <c r="L1092" s="593"/>
      <c r="Q1092" s="481"/>
    </row>
    <row r="1093" spans="2:17" ht="15.6" x14ac:dyDescent="0.3">
      <c r="B1093" s="787" t="s">
        <v>522</v>
      </c>
      <c r="C1093" s="789" t="s">
        <v>523</v>
      </c>
      <c r="D1093" s="146" t="s">
        <v>190</v>
      </c>
      <c r="E1093" s="147" t="s">
        <v>515</v>
      </c>
      <c r="F1093" s="1520">
        <v>1</v>
      </c>
      <c r="G1093" s="594" t="s">
        <v>713</v>
      </c>
      <c r="H1093" s="1049">
        <v>46232</v>
      </c>
      <c r="I1093" s="1521" t="s">
        <v>119</v>
      </c>
      <c r="J1093" s="584" t="s">
        <v>714</v>
      </c>
      <c r="K1093" s="1010"/>
      <c r="L1093" s="593"/>
      <c r="Q1093" s="481"/>
    </row>
    <row r="1094" spans="2:17" ht="15.6" x14ac:dyDescent="0.3">
      <c r="B1094" s="787" t="s">
        <v>522</v>
      </c>
      <c r="C1094" s="789" t="s">
        <v>523</v>
      </c>
      <c r="D1094" s="146" t="s">
        <v>190</v>
      </c>
      <c r="E1094" s="147" t="s">
        <v>515</v>
      </c>
      <c r="F1094" s="1520">
        <v>1</v>
      </c>
      <c r="G1094" s="594" t="s">
        <v>715</v>
      </c>
      <c r="H1094" s="1049">
        <v>46232</v>
      </c>
      <c r="I1094" s="1521" t="s">
        <v>119</v>
      </c>
      <c r="J1094" s="584" t="s">
        <v>716</v>
      </c>
      <c r="K1094" s="1010"/>
      <c r="L1094" s="593"/>
      <c r="Q1094" s="481"/>
    </row>
    <row r="1095" spans="2:17" ht="15.6" x14ac:dyDescent="0.3">
      <c r="B1095" s="787"/>
      <c r="C1095" s="789"/>
      <c r="D1095" s="146"/>
      <c r="E1095" s="147"/>
      <c r="F1095" s="491"/>
      <c r="G1095" s="302"/>
      <c r="H1095" s="667"/>
      <c r="I1095" s="319"/>
      <c r="J1095" s="494"/>
      <c r="K1095" s="1010"/>
      <c r="L1095" s="593"/>
      <c r="Q1095" s="481"/>
    </row>
    <row r="1096" spans="2:17" ht="15.6" x14ac:dyDescent="0.3">
      <c r="B1096" s="787"/>
      <c r="C1096" s="353" t="s">
        <v>771</v>
      </c>
      <c r="D1096" s="354" t="s">
        <v>190</v>
      </c>
      <c r="E1096" s="355"/>
      <c r="F1096" s="1040">
        <f>SUM(F982:F1095)</f>
        <v>113</v>
      </c>
      <c r="G1096" s="302"/>
      <c r="H1096" s="667"/>
      <c r="I1096" s="319"/>
      <c r="J1096" s="494"/>
      <c r="L1096"/>
      <c r="Q1096" s="481"/>
    </row>
    <row r="1097" spans="2:17" ht="15.6" x14ac:dyDescent="0.3">
      <c r="B1097" s="787"/>
      <c r="C1097" s="353" t="s">
        <v>772</v>
      </c>
      <c r="D1097" s="354" t="s">
        <v>190</v>
      </c>
      <c r="E1097" s="355"/>
      <c r="F1097" s="1040">
        <v>109</v>
      </c>
      <c r="G1097" s="302"/>
      <c r="H1097" s="667"/>
      <c r="I1097" s="319"/>
      <c r="J1097" s="494"/>
      <c r="L1097"/>
      <c r="Q1097" s="481"/>
    </row>
    <row r="1098" spans="2:17" ht="15.6" x14ac:dyDescent="0.3">
      <c r="B1098" s="787"/>
      <c r="C1098" s="361" t="s">
        <v>773</v>
      </c>
      <c r="D1098" s="362" t="s">
        <v>190</v>
      </c>
      <c r="E1098" s="363"/>
      <c r="F1098" s="1041">
        <f>F1096-F1097</f>
        <v>4</v>
      </c>
      <c r="G1098" s="248"/>
      <c r="H1098" s="542"/>
      <c r="I1098" s="319"/>
      <c r="J1098" s="494"/>
      <c r="Q1098" s="481"/>
    </row>
    <row r="1099" spans="2:17" ht="7.5" customHeight="1" x14ac:dyDescent="0.3">
      <c r="B1099" s="338"/>
      <c r="C1099" s="142"/>
      <c r="D1099" s="143"/>
      <c r="E1099" s="144"/>
      <c r="F1099" s="1038"/>
      <c r="G1099" s="144"/>
      <c r="H1099" s="144"/>
      <c r="I1099" s="515"/>
      <c r="J1099" s="524"/>
      <c r="L1099"/>
    </row>
    <row r="1100" spans="2:17" ht="46.8" x14ac:dyDescent="0.3">
      <c r="B1100" s="786" t="s">
        <v>9709</v>
      </c>
      <c r="C1100" s="788" t="s">
        <v>9710</v>
      </c>
      <c r="D1100" s="127" t="s">
        <v>333</v>
      </c>
      <c r="E1100" s="125"/>
      <c r="F1100" s="490">
        <f>194.384-F968</f>
        <v>152.05399999999997</v>
      </c>
      <c r="G1100" s="296" t="s">
        <v>9711</v>
      </c>
      <c r="H1100" s="667">
        <v>46053</v>
      </c>
      <c r="I1100" s="131" t="s">
        <v>1417</v>
      </c>
      <c r="J1100" s="537" t="s">
        <v>9712</v>
      </c>
      <c r="L1100"/>
      <c r="Q1100" s="481"/>
    </row>
    <row r="1101" spans="2:17" ht="15.6" x14ac:dyDescent="0.3">
      <c r="B1101" s="787"/>
      <c r="C1101" s="789"/>
      <c r="D1101" s="146"/>
      <c r="E1101" s="147"/>
      <c r="F1101" s="491"/>
      <c r="G1101" s="302"/>
      <c r="H1101" s="667"/>
      <c r="I1101" s="319"/>
      <c r="J1101" s="494"/>
      <c r="L1101"/>
      <c r="Q1101" s="481"/>
    </row>
    <row r="1102" spans="2:17" ht="15.6" x14ac:dyDescent="0.3">
      <c r="B1102" s="787"/>
      <c r="C1102" s="353" t="s">
        <v>771</v>
      </c>
      <c r="D1102" s="354" t="s">
        <v>333</v>
      </c>
      <c r="E1102" s="147"/>
      <c r="F1102" s="1040">
        <f>ROUND(SUM(F1100:F1101),3)</f>
        <v>152.054</v>
      </c>
      <c r="G1102" s="302"/>
      <c r="H1102" s="667"/>
      <c r="I1102" s="319"/>
      <c r="J1102" s="494"/>
      <c r="L1102"/>
      <c r="Q1102" s="481"/>
    </row>
    <row r="1103" spans="2:17" ht="15.6" x14ac:dyDescent="0.3">
      <c r="B1103" s="787"/>
      <c r="C1103" s="353" t="s">
        <v>772</v>
      </c>
      <c r="D1103" s="354" t="s">
        <v>333</v>
      </c>
      <c r="E1103" s="147"/>
      <c r="F1103" s="1040">
        <v>152.05399999999997</v>
      </c>
      <c r="G1103" s="302"/>
      <c r="H1103" s="667"/>
      <c r="I1103" s="319"/>
      <c r="J1103" s="494"/>
      <c r="L1103"/>
      <c r="Q1103" s="481"/>
    </row>
    <row r="1104" spans="2:17" ht="15.6" x14ac:dyDescent="0.3">
      <c r="B1104" s="787"/>
      <c r="C1104" s="361" t="s">
        <v>773</v>
      </c>
      <c r="D1104" s="362" t="s">
        <v>333</v>
      </c>
      <c r="E1104" s="355"/>
      <c r="F1104" s="1041">
        <f>F1102-F1103</f>
        <v>0</v>
      </c>
      <c r="G1104" s="302"/>
      <c r="H1104" s="667"/>
      <c r="I1104" s="319"/>
      <c r="J1104" s="494"/>
      <c r="L1104"/>
      <c r="Q1104" s="481"/>
    </row>
    <row r="1105" spans="2:17" ht="7.5" customHeight="1" x14ac:dyDescent="0.3">
      <c r="B1105" s="338"/>
      <c r="C1105" s="142"/>
      <c r="D1105" s="143"/>
      <c r="E1105" s="144"/>
      <c r="F1105" s="1038"/>
      <c r="G1105" s="144"/>
      <c r="H1105" s="144"/>
      <c r="I1105" s="515"/>
      <c r="J1105" s="524"/>
      <c r="L1105"/>
    </row>
    <row r="1106" spans="2:17" ht="15.6" x14ac:dyDescent="0.3">
      <c r="B1106" s="786" t="s">
        <v>9713</v>
      </c>
      <c r="C1106" s="788" t="s">
        <v>9714</v>
      </c>
      <c r="D1106" s="127" t="s">
        <v>333</v>
      </c>
      <c r="E1106" s="125"/>
      <c r="F1106" s="490">
        <v>152.054</v>
      </c>
      <c r="G1106" s="302" t="s">
        <v>760</v>
      </c>
      <c r="H1106" s="667"/>
      <c r="I1106" s="131" t="s">
        <v>946</v>
      </c>
      <c r="J1106" s="537"/>
      <c r="L1106"/>
      <c r="Q1106" s="481"/>
    </row>
    <row r="1107" spans="2:17" ht="15.6" x14ac:dyDescent="0.3">
      <c r="B1107" s="787"/>
      <c r="C1107" s="789"/>
      <c r="D1107" s="146"/>
      <c r="E1107" s="147"/>
      <c r="F1107" s="491"/>
      <c r="G1107" s="302"/>
      <c r="H1107" s="667"/>
      <c r="I1107" s="319"/>
      <c r="J1107" s="494"/>
      <c r="L1107"/>
      <c r="Q1107" s="481"/>
    </row>
    <row r="1108" spans="2:17" ht="15.6" x14ac:dyDescent="0.3">
      <c r="B1108" s="787"/>
      <c r="C1108" s="353" t="s">
        <v>771</v>
      </c>
      <c r="D1108" s="354" t="s">
        <v>333</v>
      </c>
      <c r="E1108" s="147"/>
      <c r="F1108" s="1040">
        <f>ROUND(SUM(F1106:F1107),3)</f>
        <v>152.054</v>
      </c>
      <c r="G1108" s="302"/>
      <c r="H1108" s="667"/>
      <c r="I1108" s="319"/>
      <c r="J1108" s="494"/>
      <c r="L1108"/>
      <c r="Q1108" s="481"/>
    </row>
    <row r="1109" spans="2:17" ht="15.6" x14ac:dyDescent="0.3">
      <c r="B1109" s="787"/>
      <c r="C1109" s="353" t="s">
        <v>772</v>
      </c>
      <c r="D1109" s="354" t="s">
        <v>333</v>
      </c>
      <c r="E1109" s="147"/>
      <c r="F1109" s="1040">
        <v>152.054</v>
      </c>
      <c r="G1109" s="302"/>
      <c r="H1109" s="667"/>
      <c r="I1109" s="319"/>
      <c r="J1109" s="494"/>
      <c r="L1109"/>
      <c r="Q1109" s="481"/>
    </row>
    <row r="1110" spans="2:17" ht="15.6" x14ac:dyDescent="0.3">
      <c r="B1110" s="787"/>
      <c r="C1110" s="361" t="s">
        <v>773</v>
      </c>
      <c r="D1110" s="362" t="s">
        <v>333</v>
      </c>
      <c r="E1110" s="355"/>
      <c r="F1110" s="1041">
        <f>F1108-F1109</f>
        <v>0</v>
      </c>
      <c r="G1110" s="302"/>
      <c r="H1110" s="667"/>
      <c r="I1110" s="319"/>
      <c r="J1110" s="494"/>
      <c r="L1110"/>
      <c r="Q1110" s="481"/>
    </row>
    <row r="1111" spans="2:17" ht="7.5" customHeight="1" x14ac:dyDescent="0.3">
      <c r="B1111" s="338"/>
      <c r="C1111" s="142"/>
      <c r="D1111" s="143"/>
      <c r="E1111" s="144"/>
      <c r="F1111" s="1038"/>
      <c r="G1111" s="144"/>
      <c r="H1111" s="144"/>
      <c r="I1111" s="515"/>
      <c r="J1111" s="524"/>
      <c r="L1111"/>
    </row>
    <row r="1112" spans="2:17" ht="31.2" x14ac:dyDescent="0.3">
      <c r="B1112" s="787" t="s">
        <v>576</v>
      </c>
      <c r="C1112" s="789" t="s">
        <v>577</v>
      </c>
      <c r="D1112" s="146" t="s">
        <v>190</v>
      </c>
      <c r="E1112" s="147" t="s">
        <v>510</v>
      </c>
      <c r="F1112" s="491">
        <v>1</v>
      </c>
      <c r="G1112" s="594" t="s">
        <v>9715</v>
      </c>
      <c r="H1112" s="1049" t="s">
        <v>9716</v>
      </c>
      <c r="I1112" s="319" t="s">
        <v>1053</v>
      </c>
      <c r="J1112" s="537" t="s">
        <v>9379</v>
      </c>
      <c r="L1112"/>
      <c r="Q1112" s="481"/>
    </row>
    <row r="1113" spans="2:17" ht="31.2" x14ac:dyDescent="0.3">
      <c r="B1113" s="787" t="s">
        <v>576</v>
      </c>
      <c r="C1113" s="789" t="s">
        <v>577</v>
      </c>
      <c r="D1113" s="146" t="s">
        <v>190</v>
      </c>
      <c r="E1113" s="147" t="s">
        <v>510</v>
      </c>
      <c r="F1113" s="491">
        <v>1</v>
      </c>
      <c r="G1113" s="594" t="s">
        <v>9717</v>
      </c>
      <c r="H1113" s="1049" t="s">
        <v>9716</v>
      </c>
      <c r="I1113" s="319" t="s">
        <v>1053</v>
      </c>
      <c r="J1113" s="537" t="s">
        <v>9382</v>
      </c>
      <c r="L1113"/>
      <c r="Q1113" s="481"/>
    </row>
    <row r="1114" spans="2:17" ht="31.2" x14ac:dyDescent="0.3">
      <c r="B1114" s="787" t="s">
        <v>576</v>
      </c>
      <c r="C1114" s="789" t="s">
        <v>577</v>
      </c>
      <c r="D1114" s="146" t="s">
        <v>190</v>
      </c>
      <c r="E1114" s="147" t="s">
        <v>510</v>
      </c>
      <c r="F1114" s="491">
        <v>1</v>
      </c>
      <c r="G1114" s="594" t="s">
        <v>9718</v>
      </c>
      <c r="H1114" s="1049" t="s">
        <v>9719</v>
      </c>
      <c r="I1114" s="319" t="s">
        <v>1053</v>
      </c>
      <c r="J1114" s="537" t="s">
        <v>9385</v>
      </c>
      <c r="L1114"/>
      <c r="Q1114" s="481"/>
    </row>
    <row r="1115" spans="2:17" ht="31.2" x14ac:dyDescent="0.3">
      <c r="B1115" s="787" t="s">
        <v>576</v>
      </c>
      <c r="C1115" s="789" t="s">
        <v>577</v>
      </c>
      <c r="D1115" s="146" t="s">
        <v>190</v>
      </c>
      <c r="E1115" s="147" t="s">
        <v>510</v>
      </c>
      <c r="F1115" s="491">
        <v>1</v>
      </c>
      <c r="G1115" s="594" t="s">
        <v>9720</v>
      </c>
      <c r="H1115" s="1049" t="s">
        <v>9719</v>
      </c>
      <c r="I1115" s="319" t="s">
        <v>1053</v>
      </c>
      <c r="J1115" s="537" t="s">
        <v>9390</v>
      </c>
      <c r="L1115"/>
      <c r="Q1115" s="481"/>
    </row>
    <row r="1116" spans="2:17" ht="31.2" x14ac:dyDescent="0.3">
      <c r="B1116" s="787" t="s">
        <v>576</v>
      </c>
      <c r="C1116" s="789" t="s">
        <v>577</v>
      </c>
      <c r="D1116" s="146" t="s">
        <v>190</v>
      </c>
      <c r="E1116" s="147" t="s">
        <v>510</v>
      </c>
      <c r="F1116" s="491">
        <v>1</v>
      </c>
      <c r="G1116" s="594" t="s">
        <v>9721</v>
      </c>
      <c r="H1116" s="1049" t="s">
        <v>9722</v>
      </c>
      <c r="I1116" s="319" t="s">
        <v>1579</v>
      </c>
      <c r="J1116" s="537" t="s">
        <v>9374</v>
      </c>
      <c r="L1116"/>
      <c r="Q1116" s="481"/>
    </row>
    <row r="1117" spans="2:17" ht="31.2" x14ac:dyDescent="0.3">
      <c r="B1117" s="787" t="s">
        <v>576</v>
      </c>
      <c r="C1117" s="789" t="s">
        <v>577</v>
      </c>
      <c r="D1117" s="146" t="s">
        <v>190</v>
      </c>
      <c r="E1117" s="147" t="s">
        <v>510</v>
      </c>
      <c r="F1117" s="491">
        <v>1</v>
      </c>
      <c r="G1117" s="594" t="s">
        <v>9723</v>
      </c>
      <c r="H1117" s="1049" t="s">
        <v>9452</v>
      </c>
      <c r="I1117" s="319" t="s">
        <v>1579</v>
      </c>
      <c r="J1117" s="537" t="s">
        <v>9421</v>
      </c>
      <c r="L1117"/>
      <c r="Q1117" s="481"/>
    </row>
    <row r="1118" spans="2:17" ht="31.2" x14ac:dyDescent="0.3">
      <c r="B1118" s="787" t="s">
        <v>576</v>
      </c>
      <c r="C1118" s="789" t="s">
        <v>577</v>
      </c>
      <c r="D1118" s="146" t="s">
        <v>190</v>
      </c>
      <c r="E1118" s="147" t="s">
        <v>510</v>
      </c>
      <c r="F1118" s="491">
        <v>1</v>
      </c>
      <c r="G1118" s="594" t="s">
        <v>9724</v>
      </c>
      <c r="H1118" s="1049" t="s">
        <v>9452</v>
      </c>
      <c r="I1118" s="319" t="s">
        <v>1579</v>
      </c>
      <c r="J1118" s="537" t="s">
        <v>9418</v>
      </c>
      <c r="L1118"/>
      <c r="Q1118" s="481"/>
    </row>
    <row r="1119" spans="2:17" ht="31.2" x14ac:dyDescent="0.3">
      <c r="B1119" s="787" t="s">
        <v>576</v>
      </c>
      <c r="C1119" s="789" t="s">
        <v>577</v>
      </c>
      <c r="D1119" s="146" t="s">
        <v>190</v>
      </c>
      <c r="E1119" s="147" t="s">
        <v>510</v>
      </c>
      <c r="F1119" s="491">
        <v>1</v>
      </c>
      <c r="G1119" s="594" t="s">
        <v>9725</v>
      </c>
      <c r="H1119" s="1049" t="s">
        <v>9455</v>
      </c>
      <c r="I1119" s="319" t="s">
        <v>1579</v>
      </c>
      <c r="J1119" s="537" t="s">
        <v>9403</v>
      </c>
      <c r="L1119"/>
      <c r="Q1119" s="481"/>
    </row>
    <row r="1120" spans="2:17" ht="31.2" x14ac:dyDescent="0.3">
      <c r="B1120" s="787" t="s">
        <v>576</v>
      </c>
      <c r="C1120" s="789" t="s">
        <v>577</v>
      </c>
      <c r="D1120" s="146" t="s">
        <v>190</v>
      </c>
      <c r="E1120" s="147" t="s">
        <v>510</v>
      </c>
      <c r="F1120" s="491">
        <v>1</v>
      </c>
      <c r="G1120" s="594" t="s">
        <v>9726</v>
      </c>
      <c r="H1120" s="1049" t="s">
        <v>9455</v>
      </c>
      <c r="I1120" s="319" t="s">
        <v>1579</v>
      </c>
      <c r="J1120" s="537" t="s">
        <v>9393</v>
      </c>
      <c r="L1120"/>
      <c r="Q1120" s="481"/>
    </row>
    <row r="1121" spans="2:17" ht="31.2" x14ac:dyDescent="0.3">
      <c r="B1121" s="787" t="s">
        <v>576</v>
      </c>
      <c r="C1121" s="789" t="s">
        <v>577</v>
      </c>
      <c r="D1121" s="146" t="s">
        <v>190</v>
      </c>
      <c r="E1121" s="147" t="s">
        <v>510</v>
      </c>
      <c r="F1121" s="491">
        <v>1</v>
      </c>
      <c r="G1121" s="594" t="s">
        <v>9727</v>
      </c>
      <c r="H1121" s="1049" t="s">
        <v>9728</v>
      </c>
      <c r="I1121" s="319" t="s">
        <v>1579</v>
      </c>
      <c r="J1121" s="537" t="s">
        <v>9406</v>
      </c>
      <c r="L1121"/>
      <c r="Q1121" s="481"/>
    </row>
    <row r="1122" spans="2:17" ht="31.2" x14ac:dyDescent="0.3">
      <c r="B1122" s="787" t="s">
        <v>576</v>
      </c>
      <c r="C1122" s="789" t="s">
        <v>577</v>
      </c>
      <c r="D1122" s="146" t="s">
        <v>190</v>
      </c>
      <c r="E1122" s="147" t="s">
        <v>510</v>
      </c>
      <c r="F1122" s="491">
        <v>1</v>
      </c>
      <c r="G1122" s="594" t="s">
        <v>9729</v>
      </c>
      <c r="H1122" s="1049" t="s">
        <v>9728</v>
      </c>
      <c r="I1122" s="319" t="s">
        <v>1579</v>
      </c>
      <c r="J1122" s="537" t="s">
        <v>9399</v>
      </c>
      <c r="L1122"/>
      <c r="Q1122" s="481"/>
    </row>
    <row r="1123" spans="2:17" ht="31.2" x14ac:dyDescent="0.3">
      <c r="B1123" s="787" t="s">
        <v>576</v>
      </c>
      <c r="C1123" s="789" t="s">
        <v>577</v>
      </c>
      <c r="D1123" s="146" t="s">
        <v>190</v>
      </c>
      <c r="E1123" s="147" t="s">
        <v>510</v>
      </c>
      <c r="F1123" s="491">
        <v>1</v>
      </c>
      <c r="G1123" s="594" t="s">
        <v>9730</v>
      </c>
      <c r="H1123" s="1049" t="s">
        <v>4625</v>
      </c>
      <c r="I1123" s="319" t="s">
        <v>1579</v>
      </c>
      <c r="J1123" s="537" t="s">
        <v>9401</v>
      </c>
      <c r="L1123"/>
      <c r="Q1123" s="481"/>
    </row>
    <row r="1124" spans="2:17" ht="31.2" x14ac:dyDescent="0.3">
      <c r="B1124" s="787" t="s">
        <v>576</v>
      </c>
      <c r="C1124" s="789" t="s">
        <v>577</v>
      </c>
      <c r="D1124" s="146" t="s">
        <v>190</v>
      </c>
      <c r="E1124" s="147" t="s">
        <v>510</v>
      </c>
      <c r="F1124" s="491">
        <v>1</v>
      </c>
      <c r="G1124" s="594" t="s">
        <v>9731</v>
      </c>
      <c r="H1124" s="1049" t="s">
        <v>4625</v>
      </c>
      <c r="I1124" s="319" t="s">
        <v>1579</v>
      </c>
      <c r="J1124" s="537" t="s">
        <v>9732</v>
      </c>
      <c r="L1124"/>
      <c r="Q1124" s="481"/>
    </row>
    <row r="1125" spans="2:17" ht="31.2" x14ac:dyDescent="0.3">
      <c r="B1125" s="787" t="s">
        <v>576</v>
      </c>
      <c r="C1125" s="789" t="s">
        <v>577</v>
      </c>
      <c r="D1125" s="146" t="s">
        <v>190</v>
      </c>
      <c r="E1125" s="147" t="s">
        <v>510</v>
      </c>
      <c r="F1125" s="491">
        <v>1</v>
      </c>
      <c r="G1125" s="594" t="s">
        <v>9733</v>
      </c>
      <c r="H1125" s="1049" t="s">
        <v>9734</v>
      </c>
      <c r="I1125" s="319" t="s">
        <v>949</v>
      </c>
      <c r="J1125" s="537" t="s">
        <v>9427</v>
      </c>
      <c r="L1125"/>
      <c r="Q1125" s="481"/>
    </row>
    <row r="1126" spans="2:17" ht="31.2" x14ac:dyDescent="0.3">
      <c r="B1126" s="787" t="s">
        <v>576</v>
      </c>
      <c r="C1126" s="789" t="s">
        <v>577</v>
      </c>
      <c r="D1126" s="146" t="s">
        <v>190</v>
      </c>
      <c r="E1126" s="147" t="s">
        <v>510</v>
      </c>
      <c r="F1126" s="491">
        <v>1</v>
      </c>
      <c r="G1126" s="594" t="s">
        <v>9735</v>
      </c>
      <c r="H1126" s="1049" t="s">
        <v>9734</v>
      </c>
      <c r="I1126" s="319" t="s">
        <v>949</v>
      </c>
      <c r="J1126" s="537" t="s">
        <v>9431</v>
      </c>
      <c r="L1126"/>
      <c r="Q1126" s="481"/>
    </row>
    <row r="1127" spans="2:17" ht="31.2" x14ac:dyDescent="0.3">
      <c r="B1127" s="787" t="s">
        <v>576</v>
      </c>
      <c r="C1127" s="789" t="s">
        <v>577</v>
      </c>
      <c r="D1127" s="146" t="s">
        <v>190</v>
      </c>
      <c r="E1127" s="147" t="s">
        <v>510</v>
      </c>
      <c r="F1127" s="491">
        <v>1</v>
      </c>
      <c r="G1127" s="594" t="s">
        <v>9736</v>
      </c>
      <c r="H1127" s="1049" t="s">
        <v>9477</v>
      </c>
      <c r="I1127" s="319" t="s">
        <v>949</v>
      </c>
      <c r="J1127" s="537" t="s">
        <v>9433</v>
      </c>
      <c r="L1127"/>
      <c r="Q1127" s="481"/>
    </row>
    <row r="1128" spans="2:17" ht="31.2" x14ac:dyDescent="0.3">
      <c r="B1128" s="787" t="s">
        <v>576</v>
      </c>
      <c r="C1128" s="789" t="s">
        <v>577</v>
      </c>
      <c r="D1128" s="146" t="s">
        <v>190</v>
      </c>
      <c r="E1128" s="147" t="s">
        <v>510</v>
      </c>
      <c r="F1128" s="491">
        <v>1</v>
      </c>
      <c r="G1128" s="594" t="s">
        <v>9737</v>
      </c>
      <c r="H1128" s="1049" t="s">
        <v>9738</v>
      </c>
      <c r="I1128" s="319" t="s">
        <v>949</v>
      </c>
      <c r="J1128" s="790" t="s">
        <v>9436</v>
      </c>
      <c r="L1128"/>
      <c r="Q1128" s="481"/>
    </row>
    <row r="1129" spans="2:17" ht="15.6" x14ac:dyDescent="0.3">
      <c r="B1129" s="787" t="s">
        <v>576</v>
      </c>
      <c r="C1129" s="789" t="s">
        <v>577</v>
      </c>
      <c r="D1129" s="146" t="s">
        <v>190</v>
      </c>
      <c r="E1129" s="147" t="s">
        <v>510</v>
      </c>
      <c r="F1129" s="1520">
        <v>1</v>
      </c>
      <c r="G1129" s="594" t="s">
        <v>578</v>
      </c>
      <c r="H1129" s="1049">
        <v>46218</v>
      </c>
      <c r="I1129" s="1521" t="s">
        <v>119</v>
      </c>
      <c r="J1129" s="790" t="s">
        <v>579</v>
      </c>
      <c r="L1129"/>
      <c r="Q1129" s="481"/>
    </row>
    <row r="1130" spans="2:17" ht="15.6" x14ac:dyDescent="0.3">
      <c r="B1130" s="787" t="s">
        <v>576</v>
      </c>
      <c r="C1130" s="789" t="s">
        <v>577</v>
      </c>
      <c r="D1130" s="146" t="s">
        <v>190</v>
      </c>
      <c r="E1130" s="147" t="s">
        <v>510</v>
      </c>
      <c r="F1130" s="1520">
        <v>1</v>
      </c>
      <c r="G1130" s="594" t="s">
        <v>580</v>
      </c>
      <c r="H1130" s="1049">
        <v>46218</v>
      </c>
      <c r="I1130" s="1521" t="s">
        <v>119</v>
      </c>
      <c r="J1130" s="790" t="s">
        <v>581</v>
      </c>
      <c r="L1130"/>
      <c r="Q1130" s="481"/>
    </row>
    <row r="1131" spans="2:17" ht="15.6" x14ac:dyDescent="0.3">
      <c r="B1131" s="787" t="s">
        <v>576</v>
      </c>
      <c r="C1131" s="789" t="s">
        <v>577</v>
      </c>
      <c r="D1131" s="146" t="s">
        <v>190</v>
      </c>
      <c r="E1131" s="147" t="s">
        <v>510</v>
      </c>
      <c r="F1131" s="1520">
        <v>1</v>
      </c>
      <c r="G1131" s="594" t="s">
        <v>661</v>
      </c>
      <c r="H1131" s="1049">
        <v>46228</v>
      </c>
      <c r="I1131" s="1521" t="s">
        <v>119</v>
      </c>
      <c r="J1131" s="790" t="s">
        <v>662</v>
      </c>
      <c r="L1131"/>
      <c r="Q1131" s="481"/>
    </row>
    <row r="1132" spans="2:17" ht="15.6" x14ac:dyDescent="0.3">
      <c r="B1132" s="787" t="s">
        <v>576</v>
      </c>
      <c r="C1132" s="789" t="s">
        <v>577</v>
      </c>
      <c r="D1132" s="146" t="s">
        <v>190</v>
      </c>
      <c r="E1132" s="147" t="s">
        <v>510</v>
      </c>
      <c r="F1132" s="1520">
        <v>1</v>
      </c>
      <c r="G1132" s="594" t="s">
        <v>663</v>
      </c>
      <c r="H1132" s="1049">
        <v>46228</v>
      </c>
      <c r="I1132" s="1521" t="s">
        <v>119</v>
      </c>
      <c r="J1132" s="790" t="s">
        <v>664</v>
      </c>
      <c r="L1132"/>
      <c r="Q1132" s="481"/>
    </row>
    <row r="1133" spans="2:17" ht="15.6" x14ac:dyDescent="0.3">
      <c r="B1133" s="787" t="s">
        <v>576</v>
      </c>
      <c r="C1133" s="789" t="s">
        <v>577</v>
      </c>
      <c r="D1133" s="146" t="s">
        <v>190</v>
      </c>
      <c r="E1133" s="147" t="s">
        <v>510</v>
      </c>
      <c r="F1133" s="1520">
        <v>1</v>
      </c>
      <c r="G1133" s="594" t="s">
        <v>681</v>
      </c>
      <c r="H1133" s="1049">
        <v>46231</v>
      </c>
      <c r="I1133" s="1521" t="s">
        <v>119</v>
      </c>
      <c r="J1133" s="790" t="s">
        <v>682</v>
      </c>
      <c r="L1133"/>
      <c r="Q1133" s="481"/>
    </row>
    <row r="1134" spans="2:17" ht="15.6" x14ac:dyDescent="0.3">
      <c r="B1134" s="787"/>
      <c r="C1134" s="789"/>
      <c r="D1134" s="146"/>
      <c r="E1134" s="147"/>
      <c r="F1134" s="491"/>
      <c r="G1134" s="302"/>
      <c r="H1134" s="667"/>
      <c r="I1134" s="319"/>
      <c r="J1134" s="494"/>
      <c r="L1134"/>
      <c r="Q1134" s="481"/>
    </row>
    <row r="1135" spans="2:17" ht="15.6" x14ac:dyDescent="0.3">
      <c r="B1135" s="787"/>
      <c r="C1135" s="353" t="s">
        <v>771</v>
      </c>
      <c r="D1135" s="354" t="s">
        <v>190</v>
      </c>
      <c r="E1135" s="147"/>
      <c r="F1135" s="1040">
        <f>ROUND(SUM(F1112:F1134),3)</f>
        <v>22</v>
      </c>
      <c r="G1135" s="302"/>
      <c r="H1135" s="667"/>
      <c r="I1135" s="319"/>
      <c r="J1135" s="494"/>
      <c r="L1135"/>
      <c r="Q1135" s="481"/>
    </row>
    <row r="1136" spans="2:17" ht="15.6" x14ac:dyDescent="0.3">
      <c r="B1136" s="787"/>
      <c r="C1136" s="353" t="s">
        <v>772</v>
      </c>
      <c r="D1136" s="354" t="s">
        <v>190</v>
      </c>
      <c r="E1136" s="147"/>
      <c r="F1136" s="1040">
        <v>17</v>
      </c>
      <c r="G1136" s="302"/>
      <c r="H1136" s="667"/>
      <c r="I1136" s="319"/>
      <c r="J1136" s="494"/>
      <c r="L1136"/>
      <c r="Q1136" s="481"/>
    </row>
    <row r="1137" spans="2:17" ht="15.6" x14ac:dyDescent="0.3">
      <c r="B1137" s="787"/>
      <c r="C1137" s="361" t="s">
        <v>773</v>
      </c>
      <c r="D1137" s="354" t="s">
        <v>190</v>
      </c>
      <c r="E1137" s="355"/>
      <c r="F1137" s="1041">
        <f>F1135-F1136</f>
        <v>5</v>
      </c>
      <c r="G1137" s="302"/>
      <c r="H1137" s="667"/>
      <c r="I1137" s="319"/>
      <c r="J1137" s="494"/>
      <c r="L1137"/>
      <c r="Q1137" s="481"/>
    </row>
    <row r="1138" spans="2:17" ht="7.5" customHeight="1" x14ac:dyDescent="0.3">
      <c r="B1138" s="338"/>
      <c r="C1138" s="142"/>
      <c r="D1138" s="143"/>
      <c r="E1138" s="144"/>
      <c r="F1138" s="1038"/>
      <c r="G1138" s="144"/>
      <c r="H1138" s="144"/>
      <c r="I1138" s="515"/>
      <c r="J1138" s="524"/>
      <c r="L1138"/>
    </row>
    <row r="1139" spans="2:17" ht="15.6" x14ac:dyDescent="0.3">
      <c r="B1139" s="574">
        <v>506</v>
      </c>
      <c r="C1139" s="575" t="s">
        <v>437</v>
      </c>
      <c r="D1139" s="579"/>
      <c r="E1139" s="291"/>
      <c r="F1139" s="1046"/>
      <c r="G1139" s="291"/>
      <c r="H1139" s="291"/>
      <c r="I1139" s="576"/>
      <c r="J1139" s="500"/>
    </row>
    <row r="1140" spans="2:17" ht="15.6" x14ac:dyDescent="0.3">
      <c r="B1140" s="786" t="s">
        <v>513</v>
      </c>
      <c r="C1140" s="788" t="s">
        <v>514</v>
      </c>
      <c r="D1140" s="127" t="s">
        <v>324</v>
      </c>
      <c r="E1140" s="125" t="s">
        <v>515</v>
      </c>
      <c r="F1140" s="490">
        <v>1</v>
      </c>
      <c r="G1140" s="296" t="s">
        <v>9739</v>
      </c>
      <c r="H1140" s="596">
        <v>46055</v>
      </c>
      <c r="I1140" s="131" t="s">
        <v>1315</v>
      </c>
      <c r="J1140" s="537" t="s">
        <v>9740</v>
      </c>
      <c r="L1140"/>
      <c r="Q1140" s="481"/>
    </row>
    <row r="1141" spans="2:17" ht="15.6" x14ac:dyDescent="0.3">
      <c r="B1141" s="787" t="s">
        <v>513</v>
      </c>
      <c r="C1141" s="789" t="s">
        <v>514</v>
      </c>
      <c r="D1141" s="146" t="s">
        <v>324</v>
      </c>
      <c r="E1141" s="147" t="s">
        <v>515</v>
      </c>
      <c r="F1141" s="491">
        <v>1</v>
      </c>
      <c r="G1141" s="302" t="s">
        <v>9741</v>
      </c>
      <c r="H1141" s="667">
        <v>46062</v>
      </c>
      <c r="I1141" s="319" t="s">
        <v>1315</v>
      </c>
      <c r="J1141" s="1129" t="s">
        <v>9742</v>
      </c>
      <c r="L1141"/>
      <c r="Q1141" s="481"/>
    </row>
    <row r="1142" spans="2:17" ht="15.6" x14ac:dyDescent="0.3">
      <c r="B1142" s="787" t="s">
        <v>513</v>
      </c>
      <c r="C1142" s="789" t="s">
        <v>514</v>
      </c>
      <c r="D1142" s="146" t="s">
        <v>324</v>
      </c>
      <c r="E1142" s="147" t="s">
        <v>515</v>
      </c>
      <c r="F1142" s="491">
        <v>1</v>
      </c>
      <c r="G1142" s="302" t="s">
        <v>9743</v>
      </c>
      <c r="H1142" s="667">
        <v>46071</v>
      </c>
      <c r="I1142" s="319" t="s">
        <v>1315</v>
      </c>
      <c r="J1142" s="1129" t="s">
        <v>9744</v>
      </c>
      <c r="L1142"/>
      <c r="Q1142" s="481"/>
    </row>
    <row r="1143" spans="2:17" ht="15.6" x14ac:dyDescent="0.3">
      <c r="B1143" s="787" t="s">
        <v>513</v>
      </c>
      <c r="C1143" s="789" t="s">
        <v>514</v>
      </c>
      <c r="D1143" s="146" t="s">
        <v>324</v>
      </c>
      <c r="E1143" s="147" t="s">
        <v>515</v>
      </c>
      <c r="F1143" s="491">
        <v>1</v>
      </c>
      <c r="G1143" s="302" t="s">
        <v>9745</v>
      </c>
      <c r="H1143" s="667">
        <v>46109</v>
      </c>
      <c r="I1143" s="319" t="s">
        <v>946</v>
      </c>
      <c r="J1143" s="1129" t="s">
        <v>9746</v>
      </c>
      <c r="L1143"/>
      <c r="Q1143" s="481"/>
    </row>
    <row r="1144" spans="2:17" ht="15.6" x14ac:dyDescent="0.3">
      <c r="B1144" s="787" t="s">
        <v>513</v>
      </c>
      <c r="C1144" s="789" t="s">
        <v>514</v>
      </c>
      <c r="D1144" s="146" t="s">
        <v>324</v>
      </c>
      <c r="E1144" s="147" t="s">
        <v>515</v>
      </c>
      <c r="F1144" s="491">
        <v>1</v>
      </c>
      <c r="G1144" s="302" t="s">
        <v>9747</v>
      </c>
      <c r="H1144" s="667">
        <v>46110</v>
      </c>
      <c r="I1144" s="319" t="s">
        <v>946</v>
      </c>
      <c r="J1144" s="1129" t="s">
        <v>9748</v>
      </c>
      <c r="L1144"/>
      <c r="Q1144" s="481"/>
    </row>
    <row r="1145" spans="2:17" ht="15.6" x14ac:dyDescent="0.3">
      <c r="B1145" s="787" t="s">
        <v>513</v>
      </c>
      <c r="C1145" s="789" t="s">
        <v>514</v>
      </c>
      <c r="D1145" s="146" t="s">
        <v>324</v>
      </c>
      <c r="E1145" s="147" t="s">
        <v>515</v>
      </c>
      <c r="F1145" s="491">
        <v>1</v>
      </c>
      <c r="G1145" s="302" t="s">
        <v>9749</v>
      </c>
      <c r="H1145" s="667">
        <v>46111</v>
      </c>
      <c r="I1145" s="319" t="s">
        <v>946</v>
      </c>
      <c r="J1145" s="1129" t="s">
        <v>9750</v>
      </c>
      <c r="L1145"/>
      <c r="Q1145" s="481"/>
    </row>
    <row r="1146" spans="2:17" ht="15.6" x14ac:dyDescent="0.3">
      <c r="B1146" s="787" t="s">
        <v>513</v>
      </c>
      <c r="C1146" s="789" t="s">
        <v>514</v>
      </c>
      <c r="D1146" s="146" t="s">
        <v>324</v>
      </c>
      <c r="E1146" s="147" t="s">
        <v>515</v>
      </c>
      <c r="F1146" s="491">
        <v>1</v>
      </c>
      <c r="G1146" s="302" t="s">
        <v>9751</v>
      </c>
      <c r="H1146" s="667">
        <v>46112</v>
      </c>
      <c r="I1146" s="151" t="s">
        <v>946</v>
      </c>
      <c r="J1146" s="1129" t="s">
        <v>9752</v>
      </c>
      <c r="L1146"/>
      <c r="Q1146" s="481"/>
    </row>
    <row r="1147" spans="2:17" ht="15.6" x14ac:dyDescent="0.3">
      <c r="B1147" s="787" t="s">
        <v>513</v>
      </c>
      <c r="C1147" s="789" t="s">
        <v>514</v>
      </c>
      <c r="D1147" s="146" t="s">
        <v>324</v>
      </c>
      <c r="E1147" s="147" t="s">
        <v>515</v>
      </c>
      <c r="F1147" s="491">
        <v>1</v>
      </c>
      <c r="G1147" s="302" t="s">
        <v>9753</v>
      </c>
      <c r="H1147" s="667">
        <v>46140</v>
      </c>
      <c r="I1147" s="319" t="s">
        <v>1053</v>
      </c>
      <c r="J1147" s="1129" t="s">
        <v>9754</v>
      </c>
      <c r="L1147"/>
      <c r="Q1147" s="481"/>
    </row>
    <row r="1148" spans="2:17" ht="15.6" x14ac:dyDescent="0.3">
      <c r="B1148" s="787" t="s">
        <v>513</v>
      </c>
      <c r="C1148" s="789" t="s">
        <v>514</v>
      </c>
      <c r="D1148" s="146" t="s">
        <v>324</v>
      </c>
      <c r="E1148" s="147" t="s">
        <v>515</v>
      </c>
      <c r="F1148" s="491">
        <v>1</v>
      </c>
      <c r="G1148" s="302" t="s">
        <v>9755</v>
      </c>
      <c r="H1148" s="667">
        <v>46141</v>
      </c>
      <c r="I1148" s="319" t="s">
        <v>1053</v>
      </c>
      <c r="J1148" s="1129" t="s">
        <v>9756</v>
      </c>
      <c r="L1148"/>
      <c r="Q1148" s="481"/>
    </row>
    <row r="1149" spans="2:17" ht="15.6" x14ac:dyDescent="0.3">
      <c r="B1149" s="787" t="s">
        <v>513</v>
      </c>
      <c r="C1149" s="789" t="s">
        <v>514</v>
      </c>
      <c r="D1149" s="146" t="s">
        <v>324</v>
      </c>
      <c r="E1149" s="147" t="s">
        <v>515</v>
      </c>
      <c r="F1149" s="491">
        <v>1</v>
      </c>
      <c r="G1149" s="594" t="s">
        <v>9757</v>
      </c>
      <c r="H1149" s="1049">
        <v>46138</v>
      </c>
      <c r="I1149" s="319" t="s">
        <v>1053</v>
      </c>
      <c r="J1149" s="1129" t="s">
        <v>9758</v>
      </c>
      <c r="L1149"/>
      <c r="Q1149" s="481"/>
    </row>
    <row r="1150" spans="2:17" ht="15.6" x14ac:dyDescent="0.3">
      <c r="B1150" s="787" t="s">
        <v>513</v>
      </c>
      <c r="C1150" s="789" t="s">
        <v>514</v>
      </c>
      <c r="D1150" s="146" t="s">
        <v>324</v>
      </c>
      <c r="E1150" s="147" t="s">
        <v>515</v>
      </c>
      <c r="F1150" s="491">
        <v>1</v>
      </c>
      <c r="G1150" s="594" t="s">
        <v>9759</v>
      </c>
      <c r="H1150" s="1049">
        <v>46156</v>
      </c>
      <c r="I1150" s="319" t="s">
        <v>1579</v>
      </c>
      <c r="J1150" s="1129" t="s">
        <v>9760</v>
      </c>
      <c r="L1150"/>
      <c r="Q1150" s="481"/>
    </row>
    <row r="1151" spans="2:17" ht="15.6" x14ac:dyDescent="0.3">
      <c r="B1151" s="787" t="s">
        <v>513</v>
      </c>
      <c r="C1151" s="789" t="s">
        <v>514</v>
      </c>
      <c r="D1151" s="146" t="s">
        <v>324</v>
      </c>
      <c r="E1151" s="147" t="s">
        <v>515</v>
      </c>
      <c r="F1151" s="491">
        <v>1</v>
      </c>
      <c r="G1151" s="594" t="s">
        <v>9761</v>
      </c>
      <c r="H1151" s="1049">
        <v>46163</v>
      </c>
      <c r="I1151" s="319" t="s">
        <v>1579</v>
      </c>
      <c r="J1151" s="1129" t="s">
        <v>9762</v>
      </c>
      <c r="L1151"/>
      <c r="Q1151" s="481"/>
    </row>
    <row r="1152" spans="2:17" ht="15.6" x14ac:dyDescent="0.3">
      <c r="B1152" s="787" t="s">
        <v>513</v>
      </c>
      <c r="C1152" s="789" t="s">
        <v>514</v>
      </c>
      <c r="D1152" s="146" t="s">
        <v>324</v>
      </c>
      <c r="E1152" s="147" t="s">
        <v>515</v>
      </c>
      <c r="F1152" s="491">
        <v>1</v>
      </c>
      <c r="G1152" s="594" t="s">
        <v>9763</v>
      </c>
      <c r="H1152" s="1049">
        <v>46181</v>
      </c>
      <c r="I1152" s="319" t="s">
        <v>949</v>
      </c>
      <c r="J1152" s="1129" t="s">
        <v>9764</v>
      </c>
      <c r="L1152"/>
      <c r="Q1152" s="481"/>
    </row>
    <row r="1153" spans="2:17" ht="15.6" x14ac:dyDescent="0.3">
      <c r="B1153" s="787" t="s">
        <v>513</v>
      </c>
      <c r="C1153" s="789" t="s">
        <v>514</v>
      </c>
      <c r="D1153" s="146" t="s">
        <v>324</v>
      </c>
      <c r="E1153" s="147" t="s">
        <v>515</v>
      </c>
      <c r="F1153" s="491">
        <v>1</v>
      </c>
      <c r="G1153" s="594" t="s">
        <v>9765</v>
      </c>
      <c r="H1153" s="1049">
        <v>46196</v>
      </c>
      <c r="I1153" s="319" t="s">
        <v>949</v>
      </c>
      <c r="J1153" s="1129" t="s">
        <v>9766</v>
      </c>
      <c r="L1153"/>
      <c r="Q1153" s="481"/>
    </row>
    <row r="1154" spans="2:17" ht="15.6" x14ac:dyDescent="0.3">
      <c r="B1154" s="787" t="s">
        <v>513</v>
      </c>
      <c r="C1154" s="789" t="s">
        <v>514</v>
      </c>
      <c r="D1154" s="146" t="s">
        <v>324</v>
      </c>
      <c r="E1154" s="147" t="s">
        <v>515</v>
      </c>
      <c r="F1154" s="491">
        <v>1</v>
      </c>
      <c r="G1154" s="594" t="s">
        <v>9767</v>
      </c>
      <c r="H1154" s="1049">
        <v>46190</v>
      </c>
      <c r="I1154" s="319" t="s">
        <v>949</v>
      </c>
      <c r="J1154" s="1129" t="s">
        <v>9768</v>
      </c>
      <c r="L1154"/>
      <c r="Q1154" s="481"/>
    </row>
    <row r="1155" spans="2:17" ht="15.6" x14ac:dyDescent="0.3">
      <c r="B1155" s="787" t="s">
        <v>513</v>
      </c>
      <c r="C1155" s="789" t="s">
        <v>514</v>
      </c>
      <c r="D1155" s="146" t="s">
        <v>324</v>
      </c>
      <c r="E1155" s="147" t="s">
        <v>515</v>
      </c>
      <c r="F1155" s="491">
        <v>1</v>
      </c>
      <c r="G1155" s="594" t="s">
        <v>9769</v>
      </c>
      <c r="H1155" s="1049">
        <v>46195</v>
      </c>
      <c r="I1155" s="319" t="s">
        <v>949</v>
      </c>
      <c r="J1155" s="1129" t="s">
        <v>9770</v>
      </c>
      <c r="L1155"/>
      <c r="Q1155" s="481"/>
    </row>
    <row r="1156" spans="2:17" ht="15.6" x14ac:dyDescent="0.3">
      <c r="B1156" s="787" t="s">
        <v>513</v>
      </c>
      <c r="C1156" s="789" t="s">
        <v>514</v>
      </c>
      <c r="D1156" s="146" t="s">
        <v>324</v>
      </c>
      <c r="E1156" s="147" t="s">
        <v>515</v>
      </c>
      <c r="F1156" s="491">
        <v>1</v>
      </c>
      <c r="G1156" s="594" t="s">
        <v>9771</v>
      </c>
      <c r="H1156" s="1049">
        <v>46198</v>
      </c>
      <c r="I1156" s="319" t="s">
        <v>949</v>
      </c>
      <c r="J1156" s="1129" t="s">
        <v>9772</v>
      </c>
      <c r="L1156"/>
      <c r="Q1156" s="481"/>
    </row>
    <row r="1157" spans="2:17" ht="15.6" x14ac:dyDescent="0.3">
      <c r="B1157" s="787" t="s">
        <v>513</v>
      </c>
      <c r="C1157" s="789" t="s">
        <v>514</v>
      </c>
      <c r="D1157" s="146" t="s">
        <v>324</v>
      </c>
      <c r="E1157" s="147" t="s">
        <v>515</v>
      </c>
      <c r="F1157" s="491">
        <v>1</v>
      </c>
      <c r="G1157" s="594" t="s">
        <v>9773</v>
      </c>
      <c r="H1157" s="1049">
        <v>46202</v>
      </c>
      <c r="I1157" s="319" t="s">
        <v>949</v>
      </c>
      <c r="J1157" s="1129" t="s">
        <v>9774</v>
      </c>
      <c r="L1157"/>
      <c r="Q1157" s="481"/>
    </row>
    <row r="1158" spans="2:17" ht="15.6" x14ac:dyDescent="0.3">
      <c r="B1158" s="787" t="s">
        <v>513</v>
      </c>
      <c r="C1158" s="789" t="s">
        <v>514</v>
      </c>
      <c r="D1158" s="146" t="s">
        <v>324</v>
      </c>
      <c r="E1158" s="147" t="s">
        <v>515</v>
      </c>
      <c r="F1158" s="491">
        <v>1</v>
      </c>
      <c r="G1158" s="594" t="s">
        <v>9775</v>
      </c>
      <c r="H1158" s="1049">
        <v>46203</v>
      </c>
      <c r="I1158" s="319" t="s">
        <v>949</v>
      </c>
      <c r="J1158" s="1129" t="s">
        <v>9776</v>
      </c>
      <c r="L1158"/>
      <c r="Q1158" s="481"/>
    </row>
    <row r="1159" spans="2:17" ht="15.6" x14ac:dyDescent="0.3">
      <c r="B1159" s="787" t="s">
        <v>513</v>
      </c>
      <c r="C1159" s="789" t="s">
        <v>514</v>
      </c>
      <c r="D1159" s="146" t="s">
        <v>324</v>
      </c>
      <c r="E1159" s="147" t="s">
        <v>515</v>
      </c>
      <c r="F1159" s="1520">
        <v>1</v>
      </c>
      <c r="G1159" s="594" t="s">
        <v>516</v>
      </c>
      <c r="H1159" s="1049">
        <v>46193</v>
      </c>
      <c r="I1159" s="1521" t="s">
        <v>119</v>
      </c>
      <c r="J1159" s="1129" t="s">
        <v>517</v>
      </c>
      <c r="L1159"/>
      <c r="Q1159" s="481"/>
    </row>
    <row r="1160" spans="2:17" ht="15.6" x14ac:dyDescent="0.3">
      <c r="B1160" s="787" t="s">
        <v>513</v>
      </c>
      <c r="C1160" s="789" t="s">
        <v>514</v>
      </c>
      <c r="D1160" s="146" t="s">
        <v>324</v>
      </c>
      <c r="E1160" s="147" t="s">
        <v>515</v>
      </c>
      <c r="F1160" s="1520">
        <v>1</v>
      </c>
      <c r="G1160" s="594" t="s">
        <v>534</v>
      </c>
      <c r="H1160" s="1049">
        <v>46206</v>
      </c>
      <c r="I1160" s="1521" t="s">
        <v>119</v>
      </c>
      <c r="J1160" s="1129" t="s">
        <v>535</v>
      </c>
      <c r="L1160"/>
      <c r="Q1160" s="481"/>
    </row>
    <row r="1161" spans="2:17" ht="15.6" x14ac:dyDescent="0.3">
      <c r="B1161" s="787" t="s">
        <v>513</v>
      </c>
      <c r="C1161" s="789" t="s">
        <v>514</v>
      </c>
      <c r="D1161" s="146" t="s">
        <v>324</v>
      </c>
      <c r="E1161" s="147" t="s">
        <v>515</v>
      </c>
      <c r="F1161" s="1520">
        <v>1</v>
      </c>
      <c r="G1161" s="594" t="s">
        <v>582</v>
      </c>
      <c r="H1161" s="1049">
        <v>46217</v>
      </c>
      <c r="I1161" s="1521" t="s">
        <v>119</v>
      </c>
      <c r="J1161" s="1129" t="s">
        <v>583</v>
      </c>
      <c r="L1161"/>
      <c r="Q1161" s="481"/>
    </row>
    <row r="1162" spans="2:17" ht="15.6" x14ac:dyDescent="0.3">
      <c r="B1162" s="787" t="s">
        <v>513</v>
      </c>
      <c r="C1162" s="789" t="s">
        <v>514</v>
      </c>
      <c r="D1162" s="146" t="s">
        <v>324</v>
      </c>
      <c r="E1162" s="147" t="s">
        <v>515</v>
      </c>
      <c r="F1162" s="1520">
        <v>1</v>
      </c>
      <c r="G1162" s="594" t="s">
        <v>596</v>
      </c>
      <c r="H1162" s="1049">
        <v>46218</v>
      </c>
      <c r="I1162" s="1521" t="s">
        <v>119</v>
      </c>
      <c r="J1162" s="1129" t="s">
        <v>597</v>
      </c>
      <c r="L1162"/>
      <c r="Q1162" s="481"/>
    </row>
    <row r="1163" spans="2:17" ht="15.6" x14ac:dyDescent="0.3">
      <c r="B1163" s="787" t="s">
        <v>513</v>
      </c>
      <c r="C1163" s="789" t="s">
        <v>514</v>
      </c>
      <c r="D1163" s="146" t="s">
        <v>324</v>
      </c>
      <c r="E1163" s="147" t="s">
        <v>515</v>
      </c>
      <c r="F1163" s="1520">
        <v>1</v>
      </c>
      <c r="G1163" s="594" t="s">
        <v>692</v>
      </c>
      <c r="H1163" s="1049">
        <v>46231</v>
      </c>
      <c r="I1163" s="1521" t="s">
        <v>119</v>
      </c>
      <c r="J1163" s="1129" t="s">
        <v>693</v>
      </c>
      <c r="L1163"/>
      <c r="Q1163" s="481"/>
    </row>
    <row r="1164" spans="2:17" ht="15.6" x14ac:dyDescent="0.3">
      <c r="B1164" s="787" t="s">
        <v>513</v>
      </c>
      <c r="C1164" s="789" t="s">
        <v>514</v>
      </c>
      <c r="D1164" s="146" t="s">
        <v>324</v>
      </c>
      <c r="E1164" s="147" t="s">
        <v>515</v>
      </c>
      <c r="F1164" s="1520">
        <v>1</v>
      </c>
      <c r="G1164" s="594" t="s">
        <v>694</v>
      </c>
      <c r="H1164" s="1049">
        <v>46231</v>
      </c>
      <c r="I1164" s="1521" t="s">
        <v>119</v>
      </c>
      <c r="J1164" s="1129" t="s">
        <v>695</v>
      </c>
      <c r="L1164"/>
      <c r="Q1164" s="481"/>
    </row>
    <row r="1165" spans="2:17" ht="15.6" x14ac:dyDescent="0.3">
      <c r="B1165" s="787" t="s">
        <v>513</v>
      </c>
      <c r="C1165" s="789" t="s">
        <v>514</v>
      </c>
      <c r="D1165" s="146" t="s">
        <v>324</v>
      </c>
      <c r="E1165" s="147" t="s">
        <v>515</v>
      </c>
      <c r="F1165" s="1520">
        <v>1</v>
      </c>
      <c r="G1165" s="594" t="s">
        <v>757</v>
      </c>
      <c r="H1165" s="1049">
        <v>46234</v>
      </c>
      <c r="I1165" s="1521" t="s">
        <v>119</v>
      </c>
      <c r="J1165" s="1129" t="s">
        <v>758</v>
      </c>
      <c r="L1165"/>
      <c r="Q1165" s="481"/>
    </row>
    <row r="1166" spans="2:17" ht="15.6" x14ac:dyDescent="0.3">
      <c r="B1166" s="787"/>
      <c r="C1166" s="789"/>
      <c r="D1166" s="146"/>
      <c r="E1166" s="147"/>
      <c r="F1166" s="491"/>
      <c r="G1166" s="302"/>
      <c r="H1166" s="667"/>
      <c r="I1166" s="319"/>
      <c r="J1166" s="1129"/>
      <c r="L1166"/>
      <c r="Q1166" s="481"/>
    </row>
    <row r="1167" spans="2:17" ht="15.6" x14ac:dyDescent="0.3">
      <c r="B1167" s="787"/>
      <c r="C1167" s="353" t="s">
        <v>771</v>
      </c>
      <c r="D1167" s="354" t="s">
        <v>324</v>
      </c>
      <c r="E1167" s="147"/>
      <c r="F1167" s="1042">
        <f>ROUND(SUM(F1140:F1166),3)</f>
        <v>26</v>
      </c>
      <c r="G1167" s="302"/>
      <c r="H1167" s="667"/>
      <c r="I1167" s="319"/>
      <c r="J1167" s="494"/>
      <c r="L1167"/>
      <c r="Q1167" s="481"/>
    </row>
    <row r="1168" spans="2:17" ht="15.6" x14ac:dyDescent="0.3">
      <c r="B1168" s="787"/>
      <c r="C1168" s="353" t="s">
        <v>772</v>
      </c>
      <c r="D1168" s="354" t="s">
        <v>324</v>
      </c>
      <c r="E1168" s="147"/>
      <c r="F1168" s="1042">
        <v>19</v>
      </c>
      <c r="G1168" s="302"/>
      <c r="H1168" s="667"/>
      <c r="I1168" s="319"/>
      <c r="J1168" s="494"/>
      <c r="L1168"/>
      <c r="Q1168" s="481"/>
    </row>
    <row r="1169" spans="2:17" ht="15.6" x14ac:dyDescent="0.3">
      <c r="B1169" s="787"/>
      <c r="C1169" s="361" t="s">
        <v>773</v>
      </c>
      <c r="D1169" s="354" t="s">
        <v>324</v>
      </c>
      <c r="E1169" s="355"/>
      <c r="F1169" s="810">
        <f>F1167-F1168</f>
        <v>7</v>
      </c>
      <c r="G1169" s="302"/>
      <c r="H1169" s="667"/>
      <c r="I1169" s="319"/>
      <c r="J1169" s="494"/>
      <c r="L1169"/>
      <c r="Q1169" s="481"/>
    </row>
    <row r="1170" spans="2:17" ht="7.5" customHeight="1" x14ac:dyDescent="0.3">
      <c r="B1170" s="338"/>
      <c r="C1170" s="142"/>
      <c r="D1170" s="143"/>
      <c r="E1170" s="144"/>
      <c r="F1170" s="1143"/>
      <c r="G1170" s="144"/>
      <c r="H1170" s="144"/>
      <c r="I1170" s="515"/>
      <c r="J1170" s="524"/>
      <c r="L1170"/>
    </row>
    <row r="1171" spans="2:17" ht="15.6" x14ac:dyDescent="0.3">
      <c r="B1171" s="786" t="s">
        <v>526</v>
      </c>
      <c r="C1171" s="788" t="s">
        <v>527</v>
      </c>
      <c r="D1171" s="127" t="s">
        <v>324</v>
      </c>
      <c r="E1171" s="125" t="s">
        <v>515</v>
      </c>
      <c r="F1171" s="490">
        <v>3</v>
      </c>
      <c r="G1171" s="296" t="s">
        <v>9777</v>
      </c>
      <c r="H1171" s="667">
        <v>46140</v>
      </c>
      <c r="I1171" s="319" t="s">
        <v>1053</v>
      </c>
      <c r="J1171" s="537" t="s">
        <v>9778</v>
      </c>
      <c r="L1171"/>
      <c r="Q1171" s="481"/>
    </row>
    <row r="1172" spans="2:17" ht="15.6" x14ac:dyDescent="0.3">
      <c r="B1172" s="787" t="s">
        <v>526</v>
      </c>
      <c r="C1172" s="789" t="s">
        <v>527</v>
      </c>
      <c r="D1172" s="146" t="s">
        <v>324</v>
      </c>
      <c r="E1172" s="147" t="s">
        <v>515</v>
      </c>
      <c r="F1172" s="491">
        <v>3</v>
      </c>
      <c r="G1172" s="302" t="s">
        <v>9779</v>
      </c>
      <c r="H1172" s="667">
        <v>46140</v>
      </c>
      <c r="I1172" s="319" t="s">
        <v>1053</v>
      </c>
      <c r="J1172" s="1129" t="s">
        <v>9780</v>
      </c>
      <c r="L1172"/>
      <c r="Q1172" s="481"/>
    </row>
    <row r="1173" spans="2:17" ht="15.6" x14ac:dyDescent="0.3">
      <c r="B1173" s="787" t="s">
        <v>526</v>
      </c>
      <c r="C1173" s="789" t="s">
        <v>527</v>
      </c>
      <c r="D1173" s="146" t="s">
        <v>324</v>
      </c>
      <c r="E1173" s="147" t="s">
        <v>515</v>
      </c>
      <c r="F1173" s="491">
        <v>3</v>
      </c>
      <c r="G1173" s="302" t="s">
        <v>9781</v>
      </c>
      <c r="H1173" s="667">
        <v>46203</v>
      </c>
      <c r="I1173" s="319" t="s">
        <v>949</v>
      </c>
      <c r="J1173" s="1129" t="s">
        <v>9782</v>
      </c>
      <c r="L1173"/>
      <c r="Q1173" s="481"/>
    </row>
    <row r="1174" spans="2:17" ht="15.6" x14ac:dyDescent="0.3">
      <c r="B1174" s="787" t="s">
        <v>526</v>
      </c>
      <c r="C1174" s="789" t="s">
        <v>527</v>
      </c>
      <c r="D1174" s="146" t="s">
        <v>324</v>
      </c>
      <c r="E1174" s="147" t="s">
        <v>515</v>
      </c>
      <c r="F1174" s="1520">
        <v>3</v>
      </c>
      <c r="G1174" s="302" t="s">
        <v>528</v>
      </c>
      <c r="H1174" s="667">
        <v>46206</v>
      </c>
      <c r="I1174" s="1521" t="s">
        <v>119</v>
      </c>
      <c r="J1174" s="1129" t="s">
        <v>529</v>
      </c>
      <c r="L1174"/>
      <c r="Q1174" s="481"/>
    </row>
    <row r="1175" spans="2:17" ht="15.6" x14ac:dyDescent="0.3">
      <c r="B1175" s="787"/>
      <c r="C1175" s="789"/>
      <c r="D1175" s="146"/>
      <c r="E1175" s="147"/>
      <c r="F1175" s="491"/>
      <c r="G1175" s="302"/>
      <c r="H1175" s="667"/>
      <c r="I1175" s="319"/>
      <c r="J1175" s="1129"/>
      <c r="L1175"/>
      <c r="Q1175" s="481"/>
    </row>
    <row r="1176" spans="2:17" ht="15.6" x14ac:dyDescent="0.3">
      <c r="B1176" s="787"/>
      <c r="C1176" s="353" t="s">
        <v>771</v>
      </c>
      <c r="D1176" s="354" t="s">
        <v>324</v>
      </c>
      <c r="E1176" s="147"/>
      <c r="F1176" s="1042">
        <f>ROUND(SUM(F1171:F1175),3)</f>
        <v>12</v>
      </c>
      <c r="G1176" s="302"/>
      <c r="H1176" s="667"/>
      <c r="I1176" s="319"/>
      <c r="J1176" s="494"/>
      <c r="L1176"/>
      <c r="Q1176" s="481"/>
    </row>
    <row r="1177" spans="2:17" ht="15.6" x14ac:dyDescent="0.3">
      <c r="B1177" s="787"/>
      <c r="C1177" s="353" t="s">
        <v>772</v>
      </c>
      <c r="D1177" s="354" t="s">
        <v>324</v>
      </c>
      <c r="E1177" s="147"/>
      <c r="F1177" s="1042">
        <v>9</v>
      </c>
      <c r="G1177" s="302"/>
      <c r="H1177" s="667"/>
      <c r="I1177" s="319"/>
      <c r="J1177" s="494"/>
      <c r="L1177"/>
      <c r="Q1177" s="481"/>
    </row>
    <row r="1178" spans="2:17" ht="15.6" x14ac:dyDescent="0.3">
      <c r="B1178" s="787"/>
      <c r="C1178" s="361" t="s">
        <v>773</v>
      </c>
      <c r="D1178" s="354" t="s">
        <v>324</v>
      </c>
      <c r="E1178" s="355"/>
      <c r="F1178" s="810">
        <f>F1176-F1177</f>
        <v>3</v>
      </c>
      <c r="G1178" s="302"/>
      <c r="H1178" s="667"/>
      <c r="I1178" s="319"/>
      <c r="J1178" s="494"/>
      <c r="L1178"/>
      <c r="Q1178" s="481"/>
    </row>
    <row r="1179" spans="2:17" ht="7.5" customHeight="1" x14ac:dyDescent="0.3">
      <c r="B1179" s="338"/>
      <c r="C1179" s="142"/>
      <c r="D1179" s="143"/>
      <c r="E1179" s="144"/>
      <c r="F1179" s="1143"/>
      <c r="G1179" s="144"/>
      <c r="H1179" s="144"/>
      <c r="I1179" s="515"/>
      <c r="J1179" s="524"/>
      <c r="L1179"/>
    </row>
    <row r="1180" spans="2:17" ht="15.6" x14ac:dyDescent="0.3">
      <c r="B1180" s="786" t="s">
        <v>696</v>
      </c>
      <c r="C1180" s="788" t="s">
        <v>697</v>
      </c>
      <c r="D1180" s="127" t="s">
        <v>324</v>
      </c>
      <c r="E1180" s="125" t="s">
        <v>515</v>
      </c>
      <c r="F1180" s="490">
        <v>3</v>
      </c>
      <c r="G1180" s="296" t="s">
        <v>9783</v>
      </c>
      <c r="H1180" s="667">
        <v>46173</v>
      </c>
      <c r="I1180" s="319" t="s">
        <v>1579</v>
      </c>
      <c r="J1180" s="537" t="s">
        <v>9778</v>
      </c>
      <c r="L1180"/>
      <c r="Q1180" s="481"/>
    </row>
    <row r="1181" spans="2:17" ht="15.6" x14ac:dyDescent="0.3">
      <c r="B1181" s="787" t="s">
        <v>696</v>
      </c>
      <c r="C1181" s="789" t="s">
        <v>697</v>
      </c>
      <c r="D1181" s="146" t="s">
        <v>324</v>
      </c>
      <c r="E1181" s="147" t="s">
        <v>515</v>
      </c>
      <c r="F1181" s="491">
        <v>3</v>
      </c>
      <c r="G1181" s="302" t="s">
        <v>9784</v>
      </c>
      <c r="H1181" s="667">
        <v>46199</v>
      </c>
      <c r="I1181" s="319" t="s">
        <v>949</v>
      </c>
      <c r="J1181" s="537" t="s">
        <v>9780</v>
      </c>
      <c r="L1181"/>
      <c r="Q1181" s="481"/>
    </row>
    <row r="1182" spans="2:17" ht="15.6" x14ac:dyDescent="0.3">
      <c r="B1182" s="787" t="s">
        <v>696</v>
      </c>
      <c r="C1182" s="789" t="s">
        <v>697</v>
      </c>
      <c r="D1182" s="146" t="s">
        <v>324</v>
      </c>
      <c r="E1182" s="147" t="s">
        <v>515</v>
      </c>
      <c r="F1182" s="491">
        <v>3</v>
      </c>
      <c r="G1182" s="302" t="s">
        <v>9785</v>
      </c>
      <c r="H1182" s="667">
        <v>46203</v>
      </c>
      <c r="I1182" s="319" t="s">
        <v>949</v>
      </c>
      <c r="J1182" s="537" t="s">
        <v>9782</v>
      </c>
      <c r="L1182"/>
      <c r="Q1182" s="481"/>
    </row>
    <row r="1183" spans="2:17" ht="15.6" x14ac:dyDescent="0.3">
      <c r="B1183" s="787" t="s">
        <v>696</v>
      </c>
      <c r="C1183" s="789" t="s">
        <v>697</v>
      </c>
      <c r="D1183" s="146" t="s">
        <v>324</v>
      </c>
      <c r="E1183" s="147" t="s">
        <v>515</v>
      </c>
      <c r="F1183" s="1520">
        <v>3</v>
      </c>
      <c r="G1183" s="302" t="s">
        <v>698</v>
      </c>
      <c r="H1183" s="667">
        <v>46228</v>
      </c>
      <c r="I1183" s="1521" t="s">
        <v>119</v>
      </c>
      <c r="J1183" s="1129" t="s">
        <v>529</v>
      </c>
      <c r="L1183"/>
      <c r="Q1183" s="481"/>
    </row>
    <row r="1184" spans="2:17" ht="15.6" x14ac:dyDescent="0.3">
      <c r="B1184" s="787"/>
      <c r="C1184" s="789"/>
      <c r="D1184" s="146"/>
      <c r="E1184" s="147"/>
      <c r="F1184" s="491"/>
      <c r="G1184" s="302"/>
      <c r="H1184" s="667"/>
      <c r="I1184" s="319"/>
      <c r="J1184" s="1129"/>
      <c r="L1184"/>
      <c r="Q1184" s="481"/>
    </row>
    <row r="1185" spans="2:17" ht="15.6" x14ac:dyDescent="0.3">
      <c r="B1185" s="787"/>
      <c r="C1185" s="353" t="s">
        <v>771</v>
      </c>
      <c r="D1185" s="354" t="s">
        <v>324</v>
      </c>
      <c r="E1185" s="147"/>
      <c r="F1185" s="1040">
        <f>ROUND(SUM(F1180:F1184),3)</f>
        <v>12</v>
      </c>
      <c r="G1185" s="302"/>
      <c r="H1185" s="667"/>
      <c r="I1185" s="319"/>
      <c r="J1185" s="494"/>
      <c r="L1185"/>
      <c r="Q1185" s="481"/>
    </row>
    <row r="1186" spans="2:17" ht="15.6" x14ac:dyDescent="0.3">
      <c r="B1186" s="787"/>
      <c r="C1186" s="353" t="s">
        <v>772</v>
      </c>
      <c r="D1186" s="354" t="s">
        <v>324</v>
      </c>
      <c r="E1186" s="147"/>
      <c r="F1186" s="1040">
        <v>9</v>
      </c>
      <c r="G1186" s="302"/>
      <c r="H1186" s="667"/>
      <c r="I1186" s="319"/>
      <c r="J1186" s="494"/>
      <c r="L1186"/>
      <c r="Q1186" s="481"/>
    </row>
    <row r="1187" spans="2:17" ht="15.6" x14ac:dyDescent="0.3">
      <c r="B1187" s="787"/>
      <c r="C1187" s="361" t="s">
        <v>773</v>
      </c>
      <c r="D1187" s="354" t="s">
        <v>324</v>
      </c>
      <c r="E1187" s="355"/>
      <c r="F1187" s="1041">
        <f>F1185-F1186</f>
        <v>3</v>
      </c>
      <c r="G1187" s="302"/>
      <c r="H1187" s="667"/>
      <c r="I1187" s="319"/>
      <c r="J1187" s="494"/>
      <c r="L1187"/>
      <c r="Q1187" s="481"/>
    </row>
    <row r="1188" spans="2:17" ht="7.5" customHeight="1" x14ac:dyDescent="0.3">
      <c r="B1188" s="338"/>
      <c r="C1188" s="142"/>
      <c r="D1188" s="143"/>
      <c r="E1188" s="144"/>
      <c r="F1188" s="1038"/>
      <c r="G1188" s="144"/>
      <c r="H1188" s="144"/>
      <c r="I1188" s="515"/>
      <c r="J1188" s="524"/>
      <c r="L1188"/>
    </row>
    <row r="1189" spans="2:17" ht="31.2" x14ac:dyDescent="0.3">
      <c r="B1189" s="787" t="s">
        <v>9786</v>
      </c>
      <c r="C1189" s="789" t="s">
        <v>9787</v>
      </c>
      <c r="D1189" s="146" t="s">
        <v>324</v>
      </c>
      <c r="E1189" s="147" t="s">
        <v>510</v>
      </c>
      <c r="F1189" s="491">
        <v>1</v>
      </c>
      <c r="G1189" s="302" t="s">
        <v>9788</v>
      </c>
      <c r="H1189" s="667" t="s">
        <v>9789</v>
      </c>
      <c r="I1189" s="319" t="s">
        <v>946</v>
      </c>
      <c r="J1189" s="1160" t="s">
        <v>583</v>
      </c>
      <c r="L1189"/>
      <c r="Q1189" s="481"/>
    </row>
    <row r="1190" spans="2:17" ht="31.2" x14ac:dyDescent="0.3">
      <c r="B1190" s="787" t="s">
        <v>9786</v>
      </c>
      <c r="C1190" s="789" t="s">
        <v>9787</v>
      </c>
      <c r="D1190" s="146" t="s">
        <v>324</v>
      </c>
      <c r="E1190" s="147" t="s">
        <v>510</v>
      </c>
      <c r="F1190" s="491">
        <v>1</v>
      </c>
      <c r="G1190" s="302" t="s">
        <v>9790</v>
      </c>
      <c r="H1190" s="667" t="s">
        <v>9791</v>
      </c>
      <c r="I1190" s="319" t="s">
        <v>946</v>
      </c>
      <c r="J1190" s="1129" t="s">
        <v>9792</v>
      </c>
      <c r="L1190"/>
      <c r="Q1190" s="481"/>
    </row>
    <row r="1191" spans="2:17" ht="15.6" x14ac:dyDescent="0.3">
      <c r="B1191" s="787" t="s">
        <v>9786</v>
      </c>
      <c r="C1191" s="789" t="s">
        <v>9787</v>
      </c>
      <c r="D1191" s="146" t="s">
        <v>324</v>
      </c>
      <c r="E1191" s="147" t="s">
        <v>510</v>
      </c>
      <c r="F1191" s="491">
        <v>1</v>
      </c>
      <c r="G1191" s="302" t="s">
        <v>9793</v>
      </c>
      <c r="H1191" s="667">
        <v>46197</v>
      </c>
      <c r="I1191" s="319" t="s">
        <v>949</v>
      </c>
      <c r="J1191" s="1129" t="s">
        <v>535</v>
      </c>
      <c r="L1191"/>
      <c r="Q1191" s="481"/>
    </row>
    <row r="1192" spans="2:17" ht="15.6" x14ac:dyDescent="0.3">
      <c r="B1192" s="787" t="s">
        <v>9786</v>
      </c>
      <c r="C1192" s="789" t="s">
        <v>9787</v>
      </c>
      <c r="D1192" s="146" t="s">
        <v>324</v>
      </c>
      <c r="E1192" s="147" t="s">
        <v>510</v>
      </c>
      <c r="F1192" s="491">
        <v>1</v>
      </c>
      <c r="G1192" s="302" t="s">
        <v>9794</v>
      </c>
      <c r="H1192" s="667">
        <v>46203</v>
      </c>
      <c r="I1192" s="319" t="s">
        <v>949</v>
      </c>
      <c r="J1192" s="1129" t="s">
        <v>9776</v>
      </c>
      <c r="L1192"/>
      <c r="Q1192" s="481"/>
    </row>
    <row r="1193" spans="2:17" ht="15.6" x14ac:dyDescent="0.3">
      <c r="B1193" s="787"/>
      <c r="C1193" s="789"/>
      <c r="D1193" s="146"/>
      <c r="E1193" s="147"/>
      <c r="F1193" s="491"/>
      <c r="G1193" s="302"/>
      <c r="H1193" s="667"/>
      <c r="I1193" s="319"/>
      <c r="J1193" s="494"/>
      <c r="L1193"/>
      <c r="Q1193" s="481"/>
    </row>
    <row r="1194" spans="2:17" ht="15.6" x14ac:dyDescent="0.3">
      <c r="B1194" s="787"/>
      <c r="C1194" s="353" t="s">
        <v>771</v>
      </c>
      <c r="D1194" s="354" t="s">
        <v>324</v>
      </c>
      <c r="E1194" s="147"/>
      <c r="F1194" s="1040">
        <f>ROUND(SUM(F1189:F1193),3)</f>
        <v>4</v>
      </c>
      <c r="G1194" s="302"/>
      <c r="H1194" s="667"/>
      <c r="I1194" s="319"/>
      <c r="J1194" s="494"/>
      <c r="L1194"/>
      <c r="Q1194" s="481"/>
    </row>
    <row r="1195" spans="2:17" ht="15.6" x14ac:dyDescent="0.3">
      <c r="B1195" s="787"/>
      <c r="C1195" s="353" t="s">
        <v>772</v>
      </c>
      <c r="D1195" s="354" t="s">
        <v>324</v>
      </c>
      <c r="E1195" s="147"/>
      <c r="F1195" s="1040">
        <v>4</v>
      </c>
      <c r="G1195" s="302"/>
      <c r="H1195" s="667"/>
      <c r="I1195" s="319"/>
      <c r="J1195" s="494"/>
      <c r="L1195"/>
      <c r="Q1195" s="481"/>
    </row>
    <row r="1196" spans="2:17" ht="15.6" x14ac:dyDescent="0.3">
      <c r="B1196" s="787"/>
      <c r="C1196" s="361" t="s">
        <v>773</v>
      </c>
      <c r="D1196" s="354" t="s">
        <v>324</v>
      </c>
      <c r="E1196" s="355"/>
      <c r="F1196" s="1041">
        <f>F1194-F1195</f>
        <v>0</v>
      </c>
      <c r="G1196" s="302"/>
      <c r="H1196" s="667"/>
      <c r="I1196" s="319"/>
      <c r="J1196" s="494"/>
      <c r="L1196"/>
      <c r="Q1196" s="481"/>
    </row>
    <row r="1197" spans="2:17" ht="7.5" customHeight="1" x14ac:dyDescent="0.3">
      <c r="B1197" s="338"/>
      <c r="C1197" s="142"/>
      <c r="D1197" s="143"/>
      <c r="E1197" s="144"/>
      <c r="F1197" s="1038"/>
      <c r="G1197" s="144"/>
      <c r="H1197" s="144"/>
      <c r="I1197" s="515"/>
      <c r="J1197" s="524"/>
      <c r="L1197"/>
    </row>
    <row r="1198" spans="2:17" ht="15.6" x14ac:dyDescent="0.3">
      <c r="B1198" s="148">
        <v>507</v>
      </c>
      <c r="C1198" s="149" t="s">
        <v>441</v>
      </c>
      <c r="D1198" s="138"/>
      <c r="E1198" s="139"/>
      <c r="F1198" s="1039"/>
      <c r="G1198" s="139"/>
      <c r="H1198" s="139"/>
      <c r="I1198" s="516"/>
      <c r="J1198" s="500"/>
    </row>
    <row r="1199" spans="2:17" ht="31.2" x14ac:dyDescent="0.3">
      <c r="B1199" s="786" t="s">
        <v>9795</v>
      </c>
      <c r="C1199" s="456" t="s">
        <v>9796</v>
      </c>
      <c r="D1199" s="146" t="s">
        <v>190</v>
      </c>
      <c r="E1199" s="125"/>
      <c r="F1199" s="490">
        <f>28+24</f>
        <v>52</v>
      </c>
      <c r="G1199" s="296" t="s">
        <v>9797</v>
      </c>
      <c r="H1199" s="596">
        <v>46095</v>
      </c>
      <c r="I1199" s="131" t="s">
        <v>946</v>
      </c>
      <c r="J1199" s="494"/>
      <c r="L1199"/>
      <c r="Q1199" s="481"/>
    </row>
    <row r="1200" spans="2:17" ht="31.2" x14ac:dyDescent="0.3">
      <c r="B1200" s="787" t="s">
        <v>9795</v>
      </c>
      <c r="C1200" s="456" t="s">
        <v>9796</v>
      </c>
      <c r="D1200" s="146" t="s">
        <v>190</v>
      </c>
      <c r="E1200" s="147"/>
      <c r="F1200" s="491">
        <v>60</v>
      </c>
      <c r="G1200" s="302" t="s">
        <v>9798</v>
      </c>
      <c r="H1200" s="667"/>
      <c r="I1200" s="319" t="s">
        <v>1053</v>
      </c>
      <c r="J1200" s="494"/>
      <c r="L1200"/>
      <c r="Q1200" s="481"/>
    </row>
    <row r="1201" spans="2:17" ht="31.2" x14ac:dyDescent="0.3">
      <c r="B1201" s="787" t="s">
        <v>9795</v>
      </c>
      <c r="C1201" s="456" t="s">
        <v>9796</v>
      </c>
      <c r="D1201" s="146" t="s">
        <v>190</v>
      </c>
      <c r="E1201" s="147"/>
      <c r="F1201" s="491">
        <v>16</v>
      </c>
      <c r="G1201" s="302" t="s">
        <v>9798</v>
      </c>
      <c r="H1201" s="667"/>
      <c r="I1201" s="319" t="s">
        <v>949</v>
      </c>
      <c r="J1201" s="494"/>
      <c r="L1201"/>
      <c r="Q1201" s="481"/>
    </row>
    <row r="1202" spans="2:17" ht="15.6" x14ac:dyDescent="0.3">
      <c r="B1202" s="787"/>
      <c r="C1202" s="789"/>
      <c r="D1202" s="146"/>
      <c r="E1202" s="147"/>
      <c r="F1202" s="491"/>
      <c r="G1202" s="302"/>
      <c r="H1202" s="667"/>
      <c r="I1202" s="319"/>
      <c r="J1202" s="494"/>
      <c r="L1202"/>
      <c r="Q1202" s="481"/>
    </row>
    <row r="1203" spans="2:17" ht="15.6" x14ac:dyDescent="0.3">
      <c r="B1203" s="787"/>
      <c r="C1203" s="353" t="s">
        <v>771</v>
      </c>
      <c r="D1203" s="354" t="s">
        <v>190</v>
      </c>
      <c r="E1203" s="147"/>
      <c r="F1203" s="1040">
        <f>ROUND(SUM(F1199:F1202),3)</f>
        <v>128</v>
      </c>
      <c r="G1203" s="302"/>
      <c r="H1203" s="667"/>
      <c r="I1203" s="319"/>
      <c r="J1203" s="494"/>
      <c r="L1203"/>
      <c r="Q1203" s="481"/>
    </row>
    <row r="1204" spans="2:17" ht="15.6" x14ac:dyDescent="0.3">
      <c r="B1204" s="787"/>
      <c r="C1204" s="353" t="s">
        <v>772</v>
      </c>
      <c r="D1204" s="354" t="s">
        <v>190</v>
      </c>
      <c r="E1204" s="147"/>
      <c r="F1204" s="1040">
        <v>128</v>
      </c>
      <c r="G1204" s="302"/>
      <c r="H1204" s="667"/>
      <c r="I1204" s="319"/>
      <c r="J1204" s="494"/>
      <c r="L1204"/>
      <c r="Q1204" s="481"/>
    </row>
    <row r="1205" spans="2:17" ht="15.6" x14ac:dyDescent="0.3">
      <c r="B1205" s="787"/>
      <c r="C1205" s="361" t="s">
        <v>773</v>
      </c>
      <c r="D1205" s="354" t="s">
        <v>190</v>
      </c>
      <c r="E1205" s="355"/>
      <c r="F1205" s="1041">
        <f>F1203-F1204</f>
        <v>0</v>
      </c>
      <c r="G1205" s="302"/>
      <c r="H1205" s="667"/>
      <c r="I1205" s="319"/>
      <c r="J1205" s="494"/>
      <c r="L1205"/>
      <c r="Q1205" s="481"/>
    </row>
    <row r="1206" spans="2:17" ht="7.35" customHeight="1" x14ac:dyDescent="0.3">
      <c r="B1206" s="338"/>
      <c r="C1206" s="142"/>
      <c r="D1206" s="143"/>
      <c r="E1206" s="144"/>
      <c r="F1206" s="1038"/>
      <c r="G1206" s="144"/>
      <c r="H1206" s="144"/>
      <c r="I1206" s="515"/>
      <c r="J1206" s="524"/>
      <c r="L1206"/>
    </row>
    <row r="1207" spans="2:17" ht="15.6" x14ac:dyDescent="0.3">
      <c r="B1207" s="787" t="s">
        <v>530</v>
      </c>
      <c r="C1207" s="789" t="s">
        <v>531</v>
      </c>
      <c r="D1207" s="146" t="s">
        <v>190</v>
      </c>
      <c r="E1207" s="147" t="s">
        <v>515</v>
      </c>
      <c r="F1207" s="491">
        <v>2</v>
      </c>
      <c r="G1207" s="302" t="s">
        <v>9799</v>
      </c>
      <c r="H1207" s="667">
        <v>46094</v>
      </c>
      <c r="I1207" s="319" t="s">
        <v>946</v>
      </c>
      <c r="J1207" s="494" t="s">
        <v>9800</v>
      </c>
      <c r="L1207"/>
      <c r="Q1207" s="481"/>
    </row>
    <row r="1208" spans="2:17" ht="15.6" x14ac:dyDescent="0.3">
      <c r="B1208" s="787" t="s">
        <v>530</v>
      </c>
      <c r="C1208" s="789" t="s">
        <v>531</v>
      </c>
      <c r="D1208" s="146" t="s">
        <v>190</v>
      </c>
      <c r="E1208" s="147" t="s">
        <v>515</v>
      </c>
      <c r="F1208" s="491">
        <v>2</v>
      </c>
      <c r="G1208" s="302" t="s">
        <v>9801</v>
      </c>
      <c r="H1208" s="667">
        <v>46120</v>
      </c>
      <c r="I1208" s="319" t="s">
        <v>1053</v>
      </c>
      <c r="J1208" s="494" t="s">
        <v>9802</v>
      </c>
      <c r="L1208"/>
      <c r="Q1208" s="481"/>
    </row>
    <row r="1209" spans="2:17" ht="15.6" x14ac:dyDescent="0.3">
      <c r="B1209" s="787" t="s">
        <v>530</v>
      </c>
      <c r="C1209" s="789" t="s">
        <v>531</v>
      </c>
      <c r="D1209" s="146" t="s">
        <v>190</v>
      </c>
      <c r="E1209" s="147" t="s">
        <v>515</v>
      </c>
      <c r="F1209" s="491">
        <v>2</v>
      </c>
      <c r="G1209" s="302" t="s">
        <v>9803</v>
      </c>
      <c r="H1209" s="667">
        <v>46120</v>
      </c>
      <c r="I1209" s="319" t="s">
        <v>1053</v>
      </c>
      <c r="J1209" s="494" t="s">
        <v>9804</v>
      </c>
      <c r="L1209"/>
      <c r="Q1209" s="481"/>
    </row>
    <row r="1210" spans="2:17" ht="15.6" x14ac:dyDescent="0.3">
      <c r="B1210" s="787" t="s">
        <v>530</v>
      </c>
      <c r="C1210" s="789" t="s">
        <v>531</v>
      </c>
      <c r="D1210" s="146" t="s">
        <v>190</v>
      </c>
      <c r="E1210" s="147" t="s">
        <v>515</v>
      </c>
      <c r="F1210" s="491">
        <v>2</v>
      </c>
      <c r="G1210" s="302" t="s">
        <v>9805</v>
      </c>
      <c r="H1210" s="667">
        <v>46123</v>
      </c>
      <c r="I1210" s="319" t="s">
        <v>1053</v>
      </c>
      <c r="J1210" s="494" t="s">
        <v>9806</v>
      </c>
      <c r="L1210"/>
      <c r="Q1210" s="481"/>
    </row>
    <row r="1211" spans="2:17" ht="15.6" x14ac:dyDescent="0.3">
      <c r="B1211" s="787" t="s">
        <v>530</v>
      </c>
      <c r="C1211" s="789" t="s">
        <v>531</v>
      </c>
      <c r="D1211" s="146" t="s">
        <v>190</v>
      </c>
      <c r="E1211" s="147" t="s">
        <v>515</v>
      </c>
      <c r="F1211" s="491">
        <v>2</v>
      </c>
      <c r="G1211" s="302" t="s">
        <v>9807</v>
      </c>
      <c r="H1211" s="667">
        <v>46140</v>
      </c>
      <c r="I1211" s="319" t="s">
        <v>1053</v>
      </c>
      <c r="J1211" s="494" t="s">
        <v>9808</v>
      </c>
      <c r="L1211"/>
      <c r="Q1211" s="481"/>
    </row>
    <row r="1212" spans="2:17" ht="15.6" x14ac:dyDescent="0.3">
      <c r="B1212" s="787" t="s">
        <v>530</v>
      </c>
      <c r="C1212" s="789" t="s">
        <v>531</v>
      </c>
      <c r="D1212" s="146" t="s">
        <v>190</v>
      </c>
      <c r="E1212" s="147" t="s">
        <v>515</v>
      </c>
      <c r="F1212" s="491">
        <v>2</v>
      </c>
      <c r="G1212" s="302" t="s">
        <v>9803</v>
      </c>
      <c r="H1212" s="667">
        <v>46120</v>
      </c>
      <c r="I1212" s="319" t="s">
        <v>1579</v>
      </c>
      <c r="J1212" s="494" t="s">
        <v>9804</v>
      </c>
      <c r="L1212"/>
      <c r="Q1212" s="481"/>
    </row>
    <row r="1213" spans="2:17" ht="15.6" x14ac:dyDescent="0.3">
      <c r="B1213" s="787" t="s">
        <v>530</v>
      </c>
      <c r="C1213" s="789" t="s">
        <v>531</v>
      </c>
      <c r="D1213" s="146" t="s">
        <v>190</v>
      </c>
      <c r="E1213" s="147" t="s">
        <v>515</v>
      </c>
      <c r="F1213" s="491">
        <v>4</v>
      </c>
      <c r="G1213" s="302" t="s">
        <v>9809</v>
      </c>
      <c r="H1213" s="667">
        <v>46148</v>
      </c>
      <c r="I1213" s="319" t="s">
        <v>1579</v>
      </c>
      <c r="J1213" s="494" t="s">
        <v>9810</v>
      </c>
      <c r="L1213"/>
      <c r="Q1213" s="481"/>
    </row>
    <row r="1214" spans="2:17" ht="15.6" x14ac:dyDescent="0.3">
      <c r="B1214" s="787" t="s">
        <v>530</v>
      </c>
      <c r="C1214" s="789" t="s">
        <v>531</v>
      </c>
      <c r="D1214" s="146" t="s">
        <v>190</v>
      </c>
      <c r="E1214" s="147" t="s">
        <v>515</v>
      </c>
      <c r="F1214" s="491">
        <v>2</v>
      </c>
      <c r="G1214" s="302" t="s">
        <v>9811</v>
      </c>
      <c r="H1214" s="667">
        <v>46150</v>
      </c>
      <c r="I1214" s="319" t="s">
        <v>1579</v>
      </c>
      <c r="J1214" s="494" t="s">
        <v>9812</v>
      </c>
      <c r="L1214"/>
      <c r="Q1214" s="481"/>
    </row>
    <row r="1215" spans="2:17" ht="15.6" x14ac:dyDescent="0.3">
      <c r="B1215" s="787" t="s">
        <v>530</v>
      </c>
      <c r="C1215" s="789" t="s">
        <v>531</v>
      </c>
      <c r="D1215" s="146" t="s">
        <v>190</v>
      </c>
      <c r="E1215" s="147" t="s">
        <v>515</v>
      </c>
      <c r="F1215" s="491">
        <v>2</v>
      </c>
      <c r="G1215" s="302" t="s">
        <v>9813</v>
      </c>
      <c r="H1215" s="667">
        <v>46151</v>
      </c>
      <c r="I1215" s="319" t="s">
        <v>1579</v>
      </c>
      <c r="J1215" s="494" t="s">
        <v>9814</v>
      </c>
      <c r="L1215"/>
      <c r="Q1215" s="481"/>
    </row>
    <row r="1216" spans="2:17" ht="15.6" x14ac:dyDescent="0.3">
      <c r="B1216" s="787" t="s">
        <v>530</v>
      </c>
      <c r="C1216" s="789" t="s">
        <v>531</v>
      </c>
      <c r="D1216" s="146" t="s">
        <v>190</v>
      </c>
      <c r="E1216" s="147" t="s">
        <v>515</v>
      </c>
      <c r="F1216" s="491">
        <v>2</v>
      </c>
      <c r="G1216" s="302" t="s">
        <v>9815</v>
      </c>
      <c r="H1216" s="667">
        <v>46152</v>
      </c>
      <c r="I1216" s="319" t="s">
        <v>1579</v>
      </c>
      <c r="J1216" s="494" t="s">
        <v>9816</v>
      </c>
      <c r="L1216"/>
      <c r="Q1216" s="481"/>
    </row>
    <row r="1217" spans="2:17" ht="15.6" x14ac:dyDescent="0.3">
      <c r="B1217" s="787" t="s">
        <v>530</v>
      </c>
      <c r="C1217" s="789" t="s">
        <v>531</v>
      </c>
      <c r="D1217" s="146" t="s">
        <v>190</v>
      </c>
      <c r="E1217" s="147" t="s">
        <v>515</v>
      </c>
      <c r="F1217" s="491">
        <v>4</v>
      </c>
      <c r="G1217" s="302" t="s">
        <v>9817</v>
      </c>
      <c r="H1217" s="667">
        <v>46152</v>
      </c>
      <c r="I1217" s="319" t="s">
        <v>1579</v>
      </c>
      <c r="J1217" s="494" t="s">
        <v>9818</v>
      </c>
      <c r="L1217"/>
      <c r="Q1217" s="481"/>
    </row>
    <row r="1218" spans="2:17" ht="15.6" x14ac:dyDescent="0.3">
      <c r="B1218" s="787" t="s">
        <v>530</v>
      </c>
      <c r="C1218" s="789" t="s">
        <v>531</v>
      </c>
      <c r="D1218" s="146" t="s">
        <v>190</v>
      </c>
      <c r="E1218" s="147" t="s">
        <v>515</v>
      </c>
      <c r="F1218" s="491">
        <v>4</v>
      </c>
      <c r="G1218" s="302" t="s">
        <v>9819</v>
      </c>
      <c r="H1218" s="667">
        <v>46153</v>
      </c>
      <c r="I1218" s="319" t="s">
        <v>1579</v>
      </c>
      <c r="J1218" s="494" t="s">
        <v>9820</v>
      </c>
      <c r="L1218"/>
      <c r="Q1218" s="481"/>
    </row>
    <row r="1219" spans="2:17" ht="15.6" x14ac:dyDescent="0.3">
      <c r="B1219" s="787" t="s">
        <v>530</v>
      </c>
      <c r="C1219" s="789" t="s">
        <v>531</v>
      </c>
      <c r="D1219" s="146" t="s">
        <v>190</v>
      </c>
      <c r="E1219" s="147" t="s">
        <v>515</v>
      </c>
      <c r="F1219" s="491">
        <v>2</v>
      </c>
      <c r="G1219" s="302" t="s">
        <v>9821</v>
      </c>
      <c r="H1219" s="667">
        <v>46154</v>
      </c>
      <c r="I1219" s="319" t="s">
        <v>1579</v>
      </c>
      <c r="J1219" s="494" t="s">
        <v>9822</v>
      </c>
      <c r="L1219"/>
      <c r="Q1219" s="481"/>
    </row>
    <row r="1220" spans="2:17" ht="15.6" x14ac:dyDescent="0.3">
      <c r="B1220" s="787" t="s">
        <v>530</v>
      </c>
      <c r="C1220" s="789" t="s">
        <v>531</v>
      </c>
      <c r="D1220" s="146" t="s">
        <v>190</v>
      </c>
      <c r="E1220" s="147" t="s">
        <v>515</v>
      </c>
      <c r="F1220" s="491">
        <v>4</v>
      </c>
      <c r="G1220" s="302" t="s">
        <v>9823</v>
      </c>
      <c r="H1220" s="667">
        <v>46154</v>
      </c>
      <c r="I1220" s="319" t="s">
        <v>1579</v>
      </c>
      <c r="J1220" s="494" t="s">
        <v>9824</v>
      </c>
      <c r="L1220"/>
      <c r="Q1220" s="481"/>
    </row>
    <row r="1221" spans="2:17" ht="15.6" x14ac:dyDescent="0.3">
      <c r="B1221" s="787" t="s">
        <v>530</v>
      </c>
      <c r="C1221" s="789" t="s">
        <v>531</v>
      </c>
      <c r="D1221" s="146" t="s">
        <v>190</v>
      </c>
      <c r="E1221" s="147" t="s">
        <v>515</v>
      </c>
      <c r="F1221" s="491">
        <v>2</v>
      </c>
      <c r="G1221" s="302" t="s">
        <v>9825</v>
      </c>
      <c r="H1221" s="667">
        <v>46157</v>
      </c>
      <c r="I1221" s="319" t="s">
        <v>1579</v>
      </c>
      <c r="J1221" s="494" t="s">
        <v>9826</v>
      </c>
      <c r="L1221"/>
      <c r="Q1221" s="481"/>
    </row>
    <row r="1222" spans="2:17" ht="15.6" x14ac:dyDescent="0.3">
      <c r="B1222" s="787" t="s">
        <v>530</v>
      </c>
      <c r="C1222" s="789" t="s">
        <v>531</v>
      </c>
      <c r="D1222" s="146" t="s">
        <v>190</v>
      </c>
      <c r="E1222" s="147" t="s">
        <v>515</v>
      </c>
      <c r="F1222" s="491">
        <v>2</v>
      </c>
      <c r="G1222" s="302" t="s">
        <v>9827</v>
      </c>
      <c r="H1222" s="667">
        <v>46159</v>
      </c>
      <c r="I1222" s="319" t="s">
        <v>1579</v>
      </c>
      <c r="J1222" s="494" t="s">
        <v>9828</v>
      </c>
      <c r="L1222"/>
      <c r="Q1222" s="481"/>
    </row>
    <row r="1223" spans="2:17" ht="15.6" x14ac:dyDescent="0.3">
      <c r="B1223" s="787" t="s">
        <v>530</v>
      </c>
      <c r="C1223" s="789" t="s">
        <v>531</v>
      </c>
      <c r="D1223" s="146" t="s">
        <v>190</v>
      </c>
      <c r="E1223" s="147" t="s">
        <v>515</v>
      </c>
      <c r="F1223" s="491">
        <v>2</v>
      </c>
      <c r="G1223" s="302" t="s">
        <v>9829</v>
      </c>
      <c r="H1223" s="667">
        <v>46162</v>
      </c>
      <c r="I1223" s="319" t="s">
        <v>1579</v>
      </c>
      <c r="J1223" s="494" t="s">
        <v>9830</v>
      </c>
      <c r="L1223"/>
      <c r="Q1223" s="481"/>
    </row>
    <row r="1224" spans="2:17" ht="15.6" x14ac:dyDescent="0.3">
      <c r="B1224" s="787" t="s">
        <v>530</v>
      </c>
      <c r="C1224" s="789" t="s">
        <v>531</v>
      </c>
      <c r="D1224" s="146" t="s">
        <v>190</v>
      </c>
      <c r="E1224" s="147" t="s">
        <v>515</v>
      </c>
      <c r="F1224" s="491">
        <v>2</v>
      </c>
      <c r="G1224" s="302" t="s">
        <v>9831</v>
      </c>
      <c r="H1224" s="667">
        <v>46184</v>
      </c>
      <c r="I1224" s="319" t="s">
        <v>949</v>
      </c>
      <c r="J1224" s="494" t="s">
        <v>9832</v>
      </c>
      <c r="L1224"/>
      <c r="Q1224" s="481"/>
    </row>
    <row r="1225" spans="2:17" ht="15.6" x14ac:dyDescent="0.3">
      <c r="B1225" s="787" t="s">
        <v>530</v>
      </c>
      <c r="C1225" s="789" t="s">
        <v>531</v>
      </c>
      <c r="D1225" s="146" t="s">
        <v>190</v>
      </c>
      <c r="E1225" s="147" t="s">
        <v>515</v>
      </c>
      <c r="F1225" s="491">
        <v>2</v>
      </c>
      <c r="G1225" s="302" t="s">
        <v>9833</v>
      </c>
      <c r="H1225" s="667">
        <v>46188</v>
      </c>
      <c r="I1225" s="319" t="s">
        <v>949</v>
      </c>
      <c r="J1225" s="494" t="s">
        <v>9834</v>
      </c>
      <c r="L1225"/>
      <c r="Q1225" s="481"/>
    </row>
    <row r="1226" spans="2:17" ht="15.6" x14ac:dyDescent="0.3">
      <c r="B1226" s="787" t="s">
        <v>530</v>
      </c>
      <c r="C1226" s="789" t="s">
        <v>531</v>
      </c>
      <c r="D1226" s="146" t="s">
        <v>190</v>
      </c>
      <c r="E1226" s="147" t="s">
        <v>515</v>
      </c>
      <c r="F1226" s="491">
        <v>2</v>
      </c>
      <c r="G1226" s="302" t="s">
        <v>9835</v>
      </c>
      <c r="H1226" s="667">
        <v>46190</v>
      </c>
      <c r="I1226" s="319" t="s">
        <v>949</v>
      </c>
      <c r="J1226" s="494" t="s">
        <v>9836</v>
      </c>
      <c r="L1226"/>
      <c r="Q1226" s="481"/>
    </row>
    <row r="1227" spans="2:17" ht="15.6" x14ac:dyDescent="0.3">
      <c r="B1227" s="787" t="s">
        <v>530</v>
      </c>
      <c r="C1227" s="789" t="s">
        <v>531</v>
      </c>
      <c r="D1227" s="146" t="s">
        <v>190</v>
      </c>
      <c r="E1227" s="147" t="s">
        <v>515</v>
      </c>
      <c r="F1227" s="491">
        <v>2</v>
      </c>
      <c r="G1227" s="302" t="s">
        <v>9837</v>
      </c>
      <c r="H1227" s="667">
        <v>46197</v>
      </c>
      <c r="I1227" s="319" t="s">
        <v>949</v>
      </c>
      <c r="J1227" s="494" t="s">
        <v>9838</v>
      </c>
      <c r="L1227"/>
      <c r="Q1227" s="481"/>
    </row>
    <row r="1228" spans="2:17" ht="15.6" x14ac:dyDescent="0.3">
      <c r="B1228" s="787" t="s">
        <v>530</v>
      </c>
      <c r="C1228" s="789" t="s">
        <v>531</v>
      </c>
      <c r="D1228" s="146" t="s">
        <v>190</v>
      </c>
      <c r="E1228" s="147" t="s">
        <v>515</v>
      </c>
      <c r="F1228" s="1520">
        <v>2</v>
      </c>
      <c r="G1228" s="302" t="s">
        <v>532</v>
      </c>
      <c r="H1228" s="667">
        <v>46206</v>
      </c>
      <c r="I1228" s="1521" t="s">
        <v>119</v>
      </c>
      <c r="J1228" s="494" t="s">
        <v>533</v>
      </c>
      <c r="L1228"/>
      <c r="Q1228" s="481"/>
    </row>
    <row r="1229" spans="2:17" ht="15.6" x14ac:dyDescent="0.3">
      <c r="B1229" s="787" t="s">
        <v>530</v>
      </c>
      <c r="C1229" s="789" t="s">
        <v>531</v>
      </c>
      <c r="D1229" s="146" t="s">
        <v>190</v>
      </c>
      <c r="E1229" s="147" t="s">
        <v>515</v>
      </c>
      <c r="F1229" s="1520">
        <v>2</v>
      </c>
      <c r="G1229" s="302" t="s">
        <v>536</v>
      </c>
      <c r="H1229" s="667">
        <v>46206</v>
      </c>
      <c r="I1229" s="1521" t="s">
        <v>119</v>
      </c>
      <c r="J1229" s="494" t="s">
        <v>537</v>
      </c>
      <c r="L1229"/>
      <c r="Q1229" s="481"/>
    </row>
    <row r="1230" spans="2:17" ht="15.6" x14ac:dyDescent="0.3">
      <c r="B1230" s="787" t="s">
        <v>530</v>
      </c>
      <c r="C1230" s="789" t="s">
        <v>531</v>
      </c>
      <c r="D1230" s="146" t="s">
        <v>190</v>
      </c>
      <c r="E1230" s="147" t="s">
        <v>515</v>
      </c>
      <c r="F1230" s="1520">
        <v>4</v>
      </c>
      <c r="G1230" s="302" t="s">
        <v>570</v>
      </c>
      <c r="H1230" s="667">
        <v>46217</v>
      </c>
      <c r="I1230" s="1521" t="s">
        <v>119</v>
      </c>
      <c r="J1230" s="494" t="s">
        <v>571</v>
      </c>
      <c r="L1230"/>
      <c r="Q1230" s="481"/>
    </row>
    <row r="1231" spans="2:17" ht="15.6" x14ac:dyDescent="0.3">
      <c r="B1231" s="787"/>
      <c r="C1231" s="789"/>
      <c r="D1231" s="146"/>
      <c r="E1231" s="147"/>
      <c r="F1231" s="491"/>
      <c r="G1231" s="302"/>
      <c r="H1231" s="667"/>
      <c r="I1231" s="319"/>
      <c r="J1231" s="1129"/>
      <c r="L1231"/>
      <c r="Q1231" s="481"/>
    </row>
    <row r="1232" spans="2:17" ht="15.6" x14ac:dyDescent="0.3">
      <c r="B1232" s="787"/>
      <c r="C1232" s="353" t="s">
        <v>771</v>
      </c>
      <c r="D1232" s="354" t="s">
        <v>190</v>
      </c>
      <c r="E1232" s="147"/>
      <c r="F1232" s="1040">
        <f>SUM(F1207:F1231)</f>
        <v>58</v>
      </c>
      <c r="G1232" s="302"/>
      <c r="H1232" s="667"/>
      <c r="I1232" s="319"/>
      <c r="J1232" s="494"/>
      <c r="L1232"/>
      <c r="Q1232" s="481"/>
    </row>
    <row r="1233" spans="2:17" ht="15.6" x14ac:dyDescent="0.3">
      <c r="B1233" s="787"/>
      <c r="C1233" s="353" t="s">
        <v>772</v>
      </c>
      <c r="D1233" s="354" t="s">
        <v>190</v>
      </c>
      <c r="E1233" s="147"/>
      <c r="F1233" s="1040">
        <v>50</v>
      </c>
      <c r="G1233" s="302"/>
      <c r="H1233" s="667"/>
      <c r="I1233" s="319"/>
      <c r="J1233" s="494"/>
      <c r="L1233"/>
      <c r="Q1233" s="481"/>
    </row>
    <row r="1234" spans="2:17" ht="15.6" x14ac:dyDescent="0.3">
      <c r="B1234" s="1161"/>
      <c r="C1234" s="361" t="s">
        <v>773</v>
      </c>
      <c r="D1234" s="354" t="s">
        <v>190</v>
      </c>
      <c r="E1234" s="355"/>
      <c r="F1234" s="1041">
        <f>F1232-F1233</f>
        <v>8</v>
      </c>
      <c r="G1234" s="302"/>
      <c r="H1234" s="812"/>
      <c r="I1234" s="813"/>
      <c r="J1234" s="1162"/>
      <c r="L1234"/>
      <c r="Q1234" s="481"/>
    </row>
    <row r="1235" spans="2:17" ht="7.35" customHeight="1" x14ac:dyDescent="0.3">
      <c r="B1235" s="338"/>
      <c r="C1235" s="142"/>
      <c r="D1235" s="143"/>
      <c r="E1235" s="144"/>
      <c r="F1235" s="1038"/>
      <c r="G1235" s="144"/>
      <c r="H1235" s="144"/>
      <c r="I1235" s="515"/>
      <c r="J1235" s="524"/>
      <c r="L1235"/>
    </row>
  </sheetData>
  <autoFilter ref="B6:J1235" xr:uid="{0015AFDA-420C-492A-B7D3-B11C51DB9178}"/>
  <sortState xmlns:xlrd2="http://schemas.microsoft.com/office/spreadsheetml/2017/richdata2" ref="K1207:K1222">
    <sortCondition ref="K1207:K1222"/>
  </sortState>
  <phoneticPr fontId="23" type="noConversion"/>
  <conditionalFormatting sqref="D7:D1235">
    <cfRule type="cellIs" dxfId="149" priority="99" operator="lessThan">
      <formula>0</formula>
    </cfRule>
  </conditionalFormatting>
  <conditionalFormatting sqref="J9:J248">
    <cfRule type="duplicateValues" dxfId="148" priority="741"/>
  </conditionalFormatting>
  <conditionalFormatting sqref="J9:J504">
    <cfRule type="duplicateValues" dxfId="147" priority="1928"/>
  </conditionalFormatting>
  <conditionalFormatting sqref="J250:J305">
    <cfRule type="duplicateValues" dxfId="146" priority="1930"/>
  </conditionalFormatting>
  <conditionalFormatting sqref="J257:J258">
    <cfRule type="duplicateValues" dxfId="145" priority="158"/>
  </conditionalFormatting>
  <conditionalFormatting sqref="J307:J378">
    <cfRule type="duplicateValues" dxfId="144" priority="162"/>
  </conditionalFormatting>
  <conditionalFormatting sqref="J379:J504">
    <cfRule type="duplicateValues" dxfId="143" priority="1507"/>
  </conditionalFormatting>
  <conditionalFormatting sqref="J390:J500">
    <cfRule type="duplicateValues" dxfId="142" priority="1509"/>
  </conditionalFormatting>
  <conditionalFormatting sqref="J428:J430 J436:J500">
    <cfRule type="duplicateValues" dxfId="141" priority="1510"/>
  </conditionalFormatting>
  <conditionalFormatting sqref="J506:J547">
    <cfRule type="duplicateValues" dxfId="140" priority="3205"/>
    <cfRule type="duplicateValues" dxfId="139" priority="3206"/>
  </conditionalFormatting>
  <conditionalFormatting sqref="J549:J578">
    <cfRule type="duplicateValues" dxfId="138" priority="3224"/>
    <cfRule type="duplicateValues" dxfId="137" priority="3223"/>
  </conditionalFormatting>
  <conditionalFormatting sqref="J581:J583 J585:J597">
    <cfRule type="duplicateValues" dxfId="136" priority="957"/>
  </conditionalFormatting>
  <conditionalFormatting sqref="J581:J633">
    <cfRule type="duplicateValues" dxfId="135" priority="1956"/>
  </conditionalFormatting>
  <conditionalFormatting sqref="J584">
    <cfRule type="duplicateValues" dxfId="134" priority="153"/>
    <cfRule type="duplicateValues" dxfId="133" priority="152"/>
  </conditionalFormatting>
  <conditionalFormatting sqref="J598:J632">
    <cfRule type="duplicateValues" dxfId="132" priority="1958"/>
    <cfRule type="duplicateValues" dxfId="131" priority="1959"/>
  </conditionalFormatting>
  <conditionalFormatting sqref="J615:J632">
    <cfRule type="duplicateValues" dxfId="130" priority="1960"/>
  </conditionalFormatting>
  <conditionalFormatting sqref="J633:J636">
    <cfRule type="duplicateValues" dxfId="129" priority="154"/>
    <cfRule type="duplicateValues" dxfId="128" priority="155"/>
  </conditionalFormatting>
  <conditionalFormatting sqref="J638:J689">
    <cfRule type="duplicateValues" dxfId="127" priority="3424"/>
    <cfRule type="duplicateValues" dxfId="126" priority="3425"/>
  </conditionalFormatting>
  <conditionalFormatting sqref="J690:J693">
    <cfRule type="duplicateValues" dxfId="125" priority="62"/>
  </conditionalFormatting>
  <conditionalFormatting sqref="J695:J720">
    <cfRule type="duplicateValues" dxfId="124" priority="3238"/>
    <cfRule type="duplicateValues" dxfId="123" priority="3239"/>
  </conditionalFormatting>
  <conditionalFormatting sqref="J721:J724">
    <cfRule type="duplicateValues" dxfId="122" priority="788"/>
  </conditionalFormatting>
  <conditionalFormatting sqref="J726:J734">
    <cfRule type="duplicateValues" dxfId="121" priority="3503"/>
    <cfRule type="duplicateValues" dxfId="120" priority="3504"/>
  </conditionalFormatting>
  <conditionalFormatting sqref="J735:J738">
    <cfRule type="duplicateValues" dxfId="119" priority="49"/>
  </conditionalFormatting>
  <conditionalFormatting sqref="J745:J880">
    <cfRule type="duplicateValues" dxfId="118" priority="3558"/>
  </conditionalFormatting>
  <conditionalFormatting sqref="J881">
    <cfRule type="duplicateValues" dxfId="117" priority="87"/>
  </conditionalFormatting>
  <conditionalFormatting sqref="J882:J884 J741:J744">
    <cfRule type="duplicateValues" dxfId="116" priority="746"/>
  </conditionalFormatting>
  <conditionalFormatting sqref="J906">
    <cfRule type="duplicateValues" dxfId="115" priority="44"/>
  </conditionalFormatting>
  <conditionalFormatting sqref="J907:J909 J886:J905">
    <cfRule type="duplicateValues" dxfId="114" priority="45"/>
  </conditionalFormatting>
  <conditionalFormatting sqref="J911:J960">
    <cfRule type="duplicateValues" dxfId="113" priority="2534"/>
  </conditionalFormatting>
  <conditionalFormatting sqref="J961:J963">
    <cfRule type="duplicateValues" dxfId="112" priority="3431"/>
  </conditionalFormatting>
  <conditionalFormatting sqref="J974:J980 J966:J972">
    <cfRule type="duplicateValues" dxfId="111" priority="2142"/>
  </conditionalFormatting>
  <conditionalFormatting sqref="J985:J990 J994:J1095">
    <cfRule type="duplicateValues" dxfId="110" priority="3561"/>
  </conditionalFormatting>
  <conditionalFormatting sqref="J991:J993 J982:J984">
    <cfRule type="duplicateValues" dxfId="109" priority="1250"/>
  </conditionalFormatting>
  <conditionalFormatting sqref="J1096:J1098">
    <cfRule type="duplicateValues" dxfId="108" priority="75"/>
  </conditionalFormatting>
  <conditionalFormatting sqref="J1100:J1104">
    <cfRule type="duplicateValues" dxfId="107" priority="3453"/>
  </conditionalFormatting>
  <conditionalFormatting sqref="J1106:J1110">
    <cfRule type="duplicateValues" dxfId="106" priority="41"/>
  </conditionalFormatting>
  <conditionalFormatting sqref="J1112:J1137">
    <cfRule type="duplicateValues" dxfId="105" priority="3564"/>
  </conditionalFormatting>
  <conditionalFormatting sqref="J1167:J1169">
    <cfRule type="duplicateValues" dxfId="104" priority="2315"/>
  </conditionalFormatting>
  <conditionalFormatting sqref="J1185:J1187 J1176:J1178">
    <cfRule type="duplicateValues" dxfId="103" priority="16"/>
  </conditionalFormatting>
  <conditionalFormatting sqref="J1193:J1196">
    <cfRule type="duplicateValues" dxfId="102" priority="35"/>
  </conditionalFormatting>
  <conditionalFormatting sqref="J1199:J1201">
    <cfRule type="duplicateValues" dxfId="101" priority="2218"/>
  </conditionalFormatting>
  <conditionalFormatting sqref="J1202:J1205">
    <cfRule type="duplicateValues" dxfId="100" priority="27"/>
  </conditionalFormatting>
  <conditionalFormatting sqref="J1207:J1230">
    <cfRule type="duplicateValues" dxfId="99" priority="3387"/>
  </conditionalFormatting>
  <conditionalFormatting sqref="J1232:J1234">
    <cfRule type="duplicateValues" dxfId="98" priority="22"/>
  </conditionalFormatting>
  <conditionalFormatting sqref="K266">
    <cfRule type="duplicateValues" dxfId="97" priority="1747"/>
    <cfRule type="duplicateValues" dxfId="96" priority="1748"/>
    <cfRule type="duplicateValues" dxfId="95" priority="1749"/>
  </conditionalFormatting>
  <conditionalFormatting sqref="K267:K301">
    <cfRule type="duplicateValues" dxfId="94" priority="1939"/>
    <cfRule type="duplicateValues" dxfId="93" priority="1940"/>
    <cfRule type="duplicateValues" dxfId="92" priority="1938"/>
  </conditionalFormatting>
  <conditionalFormatting sqref="K506:K547">
    <cfRule type="duplicateValues" dxfId="91" priority="3217"/>
    <cfRule type="duplicateValues" dxfId="90" priority="3216"/>
  </conditionalFormatting>
  <conditionalFormatting sqref="K506:K548">
    <cfRule type="duplicateValues" dxfId="89" priority="3220"/>
  </conditionalFormatting>
  <conditionalFormatting sqref="K549:K578">
    <cfRule type="duplicateValues" dxfId="88" priority="3235"/>
    <cfRule type="duplicateValues" dxfId="87" priority="3234"/>
  </conditionalFormatting>
  <conditionalFormatting sqref="K604:K632">
    <cfRule type="duplicateValues" dxfId="86" priority="1965"/>
    <cfRule type="duplicateValues" dxfId="85" priority="1966"/>
  </conditionalFormatting>
  <conditionalFormatting sqref="K638:K690">
    <cfRule type="duplicateValues" dxfId="84" priority="2158"/>
    <cfRule type="duplicateValues" dxfId="83" priority="2159"/>
    <cfRule type="duplicateValues" dxfId="82" priority="2160"/>
  </conditionalFormatting>
  <conditionalFormatting sqref="K691:K693">
    <cfRule type="duplicateValues" dxfId="81" priority="63"/>
    <cfRule type="duplicateValues" dxfId="80" priority="64"/>
  </conditionalFormatting>
  <conditionalFormatting sqref="K695:K723">
    <cfRule type="duplicateValues" dxfId="79" priority="3248"/>
    <cfRule type="duplicateValues" dxfId="78" priority="3247"/>
    <cfRule type="duplicateValues" dxfId="77" priority="3246"/>
  </conditionalFormatting>
  <conditionalFormatting sqref="K724">
    <cfRule type="duplicateValues" dxfId="76" priority="790"/>
    <cfRule type="duplicateValues" dxfId="75" priority="789"/>
  </conditionalFormatting>
  <conditionalFormatting sqref="K726:K734">
    <cfRule type="duplicateValues" dxfId="74" priority="3512"/>
    <cfRule type="duplicateValues" dxfId="73" priority="3511"/>
    <cfRule type="duplicateValues" dxfId="72" priority="3513"/>
  </conditionalFormatting>
  <conditionalFormatting sqref="K735:K737">
    <cfRule type="duplicateValues" dxfId="71" priority="2132"/>
    <cfRule type="duplicateValues" dxfId="70" priority="2131"/>
    <cfRule type="duplicateValues" dxfId="69" priority="2133"/>
  </conditionalFormatting>
  <conditionalFormatting sqref="K738">
    <cfRule type="duplicateValues" dxfId="68" priority="51"/>
    <cfRule type="duplicateValues" dxfId="67" priority="50"/>
  </conditionalFormatting>
  <conditionalFormatting sqref="K907:K909">
    <cfRule type="duplicateValues" dxfId="66" priority="46"/>
    <cfRule type="duplicateValues" dxfId="65" priority="47"/>
  </conditionalFormatting>
  <conditionalFormatting sqref="K1096:K1098">
    <cfRule type="duplicateValues" dxfId="64" priority="73"/>
    <cfRule type="duplicateValues" dxfId="63" priority="72"/>
    <cfRule type="duplicateValues" dxfId="62" priority="74"/>
  </conditionalFormatting>
  <conditionalFormatting sqref="K1099">
    <cfRule type="duplicateValues" dxfId="61" priority="71"/>
  </conditionalFormatting>
  <conditionalFormatting sqref="K1100:K1048576 K964:K981 K724:K725 K1:K265 K691:K694 K882:K885 K302:K505 K738:K740 K907:K910 K549:K637">
    <cfRule type="duplicateValues" dxfId="60" priority="1343"/>
  </conditionalFormatting>
  <conditionalFormatting sqref="K1106:K1110">
    <cfRule type="duplicateValues" dxfId="59" priority="40"/>
    <cfRule type="duplicateValues" dxfId="58" priority="39"/>
  </conditionalFormatting>
  <conditionalFormatting sqref="K1112:K1137">
    <cfRule type="duplicateValues" dxfId="57" priority="3579"/>
    <cfRule type="duplicateValues" dxfId="56" priority="3580"/>
  </conditionalFormatting>
  <conditionalFormatting sqref="K1180:K1187 K1171:K1178">
    <cfRule type="duplicateValues" dxfId="55" priority="2929"/>
    <cfRule type="duplicateValues" dxfId="54" priority="2930"/>
  </conditionalFormatting>
  <conditionalFormatting sqref="K1189:K1192">
    <cfRule type="duplicateValues" dxfId="53" priority="3122"/>
    <cfRule type="duplicateValues" dxfId="52" priority="3121"/>
  </conditionalFormatting>
  <conditionalFormatting sqref="K1193:K1196">
    <cfRule type="duplicateValues" dxfId="51" priority="2892"/>
    <cfRule type="duplicateValues" dxfId="50" priority="2891"/>
  </conditionalFormatting>
  <conditionalFormatting sqref="K1198">
    <cfRule type="duplicateValues" dxfId="49" priority="26"/>
    <cfRule type="duplicateValues" dxfId="48" priority="25"/>
  </conditionalFormatting>
  <conditionalFormatting sqref="K1202:K1205">
    <cfRule type="duplicateValues" dxfId="47" priority="29"/>
    <cfRule type="duplicateValues" dxfId="46" priority="28"/>
  </conditionalFormatting>
  <conditionalFormatting sqref="K1207:K1230">
    <cfRule type="duplicateValues" dxfId="45" priority="3400"/>
    <cfRule type="duplicateValues" dxfId="44" priority="3401"/>
  </conditionalFormatting>
  <conditionalFormatting sqref="K1231:K1234">
    <cfRule type="duplicateValues" dxfId="43" priority="24"/>
    <cfRule type="duplicateValues" dxfId="42" priority="23"/>
  </conditionalFormatting>
  <conditionalFormatting sqref="K1236:K1048576 K965:K972 K740 K974:K980 K1:K265 K302:K327 K882:K884 K379:K504 K580:K636 K1100:K1104 K1199:K1201 K1139:K1169">
    <cfRule type="duplicateValues" dxfId="41" priority="1351"/>
    <cfRule type="duplicateValues" dxfId="40" priority="1352"/>
  </conditionalFormatting>
  <printOptions horizontalCentered="1"/>
  <pageMargins left="0.39370078740157483" right="0.39370078740157483" top="0.55118110236220474" bottom="0.94488188976377963" header="0.31496062992125984" footer="0.31496062992125984"/>
  <pageSetup paperSize="9" scale="50" fitToHeight="0" orientation="portrait" r:id="rId1"/>
  <rowBreaks count="2" manualBreakCount="2">
    <brk id="964" min="1" max="9" man="1"/>
    <brk id="1188" min="1" max="9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E0B8-AE6A-4C28-8FEC-86D91FB27121}">
  <sheetPr codeName="Sheet21"/>
  <dimension ref="B1:AB67"/>
  <sheetViews>
    <sheetView view="pageBreakPreview" zoomScale="70" zoomScaleNormal="80" zoomScaleSheetLayoutView="70" workbookViewId="0">
      <pane xSplit="2" ySplit="3" topLeftCell="C37" activePane="bottomRight" state="frozen"/>
      <selection pane="topRight" activeCell="B33" sqref="B33"/>
      <selection pane="bottomLeft" activeCell="B33" sqref="B33"/>
      <selection pane="bottomRight" activeCell="J61" sqref="J61"/>
    </sheetView>
  </sheetViews>
  <sheetFormatPr defaultRowHeight="14.4" x14ac:dyDescent="0.3"/>
  <cols>
    <col min="2" max="2" width="14.5546875" bestFit="1" customWidth="1"/>
    <col min="3" max="10" width="10.88671875" customWidth="1"/>
    <col min="12" max="19" width="17.109375" customWidth="1"/>
  </cols>
  <sheetData>
    <row r="1" spans="2:28" x14ac:dyDescent="0.3">
      <c r="B1" s="987" t="s">
        <v>9839</v>
      </c>
      <c r="C1" s="662"/>
      <c r="D1" s="662"/>
      <c r="E1" s="662"/>
      <c r="F1" s="662"/>
      <c r="G1" s="662"/>
      <c r="H1" s="662"/>
      <c r="I1" s="662"/>
      <c r="J1" s="662"/>
    </row>
    <row r="2" spans="2:28" x14ac:dyDescent="0.3">
      <c r="C2" s="1131" t="s">
        <v>9346</v>
      </c>
      <c r="D2" s="1131"/>
      <c r="E2" s="1131"/>
      <c r="F2" s="1131"/>
      <c r="G2" s="1131"/>
      <c r="H2" s="1131"/>
      <c r="I2" s="1131"/>
      <c r="J2" s="1131" t="s">
        <v>9367</v>
      </c>
    </row>
    <row r="3" spans="2:28" x14ac:dyDescent="0.3">
      <c r="B3" s="980" t="s">
        <v>9840</v>
      </c>
      <c r="C3" s="980" t="s">
        <v>9841</v>
      </c>
      <c r="D3" s="980" t="s">
        <v>9842</v>
      </c>
      <c r="E3" s="980" t="s">
        <v>9843</v>
      </c>
      <c r="F3" s="980" t="s">
        <v>9844</v>
      </c>
      <c r="G3" s="980" t="s">
        <v>9845</v>
      </c>
      <c r="H3" s="980" t="s">
        <v>9846</v>
      </c>
      <c r="I3" s="980" t="s">
        <v>9847</v>
      </c>
      <c r="J3" s="980" t="s">
        <v>9848</v>
      </c>
    </row>
    <row r="4" spans="2:28" x14ac:dyDescent="0.3">
      <c r="B4" s="981" t="s">
        <v>9849</v>
      </c>
      <c r="C4" s="984" t="str">
        <f>U4</f>
        <v>-</v>
      </c>
      <c r="D4" s="984" t="str">
        <f t="shared" ref="D4:J4" si="0">V4</f>
        <v>-</v>
      </c>
      <c r="E4" s="984">
        <f t="shared" si="0"/>
        <v>46204</v>
      </c>
      <c r="F4" s="984" t="str">
        <f t="shared" si="0"/>
        <v>-</v>
      </c>
      <c r="G4" s="984" t="str">
        <f t="shared" si="0"/>
        <v>-</v>
      </c>
      <c r="H4" s="984" t="str">
        <f t="shared" si="0"/>
        <v>-</v>
      </c>
      <c r="I4" s="984">
        <f t="shared" si="0"/>
        <v>46204</v>
      </c>
      <c r="J4" s="984" t="str">
        <f t="shared" si="0"/>
        <v>-</v>
      </c>
      <c r="L4" s="990" t="str">
        <f>CONCATENATE($B4,"-",C$3)</f>
        <v>WV1-P0-P1-G1</v>
      </c>
      <c r="M4" s="990" t="str">
        <f t="shared" ref="M4:S4" si="1">CONCATENATE($B4,"-",D$3)</f>
        <v>WV1-P0-P1-G2</v>
      </c>
      <c r="N4" s="990" t="str">
        <f t="shared" si="1"/>
        <v>WV1-P0-P1-G3</v>
      </c>
      <c r="O4" s="990" t="str">
        <f t="shared" si="1"/>
        <v>WV1-P0-P1-G4</v>
      </c>
      <c r="P4" s="990" t="str">
        <f t="shared" si="1"/>
        <v>WV1-P0-P1-G5</v>
      </c>
      <c r="Q4" s="990" t="str">
        <f t="shared" si="1"/>
        <v>WV1-P0-P1-G6</v>
      </c>
      <c r="R4" s="990" t="str">
        <f t="shared" si="1"/>
        <v>WV1-P0-P1-G7</v>
      </c>
      <c r="S4" s="990" t="str">
        <f t="shared" si="1"/>
        <v>WV1-P0-P1-G8</v>
      </c>
      <c r="U4" s="985" t="str">
        <f>IFERROR(VLOOKUP(L4,'Schedule 5'!$J$741:$K$960,2,0),"-")</f>
        <v>-</v>
      </c>
      <c r="V4" s="985" t="str">
        <f>IFERROR(VLOOKUP(M4,'Schedule 5'!$J$741:$K$960,2,0),"-")</f>
        <v>-</v>
      </c>
      <c r="W4" s="985">
        <f>IFERROR(VLOOKUP(N4,'Schedule 5'!$J$741:$K$960,2,0),"-")</f>
        <v>46204</v>
      </c>
      <c r="X4" s="985" t="str">
        <f>IFERROR(VLOOKUP(O4,'Schedule 5'!$J$741:$K$960,2,0),"-")</f>
        <v>-</v>
      </c>
      <c r="Y4" s="985" t="str">
        <f>IFERROR(VLOOKUP(P4,'Schedule 5'!$J$741:$K$960,2,0),"-")</f>
        <v>-</v>
      </c>
      <c r="Z4" s="985" t="str">
        <f>IFERROR(VLOOKUP(Q4,'Schedule 5'!$J$741:$K$960,2,0),"-")</f>
        <v>-</v>
      </c>
      <c r="AA4" s="985">
        <f>IFERROR(VLOOKUP(R4,'Schedule 5'!$J$741:$K$960,2,0),"-")</f>
        <v>46204</v>
      </c>
      <c r="AB4" s="985" t="str">
        <f>IFERROR(VLOOKUP(S4,'Schedule 5'!$J$741:$K$960,2,0),"-")</f>
        <v>-</v>
      </c>
    </row>
    <row r="5" spans="2:28" x14ac:dyDescent="0.3">
      <c r="B5" s="982" t="s">
        <v>9850</v>
      </c>
      <c r="C5" s="985">
        <f>U5</f>
        <v>46204</v>
      </c>
      <c r="D5" s="985">
        <f t="shared" ref="D5" si="2">V5</f>
        <v>46204</v>
      </c>
      <c r="E5" s="985">
        <f t="shared" ref="E5" si="3">W5</f>
        <v>46204</v>
      </c>
      <c r="F5" s="985">
        <f t="shared" ref="F5" si="4">X5</f>
        <v>46204</v>
      </c>
      <c r="G5" s="985" t="str">
        <f t="shared" ref="G5" si="5">Y5</f>
        <v>-</v>
      </c>
      <c r="H5" s="985" t="str">
        <f t="shared" ref="H5" si="6">Z5</f>
        <v>-</v>
      </c>
      <c r="I5" s="985" t="str">
        <f t="shared" ref="I5" si="7">AA5</f>
        <v>-</v>
      </c>
      <c r="J5" s="985" t="str">
        <f t="shared" ref="J5" si="8">AB5</f>
        <v>-</v>
      </c>
      <c r="L5" s="990" t="str">
        <f>CONCATENATE($B5,"-",C$3)</f>
        <v>WV1-P1-P2-G1</v>
      </c>
      <c r="M5" s="990" t="str">
        <f t="shared" ref="M5:S6" si="9">CONCATENATE($B5,"-",D$3)</f>
        <v>WV1-P1-P2-G2</v>
      </c>
      <c r="N5" s="990" t="str">
        <f t="shared" si="9"/>
        <v>WV1-P1-P2-G3</v>
      </c>
      <c r="O5" s="990" t="str">
        <f t="shared" si="9"/>
        <v>WV1-P1-P2-G4</v>
      </c>
      <c r="P5" s="990" t="str">
        <f t="shared" si="9"/>
        <v>WV1-P1-P2-G5</v>
      </c>
      <c r="Q5" s="990" t="str">
        <f t="shared" si="9"/>
        <v>WV1-P1-P2-G6</v>
      </c>
      <c r="R5" s="990" t="str">
        <f t="shared" si="9"/>
        <v>WV1-P1-P2-G7</v>
      </c>
      <c r="S5" s="990" t="str">
        <f t="shared" si="9"/>
        <v>WV1-P1-P2-G8</v>
      </c>
      <c r="U5" s="985">
        <f>IFERROR(VLOOKUP(L5,'Schedule 5'!$J$741:$K$960,2,0),"-")</f>
        <v>46204</v>
      </c>
      <c r="V5" s="985">
        <f>IFERROR(VLOOKUP(M5,'Schedule 5'!$J$741:$K$960,2,0),"-")</f>
        <v>46204</v>
      </c>
      <c r="W5" s="985">
        <f>IFERROR(VLOOKUP(N5,'Schedule 5'!$J$741:$K$960,2,0),"-")</f>
        <v>46204</v>
      </c>
      <c r="X5" s="985">
        <f>IFERROR(VLOOKUP(O5,'Schedule 5'!$J$741:$K$960,2,0),"-")</f>
        <v>46204</v>
      </c>
      <c r="Y5" s="985" t="str">
        <f>IFERROR(VLOOKUP(P5,'Schedule 5'!$J$741:$K$960,2,0),"-")</f>
        <v>-</v>
      </c>
      <c r="Z5" s="985" t="str">
        <f>IFERROR(VLOOKUP(Q5,'Schedule 5'!$J$741:$K$960,2,0),"-")</f>
        <v>-</v>
      </c>
      <c r="AA5" s="985" t="str">
        <f>IFERROR(VLOOKUP(R5,'Schedule 5'!$J$741:$K$960,2,0),"-")</f>
        <v>-</v>
      </c>
      <c r="AB5" s="985" t="str">
        <f>IFERROR(VLOOKUP(S5,'Schedule 5'!$J$741:$K$960,2,0),"-")</f>
        <v>-</v>
      </c>
    </row>
    <row r="6" spans="2:28" x14ac:dyDescent="0.3">
      <c r="B6" s="982" t="s">
        <v>9851</v>
      </c>
      <c r="C6" s="985">
        <f>U6</f>
        <v>46204</v>
      </c>
      <c r="D6" s="985">
        <f t="shared" ref="D6" si="10">V6</f>
        <v>46204</v>
      </c>
      <c r="E6" s="985">
        <f t="shared" ref="E6" si="11">W6</f>
        <v>46204</v>
      </c>
      <c r="F6" s="985">
        <f t="shared" ref="F6" si="12">X6</f>
        <v>46204</v>
      </c>
      <c r="G6" s="985">
        <f t="shared" ref="G6" si="13">Y6</f>
        <v>46204</v>
      </c>
      <c r="H6" s="985">
        <f t="shared" ref="H6" si="14">Z6</f>
        <v>46204</v>
      </c>
      <c r="I6" s="985">
        <f t="shared" ref="I6" si="15">AA6</f>
        <v>46204</v>
      </c>
      <c r="J6" s="985">
        <f t="shared" ref="J6" si="16">AB6</f>
        <v>46204</v>
      </c>
      <c r="L6" s="990" t="str">
        <f>CONCATENATE($B6,"-",C$3)</f>
        <v>WV1-P2-P3-G1</v>
      </c>
      <c r="M6" s="990" t="str">
        <f t="shared" si="9"/>
        <v>WV1-P2-P3-G2</v>
      </c>
      <c r="N6" s="990" t="str">
        <f t="shared" si="9"/>
        <v>WV1-P2-P3-G3</v>
      </c>
      <c r="O6" s="990" t="str">
        <f t="shared" si="9"/>
        <v>WV1-P2-P3-G4</v>
      </c>
      <c r="P6" s="990" t="str">
        <f t="shared" si="9"/>
        <v>WV1-P2-P3-G5</v>
      </c>
      <c r="Q6" s="990" t="str">
        <f t="shared" si="9"/>
        <v>WV1-P2-P3-G6</v>
      </c>
      <c r="R6" s="990" t="str">
        <f t="shared" si="9"/>
        <v>WV1-P2-P3-G7</v>
      </c>
      <c r="S6" s="990" t="str">
        <f t="shared" si="9"/>
        <v>WV1-P2-P3-G8</v>
      </c>
      <c r="U6" s="985">
        <f>IFERROR(VLOOKUP(L6,'Schedule 5'!$J$741:$K$960,2,0),"-")</f>
        <v>46204</v>
      </c>
      <c r="V6" s="985">
        <f>IFERROR(VLOOKUP(M6,'Schedule 5'!$J$741:$K$960,2,0),"-")</f>
        <v>46204</v>
      </c>
      <c r="W6" s="985">
        <f>IFERROR(VLOOKUP(N6,'Schedule 5'!$J$741:$K$960,2,0),"-")</f>
        <v>46204</v>
      </c>
      <c r="X6" s="985">
        <f>IFERROR(VLOOKUP(O6,'Schedule 5'!$J$741:$K$960,2,0),"-")</f>
        <v>46204</v>
      </c>
      <c r="Y6" s="985">
        <f>IFERROR(VLOOKUP(P6,'Schedule 5'!$J$741:$K$960,2,0),"-")</f>
        <v>46204</v>
      </c>
      <c r="Z6" s="985">
        <f>IFERROR(VLOOKUP(Q6,'Schedule 5'!$J$741:$K$960,2,0),"-")</f>
        <v>46204</v>
      </c>
      <c r="AA6" s="985">
        <f>IFERROR(VLOOKUP(R6,'Schedule 5'!$J$741:$K$960,2,0),"-")</f>
        <v>46204</v>
      </c>
      <c r="AB6" s="985">
        <f>IFERROR(VLOOKUP(S6,'Schedule 5'!$J$741:$K$960,2,0),"-")</f>
        <v>46204</v>
      </c>
    </row>
    <row r="7" spans="2:28" x14ac:dyDescent="0.3">
      <c r="B7" s="982"/>
      <c r="C7" s="985"/>
      <c r="D7" s="985"/>
      <c r="E7" s="985"/>
      <c r="F7" s="985"/>
      <c r="G7" s="985"/>
      <c r="H7" s="985"/>
      <c r="I7" s="985"/>
      <c r="J7" s="985"/>
      <c r="L7" s="990"/>
      <c r="M7" s="990"/>
      <c r="N7" s="990"/>
      <c r="O7" s="990"/>
      <c r="P7" s="990"/>
      <c r="Q7" s="990"/>
      <c r="R7" s="990"/>
      <c r="S7" s="990"/>
      <c r="U7" s="985" t="str">
        <f>IFERROR(VLOOKUP(L7,'Schedule 5'!$J$741:$K$960,2,0),"-")</f>
        <v>-</v>
      </c>
      <c r="V7" s="985" t="str">
        <f>IFERROR(VLOOKUP(M7,'Schedule 5'!$J$741:$K$960,2,0),"-")</f>
        <v>-</v>
      </c>
      <c r="W7" s="985" t="str">
        <f>IFERROR(VLOOKUP(N7,'Schedule 5'!$J$741:$K$960,2,0),"-")</f>
        <v>-</v>
      </c>
      <c r="X7" s="985" t="str">
        <f>IFERROR(VLOOKUP(O7,'Schedule 5'!$J$741:$K$960,2,0),"-")</f>
        <v>-</v>
      </c>
      <c r="Y7" s="985" t="str">
        <f>IFERROR(VLOOKUP(P7,'Schedule 5'!$J$741:$K$960,2,0),"-")</f>
        <v>-</v>
      </c>
      <c r="Z7" s="985" t="str">
        <f>IFERROR(VLOOKUP(Q7,'Schedule 5'!$J$741:$K$960,2,0),"-")</f>
        <v>-</v>
      </c>
      <c r="AA7" s="985" t="str">
        <f>IFERROR(VLOOKUP(R7,'Schedule 5'!$J$741:$K$960,2,0),"-")</f>
        <v>-</v>
      </c>
      <c r="AB7" s="985" t="str">
        <f>IFERROR(VLOOKUP(S7,'Schedule 5'!$J$741:$K$960,2,0),"-")</f>
        <v>-</v>
      </c>
    </row>
    <row r="8" spans="2:28" x14ac:dyDescent="0.3">
      <c r="B8" s="982" t="s">
        <v>9852</v>
      </c>
      <c r="C8" s="985">
        <f t="shared" ref="C8:C28" si="17">U8</f>
        <v>46174</v>
      </c>
      <c r="D8" s="985">
        <f t="shared" ref="D8:D28" si="18">V8</f>
        <v>45748</v>
      </c>
      <c r="E8" s="985">
        <f t="shared" ref="E8:E28" si="19">W8</f>
        <v>45778</v>
      </c>
      <c r="F8" s="985">
        <f t="shared" ref="F8:F28" si="20">X8</f>
        <v>46174</v>
      </c>
      <c r="G8" s="985" t="str">
        <f t="shared" ref="G8:G28" si="21">Y8</f>
        <v>-</v>
      </c>
      <c r="H8" s="985" t="str">
        <f t="shared" ref="H8:H28" si="22">Z8</f>
        <v>-</v>
      </c>
      <c r="I8" s="985" t="str">
        <f t="shared" ref="I8:I28" si="23">AA8</f>
        <v>-</v>
      </c>
      <c r="J8" s="985" t="str">
        <f t="shared" ref="J8:J28" si="24">AB8</f>
        <v>-</v>
      </c>
      <c r="L8" s="990" t="str">
        <f t="shared" ref="L8:L22" si="25">CONCATENATE($B8,"-",C$3)</f>
        <v>WV2-P0-P1-G1</v>
      </c>
      <c r="M8" s="990" t="str">
        <f t="shared" ref="M8:M22" si="26">CONCATENATE($B8,"-",D$3)</f>
        <v>WV2-P0-P1-G2</v>
      </c>
      <c r="N8" s="990" t="str">
        <f t="shared" ref="N8:N22" si="27">CONCATENATE($B8,"-",E$3)</f>
        <v>WV2-P0-P1-G3</v>
      </c>
      <c r="O8" s="990" t="str">
        <f t="shared" ref="O8:O22" si="28">CONCATENATE($B8,"-",F$3)</f>
        <v>WV2-P0-P1-G4</v>
      </c>
      <c r="P8" s="990" t="str">
        <f t="shared" ref="P8:P22" si="29">CONCATENATE($B8,"-",G$3)</f>
        <v>WV2-P0-P1-G5</v>
      </c>
      <c r="Q8" s="990" t="str">
        <f t="shared" ref="Q8:Q22" si="30">CONCATENATE($B8,"-",H$3)</f>
        <v>WV2-P0-P1-G6</v>
      </c>
      <c r="R8" s="990" t="str">
        <f t="shared" ref="R8:R22" si="31">CONCATENATE($B8,"-",I$3)</f>
        <v>WV2-P0-P1-G7</v>
      </c>
      <c r="S8" s="990" t="str">
        <f t="shared" ref="S8:S22" si="32">CONCATENATE($B8,"-",J$3)</f>
        <v>WV2-P0-P1-G8</v>
      </c>
      <c r="U8" s="985">
        <f>IFERROR(VLOOKUP(L8,'Schedule 5'!$J$741:$K$960,2,0),"-")</f>
        <v>46174</v>
      </c>
      <c r="V8" s="985">
        <f>IFERROR(VLOOKUP(M8,'Schedule 5'!$J$741:$K$960,2,0),"-")</f>
        <v>45748</v>
      </c>
      <c r="W8" s="985">
        <f>IFERROR(VLOOKUP(N8,'Schedule 5'!$J$741:$K$960,2,0),"-")</f>
        <v>45778</v>
      </c>
      <c r="X8" s="985">
        <f>IFERROR(VLOOKUP(O8,'Schedule 5'!$J$741:$K$960,2,0),"-")</f>
        <v>46174</v>
      </c>
      <c r="Y8" s="985" t="str">
        <f>IFERROR(VLOOKUP(P8,'Schedule 5'!$J$741:$K$960,2,0),"-")</f>
        <v>-</v>
      </c>
      <c r="Z8" s="985" t="str">
        <f>IFERROR(VLOOKUP(Q8,'Schedule 5'!$J$741:$K$960,2,0),"-")</f>
        <v>-</v>
      </c>
      <c r="AA8" s="985" t="str">
        <f>IFERROR(VLOOKUP(R8,'Schedule 5'!$J$741:$K$960,2,0),"-")</f>
        <v>-</v>
      </c>
      <c r="AB8" s="985" t="str">
        <f>IFERROR(VLOOKUP(S8,'Schedule 5'!$J$741:$K$960,2,0),"-")</f>
        <v>-</v>
      </c>
    </row>
    <row r="9" spans="2:28" x14ac:dyDescent="0.3">
      <c r="B9" s="982" t="s">
        <v>9853</v>
      </c>
      <c r="C9" s="985">
        <f t="shared" si="17"/>
        <v>46174</v>
      </c>
      <c r="D9" s="985">
        <f t="shared" si="18"/>
        <v>45778</v>
      </c>
      <c r="E9" s="985">
        <f t="shared" si="19"/>
        <v>46174</v>
      </c>
      <c r="F9" s="985">
        <f t="shared" si="20"/>
        <v>46174</v>
      </c>
      <c r="G9" s="985" t="str">
        <f t="shared" si="21"/>
        <v>-</v>
      </c>
      <c r="H9" s="985" t="str">
        <f t="shared" si="22"/>
        <v>-</v>
      </c>
      <c r="I9" s="985" t="str">
        <f t="shared" si="23"/>
        <v>-</v>
      </c>
      <c r="J9" s="985" t="str">
        <f t="shared" si="24"/>
        <v>-</v>
      </c>
      <c r="L9" s="990" t="str">
        <f t="shared" si="25"/>
        <v>WV2-P1-P2-G1</v>
      </c>
      <c r="M9" s="990" t="str">
        <f t="shared" si="26"/>
        <v>WV2-P1-P2-G2</v>
      </c>
      <c r="N9" s="990" t="str">
        <f t="shared" si="27"/>
        <v>WV2-P1-P2-G3</v>
      </c>
      <c r="O9" s="990" t="str">
        <f t="shared" si="28"/>
        <v>WV2-P1-P2-G4</v>
      </c>
      <c r="P9" s="990" t="str">
        <f t="shared" si="29"/>
        <v>WV2-P1-P2-G5</v>
      </c>
      <c r="Q9" s="990" t="str">
        <f t="shared" si="30"/>
        <v>WV2-P1-P2-G6</v>
      </c>
      <c r="R9" s="990" t="str">
        <f t="shared" si="31"/>
        <v>WV2-P1-P2-G7</v>
      </c>
      <c r="S9" s="990" t="str">
        <f t="shared" si="32"/>
        <v>WV2-P1-P2-G8</v>
      </c>
      <c r="U9" s="985">
        <f>IFERROR(VLOOKUP(L9,'Schedule 5'!$J$741:$K$960,2,0),"-")</f>
        <v>46174</v>
      </c>
      <c r="V9" s="985">
        <f>IFERROR(VLOOKUP(M9,'Schedule 5'!$J$741:$K$960,2,0),"-")</f>
        <v>45778</v>
      </c>
      <c r="W9" s="985">
        <f>IFERROR(VLOOKUP(N9,'Schedule 5'!$J$741:$K$960,2,0),"-")</f>
        <v>46174</v>
      </c>
      <c r="X9" s="985">
        <f>IFERROR(VLOOKUP(O9,'Schedule 5'!$J$741:$K$960,2,0),"-")</f>
        <v>46174</v>
      </c>
      <c r="Y9" s="985" t="str">
        <f>IFERROR(VLOOKUP(P9,'Schedule 5'!$J$741:$K$960,2,0),"-")</f>
        <v>-</v>
      </c>
      <c r="Z9" s="985" t="str">
        <f>IFERROR(VLOOKUP(Q9,'Schedule 5'!$J$741:$K$960,2,0),"-")</f>
        <v>-</v>
      </c>
      <c r="AA9" s="985" t="str">
        <f>IFERROR(VLOOKUP(R9,'Schedule 5'!$J$741:$K$960,2,0),"-")</f>
        <v>-</v>
      </c>
      <c r="AB9" s="985" t="str">
        <f>IFERROR(VLOOKUP(S9,'Schedule 5'!$J$741:$K$960,2,0),"-")</f>
        <v>-</v>
      </c>
    </row>
    <row r="10" spans="2:28" x14ac:dyDescent="0.3">
      <c r="B10" s="982" t="s">
        <v>9854</v>
      </c>
      <c r="C10" s="985" t="str">
        <f t="shared" si="17"/>
        <v>-</v>
      </c>
      <c r="D10" s="985">
        <f t="shared" si="18"/>
        <v>46174</v>
      </c>
      <c r="E10" s="985">
        <f t="shared" si="19"/>
        <v>46174</v>
      </c>
      <c r="F10" s="985">
        <f t="shared" si="20"/>
        <v>46143</v>
      </c>
      <c r="G10" s="985" t="str">
        <f t="shared" si="21"/>
        <v>-</v>
      </c>
      <c r="H10" s="985" t="str">
        <f t="shared" si="22"/>
        <v>-</v>
      </c>
      <c r="I10" s="985" t="str">
        <f t="shared" si="23"/>
        <v>-</v>
      </c>
      <c r="J10" s="985" t="str">
        <f t="shared" si="24"/>
        <v>-</v>
      </c>
      <c r="L10" s="990" t="str">
        <f t="shared" si="25"/>
        <v>WV2-P2-P3-G1</v>
      </c>
      <c r="M10" s="990" t="str">
        <f t="shared" si="26"/>
        <v>WV2-P2-P3-G2</v>
      </c>
      <c r="N10" s="990" t="str">
        <f t="shared" si="27"/>
        <v>WV2-P2-P3-G3</v>
      </c>
      <c r="O10" s="990" t="str">
        <f t="shared" si="28"/>
        <v>WV2-P2-P3-G4</v>
      </c>
      <c r="P10" s="990" t="str">
        <f t="shared" si="29"/>
        <v>WV2-P2-P3-G5</v>
      </c>
      <c r="Q10" s="990" t="str">
        <f t="shared" si="30"/>
        <v>WV2-P2-P3-G6</v>
      </c>
      <c r="R10" s="990" t="str">
        <f t="shared" si="31"/>
        <v>WV2-P2-P3-G7</v>
      </c>
      <c r="S10" s="990" t="str">
        <f t="shared" si="32"/>
        <v>WV2-P2-P3-G8</v>
      </c>
      <c r="U10" s="985" t="str">
        <f>IFERROR(VLOOKUP(L10,'Schedule 5'!$J$741:$K$960,2,0),"-")</f>
        <v>-</v>
      </c>
      <c r="V10" s="985">
        <f>IFERROR(VLOOKUP(M10,'Schedule 5'!$J$741:$K$960,2,0),"-")</f>
        <v>46174</v>
      </c>
      <c r="W10" s="985">
        <f>IFERROR(VLOOKUP(N10,'Schedule 5'!$J$741:$K$960,2,0),"-")</f>
        <v>46174</v>
      </c>
      <c r="X10" s="985">
        <f>IFERROR(VLOOKUP(O10,'Schedule 5'!$J$741:$K$960,2,0),"-")</f>
        <v>46143</v>
      </c>
      <c r="Y10" s="985" t="str">
        <f>IFERROR(VLOOKUP(P10,'Schedule 5'!$J$741:$K$960,2,0),"-")</f>
        <v>-</v>
      </c>
      <c r="Z10" s="985" t="str">
        <f>IFERROR(VLOOKUP(Q10,'Schedule 5'!$J$741:$K$960,2,0),"-")</f>
        <v>-</v>
      </c>
      <c r="AA10" s="985" t="str">
        <f>IFERROR(VLOOKUP(R10,'Schedule 5'!$J$741:$K$960,2,0),"-")</f>
        <v>-</v>
      </c>
      <c r="AB10" s="985" t="str">
        <f>IFERROR(VLOOKUP(S10,'Schedule 5'!$J$741:$K$960,2,0),"-")</f>
        <v>-</v>
      </c>
    </row>
    <row r="11" spans="2:28" x14ac:dyDescent="0.3">
      <c r="B11" s="982" t="s">
        <v>9855</v>
      </c>
      <c r="C11" s="985">
        <f t="shared" si="17"/>
        <v>46143</v>
      </c>
      <c r="D11" s="985">
        <f t="shared" si="18"/>
        <v>46143</v>
      </c>
      <c r="E11" s="985">
        <f t="shared" si="19"/>
        <v>46143</v>
      </c>
      <c r="F11" s="985">
        <f t="shared" si="20"/>
        <v>46143</v>
      </c>
      <c r="G11" s="985" t="str">
        <f t="shared" si="21"/>
        <v>-</v>
      </c>
      <c r="H11" s="985" t="str">
        <f t="shared" si="22"/>
        <v>-</v>
      </c>
      <c r="I11" s="985" t="str">
        <f t="shared" si="23"/>
        <v>-</v>
      </c>
      <c r="J11" s="985" t="str">
        <f t="shared" si="24"/>
        <v>-</v>
      </c>
      <c r="L11" s="990" t="str">
        <f t="shared" si="25"/>
        <v>WV2-P3-P4-G1</v>
      </c>
      <c r="M11" s="990" t="str">
        <f t="shared" si="26"/>
        <v>WV2-P3-P4-G2</v>
      </c>
      <c r="N11" s="990" t="str">
        <f t="shared" si="27"/>
        <v>WV2-P3-P4-G3</v>
      </c>
      <c r="O11" s="990" t="str">
        <f t="shared" si="28"/>
        <v>WV2-P3-P4-G4</v>
      </c>
      <c r="P11" s="990" t="str">
        <f t="shared" si="29"/>
        <v>WV2-P3-P4-G5</v>
      </c>
      <c r="Q11" s="990" t="str">
        <f t="shared" si="30"/>
        <v>WV2-P3-P4-G6</v>
      </c>
      <c r="R11" s="990" t="str">
        <f t="shared" si="31"/>
        <v>WV2-P3-P4-G7</v>
      </c>
      <c r="S11" s="990" t="str">
        <f t="shared" si="32"/>
        <v>WV2-P3-P4-G8</v>
      </c>
      <c r="U11" s="985">
        <f>IFERROR(VLOOKUP(L11,'Schedule 5'!$J$741:$K$960,2,0),"-")</f>
        <v>46143</v>
      </c>
      <c r="V11" s="985">
        <f>IFERROR(VLOOKUP(M11,'Schedule 5'!$J$741:$K$960,2,0),"-")</f>
        <v>46143</v>
      </c>
      <c r="W11" s="985">
        <f>IFERROR(VLOOKUP(N11,'Schedule 5'!$J$741:$K$960,2,0),"-")</f>
        <v>46143</v>
      </c>
      <c r="X11" s="985">
        <f>IFERROR(VLOOKUP(O11,'Schedule 5'!$J$741:$K$960,2,0),"-")</f>
        <v>46143</v>
      </c>
      <c r="Y11" s="985" t="str">
        <f>IFERROR(VLOOKUP(P11,'Schedule 5'!$J$741:$K$960,2,0),"-")</f>
        <v>-</v>
      </c>
      <c r="Z11" s="985" t="str">
        <f>IFERROR(VLOOKUP(Q11,'Schedule 5'!$J$741:$K$960,2,0),"-")</f>
        <v>-</v>
      </c>
      <c r="AA11" s="985" t="str">
        <f>IFERROR(VLOOKUP(R11,'Schedule 5'!$J$741:$K$960,2,0),"-")</f>
        <v>-</v>
      </c>
      <c r="AB11" s="985" t="str">
        <f>IFERROR(VLOOKUP(S11,'Schedule 5'!$J$741:$K$960,2,0),"-")</f>
        <v>-</v>
      </c>
    </row>
    <row r="12" spans="2:28" x14ac:dyDescent="0.3">
      <c r="B12" s="982" t="s">
        <v>9856</v>
      </c>
      <c r="C12" s="985">
        <f t="shared" si="17"/>
        <v>46113</v>
      </c>
      <c r="D12" s="985">
        <f t="shared" si="18"/>
        <v>46143</v>
      </c>
      <c r="E12" s="985" t="str">
        <f t="shared" si="19"/>
        <v>-</v>
      </c>
      <c r="F12" s="985">
        <f t="shared" si="20"/>
        <v>46143</v>
      </c>
      <c r="G12" s="985" t="str">
        <f t="shared" si="21"/>
        <v>-</v>
      </c>
      <c r="H12" s="985" t="str">
        <f t="shared" si="22"/>
        <v>-</v>
      </c>
      <c r="I12" s="985" t="str">
        <f t="shared" si="23"/>
        <v>-</v>
      </c>
      <c r="J12" s="985" t="str">
        <f t="shared" si="24"/>
        <v>-</v>
      </c>
      <c r="L12" s="990" t="str">
        <f t="shared" si="25"/>
        <v>WV2-P4-P5-G1</v>
      </c>
      <c r="M12" s="990" t="str">
        <f t="shared" si="26"/>
        <v>WV2-P4-P5-G2</v>
      </c>
      <c r="N12" s="990" t="str">
        <f t="shared" si="27"/>
        <v>WV2-P4-P5-G3</v>
      </c>
      <c r="O12" s="990" t="str">
        <f t="shared" si="28"/>
        <v>WV2-P4-P5-G4</v>
      </c>
      <c r="P12" s="990" t="str">
        <f t="shared" si="29"/>
        <v>WV2-P4-P5-G5</v>
      </c>
      <c r="Q12" s="990" t="str">
        <f t="shared" si="30"/>
        <v>WV2-P4-P5-G6</v>
      </c>
      <c r="R12" s="990" t="str">
        <f t="shared" si="31"/>
        <v>WV2-P4-P5-G7</v>
      </c>
      <c r="S12" s="990" t="str">
        <f t="shared" si="32"/>
        <v>WV2-P4-P5-G8</v>
      </c>
      <c r="U12" s="985">
        <f>IFERROR(VLOOKUP(L12,'Schedule 5'!$J$741:$K$960,2,0),"-")</f>
        <v>46113</v>
      </c>
      <c r="V12" s="985">
        <f>IFERROR(VLOOKUP(M12,'Schedule 5'!$J$741:$K$960,2,0),"-")</f>
        <v>46143</v>
      </c>
      <c r="W12" s="985" t="str">
        <f>IFERROR(VLOOKUP(N12,'Schedule 5'!$J$741:$K$960,2,0),"-")</f>
        <v>-</v>
      </c>
      <c r="X12" s="985">
        <f>IFERROR(VLOOKUP(O12,'Schedule 5'!$J$741:$K$960,2,0),"-")</f>
        <v>46143</v>
      </c>
      <c r="Y12" s="985" t="str">
        <f>IFERROR(VLOOKUP(P12,'Schedule 5'!$J$741:$K$960,2,0),"-")</f>
        <v>-</v>
      </c>
      <c r="Z12" s="985" t="str">
        <f>IFERROR(VLOOKUP(Q12,'Schedule 5'!$J$741:$K$960,2,0),"-")</f>
        <v>-</v>
      </c>
      <c r="AA12" s="985" t="str">
        <f>IFERROR(VLOOKUP(R12,'Schedule 5'!$J$741:$K$960,2,0),"-")</f>
        <v>-</v>
      </c>
      <c r="AB12" s="985" t="str">
        <f>IFERROR(VLOOKUP(S12,'Schedule 5'!$J$741:$K$960,2,0),"-")</f>
        <v>-</v>
      </c>
    </row>
    <row r="13" spans="2:28" x14ac:dyDescent="0.3">
      <c r="B13" s="982" t="s">
        <v>9857</v>
      </c>
      <c r="C13" s="985">
        <f t="shared" si="17"/>
        <v>46113</v>
      </c>
      <c r="D13" s="985">
        <f t="shared" si="18"/>
        <v>46113</v>
      </c>
      <c r="E13" s="985">
        <f t="shared" si="19"/>
        <v>46113</v>
      </c>
      <c r="F13" s="985">
        <f t="shared" si="20"/>
        <v>46113</v>
      </c>
      <c r="G13" s="985" t="str">
        <f t="shared" si="21"/>
        <v>-</v>
      </c>
      <c r="H13" s="985" t="str">
        <f t="shared" si="22"/>
        <v>-</v>
      </c>
      <c r="I13" s="985" t="str">
        <f t="shared" si="23"/>
        <v>-</v>
      </c>
      <c r="J13" s="985" t="str">
        <f t="shared" si="24"/>
        <v>-</v>
      </c>
      <c r="L13" s="990" t="str">
        <f t="shared" si="25"/>
        <v>WV2-P5-P6-G1</v>
      </c>
      <c r="M13" s="990" t="str">
        <f t="shared" si="26"/>
        <v>WV2-P5-P6-G2</v>
      </c>
      <c r="N13" s="990" t="str">
        <f t="shared" si="27"/>
        <v>WV2-P5-P6-G3</v>
      </c>
      <c r="O13" s="990" t="str">
        <f t="shared" si="28"/>
        <v>WV2-P5-P6-G4</v>
      </c>
      <c r="P13" s="990" t="str">
        <f t="shared" si="29"/>
        <v>WV2-P5-P6-G5</v>
      </c>
      <c r="Q13" s="990" t="str">
        <f t="shared" si="30"/>
        <v>WV2-P5-P6-G6</v>
      </c>
      <c r="R13" s="990" t="str">
        <f t="shared" si="31"/>
        <v>WV2-P5-P6-G7</v>
      </c>
      <c r="S13" s="990" t="str">
        <f t="shared" si="32"/>
        <v>WV2-P5-P6-G8</v>
      </c>
      <c r="U13" s="985">
        <f>IFERROR(VLOOKUP(L13,'Schedule 5'!$J$741:$K$960,2,0),"-")</f>
        <v>46113</v>
      </c>
      <c r="V13" s="985">
        <f>IFERROR(VLOOKUP(M13,'Schedule 5'!$J$741:$K$960,2,0),"-")</f>
        <v>46113</v>
      </c>
      <c r="W13" s="985">
        <f>IFERROR(VLOOKUP(N13,'Schedule 5'!$J$741:$K$960,2,0),"-")</f>
        <v>46113</v>
      </c>
      <c r="X13" s="985">
        <f>IFERROR(VLOOKUP(O13,'Schedule 5'!$J$741:$K$960,2,0),"-")</f>
        <v>46113</v>
      </c>
      <c r="Y13" s="985" t="str">
        <f>IFERROR(VLOOKUP(P13,'Schedule 5'!$J$741:$K$960,2,0),"-")</f>
        <v>-</v>
      </c>
      <c r="Z13" s="985" t="str">
        <f>IFERROR(VLOOKUP(Q13,'Schedule 5'!$J$741:$K$960,2,0),"-")</f>
        <v>-</v>
      </c>
      <c r="AA13" s="985" t="str">
        <f>IFERROR(VLOOKUP(R13,'Schedule 5'!$J$741:$K$960,2,0),"-")</f>
        <v>-</v>
      </c>
      <c r="AB13" s="985" t="str">
        <f>IFERROR(VLOOKUP(S13,'Schedule 5'!$J$741:$K$960,2,0),"-")</f>
        <v>-</v>
      </c>
    </row>
    <row r="14" spans="2:28" x14ac:dyDescent="0.3">
      <c r="B14" s="982" t="s">
        <v>9858</v>
      </c>
      <c r="C14" s="985">
        <f t="shared" si="17"/>
        <v>46082</v>
      </c>
      <c r="D14" s="985">
        <f>V14</f>
        <v>46082</v>
      </c>
      <c r="E14" s="985">
        <f t="shared" si="19"/>
        <v>46082</v>
      </c>
      <c r="F14" s="985">
        <f>X14</f>
        <v>46082</v>
      </c>
      <c r="G14" s="985" t="str">
        <f t="shared" si="21"/>
        <v>-</v>
      </c>
      <c r="H14" s="985" t="str">
        <f t="shared" si="22"/>
        <v>-</v>
      </c>
      <c r="I14" s="985" t="str">
        <f t="shared" si="23"/>
        <v>-</v>
      </c>
      <c r="J14" s="985" t="str">
        <f t="shared" si="24"/>
        <v>-</v>
      </c>
      <c r="L14" s="990" t="str">
        <f t="shared" si="25"/>
        <v>WV2-P6-P7-G1</v>
      </c>
      <c r="M14" s="990" t="str">
        <f t="shared" si="26"/>
        <v>WV2-P6-P7-G2</v>
      </c>
      <c r="N14" s="990" t="str">
        <f t="shared" si="27"/>
        <v>WV2-P6-P7-G3</v>
      </c>
      <c r="O14" s="990" t="str">
        <f t="shared" si="28"/>
        <v>WV2-P6-P7-G4</v>
      </c>
      <c r="P14" s="990" t="str">
        <f t="shared" si="29"/>
        <v>WV2-P6-P7-G5</v>
      </c>
      <c r="Q14" s="990" t="str">
        <f t="shared" si="30"/>
        <v>WV2-P6-P7-G6</v>
      </c>
      <c r="R14" s="990" t="str">
        <f t="shared" si="31"/>
        <v>WV2-P6-P7-G7</v>
      </c>
      <c r="S14" s="990" t="str">
        <f t="shared" si="32"/>
        <v>WV2-P6-P7-G8</v>
      </c>
      <c r="U14" s="985">
        <f>IFERROR(VLOOKUP(L14,'Schedule 5'!$J$741:$K$960,2,0),"-")</f>
        <v>46082</v>
      </c>
      <c r="V14" s="985">
        <f>IFERROR(VLOOKUP(M14,'Schedule 5'!$J$741:$K$960,2,0),"-")</f>
        <v>46082</v>
      </c>
      <c r="W14" s="985">
        <f>IFERROR(VLOOKUP(N14,'Schedule 5'!$J$741:$K$960,2,0),"-")</f>
        <v>46082</v>
      </c>
      <c r="X14" s="985">
        <f>IFERROR(VLOOKUP(O14,'Schedule 5'!$J$741:$K$960,2,0),"-")</f>
        <v>46082</v>
      </c>
      <c r="Y14" s="985" t="str">
        <f>IFERROR(VLOOKUP(P14,'Schedule 5'!$J$741:$K$960,2,0),"-")</f>
        <v>-</v>
      </c>
      <c r="Z14" s="985" t="str">
        <f>IFERROR(VLOOKUP(Q14,'Schedule 5'!$J$741:$K$960,2,0),"-")</f>
        <v>-</v>
      </c>
      <c r="AA14" s="985" t="str">
        <f>IFERROR(VLOOKUP(R14,'Schedule 5'!$J$741:$K$960,2,0),"-")</f>
        <v>-</v>
      </c>
      <c r="AB14" s="985" t="str">
        <f>IFERROR(VLOOKUP(S14,'Schedule 5'!$J$741:$K$960,2,0),"-")</f>
        <v>-</v>
      </c>
    </row>
    <row r="15" spans="2:28" x14ac:dyDescent="0.3">
      <c r="B15" s="982" t="s">
        <v>9859</v>
      </c>
      <c r="C15" s="985">
        <f t="shared" si="17"/>
        <v>46113</v>
      </c>
      <c r="D15" s="985">
        <f t="shared" si="18"/>
        <v>46082</v>
      </c>
      <c r="E15" s="985">
        <f t="shared" si="19"/>
        <v>46113</v>
      </c>
      <c r="F15" s="985">
        <f t="shared" si="20"/>
        <v>46082</v>
      </c>
      <c r="G15" s="985" t="str">
        <f t="shared" si="21"/>
        <v>-</v>
      </c>
      <c r="H15" s="985" t="str">
        <f t="shared" si="22"/>
        <v>-</v>
      </c>
      <c r="I15" s="985" t="str">
        <f t="shared" si="23"/>
        <v>-</v>
      </c>
      <c r="J15" s="985" t="str">
        <f t="shared" si="24"/>
        <v>-</v>
      </c>
      <c r="L15" s="990" t="str">
        <f t="shared" si="25"/>
        <v>WV2-P7-P8-G1</v>
      </c>
      <c r="M15" s="990" t="str">
        <f t="shared" si="26"/>
        <v>WV2-P7-P8-G2</v>
      </c>
      <c r="N15" s="990" t="str">
        <f t="shared" si="27"/>
        <v>WV2-P7-P8-G3</v>
      </c>
      <c r="O15" s="990" t="str">
        <f t="shared" si="28"/>
        <v>WV2-P7-P8-G4</v>
      </c>
      <c r="P15" s="990" t="str">
        <f t="shared" si="29"/>
        <v>WV2-P7-P8-G5</v>
      </c>
      <c r="Q15" s="990" t="str">
        <f t="shared" si="30"/>
        <v>WV2-P7-P8-G6</v>
      </c>
      <c r="R15" s="990" t="str">
        <f t="shared" si="31"/>
        <v>WV2-P7-P8-G7</v>
      </c>
      <c r="S15" s="990" t="str">
        <f t="shared" si="32"/>
        <v>WV2-P7-P8-G8</v>
      </c>
      <c r="U15" s="985">
        <f>IFERROR(VLOOKUP(L15,'Schedule 5'!$J$741:$K$960,2,0),"-")</f>
        <v>46113</v>
      </c>
      <c r="V15" s="985">
        <f>IFERROR(VLOOKUP(M15,'Schedule 5'!$J$741:$K$960,2,0),"-")</f>
        <v>46082</v>
      </c>
      <c r="W15" s="985">
        <f>IFERROR(VLOOKUP(N15,'Schedule 5'!$J$741:$K$960,2,0),"-")</f>
        <v>46113</v>
      </c>
      <c r="X15" s="985">
        <f>IFERROR(VLOOKUP(O15,'Schedule 5'!$J$741:$K$960,2,0),"-")</f>
        <v>46082</v>
      </c>
      <c r="Y15" s="985" t="str">
        <f>IFERROR(VLOOKUP(P15,'Schedule 5'!$J$741:$K$960,2,0),"-")</f>
        <v>-</v>
      </c>
      <c r="Z15" s="985" t="str">
        <f>IFERROR(VLOOKUP(Q15,'Schedule 5'!$J$741:$K$960,2,0),"-")</f>
        <v>-</v>
      </c>
      <c r="AA15" s="985" t="str">
        <f>IFERROR(VLOOKUP(R15,'Schedule 5'!$J$741:$K$960,2,0),"-")</f>
        <v>-</v>
      </c>
      <c r="AB15" s="985" t="str">
        <f>IFERROR(VLOOKUP(S15,'Schedule 5'!$J$741:$K$960,2,0),"-")</f>
        <v>-</v>
      </c>
    </row>
    <row r="16" spans="2:28" x14ac:dyDescent="0.3">
      <c r="B16" s="982" t="s">
        <v>9860</v>
      </c>
      <c r="C16" s="985">
        <f t="shared" si="17"/>
        <v>46082</v>
      </c>
      <c r="D16" s="985">
        <f t="shared" si="18"/>
        <v>46054</v>
      </c>
      <c r="E16" s="985">
        <f t="shared" si="19"/>
        <v>46054</v>
      </c>
      <c r="F16" s="985">
        <f t="shared" si="20"/>
        <v>46054</v>
      </c>
      <c r="G16" s="985" t="str">
        <f t="shared" si="21"/>
        <v>-</v>
      </c>
      <c r="H16" s="985" t="str">
        <f t="shared" si="22"/>
        <v>-</v>
      </c>
      <c r="I16" s="985" t="str">
        <f t="shared" si="23"/>
        <v>-</v>
      </c>
      <c r="J16" s="985" t="str">
        <f t="shared" si="24"/>
        <v>-</v>
      </c>
      <c r="L16" s="990" t="str">
        <f t="shared" si="25"/>
        <v>WV2-P8-P9-G1</v>
      </c>
      <c r="M16" s="990" t="str">
        <f t="shared" si="26"/>
        <v>WV2-P8-P9-G2</v>
      </c>
      <c r="N16" s="990" t="str">
        <f t="shared" si="27"/>
        <v>WV2-P8-P9-G3</v>
      </c>
      <c r="O16" s="990" t="str">
        <f t="shared" si="28"/>
        <v>WV2-P8-P9-G4</v>
      </c>
      <c r="P16" s="990" t="str">
        <f t="shared" si="29"/>
        <v>WV2-P8-P9-G5</v>
      </c>
      <c r="Q16" s="990" t="str">
        <f t="shared" si="30"/>
        <v>WV2-P8-P9-G6</v>
      </c>
      <c r="R16" s="990" t="str">
        <f t="shared" si="31"/>
        <v>WV2-P8-P9-G7</v>
      </c>
      <c r="S16" s="990" t="str">
        <f t="shared" si="32"/>
        <v>WV2-P8-P9-G8</v>
      </c>
      <c r="U16" s="985">
        <f>IFERROR(VLOOKUP(L16,'Schedule 5'!$J$741:$K$960,2,0),"-")</f>
        <v>46082</v>
      </c>
      <c r="V16" s="985">
        <f>IFERROR(VLOOKUP(M16,'Schedule 5'!$J$741:$K$960,2,0),"-")</f>
        <v>46054</v>
      </c>
      <c r="W16" s="985">
        <f>IFERROR(VLOOKUP(N16,'Schedule 5'!$J$741:$K$960,2,0),"-")</f>
        <v>46054</v>
      </c>
      <c r="X16" s="985">
        <f>IFERROR(VLOOKUP(O16,'Schedule 5'!$J$741:$K$960,2,0),"-")</f>
        <v>46054</v>
      </c>
      <c r="Y16" s="985" t="str">
        <f>IFERROR(VLOOKUP(P16,'Schedule 5'!$J$741:$K$960,2,0),"-")</f>
        <v>-</v>
      </c>
      <c r="Z16" s="985" t="str">
        <f>IFERROR(VLOOKUP(Q16,'Schedule 5'!$J$741:$K$960,2,0),"-")</f>
        <v>-</v>
      </c>
      <c r="AA16" s="985" t="str">
        <f>IFERROR(VLOOKUP(R16,'Schedule 5'!$J$741:$K$960,2,0),"-")</f>
        <v>-</v>
      </c>
      <c r="AB16" s="985" t="str">
        <f>IFERROR(VLOOKUP(S16,'Schedule 5'!$J$741:$K$960,2,0),"-")</f>
        <v>-</v>
      </c>
    </row>
    <row r="17" spans="2:28" x14ac:dyDescent="0.3">
      <c r="B17" s="982" t="s">
        <v>9861</v>
      </c>
      <c r="C17" s="985">
        <f t="shared" si="17"/>
        <v>46082</v>
      </c>
      <c r="D17" s="985">
        <f t="shared" si="18"/>
        <v>46054</v>
      </c>
      <c r="E17" s="985">
        <f t="shared" si="19"/>
        <v>46082</v>
      </c>
      <c r="F17" s="985">
        <f t="shared" si="20"/>
        <v>46054</v>
      </c>
      <c r="G17" s="985">
        <f t="shared" si="21"/>
        <v>45992</v>
      </c>
      <c r="H17" s="985" t="str">
        <f t="shared" si="22"/>
        <v>-</v>
      </c>
      <c r="I17" s="985" t="str">
        <f t="shared" si="23"/>
        <v>-</v>
      </c>
      <c r="J17" s="985" t="str">
        <f t="shared" si="24"/>
        <v>-</v>
      </c>
      <c r="L17" s="990" t="str">
        <f t="shared" si="25"/>
        <v>WV2-P9-P10-G1</v>
      </c>
      <c r="M17" s="990" t="str">
        <f t="shared" si="26"/>
        <v>WV2-P9-P10-G2</v>
      </c>
      <c r="N17" s="990" t="str">
        <f t="shared" si="27"/>
        <v>WV2-P9-P10-G3</v>
      </c>
      <c r="O17" s="990" t="str">
        <f t="shared" si="28"/>
        <v>WV2-P9-P10-G4</v>
      </c>
      <c r="P17" s="990" t="str">
        <f t="shared" si="29"/>
        <v>WV2-P9-P10-G5</v>
      </c>
      <c r="Q17" s="990" t="str">
        <f t="shared" si="30"/>
        <v>WV2-P9-P10-G6</v>
      </c>
      <c r="R17" s="990" t="str">
        <f t="shared" si="31"/>
        <v>WV2-P9-P10-G7</v>
      </c>
      <c r="S17" s="990" t="str">
        <f t="shared" si="32"/>
        <v>WV2-P9-P10-G8</v>
      </c>
      <c r="U17" s="985">
        <f>IFERROR(VLOOKUP(L17,'Schedule 5'!$J$741:$K$960,2,0),"-")</f>
        <v>46082</v>
      </c>
      <c r="V17" s="985">
        <f>IFERROR(VLOOKUP(M17,'Schedule 5'!$J$741:$K$960,2,0),"-")</f>
        <v>46054</v>
      </c>
      <c r="W17" s="985">
        <f>IFERROR(VLOOKUP(N17,'Schedule 5'!$J$741:$K$960,2,0),"-")</f>
        <v>46082</v>
      </c>
      <c r="X17" s="985">
        <f>IFERROR(VLOOKUP(O17,'Schedule 5'!$J$741:$K$960,2,0),"-")</f>
        <v>46054</v>
      </c>
      <c r="Y17" s="985">
        <f>IFERROR(VLOOKUP(P17,'Schedule 5'!$J$741:$K$960,2,0),"-")</f>
        <v>45992</v>
      </c>
      <c r="Z17" s="985" t="str">
        <f>IFERROR(VLOOKUP(Q17,'Schedule 5'!$J$741:$K$960,2,0),"-")</f>
        <v>-</v>
      </c>
      <c r="AA17" s="985" t="str">
        <f>IFERROR(VLOOKUP(R17,'Schedule 5'!$J$741:$K$960,2,0),"-")</f>
        <v>-</v>
      </c>
      <c r="AB17" s="985" t="str">
        <f>IFERROR(VLOOKUP(S17,'Schedule 5'!$J$741:$K$960,2,0),"-")</f>
        <v>-</v>
      </c>
    </row>
    <row r="18" spans="2:28" x14ac:dyDescent="0.3">
      <c r="B18" s="982" t="s">
        <v>9862</v>
      </c>
      <c r="C18" s="985">
        <f t="shared" si="17"/>
        <v>45962</v>
      </c>
      <c r="D18" s="985">
        <f t="shared" si="18"/>
        <v>45962</v>
      </c>
      <c r="E18" s="985">
        <f t="shared" si="19"/>
        <v>45962</v>
      </c>
      <c r="F18" s="985">
        <f t="shared" si="20"/>
        <v>45992</v>
      </c>
      <c r="G18" s="985">
        <f t="shared" si="21"/>
        <v>45992</v>
      </c>
      <c r="H18" s="985">
        <f t="shared" si="22"/>
        <v>45992</v>
      </c>
      <c r="I18" s="985" t="str">
        <f t="shared" si="23"/>
        <v>-</v>
      </c>
      <c r="J18" s="985">
        <f t="shared" si="24"/>
        <v>46204</v>
      </c>
      <c r="L18" s="990" t="str">
        <f t="shared" si="25"/>
        <v>WV2-P10-P11-G1</v>
      </c>
      <c r="M18" s="990" t="str">
        <f t="shared" si="26"/>
        <v>WV2-P10-P11-G2</v>
      </c>
      <c r="N18" s="990" t="str">
        <f t="shared" si="27"/>
        <v>WV2-P10-P11-G3</v>
      </c>
      <c r="O18" s="990" t="str">
        <f t="shared" si="28"/>
        <v>WV2-P10-P11-G4</v>
      </c>
      <c r="P18" s="990" t="str">
        <f t="shared" si="29"/>
        <v>WV2-P10-P11-G5</v>
      </c>
      <c r="Q18" s="990" t="str">
        <f t="shared" si="30"/>
        <v>WV2-P10-P11-G6</v>
      </c>
      <c r="R18" s="990" t="str">
        <f t="shared" si="31"/>
        <v>WV2-P10-P11-G7</v>
      </c>
      <c r="S18" s="990" t="str">
        <f t="shared" si="32"/>
        <v>WV2-P10-P11-G8</v>
      </c>
      <c r="U18" s="985">
        <f>IFERROR(VLOOKUP(L18,'Schedule 5'!$J$741:$K$960,2,0),"-")</f>
        <v>45962</v>
      </c>
      <c r="V18" s="985">
        <f>IFERROR(VLOOKUP(M18,'Schedule 5'!$J$741:$K$960,2,0),"-")</f>
        <v>45962</v>
      </c>
      <c r="W18" s="985">
        <f>IFERROR(VLOOKUP(N18,'Schedule 5'!$J$741:$K$960,2,0),"-")</f>
        <v>45962</v>
      </c>
      <c r="X18" s="985">
        <f>IFERROR(VLOOKUP(O18,'Schedule 5'!$J$741:$K$960,2,0),"-")</f>
        <v>45992</v>
      </c>
      <c r="Y18" s="985">
        <f>IFERROR(VLOOKUP(P18,'Schedule 5'!$J$741:$K$960,2,0),"-")</f>
        <v>45992</v>
      </c>
      <c r="Z18" s="985">
        <f>IFERROR(VLOOKUP(Q18,'Schedule 5'!$J$741:$K$960,2,0),"-")</f>
        <v>45992</v>
      </c>
      <c r="AA18" s="985" t="str">
        <f>IFERROR(VLOOKUP(R18,'Schedule 5'!$J$741:$K$960,2,0),"-")</f>
        <v>-</v>
      </c>
      <c r="AB18" s="985">
        <f>IFERROR(VLOOKUP(S18,'Schedule 5'!$J$741:$K$960,2,0),"-")</f>
        <v>46204</v>
      </c>
    </row>
    <row r="19" spans="2:28" x14ac:dyDescent="0.3">
      <c r="B19" s="982" t="s">
        <v>9863</v>
      </c>
      <c r="C19" s="985">
        <f t="shared" si="17"/>
        <v>46082</v>
      </c>
      <c r="D19" s="985">
        <f t="shared" si="18"/>
        <v>45962</v>
      </c>
      <c r="E19" s="985">
        <f t="shared" si="19"/>
        <v>45992</v>
      </c>
      <c r="F19" s="985">
        <f t="shared" si="20"/>
        <v>46082</v>
      </c>
      <c r="G19" s="985">
        <f t="shared" si="21"/>
        <v>46023</v>
      </c>
      <c r="H19" s="985">
        <f t="shared" si="22"/>
        <v>45962</v>
      </c>
      <c r="I19" s="985">
        <f t="shared" si="23"/>
        <v>46023</v>
      </c>
      <c r="J19" s="985">
        <f t="shared" si="24"/>
        <v>45992</v>
      </c>
      <c r="L19" s="990" t="str">
        <f t="shared" si="25"/>
        <v>WV2-P11-P12-G1</v>
      </c>
      <c r="M19" s="990" t="str">
        <f t="shared" si="26"/>
        <v>WV2-P11-P12-G2</v>
      </c>
      <c r="N19" s="990" t="str">
        <f t="shared" si="27"/>
        <v>WV2-P11-P12-G3</v>
      </c>
      <c r="O19" s="990" t="str">
        <f t="shared" si="28"/>
        <v>WV2-P11-P12-G4</v>
      </c>
      <c r="P19" s="990" t="str">
        <f t="shared" si="29"/>
        <v>WV2-P11-P12-G5</v>
      </c>
      <c r="Q19" s="990" t="str">
        <f t="shared" si="30"/>
        <v>WV2-P11-P12-G6</v>
      </c>
      <c r="R19" s="990" t="str">
        <f t="shared" si="31"/>
        <v>WV2-P11-P12-G7</v>
      </c>
      <c r="S19" s="990" t="str">
        <f t="shared" si="32"/>
        <v>WV2-P11-P12-G8</v>
      </c>
      <c r="U19" s="985">
        <f>IFERROR(VLOOKUP(L19,'Schedule 5'!$J$741:$K$960,2,0),"-")</f>
        <v>46082</v>
      </c>
      <c r="V19" s="985">
        <f>IFERROR(VLOOKUP(M19,'Schedule 5'!$J$741:$K$960,2,0),"-")</f>
        <v>45962</v>
      </c>
      <c r="W19" s="985">
        <f>IFERROR(VLOOKUP(N19,'Schedule 5'!$J$741:$K$960,2,0),"-")</f>
        <v>45992</v>
      </c>
      <c r="X19" s="985">
        <f>IFERROR(VLOOKUP(O19,'Schedule 5'!$J$741:$K$960,2,0),"-")</f>
        <v>46082</v>
      </c>
      <c r="Y19" s="985">
        <f>IFERROR(VLOOKUP(P19,'Schedule 5'!$J$741:$K$960,2,0),"-")</f>
        <v>46023</v>
      </c>
      <c r="Z19" s="985">
        <f>IFERROR(VLOOKUP(Q19,'Schedule 5'!$J$741:$K$960,2,0),"-")</f>
        <v>45962</v>
      </c>
      <c r="AA19" s="985">
        <f>IFERROR(VLOOKUP(R19,'Schedule 5'!$J$741:$K$960,2,0),"-")</f>
        <v>46023</v>
      </c>
      <c r="AB19" s="985">
        <f>IFERROR(VLOOKUP(S19,'Schedule 5'!$J$741:$K$960,2,0),"-")</f>
        <v>45992</v>
      </c>
    </row>
    <row r="20" spans="2:28" x14ac:dyDescent="0.3">
      <c r="B20" s="982" t="s">
        <v>9864</v>
      </c>
      <c r="C20" s="985">
        <f t="shared" si="17"/>
        <v>45962</v>
      </c>
      <c r="D20" s="985">
        <f t="shared" si="18"/>
        <v>45962</v>
      </c>
      <c r="E20" s="985">
        <f t="shared" si="19"/>
        <v>45962</v>
      </c>
      <c r="F20" s="985">
        <f t="shared" si="20"/>
        <v>45962</v>
      </c>
      <c r="G20" s="985">
        <f t="shared" si="21"/>
        <v>45962</v>
      </c>
      <c r="H20" s="985">
        <f t="shared" si="22"/>
        <v>45962</v>
      </c>
      <c r="I20" s="985">
        <f t="shared" si="23"/>
        <v>45962</v>
      </c>
      <c r="J20" s="985">
        <f t="shared" si="24"/>
        <v>45992</v>
      </c>
      <c r="L20" s="990" t="str">
        <f t="shared" si="25"/>
        <v>WV2-P12-P13-G1</v>
      </c>
      <c r="M20" s="990" t="str">
        <f t="shared" si="26"/>
        <v>WV2-P12-P13-G2</v>
      </c>
      <c r="N20" s="990" t="str">
        <f t="shared" si="27"/>
        <v>WV2-P12-P13-G3</v>
      </c>
      <c r="O20" s="990" t="str">
        <f t="shared" si="28"/>
        <v>WV2-P12-P13-G4</v>
      </c>
      <c r="P20" s="990" t="str">
        <f t="shared" si="29"/>
        <v>WV2-P12-P13-G5</v>
      </c>
      <c r="Q20" s="990" t="str">
        <f t="shared" si="30"/>
        <v>WV2-P12-P13-G6</v>
      </c>
      <c r="R20" s="990" t="str">
        <f t="shared" si="31"/>
        <v>WV2-P12-P13-G7</v>
      </c>
      <c r="S20" s="990" t="str">
        <f t="shared" si="32"/>
        <v>WV2-P12-P13-G8</v>
      </c>
      <c r="U20" s="985">
        <f>IFERROR(VLOOKUP(L20,'Schedule 5'!$J$741:$K$960,2,0),"-")</f>
        <v>45962</v>
      </c>
      <c r="V20" s="985">
        <f>IFERROR(VLOOKUP(M20,'Schedule 5'!$J$741:$K$960,2,0),"-")</f>
        <v>45962</v>
      </c>
      <c r="W20" s="985">
        <f>IFERROR(VLOOKUP(N20,'Schedule 5'!$J$741:$K$960,2,0),"-")</f>
        <v>45962</v>
      </c>
      <c r="X20" s="985">
        <f>IFERROR(VLOOKUP(O20,'Schedule 5'!$J$741:$K$960,2,0),"-")</f>
        <v>45962</v>
      </c>
      <c r="Y20" s="985">
        <f>IFERROR(VLOOKUP(P20,'Schedule 5'!$J$741:$K$960,2,0),"-")</f>
        <v>45962</v>
      </c>
      <c r="Z20" s="985">
        <f>IFERROR(VLOOKUP(Q20,'Schedule 5'!$J$741:$K$960,2,0),"-")</f>
        <v>45962</v>
      </c>
      <c r="AA20" s="985">
        <f>IFERROR(VLOOKUP(R20,'Schedule 5'!$J$741:$K$960,2,0),"-")</f>
        <v>45962</v>
      </c>
      <c r="AB20" s="985">
        <f>IFERROR(VLOOKUP(S20,'Schedule 5'!$J$741:$K$960,2,0),"-")</f>
        <v>45992</v>
      </c>
    </row>
    <row r="21" spans="2:28" x14ac:dyDescent="0.3">
      <c r="B21" s="982" t="s">
        <v>9865</v>
      </c>
      <c r="C21" s="985">
        <f t="shared" si="17"/>
        <v>45931</v>
      </c>
      <c r="D21" s="985">
        <f t="shared" si="18"/>
        <v>45931</v>
      </c>
      <c r="E21" s="985">
        <f t="shared" si="19"/>
        <v>45962</v>
      </c>
      <c r="F21" s="985">
        <f t="shared" si="20"/>
        <v>45962</v>
      </c>
      <c r="G21" s="985">
        <f t="shared" si="21"/>
        <v>45992</v>
      </c>
      <c r="H21" s="985">
        <f t="shared" si="22"/>
        <v>46054</v>
      </c>
      <c r="I21" s="985">
        <f t="shared" si="23"/>
        <v>46082</v>
      </c>
      <c r="J21" s="985">
        <f t="shared" si="24"/>
        <v>46023</v>
      </c>
      <c r="L21" s="990" t="str">
        <f t="shared" si="25"/>
        <v>WV2-P13-P14-G1</v>
      </c>
      <c r="M21" s="990" t="str">
        <f t="shared" si="26"/>
        <v>WV2-P13-P14-G2</v>
      </c>
      <c r="N21" s="990" t="str">
        <f t="shared" si="27"/>
        <v>WV2-P13-P14-G3</v>
      </c>
      <c r="O21" s="990" t="str">
        <f t="shared" si="28"/>
        <v>WV2-P13-P14-G4</v>
      </c>
      <c r="P21" s="990" t="str">
        <f t="shared" si="29"/>
        <v>WV2-P13-P14-G5</v>
      </c>
      <c r="Q21" s="990" t="str">
        <f t="shared" si="30"/>
        <v>WV2-P13-P14-G6</v>
      </c>
      <c r="R21" s="990" t="str">
        <f t="shared" si="31"/>
        <v>WV2-P13-P14-G7</v>
      </c>
      <c r="S21" s="990" t="str">
        <f t="shared" si="32"/>
        <v>WV2-P13-P14-G8</v>
      </c>
      <c r="U21" s="985">
        <f>IFERROR(VLOOKUP(L21,'Schedule 5'!$J$741:$K$960,2,0),"-")</f>
        <v>45931</v>
      </c>
      <c r="V21" s="985">
        <f>IFERROR(VLOOKUP(M21,'Schedule 5'!$J$741:$K$960,2,0),"-")</f>
        <v>45931</v>
      </c>
      <c r="W21" s="985">
        <f>IFERROR(VLOOKUP(N21,'Schedule 5'!$J$741:$K$960,2,0),"-")</f>
        <v>45962</v>
      </c>
      <c r="X21" s="985">
        <f>IFERROR(VLOOKUP(O21,'Schedule 5'!$J$741:$K$960,2,0),"-")</f>
        <v>45962</v>
      </c>
      <c r="Y21" s="985">
        <f>IFERROR(VLOOKUP(P21,'Schedule 5'!$J$741:$K$960,2,0),"-")</f>
        <v>45992</v>
      </c>
      <c r="Z21" s="985">
        <f>IFERROR(VLOOKUP(Q21,'Schedule 5'!$J$741:$K$960,2,0),"-")</f>
        <v>46054</v>
      </c>
      <c r="AA21" s="985">
        <f>IFERROR(VLOOKUP(R21,'Schedule 5'!$J$741:$K$960,2,0),"-")</f>
        <v>46082</v>
      </c>
      <c r="AB21" s="985">
        <f>IFERROR(VLOOKUP(S21,'Schedule 5'!$J$741:$K$960,2,0),"-")</f>
        <v>46023</v>
      </c>
    </row>
    <row r="22" spans="2:28" x14ac:dyDescent="0.3">
      <c r="B22" s="982" t="s">
        <v>9866</v>
      </c>
      <c r="C22" s="985">
        <f t="shared" si="17"/>
        <v>45931</v>
      </c>
      <c r="D22" s="985">
        <f t="shared" si="18"/>
        <v>45931</v>
      </c>
      <c r="E22" s="985">
        <f t="shared" si="19"/>
        <v>45931</v>
      </c>
      <c r="F22" s="985">
        <f t="shared" si="20"/>
        <v>45962</v>
      </c>
      <c r="G22" s="985">
        <f t="shared" si="21"/>
        <v>45931</v>
      </c>
      <c r="H22" s="985">
        <f t="shared" si="22"/>
        <v>45962</v>
      </c>
      <c r="I22" s="985">
        <f t="shared" si="23"/>
        <v>45931</v>
      </c>
      <c r="J22" s="985">
        <f t="shared" si="24"/>
        <v>45931</v>
      </c>
      <c r="L22" s="990" t="str">
        <f t="shared" si="25"/>
        <v>WV2-P14-P15-G1</v>
      </c>
      <c r="M22" s="990" t="str">
        <f t="shared" si="26"/>
        <v>WV2-P14-P15-G2</v>
      </c>
      <c r="N22" s="990" t="str">
        <f t="shared" si="27"/>
        <v>WV2-P14-P15-G3</v>
      </c>
      <c r="O22" s="990" t="str">
        <f t="shared" si="28"/>
        <v>WV2-P14-P15-G4</v>
      </c>
      <c r="P22" s="990" t="str">
        <f t="shared" si="29"/>
        <v>WV2-P14-P15-G5</v>
      </c>
      <c r="Q22" s="990" t="str">
        <f t="shared" si="30"/>
        <v>WV2-P14-P15-G6</v>
      </c>
      <c r="R22" s="990" t="str">
        <f t="shared" si="31"/>
        <v>WV2-P14-P15-G7</v>
      </c>
      <c r="S22" s="990" t="str">
        <f t="shared" si="32"/>
        <v>WV2-P14-P15-G8</v>
      </c>
      <c r="U22" s="985">
        <f>IFERROR(VLOOKUP(L22,'Schedule 5'!$J$741:$K$960,2,0),"-")</f>
        <v>45931</v>
      </c>
      <c r="V22" s="985">
        <f>IFERROR(VLOOKUP(M22,'Schedule 5'!$J$741:$K$960,2,0),"-")</f>
        <v>45931</v>
      </c>
      <c r="W22" s="985">
        <f>IFERROR(VLOOKUP(N22,'Schedule 5'!$J$741:$K$960,2,0),"-")</f>
        <v>45931</v>
      </c>
      <c r="X22" s="985">
        <f>IFERROR(VLOOKUP(O22,'Schedule 5'!$J$741:$K$960,2,0),"-")</f>
        <v>45962</v>
      </c>
      <c r="Y22" s="985">
        <f>IFERROR(VLOOKUP(P22,'Schedule 5'!$J$741:$K$960,2,0),"-")</f>
        <v>45931</v>
      </c>
      <c r="Z22" s="985">
        <f>IFERROR(VLOOKUP(Q22,'Schedule 5'!$J$741:$K$960,2,0),"-")</f>
        <v>45962</v>
      </c>
      <c r="AA22" s="985">
        <f>IFERROR(VLOOKUP(R22,'Schedule 5'!$J$741:$K$960,2,0),"-")</f>
        <v>45931</v>
      </c>
      <c r="AB22" s="985">
        <f>IFERROR(VLOOKUP(S22,'Schedule 5'!$J$741:$K$960,2,0),"-")</f>
        <v>45931</v>
      </c>
    </row>
    <row r="23" spans="2:28" x14ac:dyDescent="0.3">
      <c r="B23" s="982" t="s">
        <v>9867</v>
      </c>
      <c r="C23" s="985">
        <f t="shared" si="17"/>
        <v>45870</v>
      </c>
      <c r="D23" s="985">
        <f t="shared" si="18"/>
        <v>45839</v>
      </c>
      <c r="E23" s="985">
        <f t="shared" si="19"/>
        <v>45839</v>
      </c>
      <c r="F23" s="985">
        <f t="shared" si="20"/>
        <v>45870</v>
      </c>
      <c r="G23" s="985">
        <f t="shared" si="21"/>
        <v>45870</v>
      </c>
      <c r="H23" s="985">
        <f t="shared" si="22"/>
        <v>45839</v>
      </c>
      <c r="I23" s="985">
        <f t="shared" si="23"/>
        <v>45839</v>
      </c>
      <c r="J23" s="985">
        <f t="shared" si="24"/>
        <v>45870</v>
      </c>
      <c r="L23" s="990" t="str">
        <f t="shared" ref="L23:L28" si="33">CONCATENATE($B23,"-",C$3)</f>
        <v>WV2-P15-P16-G1</v>
      </c>
      <c r="M23" s="990" t="str">
        <f t="shared" ref="M23:M28" si="34">CONCATENATE($B23,"-",D$3)</f>
        <v>WV2-P15-P16-G2</v>
      </c>
      <c r="N23" s="990" t="str">
        <f t="shared" ref="N23:N28" si="35">CONCATENATE($B23,"-",E$3)</f>
        <v>WV2-P15-P16-G3</v>
      </c>
      <c r="O23" s="990" t="str">
        <f t="shared" ref="O23:O28" si="36">CONCATENATE($B23,"-",F$3)</f>
        <v>WV2-P15-P16-G4</v>
      </c>
      <c r="P23" s="990" t="str">
        <f t="shared" ref="P23:P28" si="37">CONCATENATE($B23,"-",G$3)</f>
        <v>WV2-P15-P16-G5</v>
      </c>
      <c r="Q23" s="990" t="str">
        <f t="shared" ref="Q23:Q28" si="38">CONCATENATE($B23,"-",H$3)</f>
        <v>WV2-P15-P16-G6</v>
      </c>
      <c r="R23" s="990" t="str">
        <f t="shared" ref="R23:R28" si="39">CONCATENATE($B23,"-",I$3)</f>
        <v>WV2-P15-P16-G7</v>
      </c>
      <c r="S23" s="990" t="str">
        <f t="shared" ref="S23:S28" si="40">CONCATENATE($B23,"-",J$3)</f>
        <v>WV2-P15-P16-G8</v>
      </c>
      <c r="U23" s="985">
        <f>IFERROR(VLOOKUP(L23,'Schedule 5'!$J$741:$K$960,2,0),"-")</f>
        <v>45870</v>
      </c>
      <c r="V23" s="985">
        <f>IFERROR(VLOOKUP(M23,'Schedule 5'!$J$741:$K$960,2,0),"-")</f>
        <v>45839</v>
      </c>
      <c r="W23" s="985">
        <f>IFERROR(VLOOKUP(N23,'Schedule 5'!$J$741:$K$960,2,0),"-")</f>
        <v>45839</v>
      </c>
      <c r="X23" s="985">
        <f>IFERROR(VLOOKUP(O23,'Schedule 5'!$J$741:$K$960,2,0),"-")</f>
        <v>45870</v>
      </c>
      <c r="Y23" s="985">
        <f>IFERROR(VLOOKUP(P23,'Schedule 5'!$J$741:$K$960,2,0),"-")</f>
        <v>45870</v>
      </c>
      <c r="Z23" s="985">
        <f>IFERROR(VLOOKUP(Q23,'Schedule 5'!$J$741:$K$960,2,0),"-")</f>
        <v>45839</v>
      </c>
      <c r="AA23" s="985">
        <f>IFERROR(VLOOKUP(R23,'Schedule 5'!$J$741:$K$960,2,0),"-")</f>
        <v>45839</v>
      </c>
      <c r="AB23" s="985">
        <f>IFERROR(VLOOKUP(S23,'Schedule 5'!$J$741:$K$960,2,0),"-")</f>
        <v>45870</v>
      </c>
    </row>
    <row r="24" spans="2:28" x14ac:dyDescent="0.3">
      <c r="B24" s="982" t="s">
        <v>9868</v>
      </c>
      <c r="C24" s="985">
        <f t="shared" si="17"/>
        <v>45839</v>
      </c>
      <c r="D24" s="985">
        <f t="shared" si="18"/>
        <v>45839</v>
      </c>
      <c r="E24" s="985">
        <f t="shared" si="19"/>
        <v>45839</v>
      </c>
      <c r="F24" s="985">
        <f t="shared" si="20"/>
        <v>45870</v>
      </c>
      <c r="G24" s="985">
        <f t="shared" si="21"/>
        <v>45901</v>
      </c>
      <c r="H24" s="985">
        <f t="shared" si="22"/>
        <v>45809</v>
      </c>
      <c r="I24" s="985">
        <f t="shared" si="23"/>
        <v>45870</v>
      </c>
      <c r="J24" s="985">
        <f t="shared" si="24"/>
        <v>45901</v>
      </c>
      <c r="L24" s="990" t="str">
        <f t="shared" si="33"/>
        <v>WV2-P16-P17-G1</v>
      </c>
      <c r="M24" s="990" t="str">
        <f t="shared" si="34"/>
        <v>WV2-P16-P17-G2</v>
      </c>
      <c r="N24" s="990" t="str">
        <f t="shared" si="35"/>
        <v>WV2-P16-P17-G3</v>
      </c>
      <c r="O24" s="990" t="str">
        <f t="shared" si="36"/>
        <v>WV2-P16-P17-G4</v>
      </c>
      <c r="P24" s="990" t="str">
        <f t="shared" si="37"/>
        <v>WV2-P16-P17-G5</v>
      </c>
      <c r="Q24" s="990" t="str">
        <f t="shared" si="38"/>
        <v>WV2-P16-P17-G6</v>
      </c>
      <c r="R24" s="990" t="str">
        <f t="shared" si="39"/>
        <v>WV2-P16-P17-G7</v>
      </c>
      <c r="S24" s="990" t="str">
        <f t="shared" si="40"/>
        <v>WV2-P16-P17-G8</v>
      </c>
      <c r="U24" s="985">
        <f>IFERROR(VLOOKUP(L24,'Schedule 5'!$J$741:$K$960,2,0),"-")</f>
        <v>45839</v>
      </c>
      <c r="V24" s="985">
        <f>IFERROR(VLOOKUP(M24,'Schedule 5'!$J$741:$K$960,2,0),"-")</f>
        <v>45839</v>
      </c>
      <c r="W24" s="985">
        <f>IFERROR(VLOOKUP(N24,'Schedule 5'!$J$741:$K$960,2,0),"-")</f>
        <v>45839</v>
      </c>
      <c r="X24" s="985">
        <f>IFERROR(VLOOKUP(O24,'Schedule 5'!$J$741:$K$960,2,0),"-")</f>
        <v>45870</v>
      </c>
      <c r="Y24" s="985">
        <f>IFERROR(VLOOKUP(P24,'Schedule 5'!$J$741:$K$960,2,0),"-")</f>
        <v>45901</v>
      </c>
      <c r="Z24" s="985">
        <f>IFERROR(VLOOKUP(Q24,'Schedule 5'!$J$741:$K$960,2,0),"-")</f>
        <v>45809</v>
      </c>
      <c r="AA24" s="985">
        <f>IFERROR(VLOOKUP(R24,'Schedule 5'!$J$741:$K$960,2,0),"-")</f>
        <v>45870</v>
      </c>
      <c r="AB24" s="985">
        <f>IFERROR(VLOOKUP(S24,'Schedule 5'!$J$741:$K$960,2,0),"-")</f>
        <v>45901</v>
      </c>
    </row>
    <row r="25" spans="2:28" x14ac:dyDescent="0.3">
      <c r="B25" s="982" t="s">
        <v>9869</v>
      </c>
      <c r="C25" s="985">
        <f t="shared" si="17"/>
        <v>45901</v>
      </c>
      <c r="D25" s="985">
        <f t="shared" si="18"/>
        <v>45931</v>
      </c>
      <c r="E25" s="985">
        <f t="shared" si="19"/>
        <v>45931</v>
      </c>
      <c r="F25" s="985">
        <f t="shared" si="20"/>
        <v>45931</v>
      </c>
      <c r="G25" s="985">
        <f t="shared" si="21"/>
        <v>46023</v>
      </c>
      <c r="H25" s="985">
        <f t="shared" si="22"/>
        <v>46023</v>
      </c>
      <c r="I25" s="985">
        <f t="shared" si="23"/>
        <v>46023</v>
      </c>
      <c r="J25" s="985">
        <f t="shared" si="24"/>
        <v>46023</v>
      </c>
      <c r="L25" s="990" t="str">
        <f t="shared" si="33"/>
        <v>WV2-P17-P18-G1</v>
      </c>
      <c r="M25" s="990" t="str">
        <f t="shared" si="34"/>
        <v>WV2-P17-P18-G2</v>
      </c>
      <c r="N25" s="990" t="str">
        <f t="shared" si="35"/>
        <v>WV2-P17-P18-G3</v>
      </c>
      <c r="O25" s="990" t="str">
        <f t="shared" si="36"/>
        <v>WV2-P17-P18-G4</v>
      </c>
      <c r="P25" s="990" t="str">
        <f t="shared" si="37"/>
        <v>WV2-P17-P18-G5</v>
      </c>
      <c r="Q25" s="990" t="str">
        <f t="shared" si="38"/>
        <v>WV2-P17-P18-G6</v>
      </c>
      <c r="R25" s="990" t="str">
        <f t="shared" si="39"/>
        <v>WV2-P17-P18-G7</v>
      </c>
      <c r="S25" s="990" t="str">
        <f t="shared" si="40"/>
        <v>WV2-P17-P18-G8</v>
      </c>
      <c r="U25" s="985">
        <f>IFERROR(VLOOKUP(L25,'Schedule 5'!$J$741:$K$960,2,0),"-")</f>
        <v>45901</v>
      </c>
      <c r="V25" s="985">
        <f>IFERROR(VLOOKUP(M25,'Schedule 5'!$J$741:$K$960,2,0),"-")</f>
        <v>45931</v>
      </c>
      <c r="W25" s="985">
        <f>IFERROR(VLOOKUP(N25,'Schedule 5'!$J$741:$K$960,2,0),"-")</f>
        <v>45931</v>
      </c>
      <c r="X25" s="985">
        <f>IFERROR(VLOOKUP(O25,'Schedule 5'!$J$741:$K$960,2,0),"-")</f>
        <v>45931</v>
      </c>
      <c r="Y25" s="985">
        <f>IFERROR(VLOOKUP(P25,'Schedule 5'!$J$741:$K$960,2,0),"-")</f>
        <v>46023</v>
      </c>
      <c r="Z25" s="985">
        <f>IFERROR(VLOOKUP(Q25,'Schedule 5'!$J$741:$K$960,2,0),"-")</f>
        <v>46023</v>
      </c>
      <c r="AA25" s="985">
        <f>IFERROR(VLOOKUP(R25,'Schedule 5'!$J$741:$K$960,2,0),"-")</f>
        <v>46023</v>
      </c>
      <c r="AB25" s="985">
        <f>IFERROR(VLOOKUP(S25,'Schedule 5'!$J$741:$K$960,2,0),"-")</f>
        <v>46023</v>
      </c>
    </row>
    <row r="26" spans="2:28" x14ac:dyDescent="0.3">
      <c r="B26" s="982" t="s">
        <v>9870</v>
      </c>
      <c r="C26" s="985">
        <f t="shared" si="17"/>
        <v>45870</v>
      </c>
      <c r="D26" s="985">
        <f t="shared" si="18"/>
        <v>45870</v>
      </c>
      <c r="E26" s="985">
        <f t="shared" si="19"/>
        <v>45870</v>
      </c>
      <c r="F26" s="985">
        <f t="shared" si="20"/>
        <v>45901</v>
      </c>
      <c r="G26" s="985">
        <f t="shared" si="21"/>
        <v>45992</v>
      </c>
      <c r="H26" s="985">
        <f t="shared" si="22"/>
        <v>45992</v>
      </c>
      <c r="I26" s="985">
        <f t="shared" si="23"/>
        <v>45992</v>
      </c>
      <c r="J26" s="985">
        <f t="shared" si="24"/>
        <v>45992</v>
      </c>
      <c r="L26" s="990" t="str">
        <f t="shared" si="33"/>
        <v>WV2-P18-P19-G1</v>
      </c>
      <c r="M26" s="990" t="str">
        <f t="shared" si="34"/>
        <v>WV2-P18-P19-G2</v>
      </c>
      <c r="N26" s="990" t="str">
        <f t="shared" si="35"/>
        <v>WV2-P18-P19-G3</v>
      </c>
      <c r="O26" s="990" t="str">
        <f t="shared" si="36"/>
        <v>WV2-P18-P19-G4</v>
      </c>
      <c r="P26" s="990" t="str">
        <f t="shared" si="37"/>
        <v>WV2-P18-P19-G5</v>
      </c>
      <c r="Q26" s="990" t="str">
        <f t="shared" si="38"/>
        <v>WV2-P18-P19-G6</v>
      </c>
      <c r="R26" s="990" t="str">
        <f t="shared" si="39"/>
        <v>WV2-P18-P19-G7</v>
      </c>
      <c r="S26" s="990" t="str">
        <f t="shared" si="40"/>
        <v>WV2-P18-P19-G8</v>
      </c>
      <c r="U26" s="985">
        <f>IFERROR(VLOOKUP(L26,'Schedule 5'!$J$741:$K$960,2,0),"-")</f>
        <v>45870</v>
      </c>
      <c r="V26" s="985">
        <f>IFERROR(VLOOKUP(M26,'Schedule 5'!$J$741:$K$960,2,0),"-")</f>
        <v>45870</v>
      </c>
      <c r="W26" s="985">
        <f>IFERROR(VLOOKUP(N26,'Schedule 5'!$J$741:$K$960,2,0),"-")</f>
        <v>45870</v>
      </c>
      <c r="X26" s="985">
        <f>IFERROR(VLOOKUP(O26,'Schedule 5'!$J$741:$K$960,2,0),"-")</f>
        <v>45901</v>
      </c>
      <c r="Y26" s="985">
        <f>IFERROR(VLOOKUP(P26,'Schedule 5'!$J$741:$K$960,2,0),"-")</f>
        <v>45992</v>
      </c>
      <c r="Z26" s="985">
        <f>IFERROR(VLOOKUP(Q26,'Schedule 5'!$J$741:$K$960,2,0),"-")</f>
        <v>45992</v>
      </c>
      <c r="AA26" s="985">
        <f>IFERROR(VLOOKUP(R26,'Schedule 5'!$J$741:$K$960,2,0),"-")</f>
        <v>45992</v>
      </c>
      <c r="AB26" s="985">
        <f>IFERROR(VLOOKUP(S26,'Schedule 5'!$J$741:$K$960,2,0),"-")</f>
        <v>45992</v>
      </c>
    </row>
    <row r="27" spans="2:28" x14ac:dyDescent="0.3">
      <c r="B27" s="982" t="s">
        <v>9871</v>
      </c>
      <c r="C27" s="985">
        <f t="shared" si="17"/>
        <v>45901</v>
      </c>
      <c r="D27" s="985">
        <f t="shared" si="18"/>
        <v>45931</v>
      </c>
      <c r="E27" s="985">
        <f t="shared" si="19"/>
        <v>45901</v>
      </c>
      <c r="F27" s="985">
        <f t="shared" si="20"/>
        <v>45931</v>
      </c>
      <c r="G27" s="985">
        <f t="shared" si="21"/>
        <v>45931</v>
      </c>
      <c r="H27" s="985">
        <f t="shared" si="22"/>
        <v>45931</v>
      </c>
      <c r="I27" s="985">
        <f t="shared" si="23"/>
        <v>45962</v>
      </c>
      <c r="J27" s="985">
        <f t="shared" si="24"/>
        <v>45962</v>
      </c>
      <c r="L27" s="990" t="str">
        <f t="shared" si="33"/>
        <v>WV2-P19-P20-G1</v>
      </c>
      <c r="M27" s="990" t="str">
        <f t="shared" si="34"/>
        <v>WV2-P19-P20-G2</v>
      </c>
      <c r="N27" s="990" t="str">
        <f t="shared" si="35"/>
        <v>WV2-P19-P20-G3</v>
      </c>
      <c r="O27" s="990" t="str">
        <f t="shared" si="36"/>
        <v>WV2-P19-P20-G4</v>
      </c>
      <c r="P27" s="990" t="str">
        <f t="shared" si="37"/>
        <v>WV2-P19-P20-G5</v>
      </c>
      <c r="Q27" s="990" t="str">
        <f t="shared" si="38"/>
        <v>WV2-P19-P20-G6</v>
      </c>
      <c r="R27" s="990" t="str">
        <f t="shared" si="39"/>
        <v>WV2-P19-P20-G7</v>
      </c>
      <c r="S27" s="990" t="str">
        <f t="shared" si="40"/>
        <v>WV2-P19-P20-G8</v>
      </c>
      <c r="U27" s="985">
        <f>IFERROR(VLOOKUP(L27,'Schedule 5'!$J$741:$K$960,2,0),"-")</f>
        <v>45901</v>
      </c>
      <c r="V27" s="985">
        <f>IFERROR(VLOOKUP(M27,'Schedule 5'!$J$741:$K$960,2,0),"-")</f>
        <v>45931</v>
      </c>
      <c r="W27" s="985">
        <f>IFERROR(VLOOKUP(N27,'Schedule 5'!$J$741:$K$960,2,0),"-")</f>
        <v>45901</v>
      </c>
      <c r="X27" s="985">
        <f>IFERROR(VLOOKUP(O27,'Schedule 5'!$J$741:$K$960,2,0),"-")</f>
        <v>45931</v>
      </c>
      <c r="Y27" s="985">
        <f>IFERROR(VLOOKUP(P27,'Schedule 5'!$J$741:$K$960,2,0),"-")</f>
        <v>45931</v>
      </c>
      <c r="Z27" s="985">
        <f>IFERROR(VLOOKUP(Q27,'Schedule 5'!$J$741:$K$960,2,0),"-")</f>
        <v>45931</v>
      </c>
      <c r="AA27" s="985">
        <f>IFERROR(VLOOKUP(R27,'Schedule 5'!$J$741:$K$960,2,0),"-")</f>
        <v>45962</v>
      </c>
      <c r="AB27" s="985">
        <f>IFERROR(VLOOKUP(S27,'Schedule 5'!$J$741:$K$960,2,0),"-")</f>
        <v>45962</v>
      </c>
    </row>
    <row r="28" spans="2:28" x14ac:dyDescent="0.3">
      <c r="B28" s="982" t="s">
        <v>9872</v>
      </c>
      <c r="C28" s="985">
        <f t="shared" si="17"/>
        <v>45901</v>
      </c>
      <c r="D28" s="985">
        <f t="shared" si="18"/>
        <v>45901</v>
      </c>
      <c r="E28" s="985">
        <f t="shared" si="19"/>
        <v>45901</v>
      </c>
      <c r="F28" s="985">
        <f t="shared" si="20"/>
        <v>45901</v>
      </c>
      <c r="G28" s="985">
        <f t="shared" si="21"/>
        <v>45901</v>
      </c>
      <c r="H28" s="985">
        <f t="shared" si="22"/>
        <v>45901</v>
      </c>
      <c r="I28" s="985">
        <f t="shared" si="23"/>
        <v>45901</v>
      </c>
      <c r="J28" s="985">
        <f t="shared" si="24"/>
        <v>45901</v>
      </c>
      <c r="L28" s="990" t="str">
        <f t="shared" si="33"/>
        <v>WV2-P20-P21-G1</v>
      </c>
      <c r="M28" s="990" t="str">
        <f t="shared" si="34"/>
        <v>WV2-P20-P21-G2</v>
      </c>
      <c r="N28" s="990" t="str">
        <f t="shared" si="35"/>
        <v>WV2-P20-P21-G3</v>
      </c>
      <c r="O28" s="990" t="str">
        <f t="shared" si="36"/>
        <v>WV2-P20-P21-G4</v>
      </c>
      <c r="P28" s="990" t="str">
        <f t="shared" si="37"/>
        <v>WV2-P20-P21-G5</v>
      </c>
      <c r="Q28" s="990" t="str">
        <f t="shared" si="38"/>
        <v>WV2-P20-P21-G6</v>
      </c>
      <c r="R28" s="990" t="str">
        <f t="shared" si="39"/>
        <v>WV2-P20-P21-G7</v>
      </c>
      <c r="S28" s="990" t="str">
        <f t="shared" si="40"/>
        <v>WV2-P20-P21-G8</v>
      </c>
      <c r="U28" s="985">
        <f>IFERROR(VLOOKUP(L28,'Schedule 5'!$J$741:$K$960,2,0),"-")</f>
        <v>45901</v>
      </c>
      <c r="V28" s="985">
        <f>IFERROR(VLOOKUP(M28,'Schedule 5'!$J$741:$K$960,2,0),"-")</f>
        <v>45901</v>
      </c>
      <c r="W28" s="985">
        <f>IFERROR(VLOOKUP(N28,'Schedule 5'!$J$741:$K$960,2,0),"-")</f>
        <v>45901</v>
      </c>
      <c r="X28" s="985">
        <f>IFERROR(VLOOKUP(O28,'Schedule 5'!$J$741:$K$960,2,0),"-")</f>
        <v>45901</v>
      </c>
      <c r="Y28" s="985">
        <f>IFERROR(VLOOKUP(P28,'Schedule 5'!$J$741:$K$960,2,0),"-")</f>
        <v>45901</v>
      </c>
      <c r="Z28" s="985">
        <f>IFERROR(VLOOKUP(Q28,'Schedule 5'!$J$741:$K$960,2,0),"-")</f>
        <v>45901</v>
      </c>
      <c r="AA28" s="985">
        <f>IFERROR(VLOOKUP(R28,'Schedule 5'!$J$741:$K$960,2,0),"-")</f>
        <v>45901</v>
      </c>
      <c r="AB28" s="985">
        <f>IFERROR(VLOOKUP(S28,'Schedule 5'!$J$741:$K$960,2,0),"-")</f>
        <v>45901</v>
      </c>
    </row>
    <row r="29" spans="2:28" x14ac:dyDescent="0.3">
      <c r="B29" s="982"/>
      <c r="C29" s="985"/>
      <c r="D29" s="985"/>
      <c r="E29" s="985"/>
      <c r="F29" s="985"/>
      <c r="G29" s="985"/>
      <c r="H29" s="985"/>
      <c r="I29" s="985"/>
      <c r="J29" s="985"/>
      <c r="L29" s="990"/>
      <c r="M29" s="990"/>
      <c r="N29" s="990"/>
      <c r="O29" s="990"/>
      <c r="P29" s="990"/>
      <c r="Q29" s="990"/>
      <c r="R29" s="990"/>
      <c r="S29" s="990"/>
      <c r="U29" s="985" t="str">
        <f>IFERROR(VLOOKUP(L29,'Schedule 5'!$J$741:$K$960,2,0),"-")</f>
        <v>-</v>
      </c>
      <c r="V29" s="985" t="str">
        <f>IFERROR(VLOOKUP(M29,'Schedule 5'!$J$741:$K$960,2,0),"-")</f>
        <v>-</v>
      </c>
      <c r="W29" s="985" t="str">
        <f>IFERROR(VLOOKUP(N29,'Schedule 5'!$J$741:$K$960,2,0),"-")</f>
        <v>-</v>
      </c>
      <c r="X29" s="985" t="str">
        <f>IFERROR(VLOOKUP(O29,'Schedule 5'!$J$741:$K$960,2,0),"-")</f>
        <v>-</v>
      </c>
      <c r="Y29" s="985" t="str">
        <f>IFERROR(VLOOKUP(P29,'Schedule 5'!$J$741:$K$960,2,0),"-")</f>
        <v>-</v>
      </c>
      <c r="Z29" s="985" t="str">
        <f>IFERROR(VLOOKUP(Q29,'Schedule 5'!$J$741:$K$960,2,0),"-")</f>
        <v>-</v>
      </c>
      <c r="AA29" s="985" t="str">
        <f>IFERROR(VLOOKUP(R29,'Schedule 5'!$J$741:$K$960,2,0),"-")</f>
        <v>-</v>
      </c>
      <c r="AB29" s="985" t="str">
        <f>IFERROR(VLOOKUP(S29,'Schedule 5'!$J$741:$K$960,2,0),"-")</f>
        <v>-</v>
      </c>
    </row>
    <row r="30" spans="2:28" x14ac:dyDescent="0.3">
      <c r="B30" s="982" t="s">
        <v>9873</v>
      </c>
      <c r="C30" s="985">
        <f t="shared" ref="C30:C36" si="41">U30</f>
        <v>46023</v>
      </c>
      <c r="D30" s="985">
        <f t="shared" ref="D30:D36" si="42">V30</f>
        <v>46023</v>
      </c>
      <c r="E30" s="985">
        <f t="shared" ref="E30:E36" si="43">W30</f>
        <v>45992</v>
      </c>
      <c r="F30" s="985">
        <f t="shared" ref="F30:F36" si="44">X30</f>
        <v>45992</v>
      </c>
      <c r="G30" s="985">
        <f t="shared" ref="G30:G36" si="45">Y30</f>
        <v>45992</v>
      </c>
      <c r="H30" s="985">
        <f t="shared" ref="H30:H36" si="46">Z30</f>
        <v>46023</v>
      </c>
      <c r="I30" s="985">
        <f t="shared" ref="I30:I36" si="47">AA30</f>
        <v>46023</v>
      </c>
      <c r="J30" s="985">
        <f t="shared" ref="J30:J36" si="48">AB30</f>
        <v>46023</v>
      </c>
      <c r="L30" s="990" t="str">
        <f>CONCATENATE($B30,"-",C$3)</f>
        <v>SAV-P0-P1-G1</v>
      </c>
      <c r="M30" s="990" t="str">
        <f t="shared" ref="M30:M36" si="49">CONCATENATE($B30,"-",D$3)</f>
        <v>SAV-P0-P1-G2</v>
      </c>
      <c r="N30" s="990" t="str">
        <f t="shared" ref="N30:N36" si="50">CONCATENATE($B30,"-",E$3)</f>
        <v>SAV-P0-P1-G3</v>
      </c>
      <c r="O30" s="990" t="str">
        <f t="shared" ref="O30:O36" si="51">CONCATENATE($B30,"-",F$3)</f>
        <v>SAV-P0-P1-G4</v>
      </c>
      <c r="P30" s="990" t="str">
        <f t="shared" ref="P30:P36" si="52">CONCATENATE($B30,"-",G$3)</f>
        <v>SAV-P0-P1-G5</v>
      </c>
      <c r="Q30" s="990" t="str">
        <f t="shared" ref="Q30:Q36" si="53">CONCATENATE($B30,"-",H$3)</f>
        <v>SAV-P0-P1-G6</v>
      </c>
      <c r="R30" s="990" t="str">
        <f t="shared" ref="R30:R36" si="54">CONCATENATE($B30,"-",I$3)</f>
        <v>SAV-P0-P1-G7</v>
      </c>
      <c r="S30" s="990" t="str">
        <f t="shared" ref="S30:S36" si="55">CONCATENATE($B30,"-",J$3)</f>
        <v>SAV-P0-P1-G8</v>
      </c>
      <c r="U30" s="985">
        <f>IFERROR(VLOOKUP(L30,'Schedule 5'!$J$741:$K$960,2,0),"-")</f>
        <v>46023</v>
      </c>
      <c r="V30" s="985">
        <f>IFERROR(VLOOKUP(M30,'Schedule 5'!$J$741:$K$960,2,0),"-")</f>
        <v>46023</v>
      </c>
      <c r="W30" s="985">
        <f>IFERROR(VLOOKUP(N30,'Schedule 5'!$J$741:$K$960,2,0),"-")</f>
        <v>45992</v>
      </c>
      <c r="X30" s="985">
        <f>IFERROR(VLOOKUP(O30,'Schedule 5'!$J$741:$K$960,2,0),"-")</f>
        <v>45992</v>
      </c>
      <c r="Y30" s="985">
        <f>IFERROR(VLOOKUP(P30,'Schedule 5'!$J$741:$K$960,2,0),"-")</f>
        <v>45992</v>
      </c>
      <c r="Z30" s="985">
        <f>IFERROR(VLOOKUP(Q30,'Schedule 5'!$J$741:$K$960,2,0),"-")</f>
        <v>46023</v>
      </c>
      <c r="AA30" s="985">
        <f>IFERROR(VLOOKUP(R30,'Schedule 5'!$J$741:$K$960,2,0),"-")</f>
        <v>46023</v>
      </c>
      <c r="AB30" s="985">
        <f>IFERROR(VLOOKUP(S30,'Schedule 5'!$J$741:$K$960,2,0),"-")</f>
        <v>46023</v>
      </c>
    </row>
    <row r="31" spans="2:28" x14ac:dyDescent="0.3">
      <c r="B31" s="982" t="s">
        <v>9874</v>
      </c>
      <c r="C31" s="985">
        <f t="shared" si="41"/>
        <v>46054</v>
      </c>
      <c r="D31" s="985">
        <f t="shared" si="42"/>
        <v>46054</v>
      </c>
      <c r="E31" s="985">
        <f t="shared" si="43"/>
        <v>46023</v>
      </c>
      <c r="F31" s="985">
        <f t="shared" si="44"/>
        <v>46023</v>
      </c>
      <c r="G31" s="985">
        <f t="shared" si="45"/>
        <v>46023</v>
      </c>
      <c r="H31" s="985">
        <f t="shared" si="46"/>
        <v>46023</v>
      </c>
      <c r="I31" s="985">
        <f t="shared" si="47"/>
        <v>46023</v>
      </c>
      <c r="J31" s="985" t="str">
        <f t="shared" si="48"/>
        <v>-</v>
      </c>
      <c r="L31" s="990" t="str">
        <f t="shared" ref="L31:L36" si="56">CONCATENATE($B31,"-",C$3)</f>
        <v>SAV-P1-P2-G1</v>
      </c>
      <c r="M31" s="990" t="str">
        <f t="shared" si="49"/>
        <v>SAV-P1-P2-G2</v>
      </c>
      <c r="N31" s="990" t="str">
        <f t="shared" si="50"/>
        <v>SAV-P1-P2-G3</v>
      </c>
      <c r="O31" s="990" t="str">
        <f t="shared" si="51"/>
        <v>SAV-P1-P2-G4</v>
      </c>
      <c r="P31" s="990" t="str">
        <f t="shared" si="52"/>
        <v>SAV-P1-P2-G5</v>
      </c>
      <c r="Q31" s="990" t="str">
        <f t="shared" si="53"/>
        <v>SAV-P1-P2-G6</v>
      </c>
      <c r="R31" s="990" t="str">
        <f t="shared" si="54"/>
        <v>SAV-P1-P2-G7</v>
      </c>
      <c r="S31" s="990" t="str">
        <f t="shared" si="55"/>
        <v>SAV-P1-P2-G8</v>
      </c>
      <c r="U31" s="985">
        <f>IFERROR(VLOOKUP(L31,'Schedule 5'!$J$741:$K$960,2,0),"-")</f>
        <v>46054</v>
      </c>
      <c r="V31" s="985">
        <f>IFERROR(VLOOKUP(M31,'Schedule 5'!$J$741:$K$960,2,0),"-")</f>
        <v>46054</v>
      </c>
      <c r="W31" s="985">
        <f>IFERROR(VLOOKUP(N31,'Schedule 5'!$J$741:$K$960,2,0),"-")</f>
        <v>46023</v>
      </c>
      <c r="X31" s="985">
        <f>IFERROR(VLOOKUP(O31,'Schedule 5'!$J$741:$K$960,2,0),"-")</f>
        <v>46023</v>
      </c>
      <c r="Y31" s="985">
        <f>IFERROR(VLOOKUP(P31,'Schedule 5'!$J$741:$K$960,2,0),"-")</f>
        <v>46023</v>
      </c>
      <c r="Z31" s="985">
        <f>IFERROR(VLOOKUP(Q31,'Schedule 5'!$J$741:$K$960,2,0),"-")</f>
        <v>46023</v>
      </c>
      <c r="AA31" s="985">
        <f>IFERROR(VLOOKUP(R31,'Schedule 5'!$J$741:$K$960,2,0),"-")</f>
        <v>46023</v>
      </c>
      <c r="AB31" s="985" t="str">
        <f>IFERROR(VLOOKUP(S31,'Schedule 5'!$J$741:$K$960,2,0),"-")</f>
        <v>-</v>
      </c>
    </row>
    <row r="32" spans="2:28" x14ac:dyDescent="0.3">
      <c r="B32" s="982" t="s">
        <v>9875</v>
      </c>
      <c r="C32" s="985">
        <f t="shared" si="41"/>
        <v>46054</v>
      </c>
      <c r="D32" s="985">
        <f t="shared" si="42"/>
        <v>46054</v>
      </c>
      <c r="E32" s="985">
        <f t="shared" si="43"/>
        <v>46054</v>
      </c>
      <c r="F32" s="985">
        <f t="shared" si="44"/>
        <v>46054</v>
      </c>
      <c r="G32" s="985">
        <f t="shared" si="45"/>
        <v>46054</v>
      </c>
      <c r="H32" s="985">
        <f t="shared" si="46"/>
        <v>46054</v>
      </c>
      <c r="I32" s="985" t="str">
        <f t="shared" si="47"/>
        <v>-</v>
      </c>
      <c r="J32" s="985" t="str">
        <f t="shared" si="48"/>
        <v>-</v>
      </c>
      <c r="L32" s="990" t="str">
        <f t="shared" si="56"/>
        <v>SAV-P1R-P2R-G1</v>
      </c>
      <c r="M32" s="990" t="str">
        <f t="shared" si="49"/>
        <v>SAV-P1R-P2R-G2</v>
      </c>
      <c r="N32" s="990" t="str">
        <f t="shared" si="50"/>
        <v>SAV-P1R-P2R-G3</v>
      </c>
      <c r="O32" s="990" t="str">
        <f t="shared" si="51"/>
        <v>SAV-P1R-P2R-G4</v>
      </c>
      <c r="P32" s="990" t="str">
        <f t="shared" si="52"/>
        <v>SAV-P1R-P2R-G5</v>
      </c>
      <c r="Q32" s="990" t="str">
        <f t="shared" si="53"/>
        <v>SAV-P1R-P2R-G6</v>
      </c>
      <c r="R32" s="990" t="str">
        <f t="shared" si="54"/>
        <v>SAV-P1R-P2R-G7</v>
      </c>
      <c r="S32" s="990" t="str">
        <f t="shared" si="55"/>
        <v>SAV-P1R-P2R-G8</v>
      </c>
      <c r="U32" s="985">
        <f>IFERROR(VLOOKUP(L32,'Schedule 5'!$J$741:$K$960,2,0),"-")</f>
        <v>46054</v>
      </c>
      <c r="V32" s="985">
        <f>IFERROR(VLOOKUP(M32,'Schedule 5'!$J$741:$K$960,2,0),"-")</f>
        <v>46054</v>
      </c>
      <c r="W32" s="985">
        <f>IFERROR(VLOOKUP(N32,'Schedule 5'!$J$741:$K$960,2,0),"-")</f>
        <v>46054</v>
      </c>
      <c r="X32" s="985">
        <f>IFERROR(VLOOKUP(O32,'Schedule 5'!$J$741:$K$960,2,0),"-")</f>
        <v>46054</v>
      </c>
      <c r="Y32" s="985">
        <f>IFERROR(VLOOKUP(P32,'Schedule 5'!$J$741:$K$960,2,0),"-")</f>
        <v>46054</v>
      </c>
      <c r="Z32" s="985">
        <f>IFERROR(VLOOKUP(Q32,'Schedule 5'!$J$741:$K$960,2,0),"-")</f>
        <v>46054</v>
      </c>
      <c r="AA32" s="985" t="str">
        <f>IFERROR(VLOOKUP(R32,'Schedule 5'!$J$741:$K$960,2,0),"-")</f>
        <v>-</v>
      </c>
      <c r="AB32" s="985" t="str">
        <f>IFERROR(VLOOKUP(S32,'Schedule 5'!$J$741:$K$960,2,0),"-")</f>
        <v>-</v>
      </c>
    </row>
    <row r="33" spans="2:28" x14ac:dyDescent="0.3">
      <c r="B33" s="982" t="s">
        <v>9876</v>
      </c>
      <c r="C33" s="985">
        <f t="shared" si="41"/>
        <v>46082</v>
      </c>
      <c r="D33" s="985">
        <f t="shared" si="42"/>
        <v>46082</v>
      </c>
      <c r="E33" s="985">
        <f t="shared" si="43"/>
        <v>46082</v>
      </c>
      <c r="F33" s="985">
        <f t="shared" si="44"/>
        <v>46082</v>
      </c>
      <c r="G33" s="985">
        <f t="shared" si="45"/>
        <v>46082</v>
      </c>
      <c r="H33" s="985">
        <f t="shared" si="46"/>
        <v>46082</v>
      </c>
      <c r="I33" s="985">
        <f t="shared" si="47"/>
        <v>46082</v>
      </c>
      <c r="J33" s="985">
        <f t="shared" si="48"/>
        <v>46054</v>
      </c>
      <c r="L33" s="990" t="str">
        <f t="shared" si="56"/>
        <v>SAV-P2-P3-G1</v>
      </c>
      <c r="M33" s="990" t="str">
        <f t="shared" si="49"/>
        <v>SAV-P2-P3-G2</v>
      </c>
      <c r="N33" s="990" t="str">
        <f t="shared" si="50"/>
        <v>SAV-P2-P3-G3</v>
      </c>
      <c r="O33" s="990" t="str">
        <f t="shared" si="51"/>
        <v>SAV-P2-P3-G4</v>
      </c>
      <c r="P33" s="990" t="str">
        <f t="shared" si="52"/>
        <v>SAV-P2-P3-G5</v>
      </c>
      <c r="Q33" s="990" t="str">
        <f t="shared" si="53"/>
        <v>SAV-P2-P3-G6</v>
      </c>
      <c r="R33" s="990" t="str">
        <f t="shared" si="54"/>
        <v>SAV-P2-P3-G7</v>
      </c>
      <c r="S33" s="990" t="str">
        <f t="shared" si="55"/>
        <v>SAV-P2-P3-G8</v>
      </c>
      <c r="U33" s="985">
        <f>IFERROR(VLOOKUP(L33,'Schedule 5'!$J$741:$K$960,2,0),"-")</f>
        <v>46082</v>
      </c>
      <c r="V33" s="985">
        <f>IFERROR(VLOOKUP(M33,'Schedule 5'!$J$741:$K$960,2,0),"-")</f>
        <v>46082</v>
      </c>
      <c r="W33" s="985">
        <f>IFERROR(VLOOKUP(N33,'Schedule 5'!$J$741:$K$960,2,0),"-")</f>
        <v>46082</v>
      </c>
      <c r="X33" s="985">
        <f>IFERROR(VLOOKUP(O33,'Schedule 5'!$J$741:$K$960,2,0),"-")</f>
        <v>46082</v>
      </c>
      <c r="Y33" s="985">
        <f>IFERROR(VLOOKUP(P33,'Schedule 5'!$J$741:$K$960,2,0),"-")</f>
        <v>46082</v>
      </c>
      <c r="Z33" s="985">
        <f>IFERROR(VLOOKUP(Q33,'Schedule 5'!$J$741:$K$960,2,0),"-")</f>
        <v>46082</v>
      </c>
      <c r="AA33" s="985">
        <f>IFERROR(VLOOKUP(R33,'Schedule 5'!$J$741:$K$960,2,0),"-")</f>
        <v>46082</v>
      </c>
      <c r="AB33" s="985">
        <f>IFERROR(VLOOKUP(S33,'Schedule 5'!$J$741:$K$960,2,0),"-")</f>
        <v>46054</v>
      </c>
    </row>
    <row r="34" spans="2:28" x14ac:dyDescent="0.3">
      <c r="B34" s="982" t="s">
        <v>9877</v>
      </c>
      <c r="C34" s="985">
        <f t="shared" si="41"/>
        <v>46082</v>
      </c>
      <c r="D34" s="985">
        <f t="shared" si="42"/>
        <v>46082</v>
      </c>
      <c r="E34" s="985">
        <f t="shared" si="43"/>
        <v>46082</v>
      </c>
      <c r="F34" s="985">
        <f t="shared" si="44"/>
        <v>46143</v>
      </c>
      <c r="G34" s="985">
        <f t="shared" si="45"/>
        <v>46143</v>
      </c>
      <c r="H34" s="985">
        <f t="shared" si="46"/>
        <v>46143</v>
      </c>
      <c r="I34" s="985">
        <f t="shared" si="47"/>
        <v>46143</v>
      </c>
      <c r="J34" s="985">
        <f t="shared" si="48"/>
        <v>46143</v>
      </c>
      <c r="L34" s="990" t="str">
        <f t="shared" si="56"/>
        <v>SAV-P3-P4-G1</v>
      </c>
      <c r="M34" s="990" t="str">
        <f t="shared" si="49"/>
        <v>SAV-P3-P4-G2</v>
      </c>
      <c r="N34" s="990" t="str">
        <f t="shared" si="50"/>
        <v>SAV-P3-P4-G3</v>
      </c>
      <c r="O34" s="990" t="str">
        <f t="shared" si="51"/>
        <v>SAV-P3-P4-G4</v>
      </c>
      <c r="P34" s="990" t="str">
        <f t="shared" si="52"/>
        <v>SAV-P3-P4-G5</v>
      </c>
      <c r="Q34" s="990" t="str">
        <f t="shared" si="53"/>
        <v>SAV-P3-P4-G6</v>
      </c>
      <c r="R34" s="990" t="str">
        <f t="shared" si="54"/>
        <v>SAV-P3-P4-G7</v>
      </c>
      <c r="S34" s="990" t="str">
        <f t="shared" si="55"/>
        <v>SAV-P3-P4-G8</v>
      </c>
      <c r="U34" s="985">
        <f>IFERROR(VLOOKUP(L34,'Schedule 5'!$J$741:$K$960,2,0),"-")</f>
        <v>46082</v>
      </c>
      <c r="V34" s="985">
        <f>IFERROR(VLOOKUP(M34,'Schedule 5'!$J$741:$K$960,2,0),"-")</f>
        <v>46082</v>
      </c>
      <c r="W34" s="985">
        <f>IFERROR(VLOOKUP(N34,'Schedule 5'!$J$741:$K$960,2,0),"-")</f>
        <v>46082</v>
      </c>
      <c r="X34" s="985">
        <f>IFERROR(VLOOKUP(O34,'Schedule 5'!$J$741:$K$960,2,0),"-")</f>
        <v>46143</v>
      </c>
      <c r="Y34" s="985">
        <f>IFERROR(VLOOKUP(P34,'Schedule 5'!$J$741:$K$960,2,0),"-")</f>
        <v>46143</v>
      </c>
      <c r="Z34" s="985">
        <f>IFERROR(VLOOKUP(Q34,'Schedule 5'!$J$741:$K$960,2,0),"-")</f>
        <v>46143</v>
      </c>
      <c r="AA34" s="985">
        <f>IFERROR(VLOOKUP(R34,'Schedule 5'!$J$741:$K$960,2,0),"-")</f>
        <v>46143</v>
      </c>
      <c r="AB34" s="985">
        <f>IFERROR(VLOOKUP(S34,'Schedule 5'!$J$741:$K$960,2,0),"-")</f>
        <v>46143</v>
      </c>
    </row>
    <row r="35" spans="2:28" x14ac:dyDescent="0.3">
      <c r="B35" s="982" t="s">
        <v>9878</v>
      </c>
      <c r="C35" s="985">
        <f t="shared" si="41"/>
        <v>46143</v>
      </c>
      <c r="D35" s="985">
        <f t="shared" si="42"/>
        <v>46143</v>
      </c>
      <c r="E35" s="985">
        <f t="shared" si="43"/>
        <v>46174</v>
      </c>
      <c r="F35" s="985">
        <f t="shared" si="44"/>
        <v>46174</v>
      </c>
      <c r="G35" s="985">
        <f t="shared" si="45"/>
        <v>46174</v>
      </c>
      <c r="H35" s="985">
        <f t="shared" si="46"/>
        <v>46174</v>
      </c>
      <c r="I35" s="985">
        <f t="shared" si="47"/>
        <v>46174</v>
      </c>
      <c r="J35" s="985">
        <f t="shared" si="48"/>
        <v>46174</v>
      </c>
      <c r="L35" s="990" t="str">
        <f t="shared" si="56"/>
        <v>SAV-P4-P5-G1</v>
      </c>
      <c r="M35" s="990" t="str">
        <f t="shared" si="49"/>
        <v>SAV-P4-P5-G2</v>
      </c>
      <c r="N35" s="990" t="str">
        <f t="shared" si="50"/>
        <v>SAV-P4-P5-G3</v>
      </c>
      <c r="O35" s="990" t="str">
        <f t="shared" si="51"/>
        <v>SAV-P4-P5-G4</v>
      </c>
      <c r="P35" s="990" t="str">
        <f t="shared" si="52"/>
        <v>SAV-P4-P5-G5</v>
      </c>
      <c r="Q35" s="990" t="str">
        <f t="shared" si="53"/>
        <v>SAV-P4-P5-G6</v>
      </c>
      <c r="R35" s="990" t="str">
        <f t="shared" si="54"/>
        <v>SAV-P4-P5-G7</v>
      </c>
      <c r="S35" s="990" t="str">
        <f t="shared" si="55"/>
        <v>SAV-P4-P5-G8</v>
      </c>
      <c r="U35" s="985">
        <f>IFERROR(VLOOKUP(L35,'Schedule 5'!$J$741:$K$960,2,0),"-")</f>
        <v>46143</v>
      </c>
      <c r="V35" s="985">
        <f>IFERROR(VLOOKUP(M35,'Schedule 5'!$J$741:$K$960,2,0),"-")</f>
        <v>46143</v>
      </c>
      <c r="W35" s="985">
        <f>IFERROR(VLOOKUP(N35,'Schedule 5'!$J$741:$K$960,2,0),"-")</f>
        <v>46174</v>
      </c>
      <c r="X35" s="985">
        <f>IFERROR(VLOOKUP(O35,'Schedule 5'!$J$741:$K$960,2,0),"-")</f>
        <v>46174</v>
      </c>
      <c r="Y35" s="985">
        <f>IFERROR(VLOOKUP(P35,'Schedule 5'!$J$741:$K$960,2,0),"-")</f>
        <v>46174</v>
      </c>
      <c r="Z35" s="985">
        <f>IFERROR(VLOOKUP(Q35,'Schedule 5'!$J$741:$K$960,2,0),"-")</f>
        <v>46174</v>
      </c>
      <c r="AA35" s="985">
        <f>IFERROR(VLOOKUP(R35,'Schedule 5'!$J$741:$K$960,2,0),"-")</f>
        <v>46174</v>
      </c>
      <c r="AB35" s="985">
        <f>IFERROR(VLOOKUP(S35,'Schedule 5'!$J$741:$K$960,2,0),"-")</f>
        <v>46174</v>
      </c>
    </row>
    <row r="36" spans="2:28" x14ac:dyDescent="0.3">
      <c r="B36" s="982" t="s">
        <v>9879</v>
      </c>
      <c r="C36" s="985" t="str">
        <f t="shared" si="41"/>
        <v>-</v>
      </c>
      <c r="D36" s="985" t="str">
        <f t="shared" si="42"/>
        <v>-</v>
      </c>
      <c r="E36" s="985" t="str">
        <f t="shared" si="43"/>
        <v>-</v>
      </c>
      <c r="F36" s="985" t="str">
        <f t="shared" si="44"/>
        <v>-</v>
      </c>
      <c r="G36" s="985">
        <f t="shared" si="45"/>
        <v>46204</v>
      </c>
      <c r="H36" s="985">
        <f t="shared" si="46"/>
        <v>46204</v>
      </c>
      <c r="I36" s="985">
        <f t="shared" si="47"/>
        <v>46204</v>
      </c>
      <c r="J36" s="985">
        <f t="shared" si="48"/>
        <v>46204</v>
      </c>
      <c r="L36" s="990" t="str">
        <f t="shared" si="56"/>
        <v>SAV-P5-P6-G1</v>
      </c>
      <c r="M36" s="990" t="str">
        <f t="shared" si="49"/>
        <v>SAV-P5-P6-G2</v>
      </c>
      <c r="N36" s="990" t="str">
        <f t="shared" si="50"/>
        <v>SAV-P5-P6-G3</v>
      </c>
      <c r="O36" s="990" t="str">
        <f t="shared" si="51"/>
        <v>SAV-P5-P6-G4</v>
      </c>
      <c r="P36" s="990" t="str">
        <f t="shared" si="52"/>
        <v>SAV-P5-P6-G5</v>
      </c>
      <c r="Q36" s="990" t="str">
        <f t="shared" si="53"/>
        <v>SAV-P5-P6-G6</v>
      </c>
      <c r="R36" s="990" t="str">
        <f t="shared" si="54"/>
        <v>SAV-P5-P6-G7</v>
      </c>
      <c r="S36" s="990" t="str">
        <f t="shared" si="55"/>
        <v>SAV-P5-P6-G8</v>
      </c>
      <c r="U36" s="985" t="str">
        <f>IFERROR(VLOOKUP(L36,'Schedule 5'!$J$741:$K$960,2,0),"-")</f>
        <v>-</v>
      </c>
      <c r="V36" s="985" t="str">
        <f>IFERROR(VLOOKUP(M36,'Schedule 5'!$J$741:$K$960,2,0),"-")</f>
        <v>-</v>
      </c>
      <c r="W36" s="985" t="str">
        <f>IFERROR(VLOOKUP(N36,'Schedule 5'!$J$741:$K$960,2,0),"-")</f>
        <v>-</v>
      </c>
      <c r="X36" s="985" t="str">
        <f>IFERROR(VLOOKUP(O36,'Schedule 5'!$J$741:$K$960,2,0),"-")</f>
        <v>-</v>
      </c>
      <c r="Y36" s="985">
        <f>IFERROR(VLOOKUP(P36,'Schedule 5'!$J$741:$K$960,2,0),"-")</f>
        <v>46204</v>
      </c>
      <c r="Z36" s="985">
        <f>IFERROR(VLOOKUP(Q36,'Schedule 5'!$J$741:$K$960,2,0),"-")</f>
        <v>46204</v>
      </c>
      <c r="AA36" s="985">
        <f>IFERROR(VLOOKUP(R36,'Schedule 5'!$J$741:$K$960,2,0),"-")</f>
        <v>46204</v>
      </c>
      <c r="AB36" s="985">
        <f>IFERROR(VLOOKUP(S36,'Schedule 5'!$J$741:$K$960,2,0),"-")</f>
        <v>46204</v>
      </c>
    </row>
    <row r="37" spans="2:28" x14ac:dyDescent="0.3">
      <c r="B37" s="982"/>
      <c r="C37" s="985"/>
      <c r="D37" s="985"/>
      <c r="E37" s="985"/>
      <c r="F37" s="985"/>
      <c r="G37" s="985"/>
      <c r="H37" s="985"/>
      <c r="I37" s="985"/>
      <c r="J37" s="985"/>
      <c r="L37" s="990"/>
      <c r="M37" s="990"/>
      <c r="N37" s="990"/>
      <c r="O37" s="990"/>
      <c r="P37" s="990"/>
      <c r="Q37" s="990"/>
      <c r="R37" s="990"/>
      <c r="S37" s="990"/>
      <c r="U37" s="985" t="str">
        <f>IFERROR(VLOOKUP(L37,'Schedule 5'!$J$741:$K$960,2,0),"-")</f>
        <v>-</v>
      </c>
      <c r="V37" s="985" t="str">
        <f>IFERROR(VLOOKUP(M37,'Schedule 5'!$J$741:$K$960,2,0),"-")</f>
        <v>-</v>
      </c>
      <c r="W37" s="985" t="str">
        <f>IFERROR(VLOOKUP(N37,'Schedule 5'!$J$741:$K$960,2,0),"-")</f>
        <v>-</v>
      </c>
      <c r="X37" s="985" t="str">
        <f>IFERROR(VLOOKUP(O37,'Schedule 5'!$J$741:$K$960,2,0),"-")</f>
        <v>-</v>
      </c>
      <c r="Y37" s="985" t="str">
        <f>IFERROR(VLOOKUP(P37,'Schedule 5'!$J$741:$K$960,2,0),"-")</f>
        <v>-</v>
      </c>
      <c r="Z37" s="985" t="str">
        <f>IFERROR(VLOOKUP(Q37,'Schedule 5'!$J$741:$K$960,2,0),"-")</f>
        <v>-</v>
      </c>
      <c r="AA37" s="985" t="str">
        <f>IFERROR(VLOOKUP(R37,'Schedule 5'!$J$741:$K$960,2,0),"-")</f>
        <v>-</v>
      </c>
      <c r="AB37" s="985" t="str">
        <f>IFERROR(VLOOKUP(S37,'Schedule 5'!$J$741:$K$960,2,0),"-")</f>
        <v>-</v>
      </c>
    </row>
    <row r="38" spans="2:28" x14ac:dyDescent="0.3">
      <c r="B38" s="982" t="s">
        <v>9880</v>
      </c>
      <c r="C38" s="985" t="str">
        <f t="shared" ref="C38:C44" si="57">U38</f>
        <v>-</v>
      </c>
      <c r="D38" s="985" t="str">
        <f t="shared" ref="D38:D44" si="58">V38</f>
        <v>-</v>
      </c>
      <c r="E38" s="985" t="str">
        <f t="shared" ref="E38:E44" si="59">W38</f>
        <v>-</v>
      </c>
      <c r="F38" s="985" t="str">
        <f t="shared" ref="F38:F44" si="60">X38</f>
        <v>-</v>
      </c>
      <c r="G38" s="985" t="str">
        <f t="shared" ref="G38:G44" si="61">Y38</f>
        <v>-</v>
      </c>
      <c r="H38" s="985" t="str">
        <f t="shared" ref="H38:H44" si="62">Z38</f>
        <v>-</v>
      </c>
      <c r="I38" s="985" t="str">
        <f t="shared" ref="I38:I44" si="63">AA38</f>
        <v>-</v>
      </c>
      <c r="J38" s="985" t="str">
        <f t="shared" ref="J38:J44" si="64">AB38</f>
        <v>-</v>
      </c>
      <c r="L38" s="990" t="str">
        <f t="shared" ref="L38:L44" si="65">CONCATENATE($B38,"-",C$3)</f>
        <v>NAV-P30-31-G1</v>
      </c>
      <c r="M38" s="990" t="str">
        <f t="shared" ref="M38:M44" si="66">CONCATENATE($B38,"-",D$3)</f>
        <v>NAV-P30-31-G2</v>
      </c>
      <c r="N38" s="990" t="str">
        <f t="shared" ref="N38:N44" si="67">CONCATENATE($B38,"-",E$3)</f>
        <v>NAV-P30-31-G3</v>
      </c>
      <c r="O38" s="990" t="str">
        <f t="shared" ref="O38:O44" si="68">CONCATENATE($B38,"-",F$3)</f>
        <v>NAV-P30-31-G4</v>
      </c>
      <c r="P38" s="990" t="str">
        <f t="shared" ref="P38:P44" si="69">CONCATENATE($B38,"-",G$3)</f>
        <v>NAV-P30-31-G5</v>
      </c>
      <c r="Q38" s="990" t="str">
        <f t="shared" ref="Q38:Q44" si="70">CONCATENATE($B38,"-",H$3)</f>
        <v>NAV-P30-31-G6</v>
      </c>
      <c r="R38" s="990" t="str">
        <f t="shared" ref="R38:R44" si="71">CONCATENATE($B38,"-",I$3)</f>
        <v>NAV-P30-31-G7</v>
      </c>
      <c r="S38" s="990" t="str">
        <f t="shared" ref="S38:S44" si="72">CONCATENATE($B38,"-",J$3)</f>
        <v>NAV-P30-31-G8</v>
      </c>
      <c r="U38" s="985" t="str">
        <f>IFERROR(VLOOKUP(L38,'Schedule 5'!$J$741:$K$960,2,0),"-")</f>
        <v>-</v>
      </c>
      <c r="V38" s="985" t="str">
        <f>IFERROR(VLOOKUP(M38,'Schedule 5'!$J$741:$K$960,2,0),"-")</f>
        <v>-</v>
      </c>
      <c r="W38" s="985" t="str">
        <f>IFERROR(VLOOKUP(N38,'Schedule 5'!$J$741:$K$960,2,0),"-")</f>
        <v>-</v>
      </c>
      <c r="X38" s="985" t="str">
        <f>IFERROR(VLOOKUP(O38,'Schedule 5'!$J$741:$K$960,2,0),"-")</f>
        <v>-</v>
      </c>
      <c r="Y38" s="985" t="str">
        <f>IFERROR(VLOOKUP(P38,'Schedule 5'!$J$741:$K$960,2,0),"-")</f>
        <v>-</v>
      </c>
      <c r="Z38" s="985" t="str">
        <f>IFERROR(VLOOKUP(Q38,'Schedule 5'!$J$741:$K$960,2,0),"-")</f>
        <v>-</v>
      </c>
      <c r="AA38" s="985" t="str">
        <f>IFERROR(VLOOKUP(R38,'Schedule 5'!$J$741:$K$960,2,0),"-")</f>
        <v>-</v>
      </c>
      <c r="AB38" s="985" t="str">
        <f>IFERROR(VLOOKUP(S38,'Schedule 5'!$J$741:$K$960,2,0),"-")</f>
        <v>-</v>
      </c>
    </row>
    <row r="39" spans="2:28" x14ac:dyDescent="0.3">
      <c r="B39" s="982" t="s">
        <v>9881</v>
      </c>
      <c r="C39" s="985" t="str">
        <f t="shared" si="57"/>
        <v>-</v>
      </c>
      <c r="D39" s="985" t="str">
        <f t="shared" si="58"/>
        <v>-</v>
      </c>
      <c r="E39" s="985" t="str">
        <f t="shared" si="59"/>
        <v>-</v>
      </c>
      <c r="F39" s="985" t="str">
        <f t="shared" si="60"/>
        <v>-</v>
      </c>
      <c r="G39" s="985" t="str">
        <f t="shared" si="61"/>
        <v>-</v>
      </c>
      <c r="H39" s="985" t="str">
        <f t="shared" si="62"/>
        <v>-</v>
      </c>
      <c r="I39" s="985" t="str">
        <f t="shared" si="63"/>
        <v>-</v>
      </c>
      <c r="J39" s="985" t="str">
        <f t="shared" si="64"/>
        <v>-</v>
      </c>
      <c r="L39" s="990" t="str">
        <f t="shared" si="65"/>
        <v>NAV-P31-32-G1</v>
      </c>
      <c r="M39" s="990" t="str">
        <f t="shared" si="66"/>
        <v>NAV-P31-32-G2</v>
      </c>
      <c r="N39" s="990" t="str">
        <f t="shared" si="67"/>
        <v>NAV-P31-32-G3</v>
      </c>
      <c r="O39" s="990" t="str">
        <f t="shared" si="68"/>
        <v>NAV-P31-32-G4</v>
      </c>
      <c r="P39" s="990" t="str">
        <f t="shared" si="69"/>
        <v>NAV-P31-32-G5</v>
      </c>
      <c r="Q39" s="990" t="str">
        <f t="shared" si="70"/>
        <v>NAV-P31-32-G6</v>
      </c>
      <c r="R39" s="990" t="str">
        <f t="shared" si="71"/>
        <v>NAV-P31-32-G7</v>
      </c>
      <c r="S39" s="990" t="str">
        <f t="shared" si="72"/>
        <v>NAV-P31-32-G8</v>
      </c>
      <c r="U39" s="985" t="str">
        <f>IFERROR(VLOOKUP(L39,'Schedule 5'!$J$741:$K$960,2,0),"-")</f>
        <v>-</v>
      </c>
      <c r="V39" s="985" t="str">
        <f>IFERROR(VLOOKUP(M39,'Schedule 5'!$J$741:$K$960,2,0),"-")</f>
        <v>-</v>
      </c>
      <c r="W39" s="985" t="str">
        <f>IFERROR(VLOOKUP(N39,'Schedule 5'!$J$741:$K$960,2,0),"-")</f>
        <v>-</v>
      </c>
      <c r="X39" s="985" t="str">
        <f>IFERROR(VLOOKUP(O39,'Schedule 5'!$J$741:$K$960,2,0),"-")</f>
        <v>-</v>
      </c>
      <c r="Y39" s="985" t="str">
        <f>IFERROR(VLOOKUP(P39,'Schedule 5'!$J$741:$K$960,2,0),"-")</f>
        <v>-</v>
      </c>
      <c r="Z39" s="985" t="str">
        <f>IFERROR(VLOOKUP(Q39,'Schedule 5'!$J$741:$K$960,2,0),"-")</f>
        <v>-</v>
      </c>
      <c r="AA39" s="985" t="str">
        <f>IFERROR(VLOOKUP(R39,'Schedule 5'!$J$741:$K$960,2,0),"-")</f>
        <v>-</v>
      </c>
      <c r="AB39" s="985" t="str">
        <f>IFERROR(VLOOKUP(S39,'Schedule 5'!$J$741:$K$960,2,0),"-")</f>
        <v>-</v>
      </c>
    </row>
    <row r="40" spans="2:28" x14ac:dyDescent="0.3">
      <c r="B40" s="982" t="s">
        <v>9882</v>
      </c>
      <c r="C40" s="985" t="str">
        <f t="shared" si="57"/>
        <v>-</v>
      </c>
      <c r="D40" s="985" t="str">
        <f t="shared" si="58"/>
        <v>-</v>
      </c>
      <c r="E40" s="985" t="str">
        <f t="shared" si="59"/>
        <v>-</v>
      </c>
      <c r="F40" s="985" t="str">
        <f t="shared" si="60"/>
        <v>-</v>
      </c>
      <c r="G40" s="985" t="str">
        <f t="shared" si="61"/>
        <v>-</v>
      </c>
      <c r="H40" s="985" t="str">
        <f t="shared" si="62"/>
        <v>-</v>
      </c>
      <c r="I40" s="985" t="str">
        <f t="shared" si="63"/>
        <v>-</v>
      </c>
      <c r="J40" s="985" t="str">
        <f t="shared" si="64"/>
        <v>-</v>
      </c>
      <c r="L40" s="990" t="str">
        <f t="shared" si="65"/>
        <v>NAV-P32-33-G1</v>
      </c>
      <c r="M40" s="990" t="str">
        <f t="shared" si="66"/>
        <v>NAV-P32-33-G2</v>
      </c>
      <c r="N40" s="990" t="str">
        <f t="shared" si="67"/>
        <v>NAV-P32-33-G3</v>
      </c>
      <c r="O40" s="990" t="str">
        <f t="shared" si="68"/>
        <v>NAV-P32-33-G4</v>
      </c>
      <c r="P40" s="990" t="str">
        <f t="shared" si="69"/>
        <v>NAV-P32-33-G5</v>
      </c>
      <c r="Q40" s="990" t="str">
        <f t="shared" si="70"/>
        <v>NAV-P32-33-G6</v>
      </c>
      <c r="R40" s="990" t="str">
        <f t="shared" si="71"/>
        <v>NAV-P32-33-G7</v>
      </c>
      <c r="S40" s="990" t="str">
        <f t="shared" si="72"/>
        <v>NAV-P32-33-G8</v>
      </c>
      <c r="U40" s="985" t="str">
        <f>IFERROR(VLOOKUP(L40,'Schedule 5'!$J$741:$K$960,2,0),"-")</f>
        <v>-</v>
      </c>
      <c r="V40" s="985" t="str">
        <f>IFERROR(VLOOKUP(M40,'Schedule 5'!$J$741:$K$960,2,0),"-")</f>
        <v>-</v>
      </c>
      <c r="W40" s="985" t="str">
        <f>IFERROR(VLOOKUP(N40,'Schedule 5'!$J$741:$K$960,2,0),"-")</f>
        <v>-</v>
      </c>
      <c r="X40" s="985" t="str">
        <f>IFERROR(VLOOKUP(O40,'Schedule 5'!$J$741:$K$960,2,0),"-")</f>
        <v>-</v>
      </c>
      <c r="Y40" s="985" t="str">
        <f>IFERROR(VLOOKUP(P40,'Schedule 5'!$J$741:$K$960,2,0),"-")</f>
        <v>-</v>
      </c>
      <c r="Z40" s="985" t="str">
        <f>IFERROR(VLOOKUP(Q40,'Schedule 5'!$J$741:$K$960,2,0),"-")</f>
        <v>-</v>
      </c>
      <c r="AA40" s="985" t="str">
        <f>IFERROR(VLOOKUP(R40,'Schedule 5'!$J$741:$K$960,2,0),"-")</f>
        <v>-</v>
      </c>
      <c r="AB40" s="985" t="str">
        <f>IFERROR(VLOOKUP(S40,'Schedule 5'!$J$741:$K$960,2,0),"-")</f>
        <v>-</v>
      </c>
    </row>
    <row r="41" spans="2:28" x14ac:dyDescent="0.3">
      <c r="B41" s="982" t="s">
        <v>9883</v>
      </c>
      <c r="C41" s="985" t="str">
        <f t="shared" si="57"/>
        <v>-</v>
      </c>
      <c r="D41" s="985" t="str">
        <f t="shared" si="58"/>
        <v>-</v>
      </c>
      <c r="E41" s="985" t="str">
        <f t="shared" si="59"/>
        <v>-</v>
      </c>
      <c r="F41" s="985" t="str">
        <f t="shared" si="60"/>
        <v>-</v>
      </c>
      <c r="G41" s="985" t="str">
        <f t="shared" si="61"/>
        <v>-</v>
      </c>
      <c r="H41" s="985" t="str">
        <f t="shared" si="62"/>
        <v>-</v>
      </c>
      <c r="I41" s="985" t="str">
        <f t="shared" si="63"/>
        <v>-</v>
      </c>
      <c r="J41" s="985" t="str">
        <f t="shared" si="64"/>
        <v>-</v>
      </c>
      <c r="L41" s="990" t="str">
        <f t="shared" si="65"/>
        <v>NAV-P32R-P33R-G1</v>
      </c>
      <c r="M41" s="990" t="str">
        <f t="shared" si="66"/>
        <v>NAV-P32R-P33R-G2</v>
      </c>
      <c r="N41" s="990" t="str">
        <f t="shared" si="67"/>
        <v>NAV-P32R-P33R-G3</v>
      </c>
      <c r="O41" s="990" t="str">
        <f t="shared" si="68"/>
        <v>NAV-P32R-P33R-G4</v>
      </c>
      <c r="P41" s="990" t="str">
        <f t="shared" si="69"/>
        <v>NAV-P32R-P33R-G5</v>
      </c>
      <c r="Q41" s="990" t="str">
        <f t="shared" si="70"/>
        <v>NAV-P32R-P33R-G6</v>
      </c>
      <c r="R41" s="990" t="str">
        <f t="shared" si="71"/>
        <v>NAV-P32R-P33R-G7</v>
      </c>
      <c r="S41" s="990" t="str">
        <f t="shared" si="72"/>
        <v>NAV-P32R-P33R-G8</v>
      </c>
      <c r="U41" s="985" t="str">
        <f>IFERROR(VLOOKUP(L41,'Schedule 5'!$J$741:$K$960,2,0),"-")</f>
        <v>-</v>
      </c>
      <c r="V41" s="985" t="str">
        <f>IFERROR(VLOOKUP(M41,'Schedule 5'!$J$741:$K$960,2,0),"-")</f>
        <v>-</v>
      </c>
      <c r="W41" s="985" t="str">
        <f>IFERROR(VLOOKUP(N41,'Schedule 5'!$J$741:$K$960,2,0),"-")</f>
        <v>-</v>
      </c>
      <c r="X41" s="985" t="str">
        <f>IFERROR(VLOOKUP(O41,'Schedule 5'!$J$741:$K$960,2,0),"-")</f>
        <v>-</v>
      </c>
      <c r="Y41" s="985" t="str">
        <f>IFERROR(VLOOKUP(P41,'Schedule 5'!$J$741:$K$960,2,0),"-")</f>
        <v>-</v>
      </c>
      <c r="Z41" s="985" t="str">
        <f>IFERROR(VLOOKUP(Q41,'Schedule 5'!$J$741:$K$960,2,0),"-")</f>
        <v>-</v>
      </c>
      <c r="AA41" s="985" t="str">
        <f>IFERROR(VLOOKUP(R41,'Schedule 5'!$J$741:$K$960,2,0),"-")</f>
        <v>-</v>
      </c>
      <c r="AB41" s="985" t="str">
        <f>IFERROR(VLOOKUP(S41,'Schedule 5'!$J$741:$K$960,2,0),"-")</f>
        <v>-</v>
      </c>
    </row>
    <row r="42" spans="2:28" x14ac:dyDescent="0.3">
      <c r="B42" s="982" t="s">
        <v>9884</v>
      </c>
      <c r="C42" s="985" t="str">
        <f t="shared" si="57"/>
        <v>-</v>
      </c>
      <c r="D42" s="985" t="str">
        <f t="shared" si="58"/>
        <v>-</v>
      </c>
      <c r="E42" s="985" t="str">
        <f t="shared" si="59"/>
        <v>-</v>
      </c>
      <c r="F42" s="985" t="str">
        <f t="shared" si="60"/>
        <v>-</v>
      </c>
      <c r="G42" s="985" t="str">
        <f t="shared" si="61"/>
        <v>-</v>
      </c>
      <c r="H42" s="985" t="str">
        <f t="shared" si="62"/>
        <v>-</v>
      </c>
      <c r="I42" s="985" t="str">
        <f t="shared" si="63"/>
        <v>-</v>
      </c>
      <c r="J42" s="985" t="str">
        <f t="shared" si="64"/>
        <v>-</v>
      </c>
      <c r="L42" s="990" t="str">
        <f t="shared" si="65"/>
        <v>NAV-P33-34-G1</v>
      </c>
      <c r="M42" s="990" t="str">
        <f t="shared" si="66"/>
        <v>NAV-P33-34-G2</v>
      </c>
      <c r="N42" s="990" t="str">
        <f t="shared" si="67"/>
        <v>NAV-P33-34-G3</v>
      </c>
      <c r="O42" s="990" t="str">
        <f t="shared" si="68"/>
        <v>NAV-P33-34-G4</v>
      </c>
      <c r="P42" s="990" t="str">
        <f t="shared" si="69"/>
        <v>NAV-P33-34-G5</v>
      </c>
      <c r="Q42" s="990" t="str">
        <f t="shared" si="70"/>
        <v>NAV-P33-34-G6</v>
      </c>
      <c r="R42" s="990" t="str">
        <f t="shared" si="71"/>
        <v>NAV-P33-34-G7</v>
      </c>
      <c r="S42" s="990" t="str">
        <f t="shared" si="72"/>
        <v>NAV-P33-34-G8</v>
      </c>
      <c r="U42" s="985" t="str">
        <f>IFERROR(VLOOKUP(L42,'Schedule 5'!$J$741:$K$960,2,0),"-")</f>
        <v>-</v>
      </c>
      <c r="V42" s="985" t="str">
        <f>IFERROR(VLOOKUP(M42,'Schedule 5'!$J$741:$K$960,2,0),"-")</f>
        <v>-</v>
      </c>
      <c r="W42" s="985" t="str">
        <f>IFERROR(VLOOKUP(N42,'Schedule 5'!$J$741:$K$960,2,0),"-")</f>
        <v>-</v>
      </c>
      <c r="X42" s="985" t="str">
        <f>IFERROR(VLOOKUP(O42,'Schedule 5'!$J$741:$K$960,2,0),"-")</f>
        <v>-</v>
      </c>
      <c r="Y42" s="985" t="str">
        <f>IFERROR(VLOOKUP(P42,'Schedule 5'!$J$741:$K$960,2,0),"-")</f>
        <v>-</v>
      </c>
      <c r="Z42" s="985" t="str">
        <f>IFERROR(VLOOKUP(Q42,'Schedule 5'!$J$741:$K$960,2,0),"-")</f>
        <v>-</v>
      </c>
      <c r="AA42" s="985" t="str">
        <f>IFERROR(VLOOKUP(R42,'Schedule 5'!$J$741:$K$960,2,0),"-")</f>
        <v>-</v>
      </c>
      <c r="AB42" s="985" t="str">
        <f>IFERROR(VLOOKUP(S42,'Schedule 5'!$J$741:$K$960,2,0),"-")</f>
        <v>-</v>
      </c>
    </row>
    <row r="43" spans="2:28" x14ac:dyDescent="0.3">
      <c r="B43" s="982" t="s">
        <v>9885</v>
      </c>
      <c r="C43" s="985" t="str">
        <f t="shared" si="57"/>
        <v>-</v>
      </c>
      <c r="D43" s="985" t="str">
        <f t="shared" si="58"/>
        <v>-</v>
      </c>
      <c r="E43" s="985" t="str">
        <f t="shared" si="59"/>
        <v>-</v>
      </c>
      <c r="F43" s="985" t="str">
        <f t="shared" si="60"/>
        <v>-</v>
      </c>
      <c r="G43" s="985" t="str">
        <f t="shared" si="61"/>
        <v>-</v>
      </c>
      <c r="H43" s="985" t="str">
        <f t="shared" si="62"/>
        <v>-</v>
      </c>
      <c r="I43" s="985" t="str">
        <f t="shared" si="63"/>
        <v>-</v>
      </c>
      <c r="J43" s="985" t="str">
        <f t="shared" si="64"/>
        <v>-</v>
      </c>
      <c r="L43" s="990" t="str">
        <f t="shared" si="65"/>
        <v>NAV-P34-35-G1</v>
      </c>
      <c r="M43" s="990" t="str">
        <f t="shared" si="66"/>
        <v>NAV-P34-35-G2</v>
      </c>
      <c r="N43" s="990" t="str">
        <f t="shared" si="67"/>
        <v>NAV-P34-35-G3</v>
      </c>
      <c r="O43" s="990" t="str">
        <f t="shared" si="68"/>
        <v>NAV-P34-35-G4</v>
      </c>
      <c r="P43" s="990" t="str">
        <f t="shared" si="69"/>
        <v>NAV-P34-35-G5</v>
      </c>
      <c r="Q43" s="990" t="str">
        <f t="shared" si="70"/>
        <v>NAV-P34-35-G6</v>
      </c>
      <c r="R43" s="990" t="str">
        <f t="shared" si="71"/>
        <v>NAV-P34-35-G7</v>
      </c>
      <c r="S43" s="990" t="str">
        <f t="shared" si="72"/>
        <v>NAV-P34-35-G8</v>
      </c>
      <c r="U43" s="985" t="str">
        <f>IFERROR(VLOOKUP(L43,'Schedule 5'!$J$741:$K$960,2,0),"-")</f>
        <v>-</v>
      </c>
      <c r="V43" s="985" t="str">
        <f>IFERROR(VLOOKUP(M43,'Schedule 5'!$J$741:$K$960,2,0),"-")</f>
        <v>-</v>
      </c>
      <c r="W43" s="985" t="str">
        <f>IFERROR(VLOOKUP(N43,'Schedule 5'!$J$741:$K$960,2,0),"-")</f>
        <v>-</v>
      </c>
      <c r="X43" s="985" t="str">
        <f>IFERROR(VLOOKUP(O43,'Schedule 5'!$J$741:$K$960,2,0),"-")</f>
        <v>-</v>
      </c>
      <c r="Y43" s="985" t="str">
        <f>IFERROR(VLOOKUP(P43,'Schedule 5'!$J$741:$K$960,2,0),"-")</f>
        <v>-</v>
      </c>
      <c r="Z43" s="985" t="str">
        <f>IFERROR(VLOOKUP(Q43,'Schedule 5'!$J$741:$K$960,2,0),"-")</f>
        <v>-</v>
      </c>
      <c r="AA43" s="985" t="str">
        <f>IFERROR(VLOOKUP(R43,'Schedule 5'!$J$741:$K$960,2,0),"-")</f>
        <v>-</v>
      </c>
      <c r="AB43" s="985" t="str">
        <f>IFERROR(VLOOKUP(S43,'Schedule 5'!$J$741:$K$960,2,0),"-")</f>
        <v>-</v>
      </c>
    </row>
    <row r="44" spans="2:28" x14ac:dyDescent="0.3">
      <c r="B44" s="982" t="s">
        <v>9886</v>
      </c>
      <c r="C44" s="985" t="str">
        <f t="shared" si="57"/>
        <v>-</v>
      </c>
      <c r="D44" s="985" t="str">
        <f t="shared" si="58"/>
        <v>-</v>
      </c>
      <c r="E44" s="985" t="str">
        <f t="shared" si="59"/>
        <v>-</v>
      </c>
      <c r="F44" s="985" t="str">
        <f t="shared" si="60"/>
        <v>-</v>
      </c>
      <c r="G44" s="985" t="str">
        <f t="shared" si="61"/>
        <v>-</v>
      </c>
      <c r="H44" s="985" t="str">
        <f t="shared" si="62"/>
        <v>-</v>
      </c>
      <c r="I44" s="985" t="str">
        <f t="shared" si="63"/>
        <v>-</v>
      </c>
      <c r="J44" s="985" t="str">
        <f t="shared" si="64"/>
        <v>-</v>
      </c>
      <c r="L44" s="990" t="str">
        <f t="shared" si="65"/>
        <v>NAV-P35-36-G1</v>
      </c>
      <c r="M44" s="990" t="str">
        <f t="shared" si="66"/>
        <v>NAV-P35-36-G2</v>
      </c>
      <c r="N44" s="990" t="str">
        <f t="shared" si="67"/>
        <v>NAV-P35-36-G3</v>
      </c>
      <c r="O44" s="990" t="str">
        <f t="shared" si="68"/>
        <v>NAV-P35-36-G4</v>
      </c>
      <c r="P44" s="990" t="str">
        <f t="shared" si="69"/>
        <v>NAV-P35-36-G5</v>
      </c>
      <c r="Q44" s="990" t="str">
        <f t="shared" si="70"/>
        <v>NAV-P35-36-G6</v>
      </c>
      <c r="R44" s="990" t="str">
        <f t="shared" si="71"/>
        <v>NAV-P35-36-G7</v>
      </c>
      <c r="S44" s="990" t="str">
        <f t="shared" si="72"/>
        <v>NAV-P35-36-G8</v>
      </c>
      <c r="U44" s="985" t="str">
        <f>IFERROR(VLOOKUP(L44,'Schedule 5'!$J$741:$K$960,2,0),"-")</f>
        <v>-</v>
      </c>
      <c r="V44" s="985" t="str">
        <f>IFERROR(VLOOKUP(M44,'Schedule 5'!$J$741:$K$960,2,0),"-")</f>
        <v>-</v>
      </c>
      <c r="W44" s="985" t="str">
        <f>IFERROR(VLOOKUP(N44,'Schedule 5'!$J$741:$K$960,2,0),"-")</f>
        <v>-</v>
      </c>
      <c r="X44" s="985" t="str">
        <f>IFERROR(VLOOKUP(O44,'Schedule 5'!$J$741:$K$960,2,0),"-")</f>
        <v>-</v>
      </c>
      <c r="Y44" s="985" t="str">
        <f>IFERROR(VLOOKUP(P44,'Schedule 5'!$J$741:$K$960,2,0),"-")</f>
        <v>-</v>
      </c>
      <c r="Z44" s="985" t="str">
        <f>IFERROR(VLOOKUP(Q44,'Schedule 5'!$J$741:$K$960,2,0),"-")</f>
        <v>-</v>
      </c>
      <c r="AA44" s="985" t="str">
        <f>IFERROR(VLOOKUP(R44,'Schedule 5'!$J$741:$K$960,2,0),"-")</f>
        <v>-</v>
      </c>
      <c r="AB44" s="985" t="str">
        <f>IFERROR(VLOOKUP(S44,'Schedule 5'!$J$741:$K$960,2,0),"-")</f>
        <v>-</v>
      </c>
    </row>
    <row r="45" spans="2:28" x14ac:dyDescent="0.3">
      <c r="B45" s="982"/>
      <c r="C45" s="985"/>
      <c r="D45" s="985"/>
      <c r="E45" s="985"/>
      <c r="F45" s="985"/>
      <c r="G45" s="985"/>
      <c r="H45" s="985"/>
      <c r="I45" s="985"/>
      <c r="J45" s="985"/>
      <c r="L45" s="990"/>
      <c r="M45" s="990"/>
      <c r="N45" s="990"/>
      <c r="O45" s="990"/>
      <c r="P45" s="990"/>
      <c r="Q45" s="990"/>
      <c r="R45" s="990"/>
      <c r="S45" s="990"/>
      <c r="U45" s="985" t="str">
        <f>IFERROR(VLOOKUP(L45,'Schedule 5'!$J$741:$K$960,2,0),"-")</f>
        <v>-</v>
      </c>
      <c r="V45" s="985" t="str">
        <f>IFERROR(VLOOKUP(M45,'Schedule 5'!$J$741:$K$960,2,0),"-")</f>
        <v>-</v>
      </c>
      <c r="W45" s="985" t="str">
        <f>IFERROR(VLOOKUP(N45,'Schedule 5'!$J$741:$K$960,2,0),"-")</f>
        <v>-</v>
      </c>
      <c r="X45" s="985" t="str">
        <f>IFERROR(VLOOKUP(O45,'Schedule 5'!$J$741:$K$960,2,0),"-")</f>
        <v>-</v>
      </c>
      <c r="Y45" s="985" t="str">
        <f>IFERROR(VLOOKUP(P45,'Schedule 5'!$J$741:$K$960,2,0),"-")</f>
        <v>-</v>
      </c>
      <c r="Z45" s="985" t="str">
        <f>IFERROR(VLOOKUP(Q45,'Schedule 5'!$J$741:$K$960,2,0),"-")</f>
        <v>-</v>
      </c>
      <c r="AA45" s="985" t="str">
        <f>IFERROR(VLOOKUP(R45,'Schedule 5'!$J$741:$K$960,2,0),"-")</f>
        <v>-</v>
      </c>
      <c r="AB45" s="985" t="str">
        <f>IFERROR(VLOOKUP(S45,'Schedule 5'!$J$741:$K$960,2,0),"-")</f>
        <v>-</v>
      </c>
    </row>
    <row r="46" spans="2:28" x14ac:dyDescent="0.3">
      <c r="B46" s="982" t="s">
        <v>9887</v>
      </c>
      <c r="C46" s="985" t="str">
        <f t="shared" ref="C46:C48" si="73">U46</f>
        <v>-</v>
      </c>
      <c r="D46" s="985" t="str">
        <f t="shared" ref="D46:D48" si="74">V46</f>
        <v>-</v>
      </c>
      <c r="E46" s="985" t="str">
        <f t="shared" ref="E46:E48" si="75">W46</f>
        <v>-</v>
      </c>
      <c r="F46" s="985" t="str">
        <f t="shared" ref="F46:F48" si="76">X46</f>
        <v>-</v>
      </c>
      <c r="G46" s="985" t="str">
        <f t="shared" ref="G46:G48" si="77">Y46</f>
        <v>-</v>
      </c>
      <c r="H46" s="985" t="str">
        <f t="shared" ref="H46:H48" si="78">Z46</f>
        <v>-</v>
      </c>
      <c r="I46" s="985" t="str">
        <f t="shared" ref="I46:I48" si="79">AA46</f>
        <v>-</v>
      </c>
      <c r="J46" s="985" t="str">
        <f t="shared" ref="J46:J48" si="80">AB46</f>
        <v>-</v>
      </c>
      <c r="L46" s="990" t="str">
        <f t="shared" ref="L46:L48" si="81">CONCATENATE($B46,"-",C$3)</f>
        <v>VUP- A1-P2-G1</v>
      </c>
      <c r="M46" s="990" t="str">
        <f t="shared" ref="M46:M48" si="82">CONCATENATE($B46,"-",D$3)</f>
        <v>VUP- A1-P2-G2</v>
      </c>
      <c r="N46" s="990" t="str">
        <f t="shared" ref="N46:N48" si="83">CONCATENATE($B46,"-",E$3)</f>
        <v>VUP- A1-P2-G3</v>
      </c>
      <c r="O46" s="990" t="str">
        <f t="shared" ref="O46:O48" si="84">CONCATENATE($B46,"-",F$3)</f>
        <v>VUP- A1-P2-G4</v>
      </c>
      <c r="P46" s="990" t="str">
        <f t="shared" ref="P46:P48" si="85">CONCATENATE($B46,"-",G$3)</f>
        <v>VUP- A1-P2-G5</v>
      </c>
      <c r="Q46" s="990" t="str">
        <f t="shared" ref="Q46:Q48" si="86">CONCATENATE($B46,"-",H$3)</f>
        <v>VUP- A1-P2-G6</v>
      </c>
      <c r="R46" s="990" t="str">
        <f t="shared" ref="R46:R48" si="87">CONCATENATE($B46,"-",I$3)</f>
        <v>VUP- A1-P2-G7</v>
      </c>
      <c r="S46" s="990" t="str">
        <f t="shared" ref="S46:S48" si="88">CONCATENATE($B46,"-",J$3)</f>
        <v>VUP- A1-P2-G8</v>
      </c>
      <c r="U46" s="985" t="str">
        <f>IFERROR(VLOOKUP(L46,'Schedule 5'!$J$741:$K$960,2,0),"-")</f>
        <v>-</v>
      </c>
      <c r="V46" s="985" t="str">
        <f>IFERROR(VLOOKUP(M46,'Schedule 5'!$J$741:$K$960,2,0),"-")</f>
        <v>-</v>
      </c>
      <c r="W46" s="985" t="str">
        <f>IFERROR(VLOOKUP(N46,'Schedule 5'!$J$741:$K$960,2,0),"-")</f>
        <v>-</v>
      </c>
      <c r="X46" s="985" t="str">
        <f>IFERROR(VLOOKUP(O46,'Schedule 5'!$J$741:$K$960,2,0),"-")</f>
        <v>-</v>
      </c>
      <c r="Y46" s="985" t="str">
        <f>IFERROR(VLOOKUP(P46,'Schedule 5'!$J$741:$K$960,2,0),"-")</f>
        <v>-</v>
      </c>
      <c r="Z46" s="985" t="str">
        <f>IFERROR(VLOOKUP(Q46,'Schedule 5'!$J$741:$K$960,2,0),"-")</f>
        <v>-</v>
      </c>
      <c r="AA46" s="985" t="str">
        <f>IFERROR(VLOOKUP(R46,'Schedule 5'!$J$741:$K$960,2,0),"-")</f>
        <v>-</v>
      </c>
      <c r="AB46" s="985" t="str">
        <f>IFERROR(VLOOKUP(S46,'Schedule 5'!$J$741:$K$960,2,0),"-")</f>
        <v>-</v>
      </c>
    </row>
    <row r="47" spans="2:28" x14ac:dyDescent="0.3">
      <c r="B47" s="982" t="s">
        <v>9888</v>
      </c>
      <c r="C47" s="985" t="str">
        <f t="shared" si="73"/>
        <v>-</v>
      </c>
      <c r="D47" s="985" t="str">
        <f t="shared" si="74"/>
        <v>-</v>
      </c>
      <c r="E47" s="985" t="str">
        <f t="shared" si="75"/>
        <v>-</v>
      </c>
      <c r="F47" s="985" t="str">
        <f t="shared" si="76"/>
        <v>-</v>
      </c>
      <c r="G47" s="985" t="str">
        <f t="shared" si="77"/>
        <v>-</v>
      </c>
      <c r="H47" s="985" t="str">
        <f t="shared" si="78"/>
        <v>-</v>
      </c>
      <c r="I47" s="985" t="str">
        <f t="shared" si="79"/>
        <v>-</v>
      </c>
      <c r="J47" s="985" t="str">
        <f t="shared" si="80"/>
        <v>-</v>
      </c>
      <c r="L47" s="990" t="str">
        <f t="shared" si="81"/>
        <v>VUP- P1-P2-G1</v>
      </c>
      <c r="M47" s="990" t="str">
        <f t="shared" si="82"/>
        <v>VUP- P1-P2-G2</v>
      </c>
      <c r="N47" s="990" t="str">
        <f t="shared" si="83"/>
        <v>VUP- P1-P2-G3</v>
      </c>
      <c r="O47" s="990" t="str">
        <f t="shared" si="84"/>
        <v>VUP- P1-P2-G4</v>
      </c>
      <c r="P47" s="990" t="str">
        <f t="shared" si="85"/>
        <v>VUP- P1-P2-G5</v>
      </c>
      <c r="Q47" s="990" t="str">
        <f t="shared" si="86"/>
        <v>VUP- P1-P2-G6</v>
      </c>
      <c r="R47" s="990" t="str">
        <f t="shared" si="87"/>
        <v>VUP- P1-P2-G7</v>
      </c>
      <c r="S47" s="990" t="str">
        <f t="shared" si="88"/>
        <v>VUP- P1-P2-G8</v>
      </c>
      <c r="U47" s="985" t="str">
        <f>IFERROR(VLOOKUP(L47,'Schedule 5'!$J$741:$K$960,2,0),"-")</f>
        <v>-</v>
      </c>
      <c r="V47" s="985" t="str">
        <f>IFERROR(VLOOKUP(M47,'Schedule 5'!$J$741:$K$960,2,0),"-")</f>
        <v>-</v>
      </c>
      <c r="W47" s="985" t="str">
        <f>IFERROR(VLOOKUP(N47,'Schedule 5'!$J$741:$K$960,2,0),"-")</f>
        <v>-</v>
      </c>
      <c r="X47" s="985" t="str">
        <f>IFERROR(VLOOKUP(O47,'Schedule 5'!$J$741:$K$960,2,0),"-")</f>
        <v>-</v>
      </c>
      <c r="Y47" s="985" t="str">
        <f>IFERROR(VLOOKUP(P47,'Schedule 5'!$J$741:$K$960,2,0),"-")</f>
        <v>-</v>
      </c>
      <c r="Z47" s="985" t="str">
        <f>IFERROR(VLOOKUP(Q47,'Schedule 5'!$J$741:$K$960,2,0),"-")</f>
        <v>-</v>
      </c>
      <c r="AA47" s="985" t="str">
        <f>IFERROR(VLOOKUP(R47,'Schedule 5'!$J$741:$K$960,2,0),"-")</f>
        <v>-</v>
      </c>
      <c r="AB47" s="985" t="str">
        <f>IFERROR(VLOOKUP(S47,'Schedule 5'!$J$741:$K$960,2,0),"-")</f>
        <v>-</v>
      </c>
    </row>
    <row r="48" spans="2:28" x14ac:dyDescent="0.3">
      <c r="B48" s="982" t="s">
        <v>9889</v>
      </c>
      <c r="C48" s="985" t="str">
        <f t="shared" si="73"/>
        <v>-</v>
      </c>
      <c r="D48" s="985" t="str">
        <f t="shared" si="74"/>
        <v>-</v>
      </c>
      <c r="E48" s="985" t="str">
        <f t="shared" si="75"/>
        <v>-</v>
      </c>
      <c r="F48" s="985" t="str">
        <f t="shared" si="76"/>
        <v>-</v>
      </c>
      <c r="G48" s="985" t="str">
        <f t="shared" si="77"/>
        <v>-</v>
      </c>
      <c r="H48" s="985" t="str">
        <f t="shared" si="78"/>
        <v>-</v>
      </c>
      <c r="I48" s="985" t="str">
        <f t="shared" si="79"/>
        <v>-</v>
      </c>
      <c r="J48" s="985" t="str">
        <f t="shared" si="80"/>
        <v>-</v>
      </c>
      <c r="L48" s="990" t="str">
        <f t="shared" si="81"/>
        <v>VUP- P2-A2-G1</v>
      </c>
      <c r="M48" s="990" t="str">
        <f t="shared" si="82"/>
        <v>VUP- P2-A2-G2</v>
      </c>
      <c r="N48" s="990" t="str">
        <f t="shared" si="83"/>
        <v>VUP- P2-A2-G3</v>
      </c>
      <c r="O48" s="990" t="str">
        <f t="shared" si="84"/>
        <v>VUP- P2-A2-G4</v>
      </c>
      <c r="P48" s="990" t="str">
        <f t="shared" si="85"/>
        <v>VUP- P2-A2-G5</v>
      </c>
      <c r="Q48" s="990" t="str">
        <f t="shared" si="86"/>
        <v>VUP- P2-A2-G6</v>
      </c>
      <c r="R48" s="990" t="str">
        <f t="shared" si="87"/>
        <v>VUP- P2-A2-G7</v>
      </c>
      <c r="S48" s="990" t="str">
        <f t="shared" si="88"/>
        <v>VUP- P2-A2-G8</v>
      </c>
      <c r="U48" s="985" t="str">
        <f>IFERROR(VLOOKUP(L48,'Schedule 5'!$J$741:$K$960,2,0),"-")</f>
        <v>-</v>
      </c>
      <c r="V48" s="985" t="str">
        <f>IFERROR(VLOOKUP(M48,'Schedule 5'!$J$741:$K$960,2,0),"-")</f>
        <v>-</v>
      </c>
      <c r="W48" s="985" t="str">
        <f>IFERROR(VLOOKUP(N48,'Schedule 5'!$J$741:$K$960,2,0),"-")</f>
        <v>-</v>
      </c>
      <c r="X48" s="985" t="str">
        <f>IFERROR(VLOOKUP(O48,'Schedule 5'!$J$741:$K$960,2,0),"-")</f>
        <v>-</v>
      </c>
      <c r="Y48" s="985" t="str">
        <f>IFERROR(VLOOKUP(P48,'Schedule 5'!$J$741:$K$960,2,0),"-")</f>
        <v>-</v>
      </c>
      <c r="Z48" s="985" t="str">
        <f>IFERROR(VLOOKUP(Q48,'Schedule 5'!$J$741:$K$960,2,0),"-")</f>
        <v>-</v>
      </c>
      <c r="AA48" s="985" t="str">
        <f>IFERROR(VLOOKUP(R48,'Schedule 5'!$J$741:$K$960,2,0),"-")</f>
        <v>-</v>
      </c>
      <c r="AB48" s="985" t="str">
        <f>IFERROR(VLOOKUP(S48,'Schedule 5'!$J$741:$K$960,2,0),"-")</f>
        <v>-</v>
      </c>
    </row>
    <row r="49" spans="2:28" x14ac:dyDescent="0.3">
      <c r="B49" s="983"/>
      <c r="C49" s="986"/>
      <c r="D49" s="986"/>
      <c r="E49" s="986"/>
      <c r="F49" s="986"/>
      <c r="G49" s="986"/>
      <c r="H49" s="986"/>
      <c r="I49" s="986"/>
      <c r="J49" s="986"/>
      <c r="L49" s="990"/>
      <c r="M49" s="990"/>
      <c r="N49" s="990"/>
      <c r="O49" s="990"/>
      <c r="P49" s="990"/>
      <c r="Q49" s="990"/>
      <c r="R49" s="990"/>
      <c r="S49" s="990"/>
      <c r="U49" s="985"/>
      <c r="V49" s="985"/>
      <c r="W49" s="985"/>
      <c r="X49" s="985"/>
      <c r="Y49" s="985"/>
      <c r="Z49" s="985"/>
      <c r="AA49" s="985"/>
      <c r="AB49" s="985"/>
    </row>
    <row r="51" spans="2:28" x14ac:dyDescent="0.3">
      <c r="C51" s="60" t="s">
        <v>6796</v>
      </c>
      <c r="D51" s="1750" t="s">
        <v>9890</v>
      </c>
      <c r="E51" s="1751"/>
      <c r="G51" s="60" t="s">
        <v>6796</v>
      </c>
      <c r="H51" s="1750" t="s">
        <v>9890</v>
      </c>
      <c r="I51" s="1751"/>
    </row>
    <row r="52" spans="2:28" ht="14.4" customHeight="1" x14ac:dyDescent="0.3">
      <c r="C52" s="916">
        <v>45748</v>
      </c>
      <c r="D52" s="1752">
        <f t="shared" ref="D52:D65" si="89">COUNTIF($C$4:$J$49,$C52)</f>
        <v>1</v>
      </c>
      <c r="E52" s="1753"/>
      <c r="G52" s="916">
        <v>46174</v>
      </c>
      <c r="H52" s="1752">
        <f>COUNTIF($C$4:$J$49,$G52)</f>
        <v>13</v>
      </c>
      <c r="I52" s="1753"/>
    </row>
    <row r="53" spans="2:28" x14ac:dyDescent="0.3">
      <c r="C53" s="916">
        <v>45778</v>
      </c>
      <c r="D53" s="1752">
        <f t="shared" si="89"/>
        <v>2</v>
      </c>
      <c r="E53" s="1753"/>
      <c r="G53" s="916">
        <v>46204</v>
      </c>
      <c r="H53" s="1752">
        <f t="shared" ref="H53:H65" si="90">COUNTIF($C$4:$J$49,$G53)</f>
        <v>19</v>
      </c>
      <c r="I53" s="1753"/>
    </row>
    <row r="54" spans="2:28" x14ac:dyDescent="0.3">
      <c r="C54" s="916">
        <v>45809</v>
      </c>
      <c r="D54" s="1752">
        <f t="shared" si="89"/>
        <v>1</v>
      </c>
      <c r="E54" s="1753"/>
      <c r="G54" s="916">
        <v>46235</v>
      </c>
      <c r="H54" s="1752">
        <f t="shared" si="90"/>
        <v>0</v>
      </c>
      <c r="I54" s="1753"/>
    </row>
    <row r="55" spans="2:28" x14ac:dyDescent="0.3">
      <c r="C55" s="916">
        <v>45839</v>
      </c>
      <c r="D55" s="1752">
        <f t="shared" si="89"/>
        <v>7</v>
      </c>
      <c r="E55" s="1753"/>
      <c r="G55" s="916">
        <v>46266</v>
      </c>
      <c r="H55" s="1752">
        <f t="shared" si="90"/>
        <v>0</v>
      </c>
      <c r="I55" s="1753"/>
    </row>
    <row r="56" spans="2:28" x14ac:dyDescent="0.3">
      <c r="C56" s="916">
        <v>45870</v>
      </c>
      <c r="D56" s="1752">
        <f t="shared" si="89"/>
        <v>9</v>
      </c>
      <c r="E56" s="1753"/>
      <c r="G56" s="916">
        <v>46296</v>
      </c>
      <c r="H56" s="1752">
        <f t="shared" si="90"/>
        <v>0</v>
      </c>
      <c r="I56" s="1753"/>
    </row>
    <row r="57" spans="2:28" x14ac:dyDescent="0.3">
      <c r="C57" s="916">
        <v>45901</v>
      </c>
      <c r="D57" s="1752">
        <f t="shared" si="89"/>
        <v>14</v>
      </c>
      <c r="E57" s="1753"/>
      <c r="G57" s="916">
        <v>46327</v>
      </c>
      <c r="H57" s="1752">
        <f t="shared" si="90"/>
        <v>0</v>
      </c>
      <c r="I57" s="1753"/>
    </row>
    <row r="58" spans="2:28" x14ac:dyDescent="0.3">
      <c r="C58" s="916">
        <v>45931</v>
      </c>
      <c r="D58" s="1752">
        <f t="shared" si="89"/>
        <v>15</v>
      </c>
      <c r="E58" s="1753"/>
      <c r="G58" s="916">
        <v>46357</v>
      </c>
      <c r="H58" s="1752">
        <f t="shared" si="90"/>
        <v>0</v>
      </c>
      <c r="I58" s="1753"/>
    </row>
    <row r="59" spans="2:28" x14ac:dyDescent="0.3">
      <c r="C59" s="916">
        <v>45962</v>
      </c>
      <c r="D59" s="1752">
        <f t="shared" si="89"/>
        <v>18</v>
      </c>
      <c r="E59" s="1753"/>
      <c r="G59" s="916">
        <v>46388</v>
      </c>
      <c r="H59" s="1752">
        <f t="shared" si="90"/>
        <v>0</v>
      </c>
      <c r="I59" s="1753"/>
    </row>
    <row r="60" spans="2:28" x14ac:dyDescent="0.3">
      <c r="C60" s="916">
        <v>45992</v>
      </c>
      <c r="D60" s="1752">
        <f t="shared" si="89"/>
        <v>15</v>
      </c>
      <c r="E60" s="1753"/>
      <c r="G60" s="916">
        <v>46419</v>
      </c>
      <c r="H60" s="1752">
        <f t="shared" si="90"/>
        <v>0</v>
      </c>
      <c r="I60" s="1753"/>
    </row>
    <row r="61" spans="2:28" x14ac:dyDescent="0.3">
      <c r="C61" s="916">
        <v>46023</v>
      </c>
      <c r="D61" s="1752">
        <f t="shared" si="89"/>
        <v>17</v>
      </c>
      <c r="E61" s="1753"/>
      <c r="G61" s="916">
        <v>46447</v>
      </c>
      <c r="H61" s="1752">
        <f t="shared" si="90"/>
        <v>0</v>
      </c>
      <c r="I61" s="1753"/>
    </row>
    <row r="62" spans="2:28" x14ac:dyDescent="0.3">
      <c r="C62" s="916">
        <v>46054</v>
      </c>
      <c r="D62" s="1752">
        <f t="shared" si="89"/>
        <v>15</v>
      </c>
      <c r="E62" s="1753"/>
      <c r="G62" s="916">
        <v>46478</v>
      </c>
      <c r="H62" s="1752">
        <f t="shared" si="90"/>
        <v>0</v>
      </c>
      <c r="I62" s="1753"/>
    </row>
    <row r="63" spans="2:28" x14ac:dyDescent="0.3">
      <c r="C63" s="916">
        <v>46082</v>
      </c>
      <c r="D63" s="1752">
        <f>COUNTIF($C$4:$J$49,$C63)</f>
        <v>22</v>
      </c>
      <c r="E63" s="1753"/>
      <c r="G63" s="916">
        <v>46508</v>
      </c>
      <c r="H63" s="1752">
        <f t="shared" si="90"/>
        <v>0</v>
      </c>
      <c r="I63" s="1753"/>
    </row>
    <row r="64" spans="2:28" x14ac:dyDescent="0.3">
      <c r="C64" s="916">
        <v>46113</v>
      </c>
      <c r="D64" s="1752">
        <f t="shared" si="89"/>
        <v>7</v>
      </c>
      <c r="E64" s="1753"/>
      <c r="G64" s="916">
        <v>46539</v>
      </c>
      <c r="H64" s="1752">
        <f t="shared" si="90"/>
        <v>0</v>
      </c>
      <c r="I64" s="1753"/>
    </row>
    <row r="65" spans="3:9" x14ac:dyDescent="0.3">
      <c r="C65" s="916">
        <v>46143</v>
      </c>
      <c r="D65" s="1752">
        <f t="shared" si="89"/>
        <v>14</v>
      </c>
      <c r="E65" s="1753"/>
      <c r="G65" s="916">
        <v>46569</v>
      </c>
      <c r="H65" s="1752">
        <f t="shared" si="90"/>
        <v>0</v>
      </c>
      <c r="I65" s="1753"/>
    </row>
    <row r="67" spans="3:9" x14ac:dyDescent="0.3">
      <c r="E67" s="1757" t="s">
        <v>9891</v>
      </c>
      <c r="F67" s="1758"/>
      <c r="G67" s="977">
        <f>SUM(D52:E65,H52:I65)</f>
        <v>189</v>
      </c>
    </row>
  </sheetData>
  <mergeCells count="31">
    <mergeCell ref="D51:E51"/>
    <mergeCell ref="D54:E54"/>
    <mergeCell ref="D55:E55"/>
    <mergeCell ref="D56:E56"/>
    <mergeCell ref="D57:E57"/>
    <mergeCell ref="D65:E65"/>
    <mergeCell ref="D52:E52"/>
    <mergeCell ref="D53:E53"/>
    <mergeCell ref="D59:E59"/>
    <mergeCell ref="D60:E60"/>
    <mergeCell ref="D61:E61"/>
    <mergeCell ref="D62:E62"/>
    <mergeCell ref="D63:E63"/>
    <mergeCell ref="D64:E64"/>
    <mergeCell ref="D58:E58"/>
    <mergeCell ref="H63:I63"/>
    <mergeCell ref="H64:I64"/>
    <mergeCell ref="H65:I65"/>
    <mergeCell ref="E67:F67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BC34-7831-4283-A2B7-E7C20DF913F1}">
  <sheetPr>
    <pageSetUpPr fitToPage="1"/>
  </sheetPr>
  <dimension ref="B1:Q87"/>
  <sheetViews>
    <sheetView view="pageBreakPreview" zoomScale="70" zoomScaleNormal="80" zoomScaleSheetLayoutView="70" workbookViewId="0">
      <pane ySplit="6" topLeftCell="A70" activePane="bottomLeft" state="frozen"/>
      <selection activeCell="H327" sqref="H327"/>
      <selection pane="bottomLeft" activeCell="F86" sqref="F86"/>
    </sheetView>
  </sheetViews>
  <sheetFormatPr defaultColWidth="9.109375" defaultRowHeight="14.4" x14ac:dyDescent="0.3"/>
  <cols>
    <col min="1" max="1" width="2" style="132" customWidth="1"/>
    <col min="2" max="2" width="12.5546875" style="132" customWidth="1"/>
    <col min="3" max="3" width="60.5546875" style="132" customWidth="1"/>
    <col min="4" max="4" width="10.5546875" style="132" customWidth="1"/>
    <col min="5" max="5" width="12.5546875" style="132" customWidth="1"/>
    <col min="6" max="6" width="12.5546875" style="339" customWidth="1"/>
    <col min="7" max="7" width="32.5546875" style="132" customWidth="1"/>
    <col min="8" max="8" width="12.5546875" style="132" customWidth="1"/>
    <col min="9" max="9" width="10.5546875" style="132" customWidth="1"/>
    <col min="10" max="10" width="24.5546875" style="132" customWidth="1"/>
    <col min="11" max="11" width="14.88671875" style="132" customWidth="1"/>
    <col min="12" max="12" width="19.109375" style="132" customWidth="1"/>
    <col min="13" max="13" width="5.88671875" style="132" customWidth="1"/>
    <col min="14" max="14" width="4" style="132" bestFit="1" customWidth="1"/>
    <col min="15" max="15" width="9.88671875" style="132" bestFit="1" customWidth="1"/>
    <col min="16" max="16384" width="9.109375" style="132"/>
  </cols>
  <sheetData>
    <row r="1" spans="2:17" ht="8.25" customHeight="1" x14ac:dyDescent="0.3"/>
    <row r="2" spans="2:17" ht="42" customHeight="1" x14ac:dyDescent="0.3">
      <c r="B2" s="315"/>
      <c r="C2" s="309" t="s">
        <v>141</v>
      </c>
      <c r="D2" s="310"/>
      <c r="E2" s="310"/>
      <c r="F2" s="340"/>
      <c r="G2" s="311"/>
      <c r="H2" s="311"/>
      <c r="I2" s="531"/>
      <c r="J2" s="532"/>
    </row>
    <row r="3" spans="2:17" ht="18" customHeight="1" x14ac:dyDescent="0.3">
      <c r="B3" s="317"/>
      <c r="C3" s="312"/>
      <c r="D3" s="312"/>
      <c r="E3" s="312"/>
      <c r="F3" s="341"/>
      <c r="H3" s="308" t="str">
        <f>'Schedule 5'!H3</f>
        <v>2-Jul-25
2-Jul-25</v>
      </c>
      <c r="I3" s="318"/>
      <c r="J3" s="522"/>
    </row>
    <row r="4" spans="2:17" ht="15.6" x14ac:dyDescent="0.3">
      <c r="B4" s="293" t="s">
        <v>9892</v>
      </c>
      <c r="C4" s="294"/>
      <c r="D4" s="294"/>
      <c r="E4" s="294"/>
      <c r="F4" s="342"/>
      <c r="G4" s="295"/>
      <c r="H4" s="292"/>
      <c r="I4" s="520"/>
      <c r="J4" s="133" t="str">
        <f>'Schedule 1'!J4</f>
        <v>IPC - 34</v>
      </c>
    </row>
    <row r="5" spans="2:17" ht="15.6" x14ac:dyDescent="0.3">
      <c r="B5" s="245" t="s">
        <v>762</v>
      </c>
      <c r="C5" s="246"/>
      <c r="D5" s="246"/>
      <c r="E5" s="246"/>
      <c r="F5" s="343"/>
      <c r="G5" s="246"/>
      <c r="H5" s="246"/>
      <c r="I5" s="247"/>
      <c r="J5" s="522"/>
    </row>
    <row r="6" spans="2:17" ht="31.5" customHeight="1" x14ac:dyDescent="0.3">
      <c r="B6" s="134" t="s">
        <v>498</v>
      </c>
      <c r="C6" s="135" t="s">
        <v>176</v>
      </c>
      <c r="D6" s="136" t="s">
        <v>500</v>
      </c>
      <c r="E6" s="137" t="s">
        <v>501</v>
      </c>
      <c r="F6" s="344" t="s">
        <v>502</v>
      </c>
      <c r="G6" s="137" t="s">
        <v>763</v>
      </c>
      <c r="H6" s="134" t="s">
        <v>504</v>
      </c>
      <c r="I6" s="136" t="s">
        <v>764</v>
      </c>
      <c r="J6" s="523" t="s">
        <v>507</v>
      </c>
    </row>
    <row r="7" spans="2:17" ht="7.5" customHeight="1" x14ac:dyDescent="0.3">
      <c r="B7" s="124"/>
      <c r="C7" s="142"/>
      <c r="D7" s="143"/>
      <c r="E7" s="144"/>
      <c r="F7" s="345"/>
      <c r="G7" s="144"/>
      <c r="H7" s="290"/>
      <c r="I7" s="141"/>
      <c r="J7" s="524"/>
    </row>
    <row r="8" spans="2:17" ht="15.6" x14ac:dyDescent="0.3">
      <c r="B8" s="574">
        <v>603</v>
      </c>
      <c r="C8" s="575" t="s">
        <v>371</v>
      </c>
      <c r="D8" s="579"/>
      <c r="E8" s="291"/>
      <c r="F8" s="580"/>
      <c r="G8" s="291"/>
      <c r="H8" s="291"/>
      <c r="I8" s="576"/>
      <c r="J8" s="500"/>
    </row>
    <row r="9" spans="2:17" ht="31.2" x14ac:dyDescent="0.3">
      <c r="B9" s="124" t="s">
        <v>9893</v>
      </c>
      <c r="C9" s="581" t="s">
        <v>9894</v>
      </c>
      <c r="D9" s="127" t="s">
        <v>190</v>
      </c>
      <c r="E9" s="125" t="s">
        <v>510</v>
      </c>
      <c r="F9" s="490">
        <v>1</v>
      </c>
      <c r="G9" s="296" t="s">
        <v>9895</v>
      </c>
      <c r="H9" s="596">
        <v>45947</v>
      </c>
      <c r="I9" s="131" t="s">
        <v>1026</v>
      </c>
      <c r="J9" s="494" t="s">
        <v>9896</v>
      </c>
      <c r="Q9" s="481"/>
    </row>
    <row r="10" spans="2:17" ht="31.2" x14ac:dyDescent="0.3">
      <c r="B10" s="31" t="s">
        <v>9893</v>
      </c>
      <c r="C10" s="130" t="s">
        <v>9894</v>
      </c>
      <c r="D10" s="43" t="s">
        <v>190</v>
      </c>
      <c r="E10" s="126" t="s">
        <v>510</v>
      </c>
      <c r="F10" s="504">
        <v>1</v>
      </c>
      <c r="G10" s="248" t="s">
        <v>9897</v>
      </c>
      <c r="H10" s="542">
        <v>45947</v>
      </c>
      <c r="I10" s="319" t="s">
        <v>1026</v>
      </c>
      <c r="J10" s="494" t="s">
        <v>9898</v>
      </c>
    </row>
    <row r="11" spans="2:17" ht="31.2" x14ac:dyDescent="0.3">
      <c r="B11" s="145" t="s">
        <v>9893</v>
      </c>
      <c r="C11" s="577" t="s">
        <v>9894</v>
      </c>
      <c r="D11" s="43" t="s">
        <v>190</v>
      </c>
      <c r="E11" s="126" t="s">
        <v>510</v>
      </c>
      <c r="F11" s="504">
        <v>1</v>
      </c>
      <c r="G11" s="248" t="s">
        <v>9899</v>
      </c>
      <c r="H11" s="542">
        <v>45952</v>
      </c>
      <c r="I11" s="319" t="s">
        <v>1026</v>
      </c>
      <c r="J11" s="494" t="s">
        <v>9900</v>
      </c>
    </row>
    <row r="12" spans="2:17" ht="31.2" x14ac:dyDescent="0.3">
      <c r="B12" s="145" t="s">
        <v>9893</v>
      </c>
      <c r="C12" s="577" t="s">
        <v>9894</v>
      </c>
      <c r="D12" s="43" t="s">
        <v>190</v>
      </c>
      <c r="E12" s="126" t="s">
        <v>510</v>
      </c>
      <c r="F12" s="504">
        <v>1</v>
      </c>
      <c r="G12" s="248" t="s">
        <v>9901</v>
      </c>
      <c r="H12" s="542">
        <v>45953</v>
      </c>
      <c r="I12" s="319" t="s">
        <v>1026</v>
      </c>
      <c r="J12" s="494" t="s">
        <v>9902</v>
      </c>
    </row>
    <row r="13" spans="2:17" ht="31.2" x14ac:dyDescent="0.3">
      <c r="B13" s="31" t="s">
        <v>9893</v>
      </c>
      <c r="C13" s="130" t="s">
        <v>9894</v>
      </c>
      <c r="D13" s="43" t="s">
        <v>190</v>
      </c>
      <c r="E13" s="126" t="s">
        <v>510</v>
      </c>
      <c r="F13" s="504">
        <v>1</v>
      </c>
      <c r="G13" s="248" t="s">
        <v>9903</v>
      </c>
      <c r="H13" s="542">
        <v>45954</v>
      </c>
      <c r="I13" s="319" t="s">
        <v>1026</v>
      </c>
      <c r="J13" s="494" t="s">
        <v>9904</v>
      </c>
      <c r="Q13" s="481"/>
    </row>
    <row r="14" spans="2:17" ht="31.2" x14ac:dyDescent="0.3">
      <c r="B14" s="31" t="s">
        <v>9893</v>
      </c>
      <c r="C14" s="130" t="s">
        <v>9894</v>
      </c>
      <c r="D14" s="43" t="s">
        <v>190</v>
      </c>
      <c r="E14" s="126" t="s">
        <v>510</v>
      </c>
      <c r="F14" s="504">
        <v>1</v>
      </c>
      <c r="G14" s="248" t="s">
        <v>9905</v>
      </c>
      <c r="H14" s="542">
        <v>45954</v>
      </c>
      <c r="I14" s="319" t="s">
        <v>1026</v>
      </c>
      <c r="J14" s="494" t="s">
        <v>9906</v>
      </c>
      <c r="L14"/>
    </row>
    <row r="15" spans="2:17" ht="31.2" x14ac:dyDescent="0.3">
      <c r="B15" s="145" t="s">
        <v>9893</v>
      </c>
      <c r="C15" s="577" t="s">
        <v>9894</v>
      </c>
      <c r="D15" s="43" t="s">
        <v>190</v>
      </c>
      <c r="E15" s="126" t="s">
        <v>510</v>
      </c>
      <c r="F15" s="504">
        <v>1</v>
      </c>
      <c r="G15" s="248" t="s">
        <v>9907</v>
      </c>
      <c r="H15" s="542">
        <v>45955</v>
      </c>
      <c r="I15" s="319" t="s">
        <v>1026</v>
      </c>
      <c r="J15" s="494" t="s">
        <v>9908</v>
      </c>
      <c r="Q15" s="481"/>
    </row>
    <row r="16" spans="2:17" ht="31.2" x14ac:dyDescent="0.3">
      <c r="B16" s="145" t="s">
        <v>9893</v>
      </c>
      <c r="C16" s="577" t="s">
        <v>9894</v>
      </c>
      <c r="D16" s="43" t="s">
        <v>190</v>
      </c>
      <c r="E16" s="126" t="s">
        <v>510</v>
      </c>
      <c r="F16" s="504">
        <v>1</v>
      </c>
      <c r="G16" s="248" t="s">
        <v>9909</v>
      </c>
      <c r="H16" s="542">
        <v>45957</v>
      </c>
      <c r="I16" s="319" t="s">
        <v>1026</v>
      </c>
      <c r="J16" s="494" t="s">
        <v>9910</v>
      </c>
      <c r="Q16" s="481"/>
    </row>
    <row r="17" spans="2:17" ht="31.2" x14ac:dyDescent="0.3">
      <c r="B17" s="145" t="s">
        <v>9893</v>
      </c>
      <c r="C17" s="577" t="s">
        <v>9894</v>
      </c>
      <c r="D17" s="43" t="s">
        <v>190</v>
      </c>
      <c r="E17" s="126" t="s">
        <v>510</v>
      </c>
      <c r="F17" s="504">
        <v>1</v>
      </c>
      <c r="G17" s="248" t="s">
        <v>9911</v>
      </c>
      <c r="H17" s="542">
        <v>45959</v>
      </c>
      <c r="I17" s="319" t="s">
        <v>1026</v>
      </c>
      <c r="J17" s="494" t="s">
        <v>9912</v>
      </c>
      <c r="L17"/>
      <c r="Q17" s="481"/>
    </row>
    <row r="18" spans="2:17" ht="31.2" x14ac:dyDescent="0.3">
      <c r="B18" s="145" t="s">
        <v>9893</v>
      </c>
      <c r="C18" s="577" t="s">
        <v>9894</v>
      </c>
      <c r="D18" s="43" t="s">
        <v>190</v>
      </c>
      <c r="E18" s="126" t="s">
        <v>510</v>
      </c>
      <c r="F18" s="504">
        <v>1</v>
      </c>
      <c r="G18" s="248" t="s">
        <v>9913</v>
      </c>
      <c r="H18" s="542">
        <v>45959</v>
      </c>
      <c r="I18" s="319" t="s">
        <v>1026</v>
      </c>
      <c r="J18" s="494" t="s">
        <v>9914</v>
      </c>
    </row>
    <row r="19" spans="2:17" ht="31.2" x14ac:dyDescent="0.3">
      <c r="B19" s="145" t="s">
        <v>9893</v>
      </c>
      <c r="C19" s="577" t="s">
        <v>9894</v>
      </c>
      <c r="D19" s="43" t="s">
        <v>190</v>
      </c>
      <c r="E19" s="126" t="s">
        <v>510</v>
      </c>
      <c r="F19" s="504">
        <v>1</v>
      </c>
      <c r="G19" s="248" t="s">
        <v>9915</v>
      </c>
      <c r="H19" s="542">
        <v>45961</v>
      </c>
      <c r="I19" s="319" t="s">
        <v>1026</v>
      </c>
      <c r="J19" s="494" t="s">
        <v>9916</v>
      </c>
    </row>
    <row r="20" spans="2:17" ht="31.2" x14ac:dyDescent="0.3">
      <c r="B20" s="145" t="s">
        <v>9893</v>
      </c>
      <c r="C20" s="577" t="s">
        <v>9894</v>
      </c>
      <c r="D20" s="43" t="s">
        <v>190</v>
      </c>
      <c r="E20" s="126" t="s">
        <v>510</v>
      </c>
      <c r="F20" s="504">
        <v>1</v>
      </c>
      <c r="G20" s="248" t="s">
        <v>9917</v>
      </c>
      <c r="H20" s="542">
        <v>45961</v>
      </c>
      <c r="I20" s="319" t="s">
        <v>1026</v>
      </c>
      <c r="J20" s="494" t="s">
        <v>9918</v>
      </c>
    </row>
    <row r="21" spans="2:17" ht="31.2" x14ac:dyDescent="0.3">
      <c r="B21" s="145" t="s">
        <v>9893</v>
      </c>
      <c r="C21" s="577" t="s">
        <v>9894</v>
      </c>
      <c r="D21" s="43" t="s">
        <v>190</v>
      </c>
      <c r="E21" s="126" t="s">
        <v>510</v>
      </c>
      <c r="F21" s="504">
        <v>1</v>
      </c>
      <c r="G21" s="248" t="s">
        <v>9919</v>
      </c>
      <c r="H21" s="542">
        <v>45961</v>
      </c>
      <c r="I21" s="319" t="s">
        <v>1026</v>
      </c>
      <c r="J21" s="494" t="s">
        <v>9920</v>
      </c>
    </row>
    <row r="22" spans="2:17" ht="31.2" x14ac:dyDescent="0.3">
      <c r="B22" s="145" t="s">
        <v>9893</v>
      </c>
      <c r="C22" s="577" t="s">
        <v>9894</v>
      </c>
      <c r="D22" s="43" t="s">
        <v>190</v>
      </c>
      <c r="E22" s="126" t="s">
        <v>510</v>
      </c>
      <c r="F22" s="504">
        <v>1</v>
      </c>
      <c r="G22" s="248" t="s">
        <v>9921</v>
      </c>
      <c r="H22" s="542">
        <v>45961</v>
      </c>
      <c r="I22" s="319" t="s">
        <v>1026</v>
      </c>
      <c r="J22" s="494" t="s">
        <v>9922</v>
      </c>
    </row>
    <row r="23" spans="2:17" ht="31.2" x14ac:dyDescent="0.3">
      <c r="B23" s="145" t="s">
        <v>9893</v>
      </c>
      <c r="C23" s="577" t="s">
        <v>9894</v>
      </c>
      <c r="D23" s="43" t="s">
        <v>190</v>
      </c>
      <c r="E23" s="126" t="s">
        <v>510</v>
      </c>
      <c r="F23" s="504">
        <v>1</v>
      </c>
      <c r="G23" s="248" t="s">
        <v>9923</v>
      </c>
      <c r="H23" s="542">
        <v>45961</v>
      </c>
      <c r="I23" s="319" t="s">
        <v>1026</v>
      </c>
      <c r="J23" s="494" t="s">
        <v>9924</v>
      </c>
    </row>
    <row r="24" spans="2:17" ht="31.2" x14ac:dyDescent="0.3">
      <c r="B24" s="145" t="s">
        <v>9893</v>
      </c>
      <c r="C24" s="577" t="s">
        <v>9894</v>
      </c>
      <c r="D24" s="43" t="s">
        <v>190</v>
      </c>
      <c r="E24" s="126" t="s">
        <v>510</v>
      </c>
      <c r="F24" s="504">
        <v>1</v>
      </c>
      <c r="G24" s="248" t="s">
        <v>9925</v>
      </c>
      <c r="H24" s="542">
        <v>45965</v>
      </c>
      <c r="I24" s="319" t="s">
        <v>1282</v>
      </c>
      <c r="J24" s="494" t="s">
        <v>9926</v>
      </c>
    </row>
    <row r="25" spans="2:17" ht="15.6" x14ac:dyDescent="0.3">
      <c r="B25" s="31"/>
      <c r="C25" s="130"/>
      <c r="D25" s="43"/>
      <c r="E25" s="126"/>
      <c r="F25" s="351"/>
      <c r="G25" s="126"/>
      <c r="H25" s="304"/>
      <c r="I25" s="151"/>
      <c r="J25" s="494"/>
      <c r="P25" s="597"/>
    </row>
    <row r="26" spans="2:17" s="58" customFormat="1" ht="15.6" x14ac:dyDescent="0.3">
      <c r="B26" s="352"/>
      <c r="C26" s="353" t="s">
        <v>771</v>
      </c>
      <c r="D26" s="354" t="s">
        <v>190</v>
      </c>
      <c r="E26" s="355"/>
      <c r="F26" s="356">
        <f>SUM(F9:F25)</f>
        <v>16</v>
      </c>
      <c r="G26" s="357"/>
      <c r="H26" s="358"/>
      <c r="I26" s="359"/>
      <c r="J26" s="535"/>
      <c r="K26"/>
      <c r="L26" s="132"/>
      <c r="P26" s="597"/>
    </row>
    <row r="27" spans="2:17" s="58" customFormat="1" ht="15.6" x14ac:dyDescent="0.3">
      <c r="B27" s="352"/>
      <c r="C27" s="353" t="s">
        <v>772</v>
      </c>
      <c r="D27" s="354" t="s">
        <v>190</v>
      </c>
      <c r="E27" s="355"/>
      <c r="F27" s="356">
        <v>16</v>
      </c>
      <c r="G27" s="357"/>
      <c r="H27" s="358"/>
      <c r="I27" s="359"/>
      <c r="J27" s="535"/>
      <c r="K27"/>
      <c r="P27" s="597"/>
    </row>
    <row r="28" spans="2:17" s="58" customFormat="1" ht="15.6" x14ac:dyDescent="0.3">
      <c r="B28" s="360"/>
      <c r="C28" s="361" t="s">
        <v>773</v>
      </c>
      <c r="D28" s="362" t="s">
        <v>190</v>
      </c>
      <c r="E28" s="363"/>
      <c r="F28" s="364">
        <f>F26-F27</f>
        <v>0</v>
      </c>
      <c r="G28" s="365"/>
      <c r="H28" s="366"/>
      <c r="I28" s="367"/>
      <c r="J28" s="536"/>
      <c r="K28"/>
      <c r="P28" s="597"/>
    </row>
    <row r="29" spans="2:17" ht="7.35" customHeight="1" x14ac:dyDescent="0.3">
      <c r="B29" s="338"/>
      <c r="C29" s="142"/>
      <c r="D29" s="143"/>
      <c r="E29" s="144"/>
      <c r="F29" s="345"/>
      <c r="G29" s="144"/>
      <c r="H29" s="144"/>
      <c r="I29" s="515"/>
      <c r="J29" s="524"/>
      <c r="K29"/>
      <c r="P29" s="597"/>
    </row>
    <row r="30" spans="2:17" ht="31.2" x14ac:dyDescent="0.3">
      <c r="B30" s="124" t="s">
        <v>9927</v>
      </c>
      <c r="C30" s="581" t="s">
        <v>9928</v>
      </c>
      <c r="D30" s="127" t="s">
        <v>190</v>
      </c>
      <c r="E30" s="125" t="s">
        <v>510</v>
      </c>
      <c r="F30" s="490">
        <v>0.5</v>
      </c>
      <c r="G30" s="296" t="s">
        <v>9929</v>
      </c>
      <c r="H30" s="596">
        <v>46020</v>
      </c>
      <c r="I30" s="131" t="s">
        <v>943</v>
      </c>
      <c r="J30" s="494" t="s">
        <v>9930</v>
      </c>
      <c r="Q30" s="481"/>
    </row>
    <row r="31" spans="2:17" ht="31.2" x14ac:dyDescent="0.3">
      <c r="B31" s="31" t="s">
        <v>9927</v>
      </c>
      <c r="C31" s="130" t="s">
        <v>9928</v>
      </c>
      <c r="D31" s="43" t="s">
        <v>190</v>
      </c>
      <c r="E31" s="126" t="s">
        <v>510</v>
      </c>
      <c r="F31" s="504">
        <v>0.5</v>
      </c>
      <c r="G31" s="248" t="s">
        <v>9931</v>
      </c>
      <c r="H31" s="542">
        <v>46022</v>
      </c>
      <c r="I31" s="319" t="s">
        <v>943</v>
      </c>
      <c r="J31" s="494" t="s">
        <v>9932</v>
      </c>
    </row>
    <row r="32" spans="2:17" ht="31.2" x14ac:dyDescent="0.3">
      <c r="B32" s="31" t="s">
        <v>9927</v>
      </c>
      <c r="C32" s="130" t="s">
        <v>9928</v>
      </c>
      <c r="D32" s="43" t="s">
        <v>190</v>
      </c>
      <c r="E32" s="126" t="s">
        <v>510</v>
      </c>
      <c r="F32" s="504">
        <v>0.5</v>
      </c>
      <c r="G32" s="248" t="s">
        <v>9933</v>
      </c>
      <c r="H32" s="542">
        <v>46045</v>
      </c>
      <c r="I32" s="319" t="s">
        <v>1417</v>
      </c>
      <c r="J32" s="494" t="s">
        <v>9934</v>
      </c>
    </row>
    <row r="33" spans="2:17" ht="15.6" x14ac:dyDescent="0.3">
      <c r="B33" s="31" t="s">
        <v>9927</v>
      </c>
      <c r="C33" s="130" t="s">
        <v>9928</v>
      </c>
      <c r="D33" s="43" t="s">
        <v>190</v>
      </c>
      <c r="E33" s="126" t="s">
        <v>510</v>
      </c>
      <c r="F33" s="504">
        <v>0.5</v>
      </c>
      <c r="G33" s="248" t="s">
        <v>9935</v>
      </c>
      <c r="H33" s="542">
        <v>46051</v>
      </c>
      <c r="I33" s="319" t="s">
        <v>1417</v>
      </c>
      <c r="J33" s="494" t="s">
        <v>9936</v>
      </c>
    </row>
    <row r="34" spans="2:17" ht="15.6" x14ac:dyDescent="0.3">
      <c r="B34" s="31"/>
      <c r="C34" s="130"/>
      <c r="D34" s="43"/>
      <c r="E34" s="126"/>
      <c r="F34" s="504"/>
      <c r="G34" s="126"/>
      <c r="H34" s="304"/>
      <c r="I34" s="151"/>
      <c r="J34" s="494"/>
      <c r="P34" s="597"/>
    </row>
    <row r="35" spans="2:17" s="58" customFormat="1" ht="15.6" x14ac:dyDescent="0.3">
      <c r="B35" s="352"/>
      <c r="C35" s="353" t="s">
        <v>771</v>
      </c>
      <c r="D35" s="354" t="s">
        <v>190</v>
      </c>
      <c r="E35" s="355"/>
      <c r="F35" s="543">
        <f>SUM(F30:F34)</f>
        <v>2</v>
      </c>
      <c r="G35" s="357"/>
      <c r="H35" s="358"/>
      <c r="I35" s="359"/>
      <c r="J35" s="535"/>
      <c r="K35"/>
      <c r="L35" s="132"/>
      <c r="P35" s="597"/>
    </row>
    <row r="36" spans="2:17" s="58" customFormat="1" ht="15.6" x14ac:dyDescent="0.3">
      <c r="B36" s="352"/>
      <c r="C36" s="353" t="s">
        <v>772</v>
      </c>
      <c r="D36" s="354" t="s">
        <v>190</v>
      </c>
      <c r="E36" s="355"/>
      <c r="F36" s="356">
        <v>2</v>
      </c>
      <c r="G36" s="357"/>
      <c r="H36" s="358"/>
      <c r="I36" s="359"/>
      <c r="J36" s="535"/>
      <c r="K36"/>
      <c r="P36" s="597"/>
    </row>
    <row r="37" spans="2:17" s="58" customFormat="1" ht="15.6" x14ac:dyDescent="0.3">
      <c r="B37" s="360"/>
      <c r="C37" s="361" t="s">
        <v>773</v>
      </c>
      <c r="D37" s="362" t="s">
        <v>190</v>
      </c>
      <c r="E37" s="363"/>
      <c r="F37" s="364">
        <f>F35-F36</f>
        <v>0</v>
      </c>
      <c r="G37" s="365"/>
      <c r="H37" s="366"/>
      <c r="I37" s="367"/>
      <c r="J37" s="536"/>
      <c r="K37"/>
      <c r="P37" s="597"/>
    </row>
    <row r="38" spans="2:17" ht="7.5" customHeight="1" x14ac:dyDescent="0.3">
      <c r="B38" s="338"/>
      <c r="C38" s="142"/>
      <c r="D38" s="143"/>
      <c r="E38" s="144"/>
      <c r="F38" s="345"/>
      <c r="G38" s="144"/>
      <c r="H38" s="144"/>
      <c r="I38" s="515"/>
      <c r="J38" s="524"/>
      <c r="K38"/>
      <c r="P38" s="597"/>
    </row>
    <row r="39" spans="2:17" ht="46.8" x14ac:dyDescent="0.3">
      <c r="B39" s="124" t="s">
        <v>9937</v>
      </c>
      <c r="C39" s="581" t="s">
        <v>9938</v>
      </c>
      <c r="D39" s="127" t="s">
        <v>190</v>
      </c>
      <c r="E39" s="125" t="s">
        <v>510</v>
      </c>
      <c r="F39" s="490">
        <v>1</v>
      </c>
      <c r="G39" s="1088" t="s">
        <v>9939</v>
      </c>
      <c r="H39" s="596">
        <v>46004</v>
      </c>
      <c r="I39" s="131" t="s">
        <v>943</v>
      </c>
      <c r="J39" s="494" t="s">
        <v>9940</v>
      </c>
      <c r="Q39" s="481"/>
    </row>
    <row r="40" spans="2:17" ht="46.8" x14ac:dyDescent="0.3">
      <c r="B40" s="31" t="s">
        <v>9937</v>
      </c>
      <c r="C40" s="130" t="s">
        <v>9938</v>
      </c>
      <c r="D40" s="43" t="s">
        <v>190</v>
      </c>
      <c r="E40" s="126" t="s">
        <v>510</v>
      </c>
      <c r="F40" s="504">
        <v>1</v>
      </c>
      <c r="G40" s="1089" t="s">
        <v>9941</v>
      </c>
      <c r="H40" s="542">
        <v>46010</v>
      </c>
      <c r="I40" s="319" t="s">
        <v>943</v>
      </c>
      <c r="J40" s="494" t="s">
        <v>9942</v>
      </c>
    </row>
    <row r="41" spans="2:17" ht="46.8" x14ac:dyDescent="0.3">
      <c r="B41" s="31" t="s">
        <v>9937</v>
      </c>
      <c r="C41" s="130" t="s">
        <v>9938</v>
      </c>
      <c r="D41" s="43" t="s">
        <v>190</v>
      </c>
      <c r="E41" s="126" t="s">
        <v>510</v>
      </c>
      <c r="F41" s="504">
        <v>1</v>
      </c>
      <c r="G41" s="1089" t="s">
        <v>9943</v>
      </c>
      <c r="H41" s="542">
        <v>46021</v>
      </c>
      <c r="I41" s="319" t="s">
        <v>943</v>
      </c>
      <c r="J41" s="494" t="s">
        <v>9944</v>
      </c>
    </row>
    <row r="42" spans="2:17" ht="46.8" x14ac:dyDescent="0.3">
      <c r="B42" s="31" t="s">
        <v>9937</v>
      </c>
      <c r="C42" s="130" t="s">
        <v>9938</v>
      </c>
      <c r="D42" s="43" t="s">
        <v>190</v>
      </c>
      <c r="E42" s="126" t="s">
        <v>510</v>
      </c>
      <c r="F42" s="504">
        <v>1</v>
      </c>
      <c r="G42" s="1089" t="s">
        <v>9945</v>
      </c>
      <c r="H42" s="542">
        <v>46021</v>
      </c>
      <c r="I42" s="319" t="s">
        <v>943</v>
      </c>
      <c r="J42" s="494" t="s">
        <v>9946</v>
      </c>
    </row>
    <row r="43" spans="2:17" ht="15.6" x14ac:dyDescent="0.3">
      <c r="B43" s="31"/>
      <c r="C43" s="130"/>
      <c r="D43" s="43"/>
      <c r="E43" s="126"/>
      <c r="F43" s="351"/>
      <c r="G43" s="126"/>
      <c r="H43" s="304"/>
      <c r="I43" s="151"/>
      <c r="J43" s="494"/>
      <c r="P43" s="597"/>
    </row>
    <row r="44" spans="2:17" s="58" customFormat="1" ht="15.6" x14ac:dyDescent="0.3">
      <c r="B44" s="352"/>
      <c r="C44" s="353" t="s">
        <v>771</v>
      </c>
      <c r="D44" s="354" t="s">
        <v>190</v>
      </c>
      <c r="E44" s="355"/>
      <c r="F44" s="356">
        <f>SUM(F39:F43)</f>
        <v>4</v>
      </c>
      <c r="G44" s="357"/>
      <c r="H44" s="358"/>
      <c r="I44" s="359"/>
      <c r="J44" s="535"/>
      <c r="K44"/>
      <c r="L44" s="132"/>
      <c r="P44" s="597"/>
    </row>
    <row r="45" spans="2:17" s="58" customFormat="1" ht="15.6" x14ac:dyDescent="0.3">
      <c r="B45" s="352"/>
      <c r="C45" s="353" t="s">
        <v>772</v>
      </c>
      <c r="D45" s="354" t="s">
        <v>190</v>
      </c>
      <c r="E45" s="355"/>
      <c r="F45" s="356">
        <v>4</v>
      </c>
      <c r="G45" s="357"/>
      <c r="H45" s="358"/>
      <c r="I45" s="359"/>
      <c r="J45" s="535"/>
      <c r="K45"/>
      <c r="P45" s="597"/>
    </row>
    <row r="46" spans="2:17" s="58" customFormat="1" ht="15.6" x14ac:dyDescent="0.3">
      <c r="B46" s="360"/>
      <c r="C46" s="361" t="s">
        <v>773</v>
      </c>
      <c r="D46" s="362" t="s">
        <v>190</v>
      </c>
      <c r="E46" s="363"/>
      <c r="F46" s="364">
        <f>F44-F45</f>
        <v>0</v>
      </c>
      <c r="G46" s="365"/>
      <c r="H46" s="366"/>
      <c r="I46" s="367"/>
      <c r="J46" s="536"/>
      <c r="K46"/>
      <c r="P46" s="597"/>
    </row>
    <row r="47" spans="2:17" ht="7.5" customHeight="1" x14ac:dyDescent="0.3">
      <c r="B47" s="338"/>
      <c r="C47" s="142"/>
      <c r="D47" s="143"/>
      <c r="E47" s="144"/>
      <c r="F47" s="345"/>
      <c r="G47" s="144"/>
      <c r="H47" s="144"/>
      <c r="I47" s="515"/>
      <c r="J47" s="524"/>
      <c r="K47"/>
      <c r="P47" s="597"/>
    </row>
    <row r="48" spans="2:17" ht="15.6" x14ac:dyDescent="0.3">
      <c r="B48" s="148">
        <v>604</v>
      </c>
      <c r="C48" s="149" t="s">
        <v>455</v>
      </c>
      <c r="D48" s="138"/>
      <c r="E48" s="139"/>
      <c r="F48" s="346"/>
      <c r="G48" s="139"/>
      <c r="H48" s="139"/>
      <c r="I48" s="516"/>
      <c r="J48" s="500"/>
    </row>
    <row r="49" spans="2:16" ht="46.8" x14ac:dyDescent="0.3">
      <c r="B49" s="145" t="s">
        <v>9947</v>
      </c>
      <c r="C49" s="577" t="s">
        <v>9948</v>
      </c>
      <c r="D49" s="146" t="s">
        <v>190</v>
      </c>
      <c r="E49" s="147" t="s">
        <v>510</v>
      </c>
      <c r="F49" s="491">
        <v>0.5</v>
      </c>
      <c r="G49" s="302" t="s">
        <v>9949</v>
      </c>
      <c r="H49" s="667">
        <v>46019</v>
      </c>
      <c r="I49" s="319" t="s">
        <v>943</v>
      </c>
      <c r="J49" s="528" t="s">
        <v>9940</v>
      </c>
    </row>
    <row r="50" spans="2:16" ht="46.8" x14ac:dyDescent="0.3">
      <c r="B50" s="145" t="s">
        <v>9947</v>
      </c>
      <c r="C50" s="577" t="s">
        <v>9948</v>
      </c>
      <c r="D50" s="43" t="s">
        <v>190</v>
      </c>
      <c r="E50" s="126" t="s">
        <v>510</v>
      </c>
      <c r="F50" s="504">
        <v>0.5</v>
      </c>
      <c r="G50" s="1089" t="s">
        <v>9950</v>
      </c>
      <c r="H50" s="542">
        <v>46021</v>
      </c>
      <c r="I50" s="319" t="s">
        <v>943</v>
      </c>
      <c r="J50" s="494" t="s">
        <v>9942</v>
      </c>
    </row>
    <row r="51" spans="2:16" ht="46.8" x14ac:dyDescent="0.3">
      <c r="B51" s="145" t="s">
        <v>9947</v>
      </c>
      <c r="C51" s="577" t="s">
        <v>9948</v>
      </c>
      <c r="D51" s="43" t="s">
        <v>190</v>
      </c>
      <c r="E51" s="126" t="s">
        <v>510</v>
      </c>
      <c r="F51" s="504">
        <v>0.5</v>
      </c>
      <c r="G51" s="1089" t="s">
        <v>9951</v>
      </c>
      <c r="H51" s="542">
        <v>46022</v>
      </c>
      <c r="I51" s="319" t="s">
        <v>943</v>
      </c>
      <c r="J51" s="494" t="s">
        <v>9944</v>
      </c>
    </row>
    <row r="52" spans="2:16" ht="46.8" x14ac:dyDescent="0.3">
      <c r="B52" s="145" t="s">
        <v>9947</v>
      </c>
      <c r="C52" s="577" t="s">
        <v>9948</v>
      </c>
      <c r="D52" s="43" t="s">
        <v>190</v>
      </c>
      <c r="E52" s="126" t="s">
        <v>510</v>
      </c>
      <c r="F52" s="504">
        <v>0.5</v>
      </c>
      <c r="G52" s="1089" t="s">
        <v>9952</v>
      </c>
      <c r="H52" s="542">
        <v>46022</v>
      </c>
      <c r="I52" s="319" t="s">
        <v>943</v>
      </c>
      <c r="J52" s="494" t="s">
        <v>9946</v>
      </c>
    </row>
    <row r="53" spans="2:16" ht="15.6" x14ac:dyDescent="0.3">
      <c r="B53" s="31"/>
      <c r="C53" s="130"/>
      <c r="D53" s="43"/>
      <c r="E53" s="126"/>
      <c r="F53" s="351"/>
      <c r="G53" s="126"/>
      <c r="H53" s="304"/>
      <c r="I53" s="151"/>
      <c r="J53" s="494"/>
      <c r="P53" s="597"/>
    </row>
    <row r="54" spans="2:16" s="58" customFormat="1" ht="15.6" x14ac:dyDescent="0.3">
      <c r="B54" s="352"/>
      <c r="C54" s="353" t="s">
        <v>771</v>
      </c>
      <c r="D54" s="354" t="s">
        <v>190</v>
      </c>
      <c r="E54" s="355"/>
      <c r="F54" s="356">
        <f>SUM(F49:F53)</f>
        <v>2</v>
      </c>
      <c r="G54" s="357"/>
      <c r="H54" s="358"/>
      <c r="I54" s="359"/>
      <c r="J54" s="535"/>
      <c r="K54"/>
      <c r="L54" s="132"/>
      <c r="P54" s="597"/>
    </row>
    <row r="55" spans="2:16" s="58" customFormat="1" ht="15.6" x14ac:dyDescent="0.3">
      <c r="B55" s="352"/>
      <c r="C55" s="353" t="s">
        <v>772</v>
      </c>
      <c r="D55" s="354" t="s">
        <v>190</v>
      </c>
      <c r="E55" s="355"/>
      <c r="F55" s="356">
        <v>2</v>
      </c>
      <c r="G55" s="357"/>
      <c r="H55" s="358"/>
      <c r="I55" s="359"/>
      <c r="J55" s="535"/>
      <c r="K55"/>
      <c r="P55" s="597"/>
    </row>
    <row r="56" spans="2:16" s="58" customFormat="1" ht="15.6" x14ac:dyDescent="0.3">
      <c r="B56" s="360"/>
      <c r="C56" s="361" t="s">
        <v>773</v>
      </c>
      <c r="D56" s="362" t="s">
        <v>190</v>
      </c>
      <c r="E56" s="363"/>
      <c r="F56" s="364">
        <f>F54-F55</f>
        <v>0</v>
      </c>
      <c r="G56" s="365"/>
      <c r="H56" s="366"/>
      <c r="I56" s="367"/>
      <c r="J56" s="536"/>
      <c r="K56"/>
      <c r="P56" s="597"/>
    </row>
    <row r="57" spans="2:16" ht="7.35" customHeight="1" x14ac:dyDescent="0.3">
      <c r="B57" s="338"/>
      <c r="C57" s="142"/>
      <c r="D57" s="143"/>
      <c r="E57" s="144"/>
      <c r="F57" s="345"/>
      <c r="G57" s="144"/>
      <c r="H57" s="144"/>
      <c r="I57" s="515"/>
      <c r="J57" s="524"/>
      <c r="K57"/>
      <c r="P57" s="597"/>
    </row>
    <row r="58" spans="2:16" ht="15.6" x14ac:dyDescent="0.3">
      <c r="B58" s="145" t="s">
        <v>9953</v>
      </c>
      <c r="C58" s="577" t="s">
        <v>9954</v>
      </c>
      <c r="D58" s="146" t="s">
        <v>190</v>
      </c>
      <c r="E58" s="147" t="s">
        <v>510</v>
      </c>
      <c r="F58" s="491">
        <v>1</v>
      </c>
      <c r="G58" s="302" t="s">
        <v>9955</v>
      </c>
      <c r="H58" s="667">
        <v>46041</v>
      </c>
      <c r="I58" s="319" t="s">
        <v>1417</v>
      </c>
      <c r="J58" s="528" t="s">
        <v>9956</v>
      </c>
    </row>
    <row r="59" spans="2:16" ht="15.6" x14ac:dyDescent="0.3">
      <c r="B59" s="145" t="s">
        <v>9953</v>
      </c>
      <c r="C59" s="577" t="s">
        <v>9954</v>
      </c>
      <c r="D59" s="43" t="s">
        <v>190</v>
      </c>
      <c r="E59" s="126" t="s">
        <v>510</v>
      </c>
      <c r="F59" s="504">
        <v>1</v>
      </c>
      <c r="G59" s="1089" t="s">
        <v>9957</v>
      </c>
      <c r="H59" s="542">
        <v>46049</v>
      </c>
      <c r="I59" s="319" t="s">
        <v>1417</v>
      </c>
      <c r="J59" s="494" t="s">
        <v>9958</v>
      </c>
    </row>
    <row r="60" spans="2:16" ht="15.6" x14ac:dyDescent="0.3">
      <c r="B60" s="145" t="s">
        <v>9953</v>
      </c>
      <c r="C60" s="577" t="s">
        <v>9954</v>
      </c>
      <c r="D60" s="43" t="s">
        <v>190</v>
      </c>
      <c r="E60" s="126" t="s">
        <v>510</v>
      </c>
      <c r="F60" s="504">
        <v>1</v>
      </c>
      <c r="G60" s="1089" t="s">
        <v>9959</v>
      </c>
      <c r="H60" s="542">
        <v>45687</v>
      </c>
      <c r="I60" s="319" t="s">
        <v>1417</v>
      </c>
      <c r="J60" s="494" t="s">
        <v>9960</v>
      </c>
    </row>
    <row r="61" spans="2:16" ht="31.2" x14ac:dyDescent="0.3">
      <c r="B61" s="145" t="s">
        <v>9953</v>
      </c>
      <c r="C61" s="577" t="s">
        <v>9954</v>
      </c>
      <c r="D61" s="43" t="s">
        <v>190</v>
      </c>
      <c r="E61" s="126" t="s">
        <v>510</v>
      </c>
      <c r="F61" s="504">
        <f>0.5*75%</f>
        <v>0.375</v>
      </c>
      <c r="G61" s="1089" t="s">
        <v>9961</v>
      </c>
      <c r="H61" s="542">
        <v>46074</v>
      </c>
      <c r="I61" s="319" t="s">
        <v>1315</v>
      </c>
      <c r="J61" s="537" t="s">
        <v>9962</v>
      </c>
    </row>
    <row r="62" spans="2:16" ht="31.2" x14ac:dyDescent="0.3">
      <c r="B62" s="145" t="s">
        <v>9953</v>
      </c>
      <c r="C62" s="577" t="s">
        <v>9954</v>
      </c>
      <c r="D62" s="43" t="s">
        <v>190</v>
      </c>
      <c r="E62" s="126" t="s">
        <v>510</v>
      </c>
      <c r="F62" s="504">
        <f>0.5*75%</f>
        <v>0.375</v>
      </c>
      <c r="G62" s="1089" t="s">
        <v>9963</v>
      </c>
      <c r="H62" s="542">
        <v>46080</v>
      </c>
      <c r="I62" s="319" t="s">
        <v>1315</v>
      </c>
      <c r="J62" s="537" t="s">
        <v>9964</v>
      </c>
    </row>
    <row r="63" spans="2:16" ht="31.2" x14ac:dyDescent="0.3">
      <c r="B63" s="145" t="s">
        <v>9953</v>
      </c>
      <c r="C63" s="577" t="s">
        <v>9954</v>
      </c>
      <c r="D63" s="43" t="s">
        <v>190</v>
      </c>
      <c r="E63" s="126" t="s">
        <v>510</v>
      </c>
      <c r="F63" s="504">
        <f>1*25%</f>
        <v>0.25</v>
      </c>
      <c r="G63" s="1089" t="s">
        <v>9965</v>
      </c>
      <c r="H63" s="542">
        <v>46094</v>
      </c>
      <c r="I63" s="319" t="s">
        <v>946</v>
      </c>
      <c r="J63" s="537" t="s">
        <v>9966</v>
      </c>
    </row>
    <row r="64" spans="2:16" ht="15.6" x14ac:dyDescent="0.3">
      <c r="B64" s="31"/>
      <c r="C64" s="130"/>
      <c r="D64" s="43"/>
      <c r="E64" s="126"/>
      <c r="F64" s="504"/>
      <c r="G64" s="126"/>
      <c r="H64" s="304"/>
      <c r="I64" s="151"/>
      <c r="J64" s="494"/>
      <c r="P64" s="597"/>
    </row>
    <row r="65" spans="2:16" s="58" customFormat="1" ht="15.6" x14ac:dyDescent="0.3">
      <c r="B65" s="352"/>
      <c r="C65" s="353" t="s">
        <v>771</v>
      </c>
      <c r="D65" s="354" t="s">
        <v>190</v>
      </c>
      <c r="E65" s="355"/>
      <c r="F65" s="356">
        <f>SUM(F58:F64)</f>
        <v>4</v>
      </c>
      <c r="G65" s="357"/>
      <c r="H65" s="358"/>
      <c r="I65" s="359"/>
      <c r="J65" s="535"/>
      <c r="K65"/>
      <c r="L65" s="132"/>
      <c r="P65" s="597"/>
    </row>
    <row r="66" spans="2:16" s="58" customFormat="1" ht="15.6" x14ac:dyDescent="0.3">
      <c r="B66" s="352"/>
      <c r="C66" s="353" t="s">
        <v>772</v>
      </c>
      <c r="D66" s="354" t="s">
        <v>190</v>
      </c>
      <c r="E66" s="355"/>
      <c r="F66" s="356">
        <v>4</v>
      </c>
      <c r="G66" s="357"/>
      <c r="H66" s="358"/>
      <c r="I66" s="359"/>
      <c r="J66" s="535"/>
      <c r="K66"/>
      <c r="P66" s="597"/>
    </row>
    <row r="67" spans="2:16" s="58" customFormat="1" ht="15.6" x14ac:dyDescent="0.3">
      <c r="B67" s="360"/>
      <c r="C67" s="361" t="s">
        <v>773</v>
      </c>
      <c r="D67" s="362" t="s">
        <v>190</v>
      </c>
      <c r="E67" s="363"/>
      <c r="F67" s="364">
        <f>F65-F66</f>
        <v>0</v>
      </c>
      <c r="G67" s="365"/>
      <c r="H67" s="366"/>
      <c r="I67" s="367"/>
      <c r="J67" s="536"/>
      <c r="K67"/>
      <c r="P67" s="597"/>
    </row>
    <row r="68" spans="2:16" ht="6.6" customHeight="1" x14ac:dyDescent="0.3">
      <c r="B68" s="338"/>
      <c r="C68" s="142"/>
      <c r="D68" s="143"/>
      <c r="E68" s="144"/>
      <c r="F68" s="345"/>
      <c r="G68" s="144"/>
      <c r="H68" s="144"/>
      <c r="I68" s="515"/>
      <c r="J68" s="524"/>
      <c r="K68"/>
      <c r="P68" s="597"/>
    </row>
    <row r="69" spans="2:16" ht="46.8" x14ac:dyDescent="0.3">
      <c r="B69" s="145" t="s">
        <v>9967</v>
      </c>
      <c r="C69" s="577" t="s">
        <v>9968</v>
      </c>
      <c r="D69" s="146" t="s">
        <v>190</v>
      </c>
      <c r="E69" s="147" t="s">
        <v>510</v>
      </c>
      <c r="F69" s="491">
        <v>0.5</v>
      </c>
      <c r="G69" s="302" t="s">
        <v>9969</v>
      </c>
      <c r="H69" s="667" t="s">
        <v>4074</v>
      </c>
      <c r="I69" s="319" t="s">
        <v>1053</v>
      </c>
      <c r="J69" s="503" t="s">
        <v>9970</v>
      </c>
    </row>
    <row r="70" spans="2:16" ht="46.8" x14ac:dyDescent="0.3">
      <c r="B70" s="145" t="s">
        <v>9967</v>
      </c>
      <c r="C70" s="577" t="s">
        <v>9968</v>
      </c>
      <c r="D70" s="43" t="s">
        <v>190</v>
      </c>
      <c r="E70" s="126" t="s">
        <v>510</v>
      </c>
      <c r="F70" s="504">
        <v>0.5</v>
      </c>
      <c r="G70" s="1194" t="s">
        <v>9971</v>
      </c>
      <c r="H70" s="585" t="s">
        <v>4074</v>
      </c>
      <c r="I70" s="784" t="s">
        <v>1053</v>
      </c>
      <c r="J70" s="790" t="s">
        <v>9972</v>
      </c>
    </row>
    <row r="71" spans="2:16" ht="46.8" x14ac:dyDescent="0.3">
      <c r="B71" s="145" t="s">
        <v>9967</v>
      </c>
      <c r="C71" s="577" t="s">
        <v>9968</v>
      </c>
      <c r="D71" s="43" t="s">
        <v>190</v>
      </c>
      <c r="E71" s="126" t="s">
        <v>510</v>
      </c>
      <c r="F71" s="504">
        <v>0.5</v>
      </c>
      <c r="G71" s="1194" t="s">
        <v>9973</v>
      </c>
      <c r="H71" s="585" t="s">
        <v>4289</v>
      </c>
      <c r="I71" s="784" t="s">
        <v>1579</v>
      </c>
      <c r="J71" s="790" t="s">
        <v>9974</v>
      </c>
    </row>
    <row r="72" spans="2:16" ht="46.8" x14ac:dyDescent="0.3">
      <c r="B72" s="145" t="s">
        <v>9967</v>
      </c>
      <c r="C72" s="577" t="s">
        <v>9968</v>
      </c>
      <c r="D72" s="43" t="s">
        <v>190</v>
      </c>
      <c r="E72" s="126" t="s">
        <v>510</v>
      </c>
      <c r="F72" s="504">
        <v>0.5</v>
      </c>
      <c r="G72" s="1194" t="s">
        <v>9975</v>
      </c>
      <c r="H72" s="585" t="s">
        <v>8806</v>
      </c>
      <c r="I72" s="784" t="s">
        <v>1579</v>
      </c>
      <c r="J72" s="790" t="s">
        <v>9976</v>
      </c>
    </row>
    <row r="73" spans="2:16" ht="15.6" x14ac:dyDescent="0.3">
      <c r="B73" s="31"/>
      <c r="C73" s="130"/>
      <c r="D73" s="43"/>
      <c r="E73" s="126"/>
      <c r="F73" s="504"/>
      <c r="G73" s="126"/>
      <c r="H73" s="304"/>
      <c r="I73" s="151"/>
      <c r="J73" s="494"/>
      <c r="P73" s="597"/>
    </row>
    <row r="74" spans="2:16" s="58" customFormat="1" ht="15.6" x14ac:dyDescent="0.3">
      <c r="B74" s="352"/>
      <c r="C74" s="353" t="s">
        <v>771</v>
      </c>
      <c r="D74" s="354" t="s">
        <v>190</v>
      </c>
      <c r="E74" s="355"/>
      <c r="F74" s="356">
        <f>SUM(F69:F73)</f>
        <v>2</v>
      </c>
      <c r="G74" s="357"/>
      <c r="H74" s="358"/>
      <c r="I74" s="359"/>
      <c r="J74" s="535"/>
      <c r="K74"/>
      <c r="L74" s="132"/>
      <c r="P74" s="597"/>
    </row>
    <row r="75" spans="2:16" s="58" customFormat="1" ht="15.6" x14ac:dyDescent="0.3">
      <c r="B75" s="352"/>
      <c r="C75" s="353" t="s">
        <v>772</v>
      </c>
      <c r="D75" s="354" t="s">
        <v>190</v>
      </c>
      <c r="E75" s="355"/>
      <c r="F75" s="356">
        <v>2</v>
      </c>
      <c r="G75" s="357"/>
      <c r="H75" s="358"/>
      <c r="I75" s="359"/>
      <c r="J75" s="535"/>
      <c r="K75"/>
      <c r="P75" s="597"/>
    </row>
    <row r="76" spans="2:16" s="58" customFormat="1" ht="15.6" x14ac:dyDescent="0.3">
      <c r="B76" s="360"/>
      <c r="C76" s="361" t="s">
        <v>773</v>
      </c>
      <c r="D76" s="362" t="s">
        <v>190</v>
      </c>
      <c r="E76" s="363"/>
      <c r="F76" s="364">
        <f>F74-F75</f>
        <v>0</v>
      </c>
      <c r="G76" s="365"/>
      <c r="H76" s="366"/>
      <c r="I76" s="367"/>
      <c r="J76" s="536"/>
      <c r="K76"/>
      <c r="P76" s="597"/>
    </row>
    <row r="77" spans="2:16" ht="6.6" customHeight="1" x14ac:dyDescent="0.3">
      <c r="B77" s="338"/>
      <c r="C77" s="142"/>
      <c r="D77" s="143"/>
      <c r="E77" s="144"/>
      <c r="F77" s="345"/>
      <c r="G77" s="144"/>
      <c r="H77" s="144"/>
      <c r="I77" s="515"/>
      <c r="J77" s="524"/>
      <c r="K77"/>
      <c r="P77" s="597"/>
    </row>
    <row r="78" spans="2:16" ht="15.6" x14ac:dyDescent="0.3">
      <c r="B78" s="148">
        <v>606</v>
      </c>
      <c r="C78" s="149" t="s">
        <v>461</v>
      </c>
      <c r="D78" s="138"/>
      <c r="E78" s="139"/>
      <c r="F78" s="346"/>
      <c r="G78" s="139"/>
      <c r="H78" s="139"/>
      <c r="I78" s="516"/>
      <c r="J78" s="500"/>
    </row>
    <row r="79" spans="2:16" ht="15.6" x14ac:dyDescent="0.3">
      <c r="B79" s="145" t="s">
        <v>9977</v>
      </c>
      <c r="C79" s="577" t="s">
        <v>9978</v>
      </c>
      <c r="D79" s="146" t="s">
        <v>190</v>
      </c>
      <c r="E79" s="147" t="s">
        <v>510</v>
      </c>
      <c r="F79" s="491">
        <v>1</v>
      </c>
      <c r="G79" s="302" t="s">
        <v>9979</v>
      </c>
      <c r="H79" s="667">
        <v>46070</v>
      </c>
      <c r="I79" s="319" t="s">
        <v>1315</v>
      </c>
      <c r="J79" s="528" t="s">
        <v>9930</v>
      </c>
    </row>
    <row r="80" spans="2:16" ht="15.6" x14ac:dyDescent="0.3">
      <c r="B80" s="145" t="s">
        <v>9977</v>
      </c>
      <c r="C80" s="577" t="s">
        <v>9978</v>
      </c>
      <c r="D80" s="146" t="s">
        <v>190</v>
      </c>
      <c r="E80" s="147" t="s">
        <v>510</v>
      </c>
      <c r="F80" s="491">
        <v>1</v>
      </c>
      <c r="G80" s="302" t="s">
        <v>9980</v>
      </c>
      <c r="H80" s="542">
        <v>46105</v>
      </c>
      <c r="I80" s="319" t="s">
        <v>946</v>
      </c>
      <c r="J80" s="528" t="s">
        <v>9932</v>
      </c>
    </row>
    <row r="81" spans="2:16" ht="15.6" x14ac:dyDescent="0.3">
      <c r="B81" s="145" t="s">
        <v>9977</v>
      </c>
      <c r="C81" s="577" t="s">
        <v>9978</v>
      </c>
      <c r="D81" s="146" t="s">
        <v>190</v>
      </c>
      <c r="E81" s="147" t="s">
        <v>510</v>
      </c>
      <c r="F81" s="491">
        <v>1</v>
      </c>
      <c r="G81" s="302" t="s">
        <v>9981</v>
      </c>
      <c r="H81" s="542">
        <v>46142</v>
      </c>
      <c r="I81" s="319" t="s">
        <v>1053</v>
      </c>
      <c r="J81" s="528" t="s">
        <v>9936</v>
      </c>
    </row>
    <row r="82" spans="2:16" ht="15.6" x14ac:dyDescent="0.3">
      <c r="B82" s="145" t="s">
        <v>9977</v>
      </c>
      <c r="C82" s="577" t="s">
        <v>9978</v>
      </c>
      <c r="D82" s="146" t="s">
        <v>190</v>
      </c>
      <c r="E82" s="147" t="s">
        <v>510</v>
      </c>
      <c r="F82" s="491">
        <v>1</v>
      </c>
      <c r="G82" s="302" t="s">
        <v>9982</v>
      </c>
      <c r="H82" s="542">
        <v>46155</v>
      </c>
      <c r="I82" s="784" t="s">
        <v>1579</v>
      </c>
      <c r="J82" s="528" t="s">
        <v>9934</v>
      </c>
    </row>
    <row r="83" spans="2:16" ht="15.6" x14ac:dyDescent="0.3">
      <c r="B83" s="31"/>
      <c r="C83" s="130"/>
      <c r="D83" s="43"/>
      <c r="E83" s="126"/>
      <c r="F83" s="504"/>
      <c r="G83" s="126"/>
      <c r="H83" s="304"/>
      <c r="I83" s="151"/>
      <c r="J83" s="494"/>
      <c r="P83" s="597"/>
    </row>
    <row r="84" spans="2:16" s="58" customFormat="1" ht="15.6" x14ac:dyDescent="0.3">
      <c r="B84" s="352"/>
      <c r="C84" s="353" t="s">
        <v>771</v>
      </c>
      <c r="D84" s="354" t="s">
        <v>190</v>
      </c>
      <c r="E84" s="355"/>
      <c r="F84" s="356">
        <f>SUM(F79:F83)</f>
        <v>4</v>
      </c>
      <c r="G84" s="357"/>
      <c r="H84" s="358"/>
      <c r="I84" s="359"/>
      <c r="J84" s="535"/>
      <c r="K84"/>
      <c r="L84" s="132"/>
      <c r="P84" s="597"/>
    </row>
    <row r="85" spans="2:16" s="58" customFormat="1" ht="15.6" x14ac:dyDescent="0.3">
      <c r="B85" s="352"/>
      <c r="C85" s="353" t="s">
        <v>772</v>
      </c>
      <c r="D85" s="354" t="s">
        <v>190</v>
      </c>
      <c r="E85" s="355"/>
      <c r="F85" s="356">
        <v>4</v>
      </c>
      <c r="G85" s="357"/>
      <c r="H85" s="358"/>
      <c r="I85" s="359"/>
      <c r="J85" s="535"/>
      <c r="K85"/>
      <c r="P85" s="597"/>
    </row>
    <row r="86" spans="2:16" s="58" customFormat="1" ht="15.6" x14ac:dyDescent="0.3">
      <c r="B86" s="360"/>
      <c r="C86" s="361" t="s">
        <v>773</v>
      </c>
      <c r="D86" s="362" t="s">
        <v>190</v>
      </c>
      <c r="E86" s="363"/>
      <c r="F86" s="364">
        <f>F84-F85</f>
        <v>0</v>
      </c>
      <c r="G86" s="365"/>
      <c r="H86" s="366"/>
      <c r="I86" s="367"/>
      <c r="J86" s="536"/>
      <c r="K86"/>
      <c r="P86" s="597"/>
    </row>
    <row r="87" spans="2:16" ht="7.35" customHeight="1" x14ac:dyDescent="0.3">
      <c r="B87" s="338"/>
      <c r="C87" s="142"/>
      <c r="D87" s="143"/>
      <c r="E87" s="144"/>
      <c r="F87" s="345"/>
      <c r="G87" s="144"/>
      <c r="H87" s="144"/>
      <c r="I87" s="515"/>
      <c r="J87" s="524"/>
      <c r="K87"/>
      <c r="P87" s="597"/>
    </row>
  </sheetData>
  <autoFilter ref="B6:J81" xr:uid="{2F15BC34-7831-4283-A2B7-E7C20DF913F1}"/>
  <sortState xmlns:xlrd2="http://schemas.microsoft.com/office/spreadsheetml/2017/richdata2" ref="L9:L25">
    <sortCondition ref="L9:L25"/>
  </sortState>
  <phoneticPr fontId="23" type="noConversion"/>
  <conditionalFormatting sqref="D7:D87">
    <cfRule type="cellIs" dxfId="39" priority="32" operator="lessThan">
      <formula>0</formula>
    </cfRule>
  </conditionalFormatting>
  <conditionalFormatting sqref="J9:J28">
    <cfRule type="duplicateValues" dxfId="38" priority="1035"/>
  </conditionalFormatting>
  <conditionalFormatting sqref="J9:J47">
    <cfRule type="duplicateValues" dxfId="37" priority="1653"/>
  </conditionalFormatting>
  <conditionalFormatting sqref="J30:J37">
    <cfRule type="duplicateValues" dxfId="36" priority="1655"/>
  </conditionalFormatting>
  <conditionalFormatting sqref="J39:J46">
    <cfRule type="duplicateValues" dxfId="35" priority="15"/>
  </conditionalFormatting>
  <conditionalFormatting sqref="J49:J56">
    <cfRule type="duplicateValues" dxfId="34" priority="1684"/>
  </conditionalFormatting>
  <conditionalFormatting sqref="J49:J77 J79:J87">
    <cfRule type="duplicateValues" dxfId="33" priority="2554"/>
  </conditionalFormatting>
  <conditionalFormatting sqref="J58:J67">
    <cfRule type="duplicateValues" dxfId="32" priority="2170"/>
  </conditionalFormatting>
  <conditionalFormatting sqref="J69:J76">
    <cfRule type="duplicateValues" dxfId="31" priority="2547"/>
  </conditionalFormatting>
  <conditionalFormatting sqref="J79:J86">
    <cfRule type="duplicateValues" dxfId="30" priority="2557"/>
  </conditionalFormatting>
  <conditionalFormatting sqref="K30:K34">
    <cfRule type="duplicateValues" dxfId="29" priority="1657"/>
    <cfRule type="duplicateValues" dxfId="28" priority="1658"/>
    <cfRule type="duplicateValues" dxfId="27" priority="1659"/>
  </conditionalFormatting>
  <conditionalFormatting sqref="K39:K43">
    <cfRule type="duplicateValues" dxfId="26" priority="16"/>
    <cfRule type="duplicateValues" dxfId="25" priority="17"/>
    <cfRule type="duplicateValues" dxfId="24" priority="18"/>
  </conditionalFormatting>
  <conditionalFormatting sqref="K58:K64">
    <cfRule type="duplicateValues" dxfId="23" priority="2174"/>
    <cfRule type="duplicateValues" dxfId="22" priority="2175"/>
    <cfRule type="duplicateValues" dxfId="21" priority="2176"/>
  </conditionalFormatting>
  <conditionalFormatting sqref="K69:K73">
    <cfRule type="duplicateValues" dxfId="20" priority="2549"/>
    <cfRule type="duplicateValues" dxfId="19" priority="2550"/>
    <cfRule type="duplicateValues" dxfId="18" priority="2551"/>
  </conditionalFormatting>
  <conditionalFormatting sqref="K78:K83">
    <cfRule type="duplicateValues" dxfId="17" priority="2559"/>
    <cfRule type="duplicateValues" dxfId="16" priority="2560"/>
    <cfRule type="duplicateValues" dxfId="15" priority="2561"/>
  </conditionalFormatting>
  <conditionalFormatting sqref="K88:K1048576 K1:K25 K48:K53">
    <cfRule type="duplicateValues" dxfId="14" priority="41"/>
    <cfRule type="duplicateValues" dxfId="13" priority="42"/>
    <cfRule type="duplicateValues" dxfId="12" priority="1012"/>
  </conditionalFormatting>
  <printOptions horizontalCentered="1"/>
  <pageMargins left="0.39370078740157483" right="0.39370078740157483" top="0.55118110236220474" bottom="0.94488188976377963" header="0.31496062992125984" footer="0.31496062992125984"/>
  <pageSetup paperSize="9" scale="50" fitToHeight="0" orientation="portrait" r:id="rId1"/>
  <rowBreaks count="1" manualBreakCount="1">
    <brk id="57" min="1" max="9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76BE-48AC-4B93-8DD3-131B02212FE2}">
  <sheetPr codeName="Sheet22">
    <pageSetUpPr fitToPage="1"/>
  </sheetPr>
  <dimension ref="B1:Y143"/>
  <sheetViews>
    <sheetView view="pageBreakPreview" zoomScale="70" zoomScaleNormal="80" zoomScaleSheetLayoutView="70" workbookViewId="0">
      <pane ySplit="6" topLeftCell="A7" activePane="bottomLeft" state="frozen"/>
      <selection activeCell="H327" sqref="H327"/>
      <selection pane="bottomLeft" activeCell="N79" sqref="N79"/>
    </sheetView>
  </sheetViews>
  <sheetFormatPr defaultColWidth="9.109375" defaultRowHeight="14.4" x14ac:dyDescent="0.3"/>
  <cols>
    <col min="1" max="1" width="2" style="132" customWidth="1"/>
    <col min="2" max="2" width="12.5546875" style="132" customWidth="1"/>
    <col min="3" max="3" width="26.109375" style="132" customWidth="1"/>
    <col min="4" max="4" width="10.5546875" style="132" customWidth="1"/>
    <col min="5" max="5" width="12.5546875" style="132" customWidth="1"/>
    <col min="6" max="6" width="12.5546875" style="339" customWidth="1"/>
    <col min="7" max="7" width="12.5546875" style="132" customWidth="1"/>
    <col min="8" max="9" width="12.5546875" style="339" customWidth="1"/>
    <col min="10" max="10" width="26.88671875" style="132" customWidth="1"/>
    <col min="11" max="11" width="12.5546875" style="132" customWidth="1"/>
    <col min="12" max="13" width="10.5546875" style="132" customWidth="1"/>
    <col min="14" max="14" width="16.88671875" style="132" customWidth="1"/>
    <col min="15" max="15" width="4.5546875" style="132" customWidth="1"/>
    <col min="16" max="16" width="6.5546875" style="132" bestFit="1" customWidth="1"/>
    <col min="17" max="17" width="19.88671875" style="132" bestFit="1" customWidth="1"/>
    <col min="18" max="18" width="9.109375" style="132"/>
    <col min="19" max="19" width="11" style="132" bestFit="1" customWidth="1"/>
    <col min="20" max="20" width="8.109375" style="132" bestFit="1" customWidth="1"/>
    <col min="21" max="21" width="7.88671875" style="132" customWidth="1"/>
    <col min="22" max="22" width="11" style="132" bestFit="1" customWidth="1"/>
    <col min="23" max="24" width="9.109375" style="132"/>
    <col min="25" max="25" width="13.44140625" style="132" bestFit="1" customWidth="1"/>
    <col min="26" max="16384" width="9.109375" style="132"/>
  </cols>
  <sheetData>
    <row r="1" spans="2:17" ht="8.25" customHeight="1" x14ac:dyDescent="0.3"/>
    <row r="2" spans="2:17" ht="42" customHeight="1" x14ac:dyDescent="0.3">
      <c r="B2" s="315"/>
      <c r="C2" s="309" t="s">
        <v>141</v>
      </c>
      <c r="D2" s="310"/>
      <c r="E2" s="310"/>
      <c r="F2" s="340"/>
      <c r="G2" s="310"/>
      <c r="H2" s="340"/>
      <c r="I2" s="340"/>
      <c r="J2" s="311"/>
      <c r="K2" s="785"/>
      <c r="L2" s="531"/>
      <c r="M2" s="287"/>
      <c r="N2" s="884"/>
    </row>
    <row r="3" spans="2:17" ht="18" customHeight="1" x14ac:dyDescent="0.3">
      <c r="B3" s="317"/>
      <c r="C3" s="312"/>
      <c r="D3" s="312"/>
      <c r="E3" s="312"/>
      <c r="F3" s="341"/>
      <c r="G3" s="312"/>
      <c r="H3" s="341"/>
      <c r="I3" s="341"/>
      <c r="K3" s="308" t="str">
        <f>'Schedule 6'!H3</f>
        <v>2-Jul-25
2-Jul-25</v>
      </c>
      <c r="L3" s="318"/>
      <c r="M3" s="318"/>
      <c r="N3" s="520"/>
    </row>
    <row r="4" spans="2:17" ht="15.6" x14ac:dyDescent="0.3">
      <c r="B4" s="293" t="s">
        <v>9983</v>
      </c>
      <c r="C4" s="294"/>
      <c r="D4" s="294"/>
      <c r="E4" s="294"/>
      <c r="F4" s="342"/>
      <c r="G4" s="294"/>
      <c r="H4" s="342"/>
      <c r="I4" s="342"/>
      <c r="J4" s="295"/>
      <c r="K4" s="292"/>
      <c r="L4" s="520"/>
      <c r="M4" s="520"/>
      <c r="N4" s="133" t="str">
        <f>'Schedule 5'!J4</f>
        <v>IPC - 34</v>
      </c>
    </row>
    <row r="5" spans="2:17" ht="15.6" x14ac:dyDescent="0.3">
      <c r="B5" s="245" t="s">
        <v>762</v>
      </c>
      <c r="C5" s="246"/>
      <c r="D5" s="246"/>
      <c r="E5" s="246"/>
      <c r="F5" s="343"/>
      <c r="G5" s="246"/>
      <c r="H5" s="343"/>
      <c r="I5" s="343"/>
      <c r="J5" s="246"/>
      <c r="K5" s="246"/>
      <c r="L5" s="247"/>
      <c r="M5" s="737"/>
      <c r="N5" s="522"/>
    </row>
    <row r="6" spans="2:17" ht="31.5" customHeight="1" x14ac:dyDescent="0.3">
      <c r="B6" s="134" t="s">
        <v>498</v>
      </c>
      <c r="C6" s="135" t="s">
        <v>176</v>
      </c>
      <c r="D6" s="136" t="s">
        <v>500</v>
      </c>
      <c r="E6" s="137" t="s">
        <v>501</v>
      </c>
      <c r="F6" s="344" t="s">
        <v>9984</v>
      </c>
      <c r="G6" s="137" t="s">
        <v>9985</v>
      </c>
      <c r="H6" s="344" t="s">
        <v>9986</v>
      </c>
      <c r="I6" s="344" t="s">
        <v>502</v>
      </c>
      <c r="J6" s="137" t="s">
        <v>9987</v>
      </c>
      <c r="K6" s="134" t="s">
        <v>504</v>
      </c>
      <c r="L6" s="136" t="s">
        <v>764</v>
      </c>
      <c r="M6" s="523" t="s">
        <v>9988</v>
      </c>
      <c r="N6" s="523" t="s">
        <v>507</v>
      </c>
    </row>
    <row r="7" spans="2:17" ht="7.35" customHeight="1" x14ac:dyDescent="0.3">
      <c r="B7" s="338"/>
      <c r="C7" s="142"/>
      <c r="D7" s="143"/>
      <c r="E7" s="144"/>
      <c r="F7" s="345"/>
      <c r="G7" s="144"/>
      <c r="H7" s="345"/>
      <c r="I7" s="345"/>
      <c r="J7" s="144"/>
      <c r="K7" s="144"/>
      <c r="L7" s="515"/>
      <c r="M7" s="515"/>
      <c r="N7" s="524"/>
    </row>
    <row r="8" spans="2:17" ht="15.6" x14ac:dyDescent="0.3">
      <c r="B8" s="49">
        <v>701</v>
      </c>
      <c r="C8" s="140" t="s">
        <v>467</v>
      </c>
      <c r="D8" s="138"/>
      <c r="E8" s="139"/>
      <c r="F8" s="346"/>
      <c r="G8" s="139"/>
      <c r="H8" s="346"/>
      <c r="I8" s="346"/>
      <c r="J8" s="139"/>
      <c r="K8" s="139"/>
      <c r="L8" s="505"/>
      <c r="M8" s="576"/>
      <c r="N8" s="500"/>
    </row>
    <row r="9" spans="2:17" ht="46.8" x14ac:dyDescent="0.3">
      <c r="B9" s="124" t="s">
        <v>9989</v>
      </c>
      <c r="C9" s="129" t="s">
        <v>468</v>
      </c>
      <c r="D9" s="127" t="s">
        <v>267</v>
      </c>
      <c r="E9" s="125" t="s">
        <v>510</v>
      </c>
      <c r="F9" s="698">
        <f>VLOOKUP($N9,'Emb-Backup'!$P:$T,2,0)</f>
        <v>1800</v>
      </c>
      <c r="G9" s="699">
        <f>VLOOKUP($N9,'Emb-Backup'!$P:$T,3,0)</f>
        <v>2000</v>
      </c>
      <c r="H9" s="698" t="str">
        <f>VLOOKUP($N9,'Emb-Backup'!$P:$T,4,0)</f>
        <v>BHS</v>
      </c>
      <c r="I9" s="491">
        <f>SUMIFS('Emb-Backup'!$K:$K,'Emb-Backup'!$B:$B,'Schedule 7'!$N9)/1000</f>
        <v>0.4</v>
      </c>
      <c r="J9" s="665" t="s">
        <v>9990</v>
      </c>
      <c r="K9" s="666" t="s">
        <v>9991</v>
      </c>
      <c r="L9" s="131" t="s">
        <v>1250</v>
      </c>
      <c r="M9" s="141" t="s">
        <v>9992</v>
      </c>
      <c r="N9" s="530" t="s">
        <v>9993</v>
      </c>
      <c r="Q9" s="62" t="s">
        <v>9994</v>
      </c>
    </row>
    <row r="10" spans="2:17" ht="46.8" x14ac:dyDescent="0.3">
      <c r="B10" s="145" t="s">
        <v>9989</v>
      </c>
      <c r="C10" s="150" t="s">
        <v>468</v>
      </c>
      <c r="D10" s="146" t="s">
        <v>267</v>
      </c>
      <c r="E10" s="147" t="s">
        <v>510</v>
      </c>
      <c r="F10" s="700">
        <f>VLOOKUP($N10,'Emb-Backup'!$P:$T,2,0)</f>
        <v>3250</v>
      </c>
      <c r="G10" s="701">
        <f>VLOOKUP($N10,'Emb-Backup'!$P:$T,3,0)</f>
        <v>4210</v>
      </c>
      <c r="H10" s="700" t="str">
        <f>VLOOKUP($N10,'Emb-Backup'!$P:$T,4,0)</f>
        <v>BHS</v>
      </c>
      <c r="I10" s="491">
        <f>SUMIFS('Emb-Backup'!$K:$K,'Emb-Backup'!$B:$B,'Schedule 7'!$N10)/1000</f>
        <v>1.92</v>
      </c>
      <c r="J10" s="302" t="s">
        <v>9995</v>
      </c>
      <c r="K10" s="667" t="s">
        <v>9996</v>
      </c>
      <c r="L10" s="319" t="s">
        <v>1250</v>
      </c>
      <c r="M10" s="738" t="s">
        <v>9992</v>
      </c>
      <c r="N10" s="503" t="s">
        <v>9997</v>
      </c>
    </row>
    <row r="11" spans="2:17" ht="46.8" x14ac:dyDescent="0.3">
      <c r="B11" s="145" t="s">
        <v>9989</v>
      </c>
      <c r="C11" s="150" t="s">
        <v>468</v>
      </c>
      <c r="D11" s="146" t="s">
        <v>267</v>
      </c>
      <c r="E11" s="147" t="s">
        <v>510</v>
      </c>
      <c r="F11" s="700">
        <f>VLOOKUP($N11,'Emb-Backup'!$P:$T,2,0)</f>
        <v>4830</v>
      </c>
      <c r="G11" s="701">
        <f>VLOOKUP($N11,'Emb-Backup'!$P:$T,3,0)</f>
        <v>5170</v>
      </c>
      <c r="H11" s="700" t="str">
        <f>VLOOKUP($N11,'Emb-Backup'!$P:$T,4,0)</f>
        <v>BHS</v>
      </c>
      <c r="I11" s="491">
        <f>SUMIFS('Emb-Backup'!$K:$K,'Emb-Backup'!$B:$B,'Schedule 7'!$N11)/1000</f>
        <v>0.68000000000000016</v>
      </c>
      <c r="J11" s="302" t="s">
        <v>9998</v>
      </c>
      <c r="K11" s="667" t="s">
        <v>9999</v>
      </c>
      <c r="L11" s="319" t="s">
        <v>1250</v>
      </c>
      <c r="M11" s="738" t="s">
        <v>9992</v>
      </c>
      <c r="N11" s="503" t="s">
        <v>10000</v>
      </c>
    </row>
    <row r="12" spans="2:17" ht="46.8" x14ac:dyDescent="0.3">
      <c r="B12" s="145" t="s">
        <v>9989</v>
      </c>
      <c r="C12" s="150" t="s">
        <v>468</v>
      </c>
      <c r="D12" s="146" t="s">
        <v>267</v>
      </c>
      <c r="E12" s="147" t="s">
        <v>510</v>
      </c>
      <c r="F12" s="700">
        <v>2220</v>
      </c>
      <c r="G12" s="701">
        <v>2350</v>
      </c>
      <c r="H12" s="700" t="s">
        <v>9341</v>
      </c>
      <c r="I12" s="491">
        <f>SUMIFS('Emb-Backup'!$K:$K,'Emb-Backup'!$B:$B,'Schedule 7'!$N12)/1000</f>
        <v>0.13</v>
      </c>
      <c r="J12" s="302" t="s">
        <v>10001</v>
      </c>
      <c r="K12" s="667" t="s">
        <v>10002</v>
      </c>
      <c r="L12" s="319" t="s">
        <v>934</v>
      </c>
      <c r="M12" s="738">
        <v>8</v>
      </c>
      <c r="N12" s="503" t="s">
        <v>10003</v>
      </c>
    </row>
    <row r="13" spans="2:17" ht="46.8" x14ac:dyDescent="0.3">
      <c r="B13" s="145" t="s">
        <v>9989</v>
      </c>
      <c r="C13" s="150" t="s">
        <v>468</v>
      </c>
      <c r="D13" s="146" t="s">
        <v>267</v>
      </c>
      <c r="E13" s="147" t="s">
        <v>510</v>
      </c>
      <c r="F13" s="700">
        <v>2450</v>
      </c>
      <c r="G13" s="701">
        <v>2600</v>
      </c>
      <c r="H13" s="700" t="s">
        <v>9346</v>
      </c>
      <c r="I13" s="491">
        <f>SUMIFS('Emb-Backup'!$K:$K,'Emb-Backup'!$B:$B,'Schedule 7'!$N13)/1000</f>
        <v>0.12</v>
      </c>
      <c r="J13" s="302" t="s">
        <v>10004</v>
      </c>
      <c r="K13" s="667" t="s">
        <v>10005</v>
      </c>
      <c r="L13" s="319" t="s">
        <v>934</v>
      </c>
      <c r="M13" s="738">
        <v>8</v>
      </c>
      <c r="N13" s="503" t="s">
        <v>10006</v>
      </c>
    </row>
    <row r="14" spans="2:17" ht="46.8" x14ac:dyDescent="0.3">
      <c r="B14" s="145" t="s">
        <v>9989</v>
      </c>
      <c r="C14" s="150" t="s">
        <v>468</v>
      </c>
      <c r="D14" s="146" t="s">
        <v>267</v>
      </c>
      <c r="E14" s="147" t="s">
        <v>510</v>
      </c>
      <c r="F14" s="700">
        <v>2600</v>
      </c>
      <c r="G14" s="701">
        <v>2650</v>
      </c>
      <c r="H14" s="700" t="s">
        <v>9341</v>
      </c>
      <c r="I14" s="491">
        <f>SUMIFS('Emb-Backup'!$K:$K,'Emb-Backup'!$B:$B,'Schedule 7'!$N14)/1000</f>
        <v>7.4999999999999997E-2</v>
      </c>
      <c r="J14" s="302" t="s">
        <v>10007</v>
      </c>
      <c r="K14" s="667" t="s">
        <v>10008</v>
      </c>
      <c r="L14" s="319" t="s">
        <v>934</v>
      </c>
      <c r="M14" s="738">
        <v>6</v>
      </c>
      <c r="N14" s="503" t="s">
        <v>10009</v>
      </c>
    </row>
    <row r="15" spans="2:17" ht="46.8" x14ac:dyDescent="0.3">
      <c r="B15" s="145" t="s">
        <v>9989</v>
      </c>
      <c r="C15" s="150" t="s">
        <v>468</v>
      </c>
      <c r="D15" s="146" t="s">
        <v>267</v>
      </c>
      <c r="E15" s="147" t="s">
        <v>510</v>
      </c>
      <c r="F15" s="700">
        <v>2700</v>
      </c>
      <c r="G15" s="701">
        <v>2900</v>
      </c>
      <c r="H15" s="700" t="s">
        <v>9341</v>
      </c>
      <c r="I15" s="491">
        <f>SUMIFS('Emb-Backup'!$K:$K,'Emb-Backup'!$B:$B,'Schedule 7'!$N15)/1000</f>
        <v>0.25454545454545457</v>
      </c>
      <c r="J15" s="302" t="s">
        <v>10010</v>
      </c>
      <c r="K15" s="667" t="s">
        <v>10005</v>
      </c>
      <c r="L15" s="319" t="s">
        <v>934</v>
      </c>
      <c r="M15" s="738">
        <v>7</v>
      </c>
      <c r="N15" s="503" t="s">
        <v>10011</v>
      </c>
    </row>
    <row r="16" spans="2:17" ht="46.8" x14ac:dyDescent="0.3">
      <c r="B16" s="145" t="s">
        <v>9989</v>
      </c>
      <c r="C16" s="150" t="s">
        <v>468</v>
      </c>
      <c r="D16" s="146" t="s">
        <v>267</v>
      </c>
      <c r="E16" s="147" t="s">
        <v>510</v>
      </c>
      <c r="F16" s="700">
        <v>3070</v>
      </c>
      <c r="G16" s="701">
        <v>3250</v>
      </c>
      <c r="H16" s="700" t="s">
        <v>9341</v>
      </c>
      <c r="I16" s="491">
        <f>SUMIFS('Emb-Backup'!$K:$K,'Emb-Backup'!$B:$B,'Schedule 7'!$N16)/1000</f>
        <v>0.11076923076923074</v>
      </c>
      <c r="J16" s="302" t="s">
        <v>10012</v>
      </c>
      <c r="K16" s="667" t="s">
        <v>10002</v>
      </c>
      <c r="L16" s="319" t="s">
        <v>934</v>
      </c>
      <c r="M16" s="738">
        <v>8</v>
      </c>
      <c r="N16" s="503" t="s">
        <v>10013</v>
      </c>
    </row>
    <row r="17" spans="2:22" ht="46.8" x14ac:dyDescent="0.3">
      <c r="B17" s="145" t="s">
        <v>9989</v>
      </c>
      <c r="C17" s="150" t="s">
        <v>468</v>
      </c>
      <c r="D17" s="146" t="s">
        <v>267</v>
      </c>
      <c r="E17" s="147" t="s">
        <v>515</v>
      </c>
      <c r="F17" s="700">
        <v>9630</v>
      </c>
      <c r="G17" s="701">
        <v>9740</v>
      </c>
      <c r="H17" s="700" t="s">
        <v>9346</v>
      </c>
      <c r="I17" s="491">
        <f>SUMIFS('Emb-Backup'!$K:$K,'Emb-Backup'!$B:$B,'Schedule 7'!$N17)/1000</f>
        <v>3.1428571428571424E-2</v>
      </c>
      <c r="J17" s="302" t="s">
        <v>10014</v>
      </c>
      <c r="K17" s="667" t="s">
        <v>10015</v>
      </c>
      <c r="L17" s="319" t="s">
        <v>934</v>
      </c>
      <c r="M17" s="738">
        <v>4</v>
      </c>
      <c r="N17" s="503" t="s">
        <v>10016</v>
      </c>
    </row>
    <row r="18" spans="2:22" ht="46.8" x14ac:dyDescent="0.3">
      <c r="B18" s="145" t="s">
        <v>9989</v>
      </c>
      <c r="C18" s="150" t="s">
        <v>468</v>
      </c>
      <c r="D18" s="146" t="s">
        <v>267</v>
      </c>
      <c r="E18" s="147" t="s">
        <v>515</v>
      </c>
      <c r="F18" s="700">
        <v>9740</v>
      </c>
      <c r="G18" s="701">
        <v>9780</v>
      </c>
      <c r="H18" s="700" t="s">
        <v>9346</v>
      </c>
      <c r="I18" s="491">
        <f>SUMIFS('Emb-Backup'!$K:$K,'Emb-Backup'!$B:$B,'Schedule 7'!$N18)/1000</f>
        <v>1.7777777777777778E-2</v>
      </c>
      <c r="J18" s="302" t="s">
        <v>10017</v>
      </c>
      <c r="K18" s="667" t="s">
        <v>10018</v>
      </c>
      <c r="L18" s="319" t="s">
        <v>934</v>
      </c>
      <c r="M18" s="738">
        <v>4</v>
      </c>
      <c r="N18" s="503" t="s">
        <v>10019</v>
      </c>
    </row>
    <row r="19" spans="2:22" ht="46.8" x14ac:dyDescent="0.3">
      <c r="B19" s="145" t="s">
        <v>9989</v>
      </c>
      <c r="C19" s="150" t="s">
        <v>468</v>
      </c>
      <c r="D19" s="146" t="s">
        <v>267</v>
      </c>
      <c r="E19" s="147" t="s">
        <v>515</v>
      </c>
      <c r="F19" s="700">
        <v>9780</v>
      </c>
      <c r="G19" s="701">
        <v>10000</v>
      </c>
      <c r="H19" s="700" t="s">
        <v>9346</v>
      </c>
      <c r="I19" s="491">
        <f>SUMIFS('Emb-Backup'!$K:$K,'Emb-Backup'!$B:$B,'Schedule 7'!$N19)/1000</f>
        <v>9.7777777777777769E-2</v>
      </c>
      <c r="J19" s="302" t="s">
        <v>10014</v>
      </c>
      <c r="K19" s="667" t="s">
        <v>10020</v>
      </c>
      <c r="L19" s="319" t="s">
        <v>934</v>
      </c>
      <c r="M19" s="738">
        <v>4</v>
      </c>
      <c r="N19" s="503" t="s">
        <v>10021</v>
      </c>
    </row>
    <row r="20" spans="2:22" ht="46.8" x14ac:dyDescent="0.3">
      <c r="B20" s="145" t="s">
        <v>9989</v>
      </c>
      <c r="C20" s="150" t="s">
        <v>468</v>
      </c>
      <c r="D20" s="146" t="s">
        <v>267</v>
      </c>
      <c r="E20" s="147" t="s">
        <v>515</v>
      </c>
      <c r="F20" s="700">
        <v>9650</v>
      </c>
      <c r="G20" s="701">
        <v>9750</v>
      </c>
      <c r="H20" s="700" t="s">
        <v>9367</v>
      </c>
      <c r="I20" s="491">
        <f>SUMIFS('Emb-Backup'!$K:$K,'Emb-Backup'!$B:$B,'Schedule 7'!$N20)/1000</f>
        <v>0.03</v>
      </c>
      <c r="J20" s="302" t="s">
        <v>10022</v>
      </c>
      <c r="K20" s="667" t="s">
        <v>10023</v>
      </c>
      <c r="L20" s="319" t="s">
        <v>934</v>
      </c>
      <c r="M20" s="738">
        <v>3</v>
      </c>
      <c r="N20" s="503" t="s">
        <v>10024</v>
      </c>
    </row>
    <row r="21" spans="2:22" ht="46.8" x14ac:dyDescent="0.3">
      <c r="B21" s="145" t="s">
        <v>9989</v>
      </c>
      <c r="C21" s="150" t="s">
        <v>468</v>
      </c>
      <c r="D21" s="146" t="s">
        <v>267</v>
      </c>
      <c r="E21" s="147" t="s">
        <v>515</v>
      </c>
      <c r="F21" s="700">
        <v>10000</v>
      </c>
      <c r="G21" s="701">
        <v>10100</v>
      </c>
      <c r="H21" s="700" t="s">
        <v>9341</v>
      </c>
      <c r="I21" s="491">
        <f>SUMIFS('Emb-Backup'!$K:$K,'Emb-Backup'!$B:$B,'Schedule 7'!$N21)/1000</f>
        <v>2.8571428571428571E-2</v>
      </c>
      <c r="J21" s="302" t="s">
        <v>10025</v>
      </c>
      <c r="K21" s="667" t="s">
        <v>10026</v>
      </c>
      <c r="L21" s="319" t="s">
        <v>934</v>
      </c>
      <c r="M21" s="738">
        <v>2</v>
      </c>
      <c r="N21" s="503" t="s">
        <v>10027</v>
      </c>
    </row>
    <row r="22" spans="2:22" ht="46.8" x14ac:dyDescent="0.3">
      <c r="B22" s="145" t="s">
        <v>9989</v>
      </c>
      <c r="C22" s="150" t="s">
        <v>468</v>
      </c>
      <c r="D22" s="146" t="s">
        <v>267</v>
      </c>
      <c r="E22" s="147" t="s">
        <v>515</v>
      </c>
      <c r="F22" s="700">
        <v>10338</v>
      </c>
      <c r="G22" s="701">
        <v>10450</v>
      </c>
      <c r="H22" s="700" t="s">
        <v>9341</v>
      </c>
      <c r="I22" s="491">
        <f>SUMIFS('Emb-Backup'!$K:$K,'Emb-Backup'!$B:$B,'Schedule 7'!$N22)/1000</f>
        <v>2.4888888888888884E-2</v>
      </c>
      <c r="J22" s="302" t="s">
        <v>10028</v>
      </c>
      <c r="K22" s="667" t="s">
        <v>10029</v>
      </c>
      <c r="L22" s="319" t="s">
        <v>934</v>
      </c>
      <c r="M22" s="738">
        <v>2</v>
      </c>
      <c r="N22" s="503" t="s">
        <v>10030</v>
      </c>
    </row>
    <row r="23" spans="2:22" ht="46.8" x14ac:dyDescent="0.3">
      <c r="B23" s="145" t="s">
        <v>9989</v>
      </c>
      <c r="C23" s="150" t="s">
        <v>468</v>
      </c>
      <c r="D23" s="146" t="s">
        <v>267</v>
      </c>
      <c r="E23" s="147" t="s">
        <v>515</v>
      </c>
      <c r="F23" s="700">
        <v>10450</v>
      </c>
      <c r="G23" s="701">
        <v>10550</v>
      </c>
      <c r="H23" s="700" t="s">
        <v>9341</v>
      </c>
      <c r="I23" s="491">
        <f>SUMIFS('Emb-Backup'!$K:$K,'Emb-Backup'!$B:$B,'Schedule 7'!$N23)/1000</f>
        <v>2.3529411764705882E-2</v>
      </c>
      <c r="J23" s="302" t="s">
        <v>10031</v>
      </c>
      <c r="K23" s="667" t="s">
        <v>10029</v>
      </c>
      <c r="L23" s="319" t="s">
        <v>934</v>
      </c>
      <c r="M23" s="738">
        <v>2</v>
      </c>
      <c r="N23" s="503" t="s">
        <v>10032</v>
      </c>
    </row>
    <row r="24" spans="2:22" ht="46.8" x14ac:dyDescent="0.3">
      <c r="B24" s="145" t="s">
        <v>9989</v>
      </c>
      <c r="C24" s="150" t="s">
        <v>468</v>
      </c>
      <c r="D24" s="146" t="s">
        <v>267</v>
      </c>
      <c r="E24" s="147" t="s">
        <v>515</v>
      </c>
      <c r="F24" s="700">
        <v>11800</v>
      </c>
      <c r="G24" s="701">
        <v>12000</v>
      </c>
      <c r="H24" s="700" t="s">
        <v>9367</v>
      </c>
      <c r="I24" s="491">
        <f>SUMIFS('Emb-Backup'!$K:$K,'Emb-Backup'!$B:$B,'Schedule 7'!$N24)/1000</f>
        <v>0.06</v>
      </c>
      <c r="J24" s="302" t="s">
        <v>10033</v>
      </c>
      <c r="K24" s="667" t="s">
        <v>10034</v>
      </c>
      <c r="L24" s="319" t="s">
        <v>934</v>
      </c>
      <c r="M24" s="738">
        <v>3</v>
      </c>
      <c r="N24" s="503" t="s">
        <v>10035</v>
      </c>
    </row>
    <row r="25" spans="2:22" ht="46.8" x14ac:dyDescent="0.3">
      <c r="B25" s="145" t="s">
        <v>9989</v>
      </c>
      <c r="C25" s="150" t="s">
        <v>468</v>
      </c>
      <c r="D25" s="146" t="s">
        <v>267</v>
      </c>
      <c r="E25" s="147" t="s">
        <v>515</v>
      </c>
      <c r="F25" s="700">
        <v>11800</v>
      </c>
      <c r="G25" s="701">
        <v>11900</v>
      </c>
      <c r="H25" s="700" t="s">
        <v>9346</v>
      </c>
      <c r="I25" s="491">
        <f>SUMIFS('Emb-Backup'!$K:$K,'Emb-Backup'!$B:$B,'Schedule 7'!$N25)/1000</f>
        <v>2.5000000000000001E-2</v>
      </c>
      <c r="J25" s="302" t="s">
        <v>10036</v>
      </c>
      <c r="K25" s="667" t="s">
        <v>10034</v>
      </c>
      <c r="L25" s="319" t="s">
        <v>934</v>
      </c>
      <c r="M25" s="738">
        <v>2</v>
      </c>
      <c r="N25" s="503" t="s">
        <v>10037</v>
      </c>
      <c r="R25" s="1133" t="s">
        <v>10038</v>
      </c>
    </row>
    <row r="26" spans="2:22" ht="46.8" x14ac:dyDescent="0.3">
      <c r="B26" s="145" t="s">
        <v>9989</v>
      </c>
      <c r="C26" s="150" t="s">
        <v>468</v>
      </c>
      <c r="D26" s="146" t="s">
        <v>267</v>
      </c>
      <c r="E26" s="147" t="s">
        <v>515</v>
      </c>
      <c r="F26" s="700">
        <v>11950</v>
      </c>
      <c r="G26" s="701">
        <v>12000</v>
      </c>
      <c r="H26" s="700" t="s">
        <v>9346</v>
      </c>
      <c r="I26" s="491">
        <f>SUMIFS('Emb-Backup'!$K:$K,'Emb-Backup'!$B:$B,'Schedule 7'!$N26)/1000</f>
        <v>1.8749999999999999E-2</v>
      </c>
      <c r="J26" s="302" t="s">
        <v>10039</v>
      </c>
      <c r="K26" s="667" t="s">
        <v>10040</v>
      </c>
      <c r="L26" s="319" t="s">
        <v>934</v>
      </c>
      <c r="M26" s="738">
        <v>3</v>
      </c>
      <c r="N26" s="503" t="s">
        <v>10041</v>
      </c>
      <c r="R26" s="521">
        <v>9600</v>
      </c>
      <c r="S26" s="521">
        <v>10170</v>
      </c>
      <c r="T26" s="521" t="s">
        <v>9341</v>
      </c>
      <c r="U26" s="521">
        <f>S26-R26</f>
        <v>570</v>
      </c>
      <c r="V26" s="521">
        <f>IF(T26="BHS",U26*2,U26)</f>
        <v>1140</v>
      </c>
    </row>
    <row r="27" spans="2:22" ht="46.8" x14ac:dyDescent="0.3">
      <c r="B27" s="145" t="s">
        <v>9989</v>
      </c>
      <c r="C27" s="150" t="s">
        <v>468</v>
      </c>
      <c r="D27" s="146" t="s">
        <v>267</v>
      </c>
      <c r="E27" s="147" t="s">
        <v>515</v>
      </c>
      <c r="F27" s="700">
        <v>12000</v>
      </c>
      <c r="G27" s="701">
        <v>12040</v>
      </c>
      <c r="H27" s="700" t="s">
        <v>9341</v>
      </c>
      <c r="I27" s="491">
        <f>SUMIFS('Emb-Backup'!$K:$K,'Emb-Backup'!$B:$B,'Schedule 7'!$N27)/1000</f>
        <v>2.2857142857142854E-2</v>
      </c>
      <c r="J27" s="302" t="s">
        <v>10042</v>
      </c>
      <c r="K27" s="667" t="s">
        <v>10043</v>
      </c>
      <c r="L27" s="319" t="s">
        <v>934</v>
      </c>
      <c r="M27" s="738">
        <v>2</v>
      </c>
      <c r="N27" s="503" t="s">
        <v>10044</v>
      </c>
      <c r="R27" s="521">
        <v>10180</v>
      </c>
      <c r="S27" s="521">
        <v>10600</v>
      </c>
      <c r="T27" s="521" t="s">
        <v>9341</v>
      </c>
      <c r="U27" s="521">
        <f>S27-R27-108</f>
        <v>312</v>
      </c>
      <c r="V27" s="521">
        <f t="shared" ref="V27:V28" si="0">IF(T27="BHS",U27*2,U27)</f>
        <v>624</v>
      </c>
    </row>
    <row r="28" spans="2:22" ht="46.8" x14ac:dyDescent="0.3">
      <c r="B28" s="145" t="s">
        <v>9989</v>
      </c>
      <c r="C28" s="150" t="s">
        <v>468</v>
      </c>
      <c r="D28" s="146" t="s">
        <v>267</v>
      </c>
      <c r="E28" s="147" t="s">
        <v>510</v>
      </c>
      <c r="F28" s="700">
        <v>4620</v>
      </c>
      <c r="G28" s="701">
        <v>4830</v>
      </c>
      <c r="H28" s="700" t="s">
        <v>9341</v>
      </c>
      <c r="I28" s="491">
        <f>SUMIFS('Emb-Backup'!$K:$K,'Emb-Backup'!$B:$B,'Schedule 7'!$N28)/1000</f>
        <v>1.4999999999999999E-2</v>
      </c>
      <c r="J28" s="302" t="s">
        <v>10045</v>
      </c>
      <c r="K28" s="667" t="s">
        <v>10046</v>
      </c>
      <c r="L28" s="319" t="s">
        <v>1302</v>
      </c>
      <c r="M28" s="738">
        <v>1</v>
      </c>
      <c r="N28" s="503" t="s">
        <v>10047</v>
      </c>
      <c r="R28" s="521">
        <v>11360</v>
      </c>
      <c r="S28" s="521">
        <v>11775</v>
      </c>
      <c r="T28" s="521" t="s">
        <v>9341</v>
      </c>
      <c r="U28" s="521">
        <f>(S28-R28)*50%</f>
        <v>207.5</v>
      </c>
      <c r="V28" s="521">
        <f t="shared" si="0"/>
        <v>415</v>
      </c>
    </row>
    <row r="29" spans="2:22" ht="46.8" x14ac:dyDescent="0.3">
      <c r="B29" s="145" t="s">
        <v>9989</v>
      </c>
      <c r="C29" s="150" t="s">
        <v>468</v>
      </c>
      <c r="D29" s="146" t="s">
        <v>267</v>
      </c>
      <c r="E29" s="147" t="s">
        <v>510</v>
      </c>
      <c r="F29" s="700">
        <v>5170</v>
      </c>
      <c r="G29" s="701">
        <v>5200</v>
      </c>
      <c r="H29" s="700" t="s">
        <v>9341</v>
      </c>
      <c r="I29" s="491">
        <f>SUMIFS('Emb-Backup'!$K:$K,'Emb-Backup'!$B:$B,'Schedule 7'!$N29)/1000</f>
        <v>2.142857142857143E-3</v>
      </c>
      <c r="J29" s="302" t="s">
        <v>10048</v>
      </c>
      <c r="K29" s="667" t="s">
        <v>10049</v>
      </c>
      <c r="L29" s="319" t="s">
        <v>1302</v>
      </c>
      <c r="M29" s="738">
        <v>1</v>
      </c>
      <c r="N29" s="503" t="s">
        <v>10050</v>
      </c>
      <c r="R29" s="521"/>
      <c r="S29" s="521"/>
      <c r="T29" s="521"/>
      <c r="U29" s="521"/>
      <c r="V29" s="779">
        <f>SUM(V26:V28)</f>
        <v>2179</v>
      </c>
    </row>
    <row r="30" spans="2:22" ht="15.6" x14ac:dyDescent="0.3">
      <c r="B30" s="145" t="s">
        <v>9989</v>
      </c>
      <c r="C30" s="150" t="s">
        <v>468</v>
      </c>
      <c r="D30" s="146" t="s">
        <v>267</v>
      </c>
      <c r="E30" s="147" t="s">
        <v>515</v>
      </c>
      <c r="F30" s="700">
        <v>9650</v>
      </c>
      <c r="G30" s="701">
        <v>9750</v>
      </c>
      <c r="H30" s="700" t="s">
        <v>9367</v>
      </c>
      <c r="I30" s="491">
        <f>SUMIFS('Emb-Backup'!$K:$K,'Emb-Backup'!$B:$B,'Schedule 7'!$N30)/1000</f>
        <v>0.02</v>
      </c>
      <c r="J30" s="302" t="s">
        <v>10051</v>
      </c>
      <c r="K30" s="667">
        <v>45758</v>
      </c>
      <c r="L30" s="319" t="s">
        <v>1302</v>
      </c>
      <c r="M30" s="738">
        <v>5</v>
      </c>
      <c r="N30" s="503" t="s">
        <v>10052</v>
      </c>
    </row>
    <row r="31" spans="2:22" ht="15.6" x14ac:dyDescent="0.3">
      <c r="B31" s="145" t="s">
        <v>9989</v>
      </c>
      <c r="C31" s="150" t="s">
        <v>468</v>
      </c>
      <c r="D31" s="146" t="s">
        <v>267</v>
      </c>
      <c r="E31" s="147" t="s">
        <v>515</v>
      </c>
      <c r="F31" s="700">
        <v>9750</v>
      </c>
      <c r="G31" s="701">
        <v>10000</v>
      </c>
      <c r="H31" s="700" t="s">
        <v>9367</v>
      </c>
      <c r="I31" s="491">
        <f>SUMIFS('Emb-Backup'!$K:$K,'Emb-Backup'!$B:$B,'Schedule 7'!$N31)/1000</f>
        <v>0.1388888888888889</v>
      </c>
      <c r="J31" s="302" t="s">
        <v>10051</v>
      </c>
      <c r="K31" s="667">
        <v>45758</v>
      </c>
      <c r="L31" s="319" t="s">
        <v>1302</v>
      </c>
      <c r="M31" s="738">
        <v>5</v>
      </c>
      <c r="N31" s="503" t="s">
        <v>10053</v>
      </c>
      <c r="R31" s="521">
        <v>1800</v>
      </c>
      <c r="S31" s="521">
        <v>2190</v>
      </c>
      <c r="T31" s="521" t="s">
        <v>9341</v>
      </c>
      <c r="U31" s="521">
        <f>S31-R31</f>
        <v>390</v>
      </c>
      <c r="V31" s="521">
        <f>IF(T31="BHS",U31*2,U31)</f>
        <v>780</v>
      </c>
    </row>
    <row r="32" spans="2:22" ht="15.6" x14ac:dyDescent="0.3">
      <c r="B32" s="145" t="s">
        <v>9989</v>
      </c>
      <c r="C32" s="150" t="s">
        <v>468</v>
      </c>
      <c r="D32" s="146" t="s">
        <v>267</v>
      </c>
      <c r="E32" s="147" t="s">
        <v>515</v>
      </c>
      <c r="F32" s="700">
        <v>10338</v>
      </c>
      <c r="G32" s="701">
        <v>10450</v>
      </c>
      <c r="H32" s="700" t="s">
        <v>9341</v>
      </c>
      <c r="I32" s="491">
        <f>SUMIFS('Emb-Backup'!$K:$K,'Emb-Backup'!$B:$B,'Schedule 7'!$N32)/1000</f>
        <v>1.2444444444444442E-2</v>
      </c>
      <c r="J32" s="302" t="s">
        <v>10054</v>
      </c>
      <c r="K32" s="667">
        <v>45757</v>
      </c>
      <c r="L32" s="319" t="s">
        <v>1302</v>
      </c>
      <c r="M32" s="738">
        <v>3</v>
      </c>
      <c r="N32" s="503" t="s">
        <v>10055</v>
      </c>
      <c r="R32" s="521">
        <v>0</v>
      </c>
      <c r="S32" s="521">
        <v>300</v>
      </c>
      <c r="T32" s="521" t="s">
        <v>9341</v>
      </c>
      <c r="U32" s="521">
        <f>S32-R32</f>
        <v>300</v>
      </c>
      <c r="V32" s="521">
        <f>IF(T32="BHS",U32*2,U32)</f>
        <v>600</v>
      </c>
    </row>
    <row r="33" spans="2:25" ht="15.6" x14ac:dyDescent="0.3">
      <c r="B33" s="145" t="s">
        <v>9989</v>
      </c>
      <c r="C33" s="150" t="s">
        <v>468</v>
      </c>
      <c r="D33" s="146" t="s">
        <v>267</v>
      </c>
      <c r="E33" s="147" t="s">
        <v>515</v>
      </c>
      <c r="F33" s="700">
        <v>10450</v>
      </c>
      <c r="G33" s="701">
        <v>10550</v>
      </c>
      <c r="H33" s="700" t="s">
        <v>9341</v>
      </c>
      <c r="I33" s="491">
        <f>SUMIFS('Emb-Backup'!$K:$K,'Emb-Backup'!$B:$B,'Schedule 7'!$N33)/1000</f>
        <v>1.1764705882352941E-2</v>
      </c>
      <c r="J33" s="302" t="s">
        <v>10054</v>
      </c>
      <c r="K33" s="667">
        <v>45757</v>
      </c>
      <c r="L33" s="319" t="s">
        <v>1302</v>
      </c>
      <c r="M33" s="738">
        <v>3</v>
      </c>
      <c r="N33" s="503" t="s">
        <v>10056</v>
      </c>
      <c r="R33" s="521">
        <v>1100</v>
      </c>
      <c r="S33" s="521">
        <v>1270</v>
      </c>
      <c r="T33" s="521" t="s">
        <v>9341</v>
      </c>
      <c r="U33" s="521">
        <f>(S33-R33)*50%</f>
        <v>85</v>
      </c>
      <c r="V33" s="521">
        <f t="shared" ref="V33:V34" si="1">IF(T33="BHS",U33*2,U33)</f>
        <v>170</v>
      </c>
    </row>
    <row r="34" spans="2:25" ht="15.6" x14ac:dyDescent="0.3">
      <c r="B34" s="145" t="s">
        <v>9989</v>
      </c>
      <c r="C34" s="150" t="s">
        <v>468</v>
      </c>
      <c r="D34" s="146" t="s">
        <v>267</v>
      </c>
      <c r="E34" s="147" t="s">
        <v>515</v>
      </c>
      <c r="F34" s="700">
        <v>11800</v>
      </c>
      <c r="G34" s="701">
        <v>12000</v>
      </c>
      <c r="H34" s="700" t="s">
        <v>9367</v>
      </c>
      <c r="I34" s="491">
        <f>SUMIFS('Emb-Backup'!$K:$K,'Emb-Backup'!$B:$B,'Schedule 7'!$N34)/1000</f>
        <v>0.02</v>
      </c>
      <c r="J34" s="302" t="s">
        <v>10057</v>
      </c>
      <c r="K34" s="667">
        <v>45756</v>
      </c>
      <c r="L34" s="319" t="s">
        <v>1302</v>
      </c>
      <c r="M34" s="738">
        <v>4</v>
      </c>
      <c r="N34" s="503" t="s">
        <v>10058</v>
      </c>
      <c r="R34" s="521">
        <v>1330</v>
      </c>
      <c r="S34" s="521">
        <v>1430</v>
      </c>
      <c r="T34" s="521" t="s">
        <v>9341</v>
      </c>
      <c r="U34" s="521">
        <f>S34-R34</f>
        <v>100</v>
      </c>
      <c r="V34" s="521">
        <f t="shared" si="1"/>
        <v>200</v>
      </c>
    </row>
    <row r="35" spans="2:25" ht="15.6" x14ac:dyDescent="0.3">
      <c r="B35" s="145" t="s">
        <v>9989</v>
      </c>
      <c r="C35" s="150" t="s">
        <v>468</v>
      </c>
      <c r="D35" s="146" t="s">
        <v>267</v>
      </c>
      <c r="E35" s="147" t="s">
        <v>515</v>
      </c>
      <c r="F35" s="700">
        <v>11800</v>
      </c>
      <c r="G35" s="1140">
        <v>11900</v>
      </c>
      <c r="H35" s="700" t="s">
        <v>9346</v>
      </c>
      <c r="I35" s="491">
        <f>SUMIFS('Emb-Backup'!$K:$K,'Emb-Backup'!$B:$B,'Schedule 7'!$N35)/1000</f>
        <v>1.2500000000000001E-2</v>
      </c>
      <c r="J35" s="594" t="s">
        <v>10059</v>
      </c>
      <c r="K35" s="667">
        <v>45756</v>
      </c>
      <c r="L35" s="319" t="s">
        <v>1302</v>
      </c>
      <c r="M35" s="738">
        <v>3</v>
      </c>
      <c r="N35" s="503" t="s">
        <v>10060</v>
      </c>
      <c r="R35" s="521">
        <v>2450</v>
      </c>
      <c r="S35" s="521">
        <v>2600</v>
      </c>
      <c r="T35" s="521" t="s">
        <v>9341</v>
      </c>
      <c r="U35" s="521">
        <f>S35-R35</f>
        <v>150</v>
      </c>
      <c r="V35" s="521">
        <f t="shared" ref="V35:V41" si="2">IF(T35="BHS",U35*2,U35)</f>
        <v>300</v>
      </c>
    </row>
    <row r="36" spans="2:25" ht="15.6" x14ac:dyDescent="0.3">
      <c r="B36" s="145" t="s">
        <v>9989</v>
      </c>
      <c r="C36" s="150" t="s">
        <v>468</v>
      </c>
      <c r="D36" s="146" t="s">
        <v>267</v>
      </c>
      <c r="E36" s="147" t="s">
        <v>510</v>
      </c>
      <c r="F36" s="700">
        <v>0</v>
      </c>
      <c r="G36" s="1140">
        <v>290</v>
      </c>
      <c r="H36" s="700" t="s">
        <v>9341</v>
      </c>
      <c r="I36" s="491">
        <f>SUMIFS('Emb-Backup'!$K:$K,'Emb-Backup'!$B:$B,'Schedule 7'!$N36)/1000</f>
        <v>0.48333333333333328</v>
      </c>
      <c r="J36" s="594" t="s">
        <v>10061</v>
      </c>
      <c r="K36" s="667">
        <v>46081</v>
      </c>
      <c r="L36" s="319" t="s">
        <v>1315</v>
      </c>
      <c r="M36" s="738">
        <v>5</v>
      </c>
      <c r="N36" s="503" t="s">
        <v>10062</v>
      </c>
      <c r="R36" s="521">
        <v>2300</v>
      </c>
      <c r="S36" s="521">
        <v>2400</v>
      </c>
      <c r="T36" s="521" t="s">
        <v>9341</v>
      </c>
      <c r="U36" s="521">
        <f>S36-R36</f>
        <v>100</v>
      </c>
      <c r="V36" s="521">
        <f t="shared" si="2"/>
        <v>200</v>
      </c>
    </row>
    <row r="37" spans="2:25" ht="15.6" x14ac:dyDescent="0.3">
      <c r="B37" s="145" t="s">
        <v>9989</v>
      </c>
      <c r="C37" s="150" t="s">
        <v>468</v>
      </c>
      <c r="D37" s="146" t="s">
        <v>267</v>
      </c>
      <c r="E37" s="147" t="s">
        <v>510</v>
      </c>
      <c r="F37" s="700">
        <v>480</v>
      </c>
      <c r="G37" s="1140">
        <v>680</v>
      </c>
      <c r="H37" s="700" t="s">
        <v>9341</v>
      </c>
      <c r="I37" s="491">
        <f>SUMIFS('Emb-Backup'!$K:$K,'Emb-Backup'!$B:$B,'Schedule 7'!$N37)/1000</f>
        <v>0.21052631578947367</v>
      </c>
      <c r="J37" s="594" t="s">
        <v>10063</v>
      </c>
      <c r="K37" s="667">
        <v>46079</v>
      </c>
      <c r="L37" s="319" t="s">
        <v>1315</v>
      </c>
      <c r="M37" s="738">
        <v>10</v>
      </c>
      <c r="N37" s="503" t="s">
        <v>10064</v>
      </c>
      <c r="R37" s="521">
        <v>2650</v>
      </c>
      <c r="S37" s="521">
        <v>2800</v>
      </c>
      <c r="T37" s="521" t="s">
        <v>9341</v>
      </c>
      <c r="U37" s="521">
        <f>S37-R37</f>
        <v>150</v>
      </c>
      <c r="V37" s="521">
        <f t="shared" si="2"/>
        <v>300</v>
      </c>
    </row>
    <row r="38" spans="2:25" ht="15.6" x14ac:dyDescent="0.3">
      <c r="B38" s="145" t="s">
        <v>9989</v>
      </c>
      <c r="C38" s="150" t="s">
        <v>468</v>
      </c>
      <c r="D38" s="146" t="s">
        <v>267</v>
      </c>
      <c r="E38" s="147" t="s">
        <v>510</v>
      </c>
      <c r="F38" s="700">
        <v>2000</v>
      </c>
      <c r="G38" s="1140">
        <v>2170</v>
      </c>
      <c r="H38" s="700" t="s">
        <v>9341</v>
      </c>
      <c r="I38" s="491">
        <f>SUMIFS('Emb-Backup'!$K:$K,'Emb-Backup'!$B:$B,'Schedule 7'!$N38)/1000</f>
        <v>0.29142857142857137</v>
      </c>
      <c r="J38" s="594" t="s">
        <v>10065</v>
      </c>
      <c r="K38" s="667">
        <v>46081</v>
      </c>
      <c r="L38" s="319" t="s">
        <v>1315</v>
      </c>
      <c r="M38" s="738">
        <v>12</v>
      </c>
      <c r="N38" s="503" t="s">
        <v>10066</v>
      </c>
      <c r="R38" s="779">
        <v>3240</v>
      </c>
      <c r="S38" s="779">
        <v>3760</v>
      </c>
      <c r="T38" s="521" t="s">
        <v>9341</v>
      </c>
      <c r="U38" s="779">
        <f>S38-R38</f>
        <v>520</v>
      </c>
      <c r="V38" s="521">
        <f t="shared" si="2"/>
        <v>1040</v>
      </c>
    </row>
    <row r="39" spans="2:25" ht="15.6" x14ac:dyDescent="0.3">
      <c r="B39" s="145" t="s">
        <v>9989</v>
      </c>
      <c r="C39" s="150" t="s">
        <v>468</v>
      </c>
      <c r="D39" s="146" t="s">
        <v>267</v>
      </c>
      <c r="E39" s="147" t="s">
        <v>510</v>
      </c>
      <c r="F39" s="700">
        <v>2220</v>
      </c>
      <c r="G39" s="1140">
        <v>2350</v>
      </c>
      <c r="H39" s="700" t="s">
        <v>9341</v>
      </c>
      <c r="I39" s="491">
        <f>SUMIFS('Emb-Backup'!$K:$K,'Emb-Backup'!$B:$B,'Schedule 7'!$N39)/1000</f>
        <v>6.5000000000000002E-2</v>
      </c>
      <c r="J39" s="594" t="s">
        <v>10065</v>
      </c>
      <c r="K39" s="667">
        <v>46081</v>
      </c>
      <c r="L39" s="319" t="s">
        <v>1315</v>
      </c>
      <c r="M39" s="738">
        <v>12</v>
      </c>
      <c r="N39" s="503" t="s">
        <v>10067</v>
      </c>
      <c r="R39" s="779"/>
      <c r="S39" s="779"/>
      <c r="T39" s="521"/>
      <c r="U39" s="779"/>
      <c r="V39" s="521"/>
    </row>
    <row r="40" spans="2:25" ht="15.6" x14ac:dyDescent="0.3">
      <c r="B40" s="145" t="s">
        <v>9989</v>
      </c>
      <c r="C40" s="150" t="s">
        <v>468</v>
      </c>
      <c r="D40" s="146" t="s">
        <v>267</v>
      </c>
      <c r="E40" s="147" t="s">
        <v>510</v>
      </c>
      <c r="F40" s="700">
        <v>2450</v>
      </c>
      <c r="G40" s="1140">
        <v>2600</v>
      </c>
      <c r="H40" s="700" t="s">
        <v>9346</v>
      </c>
      <c r="I40" s="491">
        <f>SUMIFS('Emb-Backup'!$K:$K,'Emb-Backup'!$B:$B,'Schedule 7'!$N40)/1000</f>
        <v>1.4999999999999999E-2</v>
      </c>
      <c r="J40" s="594" t="s">
        <v>10068</v>
      </c>
      <c r="K40" s="667">
        <v>46077</v>
      </c>
      <c r="L40" s="319" t="s">
        <v>1315</v>
      </c>
      <c r="M40" s="738">
        <v>9</v>
      </c>
      <c r="N40" s="503" t="s">
        <v>10069</v>
      </c>
      <c r="R40" s="521">
        <v>3800</v>
      </c>
      <c r="S40" s="521">
        <v>4240</v>
      </c>
      <c r="T40" s="521" t="s">
        <v>9341</v>
      </c>
      <c r="U40" s="521">
        <f>S40-R40</f>
        <v>440</v>
      </c>
      <c r="V40" s="521">
        <f t="shared" si="2"/>
        <v>880</v>
      </c>
    </row>
    <row r="41" spans="2:25" s="58" customFormat="1" ht="15.6" x14ac:dyDescent="0.3">
      <c r="B41" s="145" t="s">
        <v>9989</v>
      </c>
      <c r="C41" s="150" t="s">
        <v>468</v>
      </c>
      <c r="D41" s="146" t="s">
        <v>267</v>
      </c>
      <c r="E41" s="147" t="s">
        <v>510</v>
      </c>
      <c r="F41" s="700">
        <v>2700</v>
      </c>
      <c r="G41" s="1140">
        <v>2900</v>
      </c>
      <c r="H41" s="700" t="s">
        <v>9341</v>
      </c>
      <c r="I41" s="491">
        <f>SUMIFS('Emb-Backup'!$K:$K,'Emb-Backup'!$B:$B,'Schedule 7'!$N41)/1000</f>
        <v>0.1090909090909091</v>
      </c>
      <c r="J41" s="594" t="s">
        <v>10070</v>
      </c>
      <c r="K41" s="667">
        <v>46080</v>
      </c>
      <c r="L41" s="319" t="s">
        <v>1315</v>
      </c>
      <c r="M41" s="738">
        <v>10</v>
      </c>
      <c r="N41" s="503" t="s">
        <v>10071</v>
      </c>
      <c r="O41" s="132"/>
      <c r="R41" s="521">
        <v>4680</v>
      </c>
      <c r="S41" s="521">
        <v>5190</v>
      </c>
      <c r="T41" s="521" t="s">
        <v>9341</v>
      </c>
      <c r="U41" s="521">
        <f>(S41-R41)*6/9</f>
        <v>340</v>
      </c>
      <c r="V41" s="521">
        <f t="shared" si="2"/>
        <v>680</v>
      </c>
      <c r="Y41" s="58" t="s">
        <v>10072</v>
      </c>
    </row>
    <row r="42" spans="2:25" s="58" customFormat="1" ht="15.6" x14ac:dyDescent="0.3">
      <c r="B42" s="145" t="s">
        <v>9989</v>
      </c>
      <c r="C42" s="150" t="s">
        <v>468</v>
      </c>
      <c r="D42" s="146" t="s">
        <v>267</v>
      </c>
      <c r="E42" s="147" t="s">
        <v>510</v>
      </c>
      <c r="F42" s="700">
        <v>3070</v>
      </c>
      <c r="G42" s="1140">
        <v>3250</v>
      </c>
      <c r="H42" s="700" t="s">
        <v>9341</v>
      </c>
      <c r="I42" s="491">
        <f>SUMIFS('Emb-Backup'!$K:$K,'Emb-Backup'!$B:$B,'Schedule 7'!$N42)/1000</f>
        <v>2.7692307692307693E-2</v>
      </c>
      <c r="J42" s="594" t="s">
        <v>10070</v>
      </c>
      <c r="K42" s="667">
        <v>46080</v>
      </c>
      <c r="L42" s="319" t="s">
        <v>1315</v>
      </c>
      <c r="M42" s="738">
        <v>10</v>
      </c>
      <c r="N42" s="503" t="s">
        <v>10073</v>
      </c>
      <c r="O42" s="132"/>
    </row>
    <row r="43" spans="2:25" s="58" customFormat="1" ht="15.6" x14ac:dyDescent="0.3">
      <c r="B43" s="145" t="s">
        <v>9989</v>
      </c>
      <c r="C43" s="150" t="s">
        <v>468</v>
      </c>
      <c r="D43" s="146" t="s">
        <v>267</v>
      </c>
      <c r="E43" s="147" t="s">
        <v>510</v>
      </c>
      <c r="F43" s="700">
        <v>4210</v>
      </c>
      <c r="G43" s="1140">
        <v>4350</v>
      </c>
      <c r="H43" s="700" t="s">
        <v>9341</v>
      </c>
      <c r="I43" s="491">
        <f>SUMIFS('Emb-Backup'!$K:$K,'Emb-Backup'!$B:$B,'Schedule 7'!$N43)/1000</f>
        <v>0.10370370370370369</v>
      </c>
      <c r="J43" s="594" t="s">
        <v>10074</v>
      </c>
      <c r="K43" s="667">
        <v>46080</v>
      </c>
      <c r="L43" s="319" t="s">
        <v>1315</v>
      </c>
      <c r="M43" s="738">
        <v>10</v>
      </c>
      <c r="N43" s="503" t="s">
        <v>10075</v>
      </c>
      <c r="O43" s="132"/>
    </row>
    <row r="44" spans="2:25" s="58" customFormat="1" ht="15.6" x14ac:dyDescent="0.3">
      <c r="B44" s="145" t="s">
        <v>9989</v>
      </c>
      <c r="C44" s="150" t="s">
        <v>468</v>
      </c>
      <c r="D44" s="146" t="s">
        <v>267</v>
      </c>
      <c r="E44" s="147" t="s">
        <v>510</v>
      </c>
      <c r="F44" s="700">
        <v>4620</v>
      </c>
      <c r="G44" s="1140">
        <v>4830</v>
      </c>
      <c r="H44" s="700" t="s">
        <v>9341</v>
      </c>
      <c r="I44" s="491">
        <f>SUMIFS('Emb-Backup'!$K:$K,'Emb-Backup'!$B:$B,'Schedule 7'!$N44)/1000</f>
        <v>0.13500000000000001</v>
      </c>
      <c r="J44" s="594" t="s">
        <v>10074</v>
      </c>
      <c r="K44" s="667">
        <v>46080</v>
      </c>
      <c r="L44" s="319" t="s">
        <v>1315</v>
      </c>
      <c r="M44" s="738">
        <v>10</v>
      </c>
      <c r="N44" s="503" t="s">
        <v>10076</v>
      </c>
      <c r="O44" s="132"/>
    </row>
    <row r="45" spans="2:25" ht="15.6" x14ac:dyDescent="0.3">
      <c r="B45" s="145" t="s">
        <v>9989</v>
      </c>
      <c r="C45" s="150" t="s">
        <v>468</v>
      </c>
      <c r="D45" s="146" t="s">
        <v>267</v>
      </c>
      <c r="E45" s="147" t="s">
        <v>515</v>
      </c>
      <c r="F45" s="700">
        <v>9630</v>
      </c>
      <c r="G45" s="1140">
        <v>10000</v>
      </c>
      <c r="H45" s="700" t="s">
        <v>9346</v>
      </c>
      <c r="I45" s="491">
        <f>SUMIFS('Emb-Backup'!$K:$K,'Emb-Backup'!$B:$B,'Schedule 7'!$N45)/1000</f>
        <v>3.6999999999999998E-2</v>
      </c>
      <c r="J45" s="594" t="s">
        <v>10077</v>
      </c>
      <c r="K45" s="667">
        <v>45762</v>
      </c>
      <c r="L45" s="319" t="s">
        <v>1315</v>
      </c>
      <c r="M45" s="738">
        <v>5</v>
      </c>
      <c r="N45" s="503" t="s">
        <v>10078</v>
      </c>
    </row>
    <row r="46" spans="2:25" ht="15.6" x14ac:dyDescent="0.3">
      <c r="B46" s="145" t="s">
        <v>9989</v>
      </c>
      <c r="C46" s="150" t="s">
        <v>468</v>
      </c>
      <c r="D46" s="146" t="s">
        <v>267</v>
      </c>
      <c r="E46" s="147" t="s">
        <v>515</v>
      </c>
      <c r="F46" s="700">
        <v>9650</v>
      </c>
      <c r="G46" s="701">
        <v>10060</v>
      </c>
      <c r="H46" s="700" t="s">
        <v>9341</v>
      </c>
      <c r="I46" s="491">
        <f>SUMIFS('Emb-Backup'!$K:$K,'Emb-Backup'!$B:$B,'Schedule 7'!$N46)/1000</f>
        <v>0.41</v>
      </c>
      <c r="J46" s="302" t="s">
        <v>10079</v>
      </c>
      <c r="K46" s="667">
        <v>46070</v>
      </c>
      <c r="L46" s="319" t="s">
        <v>1315</v>
      </c>
      <c r="M46" s="738">
        <v>10</v>
      </c>
      <c r="N46" s="503" t="s">
        <v>10080</v>
      </c>
    </row>
    <row r="47" spans="2:25" ht="15.6" x14ac:dyDescent="0.3">
      <c r="B47" s="145" t="s">
        <v>9989</v>
      </c>
      <c r="C47" s="150" t="s">
        <v>468</v>
      </c>
      <c r="D47" s="146" t="s">
        <v>267</v>
      </c>
      <c r="E47" s="147" t="s">
        <v>515</v>
      </c>
      <c r="F47" s="700">
        <v>10000</v>
      </c>
      <c r="G47" s="701">
        <v>10060</v>
      </c>
      <c r="H47" s="700" t="s">
        <v>9341</v>
      </c>
      <c r="I47" s="491">
        <f>SUMIFS('Emb-Backup'!$K:$K,'Emb-Backup'!$B:$B,'Schedule 7'!$N47)/1000</f>
        <v>2.5714285714285714E-2</v>
      </c>
      <c r="J47" s="302" t="s">
        <v>10081</v>
      </c>
      <c r="K47" s="667">
        <v>46065</v>
      </c>
      <c r="L47" s="319" t="s">
        <v>1315</v>
      </c>
      <c r="M47" s="738">
        <v>5</v>
      </c>
      <c r="N47" s="503" t="s">
        <v>10082</v>
      </c>
    </row>
    <row r="48" spans="2:25" ht="15.6" x14ac:dyDescent="0.3">
      <c r="B48" s="145" t="s">
        <v>9989</v>
      </c>
      <c r="C48" s="150" t="s">
        <v>468</v>
      </c>
      <c r="D48" s="146" t="s">
        <v>267</v>
      </c>
      <c r="E48" s="147" t="s">
        <v>515</v>
      </c>
      <c r="F48" s="700">
        <v>10110</v>
      </c>
      <c r="G48" s="701">
        <v>10170</v>
      </c>
      <c r="H48" s="700" t="s">
        <v>9341</v>
      </c>
      <c r="I48" s="491">
        <f>SUMIFS('Emb-Backup'!$K:$K,'Emb-Backup'!$B:$B,'Schedule 7'!$N48)/1000</f>
        <v>0.12000000000000004</v>
      </c>
      <c r="J48" s="302" t="s">
        <v>10083</v>
      </c>
      <c r="K48" s="667">
        <v>46077</v>
      </c>
      <c r="L48" s="319" t="s">
        <v>1315</v>
      </c>
      <c r="M48" s="738">
        <v>17</v>
      </c>
      <c r="N48" s="503" t="s">
        <v>10084</v>
      </c>
    </row>
    <row r="49" spans="2:14" ht="15.6" x14ac:dyDescent="0.3">
      <c r="B49" s="145" t="s">
        <v>9989</v>
      </c>
      <c r="C49" s="150" t="s">
        <v>468</v>
      </c>
      <c r="D49" s="146" t="s">
        <v>267</v>
      </c>
      <c r="E49" s="147" t="s">
        <v>515</v>
      </c>
      <c r="F49" s="700">
        <v>10170</v>
      </c>
      <c r="G49" s="701">
        <v>10230</v>
      </c>
      <c r="H49" s="700" t="s">
        <v>9341</v>
      </c>
      <c r="I49" s="491">
        <f>SUMIFS('Emb-Backup'!$K:$K,'Emb-Backup'!$B:$B,'Schedule 7'!$N49)/1000</f>
        <v>2.4E-2</v>
      </c>
      <c r="J49" s="302" t="s">
        <v>10085</v>
      </c>
      <c r="K49" s="667">
        <v>46078</v>
      </c>
      <c r="L49" s="319" t="s">
        <v>1315</v>
      </c>
      <c r="M49" s="738">
        <v>4</v>
      </c>
      <c r="N49" s="503" t="s">
        <v>10086</v>
      </c>
    </row>
    <row r="50" spans="2:14" ht="15.6" x14ac:dyDescent="0.3">
      <c r="B50" s="145" t="s">
        <v>9989</v>
      </c>
      <c r="C50" s="150" t="s">
        <v>468</v>
      </c>
      <c r="D50" s="146" t="s">
        <v>267</v>
      </c>
      <c r="E50" s="147" t="s">
        <v>515</v>
      </c>
      <c r="F50" s="700">
        <v>10338</v>
      </c>
      <c r="G50" s="701">
        <v>10550</v>
      </c>
      <c r="H50" s="700" t="s">
        <v>9346</v>
      </c>
      <c r="I50" s="491">
        <f>SUMIFS('Emb-Backup'!$K:$K,'Emb-Backup'!$B:$B,'Schedule 7'!$N50)/1000</f>
        <v>2.3555555555555555E-2</v>
      </c>
      <c r="J50" s="302" t="s">
        <v>10087</v>
      </c>
      <c r="K50" s="667">
        <v>46030</v>
      </c>
      <c r="L50" s="319" t="s">
        <v>1315</v>
      </c>
      <c r="M50" s="738">
        <v>5</v>
      </c>
      <c r="N50" s="503" t="s">
        <v>10088</v>
      </c>
    </row>
    <row r="51" spans="2:14" ht="15.6" x14ac:dyDescent="0.3">
      <c r="B51" s="145" t="s">
        <v>9989</v>
      </c>
      <c r="C51" s="150" t="s">
        <v>468</v>
      </c>
      <c r="D51" s="146" t="s">
        <v>267</v>
      </c>
      <c r="E51" s="147" t="s">
        <v>515</v>
      </c>
      <c r="F51" s="700">
        <v>10338</v>
      </c>
      <c r="G51" s="701">
        <v>10550</v>
      </c>
      <c r="H51" s="700" t="s">
        <v>9367</v>
      </c>
      <c r="I51" s="491">
        <f>SUMIFS('Emb-Backup'!$K:$K,'Emb-Backup'!$B:$B,'Schedule 7'!$N51)/1000</f>
        <v>2.3555555555555555E-2</v>
      </c>
      <c r="J51" s="302" t="s">
        <v>10089</v>
      </c>
      <c r="K51" s="667">
        <v>46030</v>
      </c>
      <c r="L51" s="319" t="s">
        <v>1315</v>
      </c>
      <c r="M51" s="738">
        <v>5</v>
      </c>
      <c r="N51" s="503" t="s">
        <v>10090</v>
      </c>
    </row>
    <row r="52" spans="2:14" ht="15.6" x14ac:dyDescent="0.3">
      <c r="B52" s="145" t="s">
        <v>9989</v>
      </c>
      <c r="C52" s="150" t="s">
        <v>468</v>
      </c>
      <c r="D52" s="146" t="s">
        <v>267</v>
      </c>
      <c r="E52" s="147" t="s">
        <v>515</v>
      </c>
      <c r="F52" s="700">
        <v>10338</v>
      </c>
      <c r="G52" s="701">
        <v>10600</v>
      </c>
      <c r="H52" s="700" t="s">
        <v>9341</v>
      </c>
      <c r="I52" s="491">
        <f>SUMIFS('Emb-Backup'!$K:$K,'Emb-Backup'!$B:$B,'Schedule 7'!$N52)/1000</f>
        <v>0.37844444444444436</v>
      </c>
      <c r="J52" s="302" t="s">
        <v>10091</v>
      </c>
      <c r="K52" s="667">
        <v>46074</v>
      </c>
      <c r="L52" s="319" t="s">
        <v>1315</v>
      </c>
      <c r="M52" s="738">
        <v>18</v>
      </c>
      <c r="N52" s="503" t="s">
        <v>10092</v>
      </c>
    </row>
    <row r="53" spans="2:14" ht="15.6" x14ac:dyDescent="0.3">
      <c r="B53" s="145" t="s">
        <v>9989</v>
      </c>
      <c r="C53" s="150" t="s">
        <v>468</v>
      </c>
      <c r="D53" s="146" t="s">
        <v>267</v>
      </c>
      <c r="E53" s="147" t="s">
        <v>515</v>
      </c>
      <c r="F53" s="700">
        <v>10550</v>
      </c>
      <c r="G53" s="701">
        <v>10600</v>
      </c>
      <c r="H53" s="700" t="s">
        <v>9341</v>
      </c>
      <c r="I53" s="491">
        <f>SUMIFS('Emb-Backup'!$K:$K,'Emb-Backup'!$B:$B,'Schedule 7'!$N53)/1000</f>
        <v>2.777777777777778E-2</v>
      </c>
      <c r="J53" s="302" t="s">
        <v>10081</v>
      </c>
      <c r="K53" s="667">
        <v>46065</v>
      </c>
      <c r="L53" s="319" t="s">
        <v>1315</v>
      </c>
      <c r="M53" s="738">
        <v>5</v>
      </c>
      <c r="N53" s="503" t="s">
        <v>10093</v>
      </c>
    </row>
    <row r="54" spans="2:14" ht="15.6" x14ac:dyDescent="0.3">
      <c r="B54" s="145" t="s">
        <v>9989</v>
      </c>
      <c r="C54" s="150" t="s">
        <v>468</v>
      </c>
      <c r="D54" s="146" t="s">
        <v>267</v>
      </c>
      <c r="E54" s="147" t="s">
        <v>515</v>
      </c>
      <c r="F54" s="700">
        <v>11356</v>
      </c>
      <c r="G54" s="701">
        <v>11570</v>
      </c>
      <c r="H54" s="700" t="s">
        <v>9341</v>
      </c>
      <c r="I54" s="491">
        <f>SUMIFS('Emb-Backup'!$K:$K,'Emb-Backup'!$B:$B,'Schedule 7'!$N54)/1000</f>
        <v>0.42799999999999977</v>
      </c>
      <c r="J54" s="302" t="s">
        <v>10094</v>
      </c>
      <c r="K54" s="667">
        <v>46078</v>
      </c>
      <c r="L54" s="319" t="s">
        <v>1315</v>
      </c>
      <c r="M54" s="738">
        <v>15</v>
      </c>
      <c r="N54" s="503" t="s">
        <v>10095</v>
      </c>
    </row>
    <row r="55" spans="2:14" ht="15.6" x14ac:dyDescent="0.3">
      <c r="B55" s="145" t="s">
        <v>9989</v>
      </c>
      <c r="C55" s="150" t="s">
        <v>468</v>
      </c>
      <c r="D55" s="146" t="s">
        <v>267</v>
      </c>
      <c r="E55" s="147" t="s">
        <v>515</v>
      </c>
      <c r="F55" s="700">
        <v>11590</v>
      </c>
      <c r="G55" s="701">
        <v>11770</v>
      </c>
      <c r="H55" s="700" t="s">
        <v>9341</v>
      </c>
      <c r="I55" s="491">
        <f>SUMIFS('Emb-Backup'!$K:$K,'Emb-Backup'!$B:$B,'Schedule 7'!$N55)/1000</f>
        <v>0.36</v>
      </c>
      <c r="J55" s="302" t="s">
        <v>10096</v>
      </c>
      <c r="K55" s="667">
        <v>46071</v>
      </c>
      <c r="L55" s="319" t="s">
        <v>1315</v>
      </c>
      <c r="M55" s="738">
        <v>10</v>
      </c>
      <c r="N55" s="503" t="s">
        <v>10097</v>
      </c>
    </row>
    <row r="56" spans="2:14" ht="15.6" x14ac:dyDescent="0.3">
      <c r="B56" s="145"/>
      <c r="C56" s="150"/>
      <c r="D56" s="146"/>
      <c r="E56" s="147"/>
      <c r="F56" s="700"/>
      <c r="G56" s="701"/>
      <c r="H56" s="700"/>
      <c r="I56" s="491"/>
      <c r="J56" s="302"/>
      <c r="K56" s="667"/>
      <c r="L56" s="319"/>
      <c r="M56" s="738"/>
      <c r="N56" s="503"/>
    </row>
    <row r="57" spans="2:14" ht="15.6" x14ac:dyDescent="0.3">
      <c r="B57" s="352"/>
      <c r="C57" s="791"/>
      <c r="D57" s="792"/>
      <c r="E57" s="355"/>
      <c r="F57" s="793"/>
      <c r="G57" s="794" t="s">
        <v>771</v>
      </c>
      <c r="H57" s="354" t="s">
        <v>267</v>
      </c>
      <c r="I57" s="356">
        <f>ROUND(SUM(I9:I56),3)</f>
        <v>7.6020000000000003</v>
      </c>
      <c r="J57" s="1132"/>
      <c r="K57" s="358"/>
      <c r="L57" s="359"/>
      <c r="M57" s="739"/>
      <c r="N57" s="526"/>
    </row>
    <row r="58" spans="2:14" s="481" customFormat="1" ht="15.6" x14ac:dyDescent="0.3">
      <c r="B58" s="352"/>
      <c r="C58" s="791"/>
      <c r="D58" s="792"/>
      <c r="E58" s="355"/>
      <c r="F58" s="793"/>
      <c r="G58" s="794" t="s">
        <v>772</v>
      </c>
      <c r="H58" s="354" t="s">
        <v>267</v>
      </c>
      <c r="I58" s="356">
        <v>7.6020000000000003</v>
      </c>
      <c r="J58" s="357"/>
      <c r="K58" s="358"/>
      <c r="L58" s="359"/>
      <c r="M58" s="739"/>
      <c r="N58" s="526"/>
    </row>
    <row r="59" spans="2:14" ht="15.6" x14ac:dyDescent="0.3">
      <c r="B59" s="360"/>
      <c r="C59" s="791"/>
      <c r="D59" s="792"/>
      <c r="E59" s="355"/>
      <c r="F59" s="793"/>
      <c r="G59" s="794" t="s">
        <v>773</v>
      </c>
      <c r="H59" s="354" t="s">
        <v>267</v>
      </c>
      <c r="I59" s="364">
        <f>(I57-I58)</f>
        <v>0</v>
      </c>
      <c r="J59" s="365"/>
      <c r="K59" s="366"/>
      <c r="L59" s="367"/>
      <c r="M59" s="740"/>
      <c r="N59" s="527"/>
    </row>
    <row r="60" spans="2:14" ht="6.6" customHeight="1" x14ac:dyDescent="0.3">
      <c r="B60" s="338"/>
      <c r="C60" s="142"/>
      <c r="D60" s="143"/>
      <c r="E60" s="144"/>
      <c r="F60" s="345"/>
      <c r="G60" s="144"/>
      <c r="H60" s="345"/>
      <c r="I60" s="345"/>
      <c r="J60" s="144"/>
      <c r="K60" s="144"/>
      <c r="L60" s="515"/>
      <c r="M60" s="515"/>
      <c r="N60" s="524"/>
    </row>
    <row r="61" spans="2:14" ht="15.6" x14ac:dyDescent="0.3">
      <c r="B61" s="574">
        <v>706</v>
      </c>
      <c r="C61" s="575" t="s">
        <v>475</v>
      </c>
      <c r="D61" s="138"/>
      <c r="E61" s="139"/>
      <c r="F61" s="346"/>
      <c r="G61" s="139"/>
      <c r="H61" s="346"/>
      <c r="I61" s="346"/>
      <c r="J61" s="139"/>
      <c r="K61" s="139"/>
      <c r="L61" s="576"/>
      <c r="M61" s="576"/>
      <c r="N61" s="500"/>
    </row>
    <row r="62" spans="2:14" ht="46.8" x14ac:dyDescent="0.3">
      <c r="B62" s="476" t="s">
        <v>598</v>
      </c>
      <c r="C62" s="800" t="s">
        <v>476</v>
      </c>
      <c r="D62" s="677" t="s">
        <v>190</v>
      </c>
      <c r="E62" s="678" t="s">
        <v>515</v>
      </c>
      <c r="F62" s="1761">
        <v>11580</v>
      </c>
      <c r="G62" s="1762"/>
      <c r="H62" s="836" t="s">
        <v>9346</v>
      </c>
      <c r="I62" s="837">
        <v>0.5</v>
      </c>
      <c r="J62" s="681" t="s">
        <v>10098</v>
      </c>
      <c r="K62" s="838" t="s">
        <v>10099</v>
      </c>
      <c r="L62" s="839" t="s">
        <v>1302</v>
      </c>
      <c r="M62" s="840"/>
      <c r="N62" s="841" t="s">
        <v>10100</v>
      </c>
    </row>
    <row r="63" spans="2:14" ht="46.8" x14ac:dyDescent="0.3">
      <c r="B63" s="31" t="s">
        <v>598</v>
      </c>
      <c r="C63" s="801" t="s">
        <v>476</v>
      </c>
      <c r="D63" s="43" t="s">
        <v>190</v>
      </c>
      <c r="E63" s="126" t="s">
        <v>515</v>
      </c>
      <c r="F63" s="1759">
        <v>11580</v>
      </c>
      <c r="G63" s="1760"/>
      <c r="H63" s="842" t="s">
        <v>9367</v>
      </c>
      <c r="I63" s="504">
        <v>0.5</v>
      </c>
      <c r="J63" s="248" t="s">
        <v>10101</v>
      </c>
      <c r="K63" s="542" t="s">
        <v>10102</v>
      </c>
      <c r="L63" s="151" t="s">
        <v>97</v>
      </c>
      <c r="M63" s="843"/>
      <c r="N63" s="537" t="s">
        <v>10100</v>
      </c>
    </row>
    <row r="64" spans="2:14" ht="46.8" x14ac:dyDescent="0.3">
      <c r="B64" s="31" t="s">
        <v>598</v>
      </c>
      <c r="C64" s="801" t="s">
        <v>476</v>
      </c>
      <c r="D64" s="43" t="s">
        <v>190</v>
      </c>
      <c r="E64" s="126" t="s">
        <v>515</v>
      </c>
      <c r="F64" s="1759" t="s">
        <v>10103</v>
      </c>
      <c r="G64" s="1760"/>
      <c r="H64" s="842" t="s">
        <v>9346</v>
      </c>
      <c r="I64" s="504">
        <v>0.5</v>
      </c>
      <c r="J64" s="248" t="s">
        <v>10104</v>
      </c>
      <c r="K64" s="542" t="s">
        <v>10105</v>
      </c>
      <c r="L64" s="151" t="s">
        <v>937</v>
      </c>
      <c r="M64" s="843"/>
      <c r="N64" s="537" t="s">
        <v>10106</v>
      </c>
    </row>
    <row r="65" spans="2:25" ht="46.8" x14ac:dyDescent="0.3">
      <c r="B65" s="31" t="s">
        <v>598</v>
      </c>
      <c r="C65" s="801" t="s">
        <v>476</v>
      </c>
      <c r="D65" s="43" t="s">
        <v>190</v>
      </c>
      <c r="E65" s="126" t="s">
        <v>515</v>
      </c>
      <c r="F65" s="1759" t="s">
        <v>10103</v>
      </c>
      <c r="G65" s="1760"/>
      <c r="H65" s="842" t="s">
        <v>9367</v>
      </c>
      <c r="I65" s="504">
        <v>0.5</v>
      </c>
      <c r="J65" s="248" t="s">
        <v>10107</v>
      </c>
      <c r="K65" s="542" t="s">
        <v>10108</v>
      </c>
      <c r="L65" s="151" t="s">
        <v>937</v>
      </c>
      <c r="M65" s="843"/>
      <c r="N65" s="537" t="s">
        <v>10106</v>
      </c>
      <c r="P65" s="654" t="s">
        <v>10109</v>
      </c>
      <c r="Q65" s="654" t="s">
        <v>10110</v>
      </c>
      <c r="R65" s="654" t="s">
        <v>10111</v>
      </c>
      <c r="S65" s="654" t="s">
        <v>10112</v>
      </c>
      <c r="T65" s="654" t="s">
        <v>10113</v>
      </c>
      <c r="U65" s="654" t="s">
        <v>10114</v>
      </c>
    </row>
    <row r="66" spans="2:25" ht="46.8" x14ac:dyDescent="0.3">
      <c r="B66" s="31" t="s">
        <v>598</v>
      </c>
      <c r="C66" s="801" t="s">
        <v>476</v>
      </c>
      <c r="D66" s="43" t="s">
        <v>190</v>
      </c>
      <c r="E66" s="126" t="s">
        <v>510</v>
      </c>
      <c r="F66" s="1759" t="s">
        <v>10115</v>
      </c>
      <c r="G66" s="1760"/>
      <c r="H66" s="842" t="s">
        <v>9346</v>
      </c>
      <c r="I66" s="504">
        <v>0.5</v>
      </c>
      <c r="J66" s="248" t="s">
        <v>10116</v>
      </c>
      <c r="K66" s="542" t="s">
        <v>10117</v>
      </c>
      <c r="L66" s="151" t="s">
        <v>1026</v>
      </c>
      <c r="M66" s="738"/>
      <c r="N66" s="503" t="s">
        <v>10118</v>
      </c>
      <c r="P66" s="265">
        <v>1</v>
      </c>
      <c r="Q66" s="652" t="s">
        <v>468</v>
      </c>
      <c r="R66" s="652" t="s">
        <v>10119</v>
      </c>
      <c r="S66" s="371">
        <v>753187.89</v>
      </c>
      <c r="T66" s="371">
        <v>50361.03</v>
      </c>
      <c r="U66" s="653">
        <v>803548.92</v>
      </c>
      <c r="V66" s="598">
        <v>225000</v>
      </c>
      <c r="W66" s="561">
        <f>V66/('Schedule 7'!U66+'Schedule 7'!U69)</f>
        <v>0.20626967400150625</v>
      </c>
      <c r="X66" s="656">
        <f>ROUND(W66*'[1]Detailed breakup'!J476,0)</f>
        <v>3</v>
      </c>
      <c r="Y66" s="598">
        <f>W66*'[1]Detailed breakup'!K476</f>
        <v>64019803.208830059</v>
      </c>
    </row>
    <row r="67" spans="2:25" ht="46.8" x14ac:dyDescent="0.3">
      <c r="B67" s="31" t="s">
        <v>598</v>
      </c>
      <c r="C67" s="801" t="s">
        <v>476</v>
      </c>
      <c r="D67" s="43" t="s">
        <v>190</v>
      </c>
      <c r="E67" s="126" t="s">
        <v>510</v>
      </c>
      <c r="F67" s="1759" t="s">
        <v>10115</v>
      </c>
      <c r="G67" s="1760"/>
      <c r="H67" s="700" t="s">
        <v>9367</v>
      </c>
      <c r="I67" s="504">
        <v>0.5</v>
      </c>
      <c r="J67" s="248" t="s">
        <v>10120</v>
      </c>
      <c r="K67" s="542" t="s">
        <v>10121</v>
      </c>
      <c r="L67" s="151" t="s">
        <v>1026</v>
      </c>
      <c r="M67" s="738"/>
      <c r="N67" s="503" t="s">
        <v>10118</v>
      </c>
      <c r="P67" s="265">
        <v>2</v>
      </c>
      <c r="Q67" s="652" t="s">
        <v>10122</v>
      </c>
      <c r="R67" s="652" t="s">
        <v>10119</v>
      </c>
      <c r="S67" s="371">
        <v>125913.15</v>
      </c>
      <c r="T67" s="371">
        <v>12113.1</v>
      </c>
      <c r="U67" s="653">
        <v>138026.25</v>
      </c>
      <c r="V67" s="97"/>
      <c r="W67" s="97"/>
      <c r="X67" s="97"/>
      <c r="Y67" s="97"/>
    </row>
    <row r="68" spans="2:25" ht="46.8" x14ac:dyDescent="0.3">
      <c r="B68" s="31" t="s">
        <v>598</v>
      </c>
      <c r="C68" s="801" t="s">
        <v>476</v>
      </c>
      <c r="D68" s="43" t="s">
        <v>190</v>
      </c>
      <c r="E68" s="126" t="s">
        <v>515</v>
      </c>
      <c r="F68" s="1759" t="s">
        <v>10123</v>
      </c>
      <c r="G68" s="1760"/>
      <c r="H68" s="842" t="s">
        <v>9346</v>
      </c>
      <c r="I68" s="504">
        <v>0.5</v>
      </c>
      <c r="J68" s="248" t="s">
        <v>10124</v>
      </c>
      <c r="K68" s="542" t="s">
        <v>10125</v>
      </c>
      <c r="L68" s="151" t="s">
        <v>1417</v>
      </c>
      <c r="M68" s="843"/>
      <c r="N68" s="537" t="s">
        <v>1648</v>
      </c>
      <c r="P68" s="265"/>
      <c r="Q68" s="652" t="s">
        <v>10126</v>
      </c>
      <c r="R68" s="652"/>
      <c r="S68" s="371"/>
      <c r="T68" s="371"/>
      <c r="U68" s="653"/>
      <c r="V68" s="97"/>
      <c r="W68" s="97"/>
      <c r="X68" s="97"/>
      <c r="Y68" s="97"/>
    </row>
    <row r="69" spans="2:25" ht="46.8" x14ac:dyDescent="0.3">
      <c r="B69" s="31" t="s">
        <v>598</v>
      </c>
      <c r="C69" s="801" t="s">
        <v>476</v>
      </c>
      <c r="D69" s="43" t="s">
        <v>190</v>
      </c>
      <c r="E69" s="126" t="s">
        <v>515</v>
      </c>
      <c r="F69" s="1759" t="s">
        <v>10123</v>
      </c>
      <c r="G69" s="1760"/>
      <c r="H69" s="700" t="s">
        <v>9367</v>
      </c>
      <c r="I69" s="491">
        <v>0.5</v>
      </c>
      <c r="J69" s="248" t="s">
        <v>10127</v>
      </c>
      <c r="K69" s="542" t="s">
        <v>10128</v>
      </c>
      <c r="L69" s="151" t="s">
        <v>1417</v>
      </c>
      <c r="M69" s="738"/>
      <c r="N69" s="537" t="s">
        <v>1648</v>
      </c>
      <c r="P69" s="265">
        <v>3</v>
      </c>
      <c r="Q69" s="652" t="s">
        <v>10129</v>
      </c>
      <c r="R69" s="652" t="s">
        <v>10119</v>
      </c>
      <c r="S69" s="371">
        <v>287256.12</v>
      </c>
      <c r="T69" s="371"/>
      <c r="U69" s="653">
        <v>287256.12</v>
      </c>
      <c r="V69" s="394">
        <f>'Schedule 7'!U69+'Schedule 7'!U66</f>
        <v>1090805.04</v>
      </c>
      <c r="W69" s="655">
        <f>'[1]Detailed breakup'!J476</f>
        <v>14.5032</v>
      </c>
      <c r="X69" s="394"/>
      <c r="Y69" s="501"/>
    </row>
    <row r="70" spans="2:25" ht="46.8" x14ac:dyDescent="0.3">
      <c r="B70" s="31" t="s">
        <v>598</v>
      </c>
      <c r="C70" s="801" t="s">
        <v>476</v>
      </c>
      <c r="D70" s="43" t="s">
        <v>190</v>
      </c>
      <c r="E70" s="126" t="s">
        <v>515</v>
      </c>
      <c r="F70" s="1759" t="s">
        <v>10130</v>
      </c>
      <c r="G70" s="1760"/>
      <c r="H70" s="700" t="s">
        <v>9346</v>
      </c>
      <c r="I70" s="491">
        <v>0.5</v>
      </c>
      <c r="J70" s="248" t="s">
        <v>10131</v>
      </c>
      <c r="K70" s="667" t="s">
        <v>10132</v>
      </c>
      <c r="L70" s="151" t="s">
        <v>1417</v>
      </c>
      <c r="M70" s="738"/>
      <c r="N70" s="503" t="s">
        <v>10133</v>
      </c>
      <c r="P70" s="22"/>
      <c r="Q70" s="22"/>
      <c r="R70" s="22"/>
      <c r="S70" s="22"/>
      <c r="T70" s="22"/>
      <c r="U70" s="22"/>
      <c r="V70" s="58"/>
      <c r="W70" s="58"/>
      <c r="X70" s="58"/>
      <c r="Y70" s="58"/>
    </row>
    <row r="71" spans="2:25" ht="46.8" x14ac:dyDescent="0.3">
      <c r="B71" s="31" t="s">
        <v>598</v>
      </c>
      <c r="C71" s="801" t="s">
        <v>476</v>
      </c>
      <c r="D71" s="43" t="s">
        <v>190</v>
      </c>
      <c r="E71" s="126" t="s">
        <v>515</v>
      </c>
      <c r="F71" s="1759" t="s">
        <v>10130</v>
      </c>
      <c r="G71" s="1760"/>
      <c r="H71" s="700" t="s">
        <v>9367</v>
      </c>
      <c r="I71" s="491">
        <v>0.5</v>
      </c>
      <c r="J71" s="248" t="s">
        <v>10134</v>
      </c>
      <c r="K71" s="667" t="s">
        <v>10135</v>
      </c>
      <c r="L71" s="151" t="s">
        <v>1315</v>
      </c>
      <c r="M71" s="738"/>
      <c r="N71" s="503" t="s">
        <v>10133</v>
      </c>
      <c r="P71" s="22"/>
      <c r="Q71" s="22"/>
      <c r="R71" s="22"/>
      <c r="S71" s="541">
        <f>SUM(S66:S70)</f>
        <v>1166357.1600000001</v>
      </c>
      <c r="T71" s="541">
        <f>SUM(T66:T70)</f>
        <v>62474.13</v>
      </c>
      <c r="U71" s="541">
        <f>SUM(U66:U70)</f>
        <v>1228831.29</v>
      </c>
      <c r="V71" s="58"/>
      <c r="W71" s="58"/>
      <c r="X71" s="58"/>
      <c r="Y71" s="58"/>
    </row>
    <row r="72" spans="2:25" ht="62.4" x14ac:dyDescent="0.3">
      <c r="B72" s="31" t="s">
        <v>598</v>
      </c>
      <c r="C72" s="801" t="s">
        <v>476</v>
      </c>
      <c r="D72" s="43" t="s">
        <v>190</v>
      </c>
      <c r="E72" s="126" t="s">
        <v>510</v>
      </c>
      <c r="F72" s="1759" t="s">
        <v>10136</v>
      </c>
      <c r="G72" s="1760"/>
      <c r="H72" s="700" t="s">
        <v>9346</v>
      </c>
      <c r="I72" s="491">
        <v>0.5</v>
      </c>
      <c r="J72" s="248" t="s">
        <v>10137</v>
      </c>
      <c r="K72" s="667" t="s">
        <v>10138</v>
      </c>
      <c r="L72" s="151" t="s">
        <v>1315</v>
      </c>
      <c r="M72" s="738"/>
      <c r="N72" s="503" t="s">
        <v>10139</v>
      </c>
    </row>
    <row r="73" spans="2:25" ht="46.8" x14ac:dyDescent="0.3">
      <c r="B73" s="31" t="s">
        <v>598</v>
      </c>
      <c r="C73" s="801" t="s">
        <v>476</v>
      </c>
      <c r="D73" s="43" t="s">
        <v>190</v>
      </c>
      <c r="E73" s="147" t="s">
        <v>510</v>
      </c>
      <c r="F73" s="1759" t="s">
        <v>10140</v>
      </c>
      <c r="G73" s="1760"/>
      <c r="H73" s="700" t="s">
        <v>9346</v>
      </c>
      <c r="I73" s="491">
        <v>0.5</v>
      </c>
      <c r="J73" s="248" t="s">
        <v>10141</v>
      </c>
      <c r="K73" s="667" t="s">
        <v>10142</v>
      </c>
      <c r="L73" s="151" t="s">
        <v>1315</v>
      </c>
      <c r="M73" s="738"/>
      <c r="N73" s="503" t="s">
        <v>600</v>
      </c>
    </row>
    <row r="74" spans="2:25" ht="46.8" x14ac:dyDescent="0.3">
      <c r="B74" s="589" t="s">
        <v>598</v>
      </c>
      <c r="C74" s="1134" t="s">
        <v>476</v>
      </c>
      <c r="D74" s="41" t="s">
        <v>190</v>
      </c>
      <c r="E74" s="489" t="s">
        <v>510</v>
      </c>
      <c r="F74" s="1759" t="s">
        <v>10143</v>
      </c>
      <c r="G74" s="1760"/>
      <c r="H74" s="700" t="s">
        <v>9367</v>
      </c>
      <c r="I74" s="491">
        <v>0.5</v>
      </c>
      <c r="J74" s="587" t="s">
        <v>10144</v>
      </c>
      <c r="K74" s="1049" t="s">
        <v>10145</v>
      </c>
      <c r="L74" s="588" t="s">
        <v>1315</v>
      </c>
      <c r="M74" s="1135"/>
      <c r="N74" s="680" t="s">
        <v>10146</v>
      </c>
    </row>
    <row r="75" spans="2:25" ht="46.8" x14ac:dyDescent="0.3">
      <c r="B75" s="589" t="s">
        <v>598</v>
      </c>
      <c r="C75" s="1134" t="s">
        <v>476</v>
      </c>
      <c r="D75" s="41" t="s">
        <v>190</v>
      </c>
      <c r="E75" s="489" t="s">
        <v>510</v>
      </c>
      <c r="F75" s="1759" t="s">
        <v>10143</v>
      </c>
      <c r="G75" s="1760"/>
      <c r="H75" s="700" t="s">
        <v>9346</v>
      </c>
      <c r="I75" s="491">
        <v>0.5</v>
      </c>
      <c r="J75" s="587" t="s">
        <v>10147</v>
      </c>
      <c r="K75" s="1049" t="s">
        <v>10148</v>
      </c>
      <c r="L75" s="319" t="s">
        <v>946</v>
      </c>
      <c r="M75" s="1135"/>
      <c r="N75" s="680" t="s">
        <v>10146</v>
      </c>
    </row>
    <row r="76" spans="2:25" ht="46.8" x14ac:dyDescent="0.3">
      <c r="B76" s="589" t="s">
        <v>598</v>
      </c>
      <c r="C76" s="1134" t="s">
        <v>476</v>
      </c>
      <c r="D76" s="41" t="s">
        <v>190</v>
      </c>
      <c r="E76" s="489" t="s">
        <v>510</v>
      </c>
      <c r="F76" s="1759" t="s">
        <v>10149</v>
      </c>
      <c r="G76" s="1760"/>
      <c r="H76" s="700" t="s">
        <v>9346</v>
      </c>
      <c r="I76" s="491">
        <v>0.5</v>
      </c>
      <c r="J76" s="587" t="s">
        <v>10150</v>
      </c>
      <c r="K76" s="667" t="s">
        <v>10151</v>
      </c>
      <c r="L76" s="319" t="s">
        <v>946</v>
      </c>
      <c r="M76" s="1135"/>
      <c r="N76" s="680" t="s">
        <v>1650</v>
      </c>
    </row>
    <row r="77" spans="2:25" ht="46.8" x14ac:dyDescent="0.3">
      <c r="B77" s="589" t="s">
        <v>598</v>
      </c>
      <c r="C77" s="1134" t="s">
        <v>476</v>
      </c>
      <c r="D77" s="41" t="s">
        <v>190</v>
      </c>
      <c r="E77" s="489" t="s">
        <v>510</v>
      </c>
      <c r="F77" s="1759" t="s">
        <v>10149</v>
      </c>
      <c r="G77" s="1760"/>
      <c r="H77" s="700" t="s">
        <v>9367</v>
      </c>
      <c r="I77" s="491">
        <v>0.5</v>
      </c>
      <c r="J77" s="587" t="s">
        <v>10152</v>
      </c>
      <c r="K77" s="667" t="s">
        <v>10153</v>
      </c>
      <c r="L77" s="319" t="s">
        <v>946</v>
      </c>
      <c r="M77" s="1135"/>
      <c r="N77" s="680" t="s">
        <v>1650</v>
      </c>
    </row>
    <row r="78" spans="2:25" ht="46.8" x14ac:dyDescent="0.3">
      <c r="B78" s="589" t="s">
        <v>598</v>
      </c>
      <c r="C78" s="1134" t="s">
        <v>476</v>
      </c>
      <c r="D78" s="41" t="s">
        <v>190</v>
      </c>
      <c r="E78" s="489" t="s">
        <v>510</v>
      </c>
      <c r="F78" s="1759" t="s">
        <v>10154</v>
      </c>
      <c r="G78" s="1760"/>
      <c r="H78" s="700" t="s">
        <v>9346</v>
      </c>
      <c r="I78" s="491">
        <v>0.5</v>
      </c>
      <c r="J78" s="587" t="s">
        <v>10155</v>
      </c>
      <c r="K78" s="667" t="s">
        <v>10156</v>
      </c>
      <c r="L78" s="319" t="s">
        <v>1053</v>
      </c>
      <c r="M78" s="1135"/>
      <c r="N78" s="680" t="s">
        <v>10157</v>
      </c>
    </row>
    <row r="79" spans="2:25" ht="46.8" x14ac:dyDescent="0.3">
      <c r="B79" s="31" t="s">
        <v>598</v>
      </c>
      <c r="C79" s="801" t="s">
        <v>476</v>
      </c>
      <c r="D79" s="43" t="s">
        <v>190</v>
      </c>
      <c r="E79" s="147" t="s">
        <v>510</v>
      </c>
      <c r="F79" s="1759" t="s">
        <v>10140</v>
      </c>
      <c r="G79" s="1760"/>
      <c r="H79" s="700" t="s">
        <v>9367</v>
      </c>
      <c r="I79" s="1520">
        <v>0.5</v>
      </c>
      <c r="J79" s="587" t="s">
        <v>10158</v>
      </c>
      <c r="K79" s="1049" t="s">
        <v>10159</v>
      </c>
      <c r="L79" s="1521" t="s">
        <v>119</v>
      </c>
      <c r="M79" s="738"/>
      <c r="N79" s="503" t="s">
        <v>600</v>
      </c>
    </row>
    <row r="80" spans="2:25" ht="15.6" x14ac:dyDescent="0.3">
      <c r="B80" s="145"/>
      <c r="C80" s="801"/>
      <c r="D80" s="146"/>
      <c r="E80" s="147"/>
      <c r="F80" s="1759"/>
      <c r="G80" s="1760"/>
      <c r="H80" s="700"/>
      <c r="I80" s="491"/>
      <c r="J80" s="302"/>
      <c r="K80" s="667"/>
      <c r="L80" s="319"/>
      <c r="M80" s="738"/>
      <c r="N80" s="503"/>
    </row>
    <row r="81" spans="2:14" ht="15.6" x14ac:dyDescent="0.3">
      <c r="B81" s="145"/>
      <c r="C81" s="791"/>
      <c r="D81" s="792"/>
      <c r="E81" s="355"/>
      <c r="F81" s="793"/>
      <c r="G81" s="794" t="s">
        <v>771</v>
      </c>
      <c r="H81" s="802" t="s">
        <v>190</v>
      </c>
      <c r="I81" s="803">
        <f>SUM(I62:I80)</f>
        <v>9</v>
      </c>
      <c r="J81" s="302"/>
      <c r="K81" s="667"/>
      <c r="L81" s="319"/>
      <c r="M81" s="738"/>
      <c r="N81" s="503"/>
    </row>
    <row r="82" spans="2:14" ht="15.6" x14ac:dyDescent="0.3">
      <c r="B82" s="145"/>
      <c r="C82" s="791"/>
      <c r="D82" s="792"/>
      <c r="E82" s="355"/>
      <c r="F82" s="793"/>
      <c r="G82" s="794" t="s">
        <v>772</v>
      </c>
      <c r="H82" s="802" t="s">
        <v>190</v>
      </c>
      <c r="I82" s="803">
        <v>8.5</v>
      </c>
      <c r="J82" s="302"/>
      <c r="K82" s="667"/>
      <c r="L82" s="319"/>
      <c r="M82" s="738"/>
      <c r="N82" s="503"/>
    </row>
    <row r="83" spans="2:14" ht="15.6" x14ac:dyDescent="0.3">
      <c r="B83" s="805"/>
      <c r="C83" s="806"/>
      <c r="D83" s="807"/>
      <c r="E83" s="363"/>
      <c r="F83" s="808"/>
      <c r="G83" s="809" t="s">
        <v>773</v>
      </c>
      <c r="H83" s="804" t="s">
        <v>190</v>
      </c>
      <c r="I83" s="810">
        <f>I81-I82</f>
        <v>0.5</v>
      </c>
      <c r="J83" s="811"/>
      <c r="K83" s="812"/>
      <c r="L83" s="813"/>
      <c r="M83" s="814"/>
      <c r="N83" s="815"/>
    </row>
    <row r="84" spans="2:14" ht="6.6" customHeight="1" x14ac:dyDescent="0.3">
      <c r="B84" s="338"/>
      <c r="C84" s="142"/>
      <c r="D84" s="143"/>
      <c r="E84" s="144"/>
      <c r="F84" s="345"/>
      <c r="G84" s="144"/>
      <c r="H84" s="345"/>
      <c r="I84" s="345"/>
      <c r="J84" s="144"/>
      <c r="K84" s="144"/>
      <c r="L84" s="515"/>
      <c r="M84" s="515"/>
      <c r="N84" s="524"/>
    </row>
    <row r="85" spans="2:14" x14ac:dyDescent="0.3">
      <c r="F85" s="132"/>
      <c r="H85" s="132"/>
      <c r="I85" s="132"/>
    </row>
    <row r="86" spans="2:14" x14ac:dyDescent="0.3">
      <c r="F86" s="132"/>
      <c r="H86" s="132"/>
      <c r="I86" s="132"/>
    </row>
    <row r="87" spans="2:14" x14ac:dyDescent="0.3">
      <c r="F87" s="132"/>
      <c r="H87" s="132"/>
    </row>
    <row r="88" spans="2:14" x14ac:dyDescent="0.3">
      <c r="F88" s="132"/>
      <c r="H88" s="132"/>
    </row>
    <row r="89" spans="2:14" x14ac:dyDescent="0.3">
      <c r="F89" s="132"/>
      <c r="H89" s="132"/>
    </row>
    <row r="90" spans="2:14" x14ac:dyDescent="0.3">
      <c r="F90" s="132"/>
      <c r="H90" s="132"/>
    </row>
    <row r="91" spans="2:14" x14ac:dyDescent="0.3">
      <c r="F91" s="132"/>
      <c r="H91" s="132"/>
    </row>
    <row r="92" spans="2:14" x14ac:dyDescent="0.3">
      <c r="F92" s="132"/>
      <c r="H92" s="132"/>
    </row>
    <row r="93" spans="2:14" x14ac:dyDescent="0.3">
      <c r="F93" s="132"/>
      <c r="H93" s="132"/>
    </row>
    <row r="94" spans="2:14" x14ac:dyDescent="0.3">
      <c r="F94" s="132"/>
      <c r="H94" s="132"/>
      <c r="J94"/>
    </row>
    <row r="95" spans="2:14" x14ac:dyDescent="0.3">
      <c r="F95" s="132"/>
      <c r="H95" s="132"/>
      <c r="J95"/>
    </row>
    <row r="96" spans="2:14" x14ac:dyDescent="0.3">
      <c r="F96" s="132"/>
      <c r="H96" s="132"/>
      <c r="J96"/>
    </row>
    <row r="97" spans="6:10" x14ac:dyDescent="0.3">
      <c r="F97" s="132"/>
      <c r="H97" s="132"/>
      <c r="J97"/>
    </row>
    <row r="98" spans="6:10" x14ac:dyDescent="0.3">
      <c r="J98"/>
    </row>
    <row r="99" spans="6:10" x14ac:dyDescent="0.3">
      <c r="J99"/>
    </row>
    <row r="100" spans="6:10" x14ac:dyDescent="0.3">
      <c r="J100"/>
    </row>
    <row r="101" spans="6:10" x14ac:dyDescent="0.3">
      <c r="J101"/>
    </row>
    <row r="102" spans="6:10" x14ac:dyDescent="0.3">
      <c r="J102"/>
    </row>
    <row r="103" spans="6:10" x14ac:dyDescent="0.3">
      <c r="J103"/>
    </row>
    <row r="104" spans="6:10" x14ac:dyDescent="0.3">
      <c r="J104"/>
    </row>
    <row r="105" spans="6:10" x14ac:dyDescent="0.3">
      <c r="J105"/>
    </row>
    <row r="106" spans="6:10" x14ac:dyDescent="0.3">
      <c r="J106"/>
    </row>
    <row r="107" spans="6:10" x14ac:dyDescent="0.3">
      <c r="J107"/>
    </row>
    <row r="108" spans="6:10" x14ac:dyDescent="0.3">
      <c r="J108"/>
    </row>
    <row r="109" spans="6:10" x14ac:dyDescent="0.3">
      <c r="J109"/>
    </row>
    <row r="110" spans="6:10" x14ac:dyDescent="0.3">
      <c r="J110"/>
    </row>
    <row r="111" spans="6:10" x14ac:dyDescent="0.3">
      <c r="J111"/>
    </row>
    <row r="112" spans="6:10" x14ac:dyDescent="0.3">
      <c r="J112"/>
    </row>
    <row r="113" spans="10:10" x14ac:dyDescent="0.3">
      <c r="J113"/>
    </row>
    <row r="114" spans="10:10" x14ac:dyDescent="0.3">
      <c r="J114"/>
    </row>
    <row r="115" spans="10:10" x14ac:dyDescent="0.3">
      <c r="J115"/>
    </row>
    <row r="116" spans="10:10" x14ac:dyDescent="0.3">
      <c r="J116"/>
    </row>
    <row r="117" spans="10:10" x14ac:dyDescent="0.3">
      <c r="J117"/>
    </row>
    <row r="118" spans="10:10" x14ac:dyDescent="0.3">
      <c r="J118"/>
    </row>
    <row r="119" spans="10:10" x14ac:dyDescent="0.3">
      <c r="J119"/>
    </row>
    <row r="120" spans="10:10" x14ac:dyDescent="0.3">
      <c r="J120"/>
    </row>
    <row r="121" spans="10:10" x14ac:dyDescent="0.3">
      <c r="J121"/>
    </row>
    <row r="122" spans="10:10" x14ac:dyDescent="0.3">
      <c r="J122"/>
    </row>
    <row r="123" spans="10:10" x14ac:dyDescent="0.3">
      <c r="J123"/>
    </row>
    <row r="124" spans="10:10" x14ac:dyDescent="0.3">
      <c r="J124"/>
    </row>
    <row r="125" spans="10:10" x14ac:dyDescent="0.3">
      <c r="J125"/>
    </row>
    <row r="126" spans="10:10" x14ac:dyDescent="0.3">
      <c r="J126"/>
    </row>
    <row r="127" spans="10:10" x14ac:dyDescent="0.3">
      <c r="J127"/>
    </row>
    <row r="128" spans="10:10" x14ac:dyDescent="0.3">
      <c r="J128"/>
    </row>
    <row r="129" spans="10:10" x14ac:dyDescent="0.3">
      <c r="J129"/>
    </row>
    <row r="130" spans="10:10" x14ac:dyDescent="0.3">
      <c r="J130"/>
    </row>
    <row r="131" spans="10:10" x14ac:dyDescent="0.3">
      <c r="J131"/>
    </row>
    <row r="132" spans="10:10" x14ac:dyDescent="0.3">
      <c r="J132"/>
    </row>
    <row r="133" spans="10:10" x14ac:dyDescent="0.3">
      <c r="J133"/>
    </row>
    <row r="134" spans="10:10" x14ac:dyDescent="0.3">
      <c r="J134"/>
    </row>
    <row r="135" spans="10:10" x14ac:dyDescent="0.3">
      <c r="J135"/>
    </row>
    <row r="136" spans="10:10" x14ac:dyDescent="0.3">
      <c r="J136"/>
    </row>
    <row r="137" spans="10:10" x14ac:dyDescent="0.3">
      <c r="J137"/>
    </row>
    <row r="138" spans="10:10" x14ac:dyDescent="0.3">
      <c r="J138"/>
    </row>
    <row r="139" spans="10:10" x14ac:dyDescent="0.3">
      <c r="J139"/>
    </row>
    <row r="140" spans="10:10" x14ac:dyDescent="0.3">
      <c r="J140"/>
    </row>
    <row r="141" spans="10:10" x14ac:dyDescent="0.3">
      <c r="J141"/>
    </row>
    <row r="142" spans="10:10" x14ac:dyDescent="0.3">
      <c r="J142"/>
    </row>
    <row r="143" spans="10:10" x14ac:dyDescent="0.3">
      <c r="J143"/>
    </row>
  </sheetData>
  <autoFilter ref="B6:Y77" xr:uid="{866176BE-48AC-4B93-8DD3-131B02212FE2}"/>
  <mergeCells count="19">
    <mergeCell ref="F77:G77"/>
    <mergeCell ref="F74:G74"/>
    <mergeCell ref="F62:G62"/>
    <mergeCell ref="F80:G80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5:G75"/>
    <mergeCell ref="F78:G78"/>
    <mergeCell ref="F76:G76"/>
    <mergeCell ref="F79:G79"/>
  </mergeCells>
  <phoneticPr fontId="23" type="noConversion"/>
  <conditionalFormatting sqref="D7:D84">
    <cfRule type="cellIs" dxfId="11" priority="1" operator="lessThan">
      <formula>0</formula>
    </cfRule>
  </conditionalFormatting>
  <conditionalFormatting sqref="H57:H59">
    <cfRule type="cellIs" dxfId="10" priority="4" operator="lessThan">
      <formula>0</formula>
    </cfRule>
  </conditionalFormatting>
  <printOptions horizontalCentered="1"/>
  <pageMargins left="0.39370078740157483" right="0.39370078740157483" top="0.55118110236220474" bottom="0.94488188976377963" header="0.31496062992125984" footer="0.31496062992125984"/>
  <pageSetup paperSize="9" scale="50" fitToHeight="0" orientation="portrait" r:id="rId1"/>
  <rowBreaks count="1" manualBreakCount="1">
    <brk id="51" min="1" max="13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E7EB-CFF3-475B-9728-6A43F0ACFCC6}">
  <sheetPr codeName="Sheet23"/>
  <dimension ref="A1:W279"/>
  <sheetViews>
    <sheetView view="pageBreakPreview" zoomScale="70" zoomScaleNormal="80" zoomScaleSheetLayoutView="70" workbookViewId="0">
      <pane ySplit="2" topLeftCell="A217" activePane="bottomLeft" state="frozen"/>
      <selection pane="bottomLeft" activeCell="R253" sqref="R253"/>
    </sheetView>
  </sheetViews>
  <sheetFormatPr defaultColWidth="8.88671875" defaultRowHeight="15.6" x14ac:dyDescent="0.3"/>
  <cols>
    <col min="1" max="1" width="7" style="602" customWidth="1"/>
    <col min="2" max="2" width="12.109375" style="602" customWidth="1"/>
    <col min="3" max="3" width="14" style="602" customWidth="1"/>
    <col min="4" max="7" width="10.109375" style="602" customWidth="1"/>
    <col min="8" max="10" width="10.109375" style="718" customWidth="1"/>
    <col min="11" max="11" width="13.5546875" style="602" customWidth="1"/>
    <col min="12" max="12" width="22.5546875" style="602" customWidth="1"/>
    <col min="13" max="13" width="11.5546875" style="602" customWidth="1"/>
    <col min="14" max="14" width="10.109375" style="602" customWidth="1"/>
    <col min="15" max="15" width="3.109375" style="602" customWidth="1"/>
    <col min="16" max="16" width="11.5546875" style="602" bestFit="1" customWidth="1"/>
    <col min="17" max="18" width="10.5546875" style="602" customWidth="1"/>
    <col min="19" max="19" width="8.88671875" style="602"/>
    <col min="20" max="20" width="9.44140625" style="602" bestFit="1" customWidth="1"/>
    <col min="21" max="22" width="8.88671875" style="602"/>
    <col min="23" max="23" width="14.44140625" style="602" bestFit="1" customWidth="1"/>
    <col min="24" max="16384" width="8.88671875" style="602"/>
  </cols>
  <sheetData>
    <row r="1" spans="1:20" ht="18" x14ac:dyDescent="0.3">
      <c r="A1" s="599" t="s">
        <v>10160</v>
      </c>
      <c r="B1" s="600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</row>
    <row r="2" spans="1:20" s="619" customFormat="1" ht="31.2" x14ac:dyDescent="0.3">
      <c r="A2" s="703" t="s">
        <v>23</v>
      </c>
      <c r="B2" s="703" t="s">
        <v>10161</v>
      </c>
      <c r="C2" s="703" t="s">
        <v>10162</v>
      </c>
      <c r="D2" s="703" t="s">
        <v>9984</v>
      </c>
      <c r="E2" s="703" t="s">
        <v>9985</v>
      </c>
      <c r="F2" s="703" t="s">
        <v>9986</v>
      </c>
      <c r="G2" s="703" t="s">
        <v>10163</v>
      </c>
      <c r="H2" s="703" t="s">
        <v>10164</v>
      </c>
      <c r="I2" s="703" t="s">
        <v>10165</v>
      </c>
      <c r="J2" s="703" t="s">
        <v>10166</v>
      </c>
      <c r="K2" s="703" t="s">
        <v>10167</v>
      </c>
      <c r="L2" s="703" t="s">
        <v>10168</v>
      </c>
      <c r="M2" s="703" t="s">
        <v>504</v>
      </c>
      <c r="N2" s="703" t="s">
        <v>764</v>
      </c>
      <c r="P2" s="704" t="s">
        <v>10161</v>
      </c>
      <c r="Q2" s="704" t="s">
        <v>9984</v>
      </c>
      <c r="R2" s="704" t="s">
        <v>9985</v>
      </c>
      <c r="S2" s="704" t="s">
        <v>9986</v>
      </c>
      <c r="T2" s="704" t="s">
        <v>10169</v>
      </c>
    </row>
    <row r="3" spans="1:20" x14ac:dyDescent="0.3">
      <c r="A3" s="705">
        <v>1</v>
      </c>
      <c r="B3" s="705" t="s">
        <v>9993</v>
      </c>
      <c r="C3" s="705" t="s">
        <v>468</v>
      </c>
      <c r="D3" s="706">
        <v>1800</v>
      </c>
      <c r="E3" s="706">
        <v>2000</v>
      </c>
      <c r="F3" s="705" t="s">
        <v>9341</v>
      </c>
      <c r="G3" s="705">
        <f t="shared" ref="G3:G33" si="0">IF(F3="BHS",(ABS(D3-E3)*2),(ABS(D3-E3)))</f>
        <v>400</v>
      </c>
      <c r="H3" s="705">
        <v>10</v>
      </c>
      <c r="I3" s="705">
        <v>1</v>
      </c>
      <c r="J3" s="707">
        <f t="shared" ref="J3:J33" si="1">IFERROR(IF(I3&gt;0,1/H3,0),0)</f>
        <v>0.1</v>
      </c>
      <c r="K3" s="708">
        <f t="shared" ref="K3:K33" si="2">J3*G3</f>
        <v>40</v>
      </c>
      <c r="L3" s="705" t="s">
        <v>10170</v>
      </c>
      <c r="M3" s="709">
        <v>45674</v>
      </c>
      <c r="N3" s="705" t="s">
        <v>10171</v>
      </c>
      <c r="P3" s="705" t="s">
        <v>9993</v>
      </c>
      <c r="Q3" s="706">
        <f>VLOOKUP($P3,$B:$F,3,0)</f>
        <v>1800</v>
      </c>
      <c r="R3" s="706">
        <f>VLOOKUP($P3,$B:$F,4,0)</f>
        <v>2000</v>
      </c>
      <c r="S3" s="706" t="str">
        <f>VLOOKUP($P3,$B:$F,5,0)</f>
        <v>BHS</v>
      </c>
      <c r="T3" s="708">
        <f>SUMIFS($K:$K,$B:$B,$P3)/1000</f>
        <v>0.4</v>
      </c>
    </row>
    <row r="4" spans="1:20" x14ac:dyDescent="0.3">
      <c r="A4" s="705">
        <v>2</v>
      </c>
      <c r="B4" s="705" t="s">
        <v>9993</v>
      </c>
      <c r="C4" s="705" t="s">
        <v>468</v>
      </c>
      <c r="D4" s="706">
        <v>1800</v>
      </c>
      <c r="E4" s="706">
        <v>2000</v>
      </c>
      <c r="F4" s="705" t="s">
        <v>9341</v>
      </c>
      <c r="G4" s="705">
        <f t="shared" si="0"/>
        <v>400</v>
      </c>
      <c r="H4" s="705">
        <v>10</v>
      </c>
      <c r="I4" s="705">
        <v>2</v>
      </c>
      <c r="J4" s="707">
        <f t="shared" si="1"/>
        <v>0.1</v>
      </c>
      <c r="K4" s="708">
        <f t="shared" si="2"/>
        <v>40</v>
      </c>
      <c r="L4" s="705" t="s">
        <v>10172</v>
      </c>
      <c r="M4" s="709">
        <v>45693</v>
      </c>
      <c r="N4" s="705" t="s">
        <v>10171</v>
      </c>
      <c r="P4" s="705" t="s">
        <v>9997</v>
      </c>
      <c r="Q4" s="706">
        <f>VLOOKUP($P4,$B:$F,3,0)</f>
        <v>3250</v>
      </c>
      <c r="R4" s="706">
        <f>VLOOKUP($P4,$B:$F,4,0)</f>
        <v>4210</v>
      </c>
      <c r="S4" s="706" t="str">
        <f>VLOOKUP($P4,$B:$F,5,0)</f>
        <v>BHS</v>
      </c>
      <c r="T4" s="708">
        <f>SUMIFS($K:$K,$B:$B,$P4)/1000</f>
        <v>1.92</v>
      </c>
    </row>
    <row r="5" spans="1:20" x14ac:dyDescent="0.3">
      <c r="A5" s="705">
        <v>3</v>
      </c>
      <c r="B5" s="705" t="s">
        <v>9993</v>
      </c>
      <c r="C5" s="705" t="s">
        <v>468</v>
      </c>
      <c r="D5" s="706">
        <v>1800</v>
      </c>
      <c r="E5" s="706">
        <v>2000</v>
      </c>
      <c r="F5" s="705" t="s">
        <v>9341</v>
      </c>
      <c r="G5" s="705">
        <f t="shared" si="0"/>
        <v>400</v>
      </c>
      <c r="H5" s="705">
        <v>10</v>
      </c>
      <c r="I5" s="705">
        <v>3</v>
      </c>
      <c r="J5" s="707">
        <f t="shared" si="1"/>
        <v>0.1</v>
      </c>
      <c r="K5" s="708">
        <f t="shared" si="2"/>
        <v>40</v>
      </c>
      <c r="L5" s="705" t="s">
        <v>10173</v>
      </c>
      <c r="M5" s="709">
        <v>45694</v>
      </c>
      <c r="N5" s="705" t="s">
        <v>10171</v>
      </c>
      <c r="P5" s="705" t="s">
        <v>10000</v>
      </c>
      <c r="Q5" s="706">
        <f>VLOOKUP($P5,$B:$F,3,0)</f>
        <v>4830</v>
      </c>
      <c r="R5" s="706">
        <f>VLOOKUP($P5,$B:$F,4,0)</f>
        <v>5170</v>
      </c>
      <c r="S5" s="706" t="str">
        <f>VLOOKUP($P5,$B:$F,5,0)</f>
        <v>BHS</v>
      </c>
      <c r="T5" s="710">
        <f>SUMIFS($K:$K,$B:$B,$P5)/1000</f>
        <v>0.68000000000000016</v>
      </c>
    </row>
    <row r="6" spans="1:20" x14ac:dyDescent="0.3">
      <c r="A6" s="705">
        <v>4</v>
      </c>
      <c r="B6" s="705" t="s">
        <v>9993</v>
      </c>
      <c r="C6" s="705" t="s">
        <v>468</v>
      </c>
      <c r="D6" s="706">
        <v>1800</v>
      </c>
      <c r="E6" s="706">
        <v>2000</v>
      </c>
      <c r="F6" s="705" t="s">
        <v>9341</v>
      </c>
      <c r="G6" s="705">
        <f t="shared" si="0"/>
        <v>400</v>
      </c>
      <c r="H6" s="705">
        <v>10</v>
      </c>
      <c r="I6" s="705">
        <v>4</v>
      </c>
      <c r="J6" s="707">
        <f t="shared" si="1"/>
        <v>0.1</v>
      </c>
      <c r="K6" s="708">
        <f t="shared" si="2"/>
        <v>40</v>
      </c>
      <c r="L6" s="705" t="s">
        <v>10174</v>
      </c>
      <c r="M6" s="709">
        <v>45694</v>
      </c>
      <c r="N6" s="705" t="s">
        <v>10171</v>
      </c>
      <c r="P6" s="711"/>
      <c r="Q6" s="711"/>
      <c r="R6" s="711"/>
      <c r="S6" s="711"/>
      <c r="T6" s="712">
        <f>SUM(T3:T5)</f>
        <v>3</v>
      </c>
    </row>
    <row r="7" spans="1:20" x14ac:dyDescent="0.3">
      <c r="A7" s="705">
        <v>5</v>
      </c>
      <c r="B7" s="705" t="s">
        <v>9993</v>
      </c>
      <c r="C7" s="705" t="s">
        <v>468</v>
      </c>
      <c r="D7" s="706">
        <v>1800</v>
      </c>
      <c r="E7" s="706">
        <v>2000</v>
      </c>
      <c r="F7" s="705" t="s">
        <v>9341</v>
      </c>
      <c r="G7" s="705">
        <f t="shared" si="0"/>
        <v>400</v>
      </c>
      <c r="H7" s="705">
        <v>10</v>
      </c>
      <c r="I7" s="705">
        <v>5</v>
      </c>
      <c r="J7" s="707">
        <f t="shared" si="1"/>
        <v>0.1</v>
      </c>
      <c r="K7" s="708">
        <f t="shared" si="2"/>
        <v>40</v>
      </c>
      <c r="L7" s="705" t="s">
        <v>10175</v>
      </c>
      <c r="M7" s="709">
        <v>45694</v>
      </c>
      <c r="N7" s="705" t="s">
        <v>10171</v>
      </c>
      <c r="P7" s="711"/>
      <c r="Q7" s="711"/>
      <c r="R7" s="711"/>
      <c r="S7" s="711"/>
      <c r="T7" s="711"/>
    </row>
    <row r="8" spans="1:20" x14ac:dyDescent="0.3">
      <c r="A8" s="705">
        <v>6</v>
      </c>
      <c r="B8" s="705" t="s">
        <v>9993</v>
      </c>
      <c r="C8" s="705" t="s">
        <v>468</v>
      </c>
      <c r="D8" s="706">
        <v>1800</v>
      </c>
      <c r="E8" s="706">
        <v>2000</v>
      </c>
      <c r="F8" s="705" t="s">
        <v>9341</v>
      </c>
      <c r="G8" s="705">
        <f t="shared" si="0"/>
        <v>400</v>
      </c>
      <c r="H8" s="705">
        <v>10</v>
      </c>
      <c r="I8" s="705">
        <v>6</v>
      </c>
      <c r="J8" s="707">
        <f t="shared" si="1"/>
        <v>0.1</v>
      </c>
      <c r="K8" s="708">
        <f t="shared" si="2"/>
        <v>40</v>
      </c>
      <c r="L8" s="705" t="s">
        <v>10176</v>
      </c>
      <c r="M8" s="709">
        <v>45695</v>
      </c>
      <c r="N8" s="705" t="s">
        <v>10171</v>
      </c>
      <c r="P8" s="711"/>
      <c r="Q8" s="711"/>
      <c r="R8" s="711"/>
      <c r="S8" s="711"/>
      <c r="T8" s="711"/>
    </row>
    <row r="9" spans="1:20" x14ac:dyDescent="0.3">
      <c r="A9" s="705">
        <v>7</v>
      </c>
      <c r="B9" s="705" t="s">
        <v>9993</v>
      </c>
      <c r="C9" s="705" t="s">
        <v>468</v>
      </c>
      <c r="D9" s="706">
        <v>1800</v>
      </c>
      <c r="E9" s="706">
        <v>2000</v>
      </c>
      <c r="F9" s="705" t="s">
        <v>9341</v>
      </c>
      <c r="G9" s="705">
        <f t="shared" si="0"/>
        <v>400</v>
      </c>
      <c r="H9" s="705">
        <v>10</v>
      </c>
      <c r="I9" s="705">
        <v>7</v>
      </c>
      <c r="J9" s="707">
        <f t="shared" si="1"/>
        <v>0.1</v>
      </c>
      <c r="K9" s="708">
        <f t="shared" si="2"/>
        <v>40</v>
      </c>
      <c r="L9" s="705" t="s">
        <v>10177</v>
      </c>
      <c r="M9" s="709">
        <v>45695</v>
      </c>
      <c r="N9" s="705" t="s">
        <v>10171</v>
      </c>
      <c r="P9" s="711"/>
      <c r="Q9" s="711"/>
      <c r="R9" s="711"/>
      <c r="S9" s="711"/>
      <c r="T9" s="711"/>
    </row>
    <row r="10" spans="1:20" x14ac:dyDescent="0.3">
      <c r="A10" s="705">
        <v>8</v>
      </c>
      <c r="B10" s="705" t="s">
        <v>9993</v>
      </c>
      <c r="C10" s="705" t="s">
        <v>468</v>
      </c>
      <c r="D10" s="706">
        <v>1800</v>
      </c>
      <c r="E10" s="706">
        <v>2000</v>
      </c>
      <c r="F10" s="705" t="s">
        <v>9341</v>
      </c>
      <c r="G10" s="705">
        <f t="shared" si="0"/>
        <v>400</v>
      </c>
      <c r="H10" s="705">
        <v>10</v>
      </c>
      <c r="I10" s="705">
        <v>8</v>
      </c>
      <c r="J10" s="707">
        <f t="shared" si="1"/>
        <v>0.1</v>
      </c>
      <c r="K10" s="708">
        <f t="shared" si="2"/>
        <v>40</v>
      </c>
      <c r="L10" s="705" t="s">
        <v>10178</v>
      </c>
      <c r="M10" s="709">
        <v>45695</v>
      </c>
      <c r="N10" s="705" t="s">
        <v>10171</v>
      </c>
      <c r="P10" s="711"/>
      <c r="Q10" s="711"/>
      <c r="R10" s="711"/>
      <c r="S10" s="711"/>
      <c r="T10" s="711"/>
    </row>
    <row r="11" spans="1:20" x14ac:dyDescent="0.3">
      <c r="A11" s="705">
        <v>9</v>
      </c>
      <c r="B11" s="705" t="s">
        <v>9993</v>
      </c>
      <c r="C11" s="705" t="s">
        <v>468</v>
      </c>
      <c r="D11" s="706">
        <v>1800</v>
      </c>
      <c r="E11" s="706">
        <v>2000</v>
      </c>
      <c r="F11" s="705" t="s">
        <v>9341</v>
      </c>
      <c r="G11" s="705">
        <f t="shared" si="0"/>
        <v>400</v>
      </c>
      <c r="H11" s="705">
        <v>10</v>
      </c>
      <c r="I11" s="705">
        <v>9</v>
      </c>
      <c r="J11" s="707">
        <f t="shared" si="1"/>
        <v>0.1</v>
      </c>
      <c r="K11" s="708">
        <f t="shared" si="2"/>
        <v>40</v>
      </c>
      <c r="L11" s="705" t="s">
        <v>10179</v>
      </c>
      <c r="M11" s="709">
        <v>45698</v>
      </c>
      <c r="N11" s="705" t="s">
        <v>10171</v>
      </c>
      <c r="P11" s="711"/>
      <c r="Q11" s="711"/>
      <c r="R11" s="711"/>
      <c r="S11" s="711"/>
      <c r="T11" s="711"/>
    </row>
    <row r="12" spans="1:20" x14ac:dyDescent="0.3">
      <c r="A12" s="705">
        <v>10</v>
      </c>
      <c r="B12" s="705" t="s">
        <v>9993</v>
      </c>
      <c r="C12" s="705" t="s">
        <v>468</v>
      </c>
      <c r="D12" s="706">
        <v>1800</v>
      </c>
      <c r="E12" s="706">
        <v>2000</v>
      </c>
      <c r="F12" s="705" t="s">
        <v>9341</v>
      </c>
      <c r="G12" s="705">
        <f t="shared" si="0"/>
        <v>400</v>
      </c>
      <c r="H12" s="705">
        <v>10</v>
      </c>
      <c r="I12" s="705">
        <v>10</v>
      </c>
      <c r="J12" s="707">
        <f t="shared" si="1"/>
        <v>0.1</v>
      </c>
      <c r="K12" s="708">
        <f t="shared" si="2"/>
        <v>40</v>
      </c>
      <c r="L12" s="705" t="s">
        <v>10180</v>
      </c>
      <c r="M12" s="709">
        <v>45712</v>
      </c>
      <c r="N12" s="705" t="s">
        <v>10171</v>
      </c>
      <c r="P12" s="711"/>
      <c r="Q12" s="711"/>
      <c r="R12" s="711"/>
      <c r="S12" s="711"/>
      <c r="T12" s="711"/>
    </row>
    <row r="13" spans="1:20" x14ac:dyDescent="0.3">
      <c r="A13" s="705">
        <v>11</v>
      </c>
      <c r="B13" s="705" t="s">
        <v>9997</v>
      </c>
      <c r="C13" s="705" t="s">
        <v>468</v>
      </c>
      <c r="D13" s="706">
        <v>3250</v>
      </c>
      <c r="E13" s="706">
        <v>4210</v>
      </c>
      <c r="F13" s="705" t="s">
        <v>9341</v>
      </c>
      <c r="G13" s="705">
        <f t="shared" si="0"/>
        <v>1920</v>
      </c>
      <c r="H13" s="705">
        <v>10</v>
      </c>
      <c r="I13" s="705">
        <v>1</v>
      </c>
      <c r="J13" s="707">
        <f t="shared" si="1"/>
        <v>0.1</v>
      </c>
      <c r="K13" s="708">
        <f t="shared" si="2"/>
        <v>192</v>
      </c>
      <c r="L13" s="705" t="s">
        <v>10181</v>
      </c>
      <c r="M13" s="709">
        <v>45666</v>
      </c>
      <c r="N13" s="705" t="s">
        <v>10171</v>
      </c>
      <c r="P13" s="711"/>
      <c r="Q13" s="711"/>
      <c r="R13" s="711"/>
      <c r="S13" s="711"/>
      <c r="T13" s="711"/>
    </row>
    <row r="14" spans="1:20" x14ac:dyDescent="0.3">
      <c r="A14" s="705">
        <v>12</v>
      </c>
      <c r="B14" s="705" t="s">
        <v>9997</v>
      </c>
      <c r="C14" s="705" t="s">
        <v>468</v>
      </c>
      <c r="D14" s="706">
        <v>3250</v>
      </c>
      <c r="E14" s="706">
        <v>4210</v>
      </c>
      <c r="F14" s="705" t="s">
        <v>9341</v>
      </c>
      <c r="G14" s="705">
        <f t="shared" si="0"/>
        <v>1920</v>
      </c>
      <c r="H14" s="705">
        <v>10</v>
      </c>
      <c r="I14" s="705">
        <v>2</v>
      </c>
      <c r="J14" s="707">
        <f t="shared" si="1"/>
        <v>0.1</v>
      </c>
      <c r="K14" s="708">
        <f t="shared" si="2"/>
        <v>192</v>
      </c>
      <c r="L14" s="705" t="s">
        <v>10182</v>
      </c>
      <c r="M14" s="709">
        <v>45675</v>
      </c>
      <c r="N14" s="705" t="s">
        <v>10171</v>
      </c>
      <c r="P14" s="711"/>
      <c r="Q14" s="711"/>
      <c r="R14" s="711"/>
      <c r="S14" s="711"/>
      <c r="T14" s="711"/>
    </row>
    <row r="15" spans="1:20" x14ac:dyDescent="0.3">
      <c r="A15" s="705">
        <v>13</v>
      </c>
      <c r="B15" s="705" t="s">
        <v>9997</v>
      </c>
      <c r="C15" s="705" t="s">
        <v>468</v>
      </c>
      <c r="D15" s="706">
        <v>3250</v>
      </c>
      <c r="E15" s="706">
        <v>4210</v>
      </c>
      <c r="F15" s="705" t="s">
        <v>9341</v>
      </c>
      <c r="G15" s="705">
        <f t="shared" si="0"/>
        <v>1920</v>
      </c>
      <c r="H15" s="705">
        <v>10</v>
      </c>
      <c r="I15" s="705">
        <v>3</v>
      </c>
      <c r="J15" s="707">
        <f t="shared" si="1"/>
        <v>0.1</v>
      </c>
      <c r="K15" s="708">
        <f t="shared" si="2"/>
        <v>192</v>
      </c>
      <c r="L15" s="705" t="s">
        <v>10183</v>
      </c>
      <c r="M15" s="709">
        <v>45693</v>
      </c>
      <c r="N15" s="705" t="s">
        <v>10171</v>
      </c>
      <c r="P15" s="711"/>
      <c r="Q15" s="711"/>
      <c r="R15" s="711"/>
      <c r="S15" s="711"/>
      <c r="T15" s="711"/>
    </row>
    <row r="16" spans="1:20" x14ac:dyDescent="0.3">
      <c r="A16" s="705">
        <v>14</v>
      </c>
      <c r="B16" s="705" t="s">
        <v>9997</v>
      </c>
      <c r="C16" s="705" t="s">
        <v>468</v>
      </c>
      <c r="D16" s="706">
        <v>3250</v>
      </c>
      <c r="E16" s="706">
        <v>4210</v>
      </c>
      <c r="F16" s="705" t="s">
        <v>9341</v>
      </c>
      <c r="G16" s="705">
        <f t="shared" si="0"/>
        <v>1920</v>
      </c>
      <c r="H16" s="705">
        <v>10</v>
      </c>
      <c r="I16" s="705">
        <v>4</v>
      </c>
      <c r="J16" s="707">
        <f t="shared" si="1"/>
        <v>0.1</v>
      </c>
      <c r="K16" s="708">
        <f t="shared" si="2"/>
        <v>192</v>
      </c>
      <c r="L16" s="705" t="s">
        <v>10184</v>
      </c>
      <c r="M16" s="709">
        <v>45694</v>
      </c>
      <c r="N16" s="705" t="s">
        <v>10171</v>
      </c>
      <c r="P16" s="711"/>
      <c r="Q16" s="711"/>
      <c r="R16" s="711"/>
      <c r="S16" s="711"/>
      <c r="T16" s="711"/>
    </row>
    <row r="17" spans="1:20" x14ac:dyDescent="0.3">
      <c r="A17" s="705">
        <v>15</v>
      </c>
      <c r="B17" s="705" t="s">
        <v>9997</v>
      </c>
      <c r="C17" s="705" t="s">
        <v>468</v>
      </c>
      <c r="D17" s="706">
        <v>3250</v>
      </c>
      <c r="E17" s="706">
        <v>4210</v>
      </c>
      <c r="F17" s="705" t="s">
        <v>9341</v>
      </c>
      <c r="G17" s="705">
        <f t="shared" si="0"/>
        <v>1920</v>
      </c>
      <c r="H17" s="705">
        <v>10</v>
      </c>
      <c r="I17" s="705">
        <v>5</v>
      </c>
      <c r="J17" s="707">
        <f t="shared" si="1"/>
        <v>0.1</v>
      </c>
      <c r="K17" s="708">
        <f t="shared" si="2"/>
        <v>192</v>
      </c>
      <c r="L17" s="705" t="s">
        <v>10185</v>
      </c>
      <c r="M17" s="709">
        <v>45694</v>
      </c>
      <c r="N17" s="705" t="s">
        <v>10171</v>
      </c>
      <c r="P17" s="711"/>
      <c r="Q17" s="711"/>
      <c r="R17" s="711"/>
      <c r="S17" s="711"/>
      <c r="T17" s="711"/>
    </row>
    <row r="18" spans="1:20" x14ac:dyDescent="0.3">
      <c r="A18" s="705">
        <v>16</v>
      </c>
      <c r="B18" s="705" t="s">
        <v>9997</v>
      </c>
      <c r="C18" s="705" t="s">
        <v>468</v>
      </c>
      <c r="D18" s="706">
        <v>3250</v>
      </c>
      <c r="E18" s="706">
        <v>4210</v>
      </c>
      <c r="F18" s="705" t="s">
        <v>9341</v>
      </c>
      <c r="G18" s="705">
        <f t="shared" si="0"/>
        <v>1920</v>
      </c>
      <c r="H18" s="705">
        <v>10</v>
      </c>
      <c r="I18" s="705">
        <v>6</v>
      </c>
      <c r="J18" s="707">
        <f t="shared" si="1"/>
        <v>0.1</v>
      </c>
      <c r="K18" s="708">
        <f t="shared" si="2"/>
        <v>192</v>
      </c>
      <c r="L18" s="705" t="s">
        <v>10186</v>
      </c>
      <c r="M18" s="709">
        <v>45695</v>
      </c>
      <c r="N18" s="705" t="s">
        <v>10171</v>
      </c>
      <c r="P18" s="711"/>
      <c r="Q18" s="711"/>
      <c r="R18" s="711"/>
      <c r="S18" s="711"/>
      <c r="T18" s="711"/>
    </row>
    <row r="19" spans="1:20" x14ac:dyDescent="0.3">
      <c r="A19" s="705">
        <v>17</v>
      </c>
      <c r="B19" s="705" t="s">
        <v>9997</v>
      </c>
      <c r="C19" s="705" t="s">
        <v>468</v>
      </c>
      <c r="D19" s="706">
        <v>3250</v>
      </c>
      <c r="E19" s="706">
        <v>4210</v>
      </c>
      <c r="F19" s="705" t="s">
        <v>9341</v>
      </c>
      <c r="G19" s="705">
        <f t="shared" si="0"/>
        <v>1920</v>
      </c>
      <c r="H19" s="705">
        <v>10</v>
      </c>
      <c r="I19" s="705">
        <v>7</v>
      </c>
      <c r="J19" s="707">
        <f t="shared" si="1"/>
        <v>0.1</v>
      </c>
      <c r="K19" s="708">
        <f t="shared" si="2"/>
        <v>192</v>
      </c>
      <c r="L19" s="705" t="s">
        <v>10187</v>
      </c>
      <c r="M19" s="709">
        <v>45695</v>
      </c>
      <c r="N19" s="705" t="s">
        <v>10171</v>
      </c>
      <c r="P19" s="711"/>
      <c r="Q19" s="711"/>
      <c r="R19" s="711"/>
      <c r="S19" s="711"/>
      <c r="T19" s="711"/>
    </row>
    <row r="20" spans="1:20" x14ac:dyDescent="0.3">
      <c r="A20" s="705">
        <v>18</v>
      </c>
      <c r="B20" s="705" t="s">
        <v>9997</v>
      </c>
      <c r="C20" s="705" t="s">
        <v>468</v>
      </c>
      <c r="D20" s="706">
        <v>3250</v>
      </c>
      <c r="E20" s="706">
        <v>4210</v>
      </c>
      <c r="F20" s="705" t="s">
        <v>9341</v>
      </c>
      <c r="G20" s="705">
        <f t="shared" si="0"/>
        <v>1920</v>
      </c>
      <c r="H20" s="705">
        <v>10</v>
      </c>
      <c r="I20" s="705">
        <v>8</v>
      </c>
      <c r="J20" s="707">
        <f t="shared" si="1"/>
        <v>0.1</v>
      </c>
      <c r="K20" s="708">
        <f t="shared" si="2"/>
        <v>192</v>
      </c>
      <c r="L20" s="705" t="s">
        <v>10188</v>
      </c>
      <c r="M20" s="709">
        <v>45695</v>
      </c>
      <c r="N20" s="705" t="s">
        <v>10171</v>
      </c>
      <c r="P20" s="711"/>
      <c r="Q20" s="711"/>
      <c r="R20" s="711"/>
      <c r="S20" s="711"/>
      <c r="T20" s="711"/>
    </row>
    <row r="21" spans="1:20" x14ac:dyDescent="0.3">
      <c r="A21" s="705">
        <v>19</v>
      </c>
      <c r="B21" s="705" t="s">
        <v>9997</v>
      </c>
      <c r="C21" s="705" t="s">
        <v>468</v>
      </c>
      <c r="D21" s="706">
        <v>3250</v>
      </c>
      <c r="E21" s="706">
        <v>4210</v>
      </c>
      <c r="F21" s="705" t="s">
        <v>9341</v>
      </c>
      <c r="G21" s="705">
        <f t="shared" si="0"/>
        <v>1920</v>
      </c>
      <c r="H21" s="705">
        <v>10</v>
      </c>
      <c r="I21" s="705">
        <v>9</v>
      </c>
      <c r="J21" s="707">
        <f t="shared" si="1"/>
        <v>0.1</v>
      </c>
      <c r="K21" s="708">
        <f t="shared" si="2"/>
        <v>192</v>
      </c>
      <c r="L21" s="705" t="s">
        <v>10189</v>
      </c>
      <c r="M21" s="709">
        <v>45696</v>
      </c>
      <c r="N21" s="705" t="s">
        <v>10171</v>
      </c>
      <c r="P21" s="711"/>
      <c r="Q21" s="711"/>
      <c r="R21" s="711"/>
      <c r="S21" s="711"/>
      <c r="T21" s="711"/>
    </row>
    <row r="22" spans="1:20" x14ac:dyDescent="0.3">
      <c r="A22" s="705">
        <v>20</v>
      </c>
      <c r="B22" s="705" t="s">
        <v>9997</v>
      </c>
      <c r="C22" s="705" t="s">
        <v>468</v>
      </c>
      <c r="D22" s="706">
        <v>3250</v>
      </c>
      <c r="E22" s="706">
        <v>4210</v>
      </c>
      <c r="F22" s="705" t="s">
        <v>9341</v>
      </c>
      <c r="G22" s="705">
        <f t="shared" si="0"/>
        <v>1920</v>
      </c>
      <c r="H22" s="705">
        <v>10</v>
      </c>
      <c r="I22" s="705">
        <v>10</v>
      </c>
      <c r="J22" s="707">
        <f t="shared" si="1"/>
        <v>0.1</v>
      </c>
      <c r="K22" s="708">
        <f t="shared" si="2"/>
        <v>192</v>
      </c>
      <c r="L22" s="705" t="s">
        <v>10190</v>
      </c>
      <c r="M22" s="709">
        <v>45712</v>
      </c>
      <c r="N22" s="705" t="s">
        <v>10171</v>
      </c>
      <c r="P22" s="711"/>
      <c r="Q22" s="711"/>
      <c r="R22" s="711"/>
      <c r="S22" s="711"/>
      <c r="T22" s="711"/>
    </row>
    <row r="23" spans="1:20" x14ac:dyDescent="0.3">
      <c r="A23" s="705">
        <v>21</v>
      </c>
      <c r="B23" s="705" t="s">
        <v>10000</v>
      </c>
      <c r="C23" s="705" t="s">
        <v>468</v>
      </c>
      <c r="D23" s="706">
        <v>4830</v>
      </c>
      <c r="E23" s="706">
        <v>5170</v>
      </c>
      <c r="F23" s="705" t="s">
        <v>9341</v>
      </c>
      <c r="G23" s="705">
        <f t="shared" si="0"/>
        <v>680</v>
      </c>
      <c r="H23" s="705">
        <v>11</v>
      </c>
      <c r="I23" s="705">
        <v>1</v>
      </c>
      <c r="J23" s="707">
        <f t="shared" si="1"/>
        <v>9.0909090909090912E-2</v>
      </c>
      <c r="K23" s="708">
        <f t="shared" si="2"/>
        <v>61.81818181818182</v>
      </c>
      <c r="L23" s="705" t="s">
        <v>10191</v>
      </c>
      <c r="M23" s="709">
        <v>45691</v>
      </c>
      <c r="N23" s="705" t="s">
        <v>10171</v>
      </c>
      <c r="P23" s="711"/>
      <c r="Q23" s="711"/>
      <c r="R23" s="711"/>
      <c r="S23" s="711"/>
      <c r="T23" s="711"/>
    </row>
    <row r="24" spans="1:20" x14ac:dyDescent="0.3">
      <c r="A24" s="705">
        <v>22</v>
      </c>
      <c r="B24" s="705" t="s">
        <v>10000</v>
      </c>
      <c r="C24" s="705" t="s">
        <v>468</v>
      </c>
      <c r="D24" s="706">
        <v>4830</v>
      </c>
      <c r="E24" s="706">
        <v>5170</v>
      </c>
      <c r="F24" s="705" t="s">
        <v>9341</v>
      </c>
      <c r="G24" s="705">
        <f t="shared" si="0"/>
        <v>680</v>
      </c>
      <c r="H24" s="705">
        <v>11</v>
      </c>
      <c r="I24" s="705">
        <v>2</v>
      </c>
      <c r="J24" s="707">
        <f t="shared" si="1"/>
        <v>9.0909090909090912E-2</v>
      </c>
      <c r="K24" s="708">
        <f t="shared" si="2"/>
        <v>61.81818181818182</v>
      </c>
      <c r="L24" s="705" t="s">
        <v>10192</v>
      </c>
      <c r="M24" s="709">
        <v>45693</v>
      </c>
      <c r="N24" s="705" t="s">
        <v>10171</v>
      </c>
      <c r="P24" s="711"/>
      <c r="Q24" s="711"/>
      <c r="R24" s="711"/>
      <c r="S24" s="711"/>
      <c r="T24" s="711"/>
    </row>
    <row r="25" spans="1:20" x14ac:dyDescent="0.3">
      <c r="A25" s="705">
        <v>23</v>
      </c>
      <c r="B25" s="705" t="s">
        <v>10000</v>
      </c>
      <c r="C25" s="705" t="s">
        <v>468</v>
      </c>
      <c r="D25" s="706">
        <v>4830</v>
      </c>
      <c r="E25" s="706">
        <v>5170</v>
      </c>
      <c r="F25" s="705" t="s">
        <v>9341</v>
      </c>
      <c r="G25" s="705">
        <f t="shared" si="0"/>
        <v>680</v>
      </c>
      <c r="H25" s="705">
        <v>11</v>
      </c>
      <c r="I25" s="705">
        <v>3</v>
      </c>
      <c r="J25" s="707">
        <f t="shared" si="1"/>
        <v>9.0909090909090912E-2</v>
      </c>
      <c r="K25" s="708">
        <f t="shared" si="2"/>
        <v>61.81818181818182</v>
      </c>
      <c r="L25" s="705" t="s">
        <v>10193</v>
      </c>
      <c r="M25" s="709">
        <v>45694</v>
      </c>
      <c r="N25" s="705" t="s">
        <v>10171</v>
      </c>
      <c r="P25" s="711"/>
      <c r="Q25" s="711"/>
      <c r="R25" s="711"/>
      <c r="S25" s="711"/>
      <c r="T25" s="711"/>
    </row>
    <row r="26" spans="1:20" x14ac:dyDescent="0.3">
      <c r="A26" s="705">
        <v>24</v>
      </c>
      <c r="B26" s="705" t="s">
        <v>10000</v>
      </c>
      <c r="C26" s="705" t="s">
        <v>468</v>
      </c>
      <c r="D26" s="706">
        <v>4830</v>
      </c>
      <c r="E26" s="706">
        <v>5170</v>
      </c>
      <c r="F26" s="705" t="s">
        <v>9341</v>
      </c>
      <c r="G26" s="705">
        <f t="shared" si="0"/>
        <v>680</v>
      </c>
      <c r="H26" s="705">
        <v>11</v>
      </c>
      <c r="I26" s="705">
        <v>4</v>
      </c>
      <c r="J26" s="707">
        <f t="shared" si="1"/>
        <v>9.0909090909090912E-2</v>
      </c>
      <c r="K26" s="708">
        <f t="shared" si="2"/>
        <v>61.81818181818182</v>
      </c>
      <c r="L26" s="705" t="s">
        <v>10194</v>
      </c>
      <c r="M26" s="709">
        <v>45694</v>
      </c>
      <c r="N26" s="705" t="s">
        <v>10171</v>
      </c>
      <c r="P26" s="711"/>
      <c r="Q26" s="711"/>
      <c r="R26" s="711"/>
      <c r="S26" s="711"/>
      <c r="T26" s="711"/>
    </row>
    <row r="27" spans="1:20" x14ac:dyDescent="0.3">
      <c r="A27" s="705">
        <v>25</v>
      </c>
      <c r="B27" s="705" t="s">
        <v>10000</v>
      </c>
      <c r="C27" s="705" t="s">
        <v>468</v>
      </c>
      <c r="D27" s="706">
        <v>4830</v>
      </c>
      <c r="E27" s="706">
        <v>5170</v>
      </c>
      <c r="F27" s="705" t="s">
        <v>9341</v>
      </c>
      <c r="G27" s="705">
        <f t="shared" si="0"/>
        <v>680</v>
      </c>
      <c r="H27" s="705">
        <v>11</v>
      </c>
      <c r="I27" s="705">
        <v>5</v>
      </c>
      <c r="J27" s="707">
        <f t="shared" si="1"/>
        <v>9.0909090909090912E-2</v>
      </c>
      <c r="K27" s="708">
        <f t="shared" si="2"/>
        <v>61.81818181818182</v>
      </c>
      <c r="L27" s="705" t="s">
        <v>10195</v>
      </c>
      <c r="M27" s="709">
        <v>45695</v>
      </c>
      <c r="N27" s="705" t="s">
        <v>10171</v>
      </c>
      <c r="P27" s="711"/>
      <c r="Q27" s="711"/>
      <c r="R27" s="711"/>
      <c r="S27" s="711"/>
      <c r="T27" s="711"/>
    </row>
    <row r="28" spans="1:20" x14ac:dyDescent="0.3">
      <c r="A28" s="705">
        <v>26</v>
      </c>
      <c r="B28" s="705" t="s">
        <v>10000</v>
      </c>
      <c r="C28" s="705" t="s">
        <v>468</v>
      </c>
      <c r="D28" s="706">
        <v>4830</v>
      </c>
      <c r="E28" s="706">
        <v>5170</v>
      </c>
      <c r="F28" s="705" t="s">
        <v>9341</v>
      </c>
      <c r="G28" s="705">
        <f t="shared" si="0"/>
        <v>680</v>
      </c>
      <c r="H28" s="705">
        <v>11</v>
      </c>
      <c r="I28" s="705">
        <v>6</v>
      </c>
      <c r="J28" s="707">
        <f t="shared" si="1"/>
        <v>9.0909090909090912E-2</v>
      </c>
      <c r="K28" s="708">
        <f t="shared" si="2"/>
        <v>61.81818181818182</v>
      </c>
      <c r="L28" s="705" t="s">
        <v>10196</v>
      </c>
      <c r="M28" s="709">
        <v>45695</v>
      </c>
      <c r="N28" s="705" t="s">
        <v>10171</v>
      </c>
      <c r="P28" s="711"/>
      <c r="Q28" s="711"/>
      <c r="R28" s="711"/>
      <c r="S28" s="711"/>
      <c r="T28" s="711"/>
    </row>
    <row r="29" spans="1:20" x14ac:dyDescent="0.3">
      <c r="A29" s="705">
        <v>27</v>
      </c>
      <c r="B29" s="705" t="s">
        <v>10000</v>
      </c>
      <c r="C29" s="705" t="s">
        <v>468</v>
      </c>
      <c r="D29" s="706">
        <v>4830</v>
      </c>
      <c r="E29" s="706">
        <v>5170</v>
      </c>
      <c r="F29" s="705" t="s">
        <v>9341</v>
      </c>
      <c r="G29" s="705">
        <f t="shared" si="0"/>
        <v>680</v>
      </c>
      <c r="H29" s="705">
        <v>11</v>
      </c>
      <c r="I29" s="705">
        <v>7</v>
      </c>
      <c r="J29" s="707">
        <f t="shared" si="1"/>
        <v>9.0909090909090912E-2</v>
      </c>
      <c r="K29" s="708">
        <f t="shared" si="2"/>
        <v>61.81818181818182</v>
      </c>
      <c r="L29" s="705" t="s">
        <v>10197</v>
      </c>
      <c r="M29" s="709">
        <v>45695</v>
      </c>
      <c r="N29" s="705" t="s">
        <v>10171</v>
      </c>
      <c r="P29" s="711"/>
      <c r="Q29" s="711"/>
      <c r="R29" s="711"/>
      <c r="S29" s="711"/>
      <c r="T29" s="711"/>
    </row>
    <row r="30" spans="1:20" x14ac:dyDescent="0.3">
      <c r="A30" s="705">
        <v>28</v>
      </c>
      <c r="B30" s="705" t="s">
        <v>10000</v>
      </c>
      <c r="C30" s="705" t="s">
        <v>468</v>
      </c>
      <c r="D30" s="706">
        <v>4830</v>
      </c>
      <c r="E30" s="706">
        <v>5170</v>
      </c>
      <c r="F30" s="705" t="s">
        <v>9341</v>
      </c>
      <c r="G30" s="705">
        <f t="shared" si="0"/>
        <v>680</v>
      </c>
      <c r="H30" s="705">
        <v>11</v>
      </c>
      <c r="I30" s="705">
        <v>8</v>
      </c>
      <c r="J30" s="707">
        <f t="shared" si="1"/>
        <v>9.0909090909090912E-2</v>
      </c>
      <c r="K30" s="708">
        <f t="shared" si="2"/>
        <v>61.81818181818182</v>
      </c>
      <c r="L30" s="705" t="s">
        <v>10198</v>
      </c>
      <c r="M30" s="709">
        <v>45696</v>
      </c>
      <c r="N30" s="705" t="s">
        <v>10171</v>
      </c>
      <c r="P30" s="711"/>
      <c r="Q30" s="711"/>
      <c r="R30" s="711"/>
      <c r="S30" s="711"/>
      <c r="T30" s="711"/>
    </row>
    <row r="31" spans="1:20" x14ac:dyDescent="0.3">
      <c r="A31" s="705">
        <v>29</v>
      </c>
      <c r="B31" s="705" t="s">
        <v>10000</v>
      </c>
      <c r="C31" s="705" t="s">
        <v>468</v>
      </c>
      <c r="D31" s="706">
        <v>4830</v>
      </c>
      <c r="E31" s="706">
        <v>5170</v>
      </c>
      <c r="F31" s="705" t="s">
        <v>9341</v>
      </c>
      <c r="G31" s="705">
        <f t="shared" si="0"/>
        <v>680</v>
      </c>
      <c r="H31" s="705">
        <v>11</v>
      </c>
      <c r="I31" s="705">
        <v>9</v>
      </c>
      <c r="J31" s="707">
        <f t="shared" si="1"/>
        <v>9.0909090909090912E-2</v>
      </c>
      <c r="K31" s="708">
        <f t="shared" si="2"/>
        <v>61.81818181818182</v>
      </c>
      <c r="L31" s="705" t="s">
        <v>10199</v>
      </c>
      <c r="M31" s="709">
        <v>45711</v>
      </c>
      <c r="N31" s="705" t="s">
        <v>10171</v>
      </c>
      <c r="P31" s="711"/>
      <c r="Q31" s="711"/>
      <c r="R31" s="711"/>
      <c r="S31" s="711"/>
      <c r="T31" s="711"/>
    </row>
    <row r="32" spans="1:20" x14ac:dyDescent="0.3">
      <c r="A32" s="705">
        <v>30</v>
      </c>
      <c r="B32" s="705" t="s">
        <v>10000</v>
      </c>
      <c r="C32" s="705" t="s">
        <v>468</v>
      </c>
      <c r="D32" s="706">
        <v>4830</v>
      </c>
      <c r="E32" s="706">
        <v>5170</v>
      </c>
      <c r="F32" s="705" t="s">
        <v>9341</v>
      </c>
      <c r="G32" s="705">
        <f t="shared" si="0"/>
        <v>680</v>
      </c>
      <c r="H32" s="705">
        <v>11</v>
      </c>
      <c r="I32" s="705">
        <v>10</v>
      </c>
      <c r="J32" s="707">
        <f t="shared" si="1"/>
        <v>9.0909090909090912E-2</v>
      </c>
      <c r="K32" s="708">
        <f t="shared" si="2"/>
        <v>61.81818181818182</v>
      </c>
      <c r="L32" s="705" t="s">
        <v>10200</v>
      </c>
      <c r="M32" s="709">
        <v>45713</v>
      </c>
      <c r="N32" s="705" t="s">
        <v>10171</v>
      </c>
      <c r="P32" s="711"/>
      <c r="Q32" s="711"/>
      <c r="R32" s="711"/>
      <c r="S32" s="711"/>
      <c r="T32" s="711"/>
    </row>
    <row r="33" spans="1:23" x14ac:dyDescent="0.3">
      <c r="A33" s="705">
        <v>31</v>
      </c>
      <c r="B33" s="705" t="s">
        <v>10000</v>
      </c>
      <c r="C33" s="705" t="s">
        <v>468</v>
      </c>
      <c r="D33" s="706">
        <v>4830</v>
      </c>
      <c r="E33" s="706">
        <v>5170</v>
      </c>
      <c r="F33" s="705" t="s">
        <v>9341</v>
      </c>
      <c r="G33" s="705">
        <f t="shared" si="0"/>
        <v>680</v>
      </c>
      <c r="H33" s="705">
        <v>11</v>
      </c>
      <c r="I33" s="705">
        <v>11</v>
      </c>
      <c r="J33" s="707">
        <f t="shared" si="1"/>
        <v>9.0909090909090912E-2</v>
      </c>
      <c r="K33" s="708">
        <f t="shared" si="2"/>
        <v>61.81818181818182</v>
      </c>
      <c r="L33" s="705" t="s">
        <v>10201</v>
      </c>
      <c r="M33" s="709">
        <v>45713</v>
      </c>
      <c r="N33" s="705" t="s">
        <v>10171</v>
      </c>
      <c r="P33" s="711"/>
      <c r="Q33" s="711"/>
      <c r="R33" s="711"/>
      <c r="S33" s="711"/>
      <c r="T33" s="711"/>
    </row>
    <row r="34" spans="1:23" ht="7.65" customHeight="1" x14ac:dyDescent="0.3">
      <c r="A34" s="713"/>
      <c r="B34" s="713"/>
      <c r="C34" s="713"/>
      <c r="D34" s="714"/>
      <c r="E34" s="714"/>
      <c r="F34" s="713"/>
      <c r="G34" s="713"/>
      <c r="H34" s="713"/>
      <c r="I34" s="713"/>
      <c r="J34" s="715"/>
      <c r="K34" s="716"/>
      <c r="L34" s="713"/>
      <c r="M34" s="717"/>
      <c r="N34" s="713"/>
    </row>
    <row r="35" spans="1:23" x14ac:dyDescent="0.3">
      <c r="A35" s="705">
        <v>1</v>
      </c>
      <c r="B35" s="705" t="s">
        <v>10003</v>
      </c>
      <c r="C35" s="705" t="s">
        <v>468</v>
      </c>
      <c r="D35" s="706">
        <v>2220</v>
      </c>
      <c r="E35" s="706">
        <v>2350</v>
      </c>
      <c r="F35" s="705" t="s">
        <v>9341</v>
      </c>
      <c r="G35" s="705">
        <f>IF(F35="BHS",(ABS(D35-E35)*2),(ABS(D35-E35)))</f>
        <v>260</v>
      </c>
      <c r="H35" s="705">
        <v>16</v>
      </c>
      <c r="I35" s="705">
        <v>1</v>
      </c>
      <c r="J35" s="707">
        <f t="shared" ref="J35:J57" si="3">IFERROR(IF(I35&gt;0,1/H35,0),0)</f>
        <v>6.25E-2</v>
      </c>
      <c r="K35" s="708">
        <f t="shared" ref="K35:K57" si="4">J35*G35</f>
        <v>16.25</v>
      </c>
      <c r="L35" s="705" t="s">
        <v>10202</v>
      </c>
      <c r="M35" s="709">
        <v>45724</v>
      </c>
      <c r="N35" s="705" t="s">
        <v>10203</v>
      </c>
      <c r="P35" s="705" t="s">
        <v>10003</v>
      </c>
      <c r="Q35" s="706">
        <v>2220</v>
      </c>
      <c r="R35" s="706">
        <v>2350</v>
      </c>
      <c r="S35" s="706" t="s">
        <v>9341</v>
      </c>
      <c r="T35" s="708">
        <f t="shared" ref="T35:T50" si="5">SUMIFS($K:$K,$B:$B,$P35)/1000</f>
        <v>0.13</v>
      </c>
      <c r="W35" s="132"/>
    </row>
    <row r="36" spans="1:23" x14ac:dyDescent="0.3">
      <c r="A36" s="705">
        <v>2</v>
      </c>
      <c r="B36" s="705" t="s">
        <v>10003</v>
      </c>
      <c r="C36" s="705" t="s">
        <v>468</v>
      </c>
      <c r="D36" s="706">
        <v>2220</v>
      </c>
      <c r="E36" s="706">
        <v>2350</v>
      </c>
      <c r="F36" s="705" t="s">
        <v>9341</v>
      </c>
      <c r="G36" s="705">
        <f t="shared" ref="G36:G43" si="6">IF(F36="BHS",(ABS(D36-E36)*2),(ABS(D36-E36)))</f>
        <v>260</v>
      </c>
      <c r="H36" s="705">
        <v>16</v>
      </c>
      <c r="I36" s="705">
        <v>2</v>
      </c>
      <c r="J36" s="707">
        <f t="shared" si="3"/>
        <v>6.25E-2</v>
      </c>
      <c r="K36" s="708">
        <f t="shared" si="4"/>
        <v>16.25</v>
      </c>
      <c r="L36" s="705" t="s">
        <v>10204</v>
      </c>
      <c r="M36" s="709">
        <v>45725</v>
      </c>
      <c r="N36" s="705" t="s">
        <v>10203</v>
      </c>
      <c r="P36" s="705" t="s">
        <v>10006</v>
      </c>
      <c r="Q36" s="706">
        <v>2450</v>
      </c>
      <c r="R36" s="706">
        <v>2600</v>
      </c>
      <c r="S36" s="706" t="s">
        <v>9346</v>
      </c>
      <c r="T36" s="708">
        <f t="shared" si="5"/>
        <v>0.12</v>
      </c>
      <c r="W36" s="132"/>
    </row>
    <row r="37" spans="1:23" x14ac:dyDescent="0.3">
      <c r="A37" s="705">
        <v>3</v>
      </c>
      <c r="B37" s="705" t="s">
        <v>10003</v>
      </c>
      <c r="C37" s="705" t="s">
        <v>468</v>
      </c>
      <c r="D37" s="706">
        <v>2220</v>
      </c>
      <c r="E37" s="706">
        <v>2350</v>
      </c>
      <c r="F37" s="705" t="s">
        <v>9341</v>
      </c>
      <c r="G37" s="705">
        <f t="shared" si="6"/>
        <v>260</v>
      </c>
      <c r="H37" s="705">
        <v>16</v>
      </c>
      <c r="I37" s="705">
        <v>3</v>
      </c>
      <c r="J37" s="707">
        <f t="shared" si="3"/>
        <v>6.25E-2</v>
      </c>
      <c r="K37" s="708">
        <f t="shared" si="4"/>
        <v>16.25</v>
      </c>
      <c r="L37" s="705" t="s">
        <v>10205</v>
      </c>
      <c r="M37" s="709">
        <v>45726</v>
      </c>
      <c r="N37" s="705" t="s">
        <v>10203</v>
      </c>
      <c r="P37" s="705" t="s">
        <v>10009</v>
      </c>
      <c r="Q37" s="706">
        <v>2600</v>
      </c>
      <c r="R37" s="706">
        <v>2650</v>
      </c>
      <c r="S37" s="706" t="s">
        <v>9341</v>
      </c>
      <c r="T37" s="708">
        <f t="shared" si="5"/>
        <v>7.4999999999999997E-2</v>
      </c>
      <c r="W37" s="132"/>
    </row>
    <row r="38" spans="1:23" x14ac:dyDescent="0.3">
      <c r="A38" s="705">
        <v>4</v>
      </c>
      <c r="B38" s="705" t="s">
        <v>10003</v>
      </c>
      <c r="C38" s="705" t="s">
        <v>468</v>
      </c>
      <c r="D38" s="706">
        <v>2220</v>
      </c>
      <c r="E38" s="706">
        <v>2350</v>
      </c>
      <c r="F38" s="705" t="s">
        <v>9341</v>
      </c>
      <c r="G38" s="705">
        <f t="shared" si="6"/>
        <v>260</v>
      </c>
      <c r="H38" s="705">
        <v>16</v>
      </c>
      <c r="I38" s="705">
        <v>4</v>
      </c>
      <c r="J38" s="707">
        <f t="shared" si="3"/>
        <v>6.25E-2</v>
      </c>
      <c r="K38" s="708">
        <f t="shared" si="4"/>
        <v>16.25</v>
      </c>
      <c r="L38" s="705" t="s">
        <v>10206</v>
      </c>
      <c r="M38" s="709">
        <v>45727</v>
      </c>
      <c r="N38" s="705" t="s">
        <v>10203</v>
      </c>
      <c r="P38" s="705" t="s">
        <v>10011</v>
      </c>
      <c r="Q38" s="706">
        <v>2700</v>
      </c>
      <c r="R38" s="706">
        <v>2900</v>
      </c>
      <c r="S38" s="706" t="s">
        <v>9341</v>
      </c>
      <c r="T38" s="708">
        <f t="shared" si="5"/>
        <v>0.25454545454545457</v>
      </c>
      <c r="W38" s="132"/>
    </row>
    <row r="39" spans="1:23" x14ac:dyDescent="0.3">
      <c r="A39" s="705">
        <v>5</v>
      </c>
      <c r="B39" s="705" t="s">
        <v>10003</v>
      </c>
      <c r="C39" s="705" t="s">
        <v>468</v>
      </c>
      <c r="D39" s="706">
        <v>2220</v>
      </c>
      <c r="E39" s="706">
        <v>2350</v>
      </c>
      <c r="F39" s="705" t="s">
        <v>9341</v>
      </c>
      <c r="G39" s="705">
        <f t="shared" si="6"/>
        <v>260</v>
      </c>
      <c r="H39" s="705">
        <v>16</v>
      </c>
      <c r="I39" s="705">
        <v>5</v>
      </c>
      <c r="J39" s="707">
        <f t="shared" si="3"/>
        <v>6.25E-2</v>
      </c>
      <c r="K39" s="708">
        <f t="shared" si="4"/>
        <v>16.25</v>
      </c>
      <c r="L39" s="705" t="s">
        <v>10207</v>
      </c>
      <c r="M39" s="709">
        <v>45728</v>
      </c>
      <c r="N39" s="705" t="s">
        <v>10203</v>
      </c>
      <c r="P39" s="705" t="s">
        <v>10013</v>
      </c>
      <c r="Q39" s="706">
        <v>3070</v>
      </c>
      <c r="R39" s="706">
        <v>3250</v>
      </c>
      <c r="S39" s="706" t="s">
        <v>9341</v>
      </c>
      <c r="T39" s="708">
        <f t="shared" si="5"/>
        <v>0.11076923076923074</v>
      </c>
      <c r="W39" s="132"/>
    </row>
    <row r="40" spans="1:23" x14ac:dyDescent="0.3">
      <c r="A40" s="705">
        <v>6</v>
      </c>
      <c r="B40" s="705" t="s">
        <v>10003</v>
      </c>
      <c r="C40" s="705" t="s">
        <v>468</v>
      </c>
      <c r="D40" s="706">
        <v>2220</v>
      </c>
      <c r="E40" s="706">
        <v>2350</v>
      </c>
      <c r="F40" s="705" t="s">
        <v>9341</v>
      </c>
      <c r="G40" s="705">
        <f t="shared" si="6"/>
        <v>260</v>
      </c>
      <c r="H40" s="705">
        <v>16</v>
      </c>
      <c r="I40" s="705">
        <v>6</v>
      </c>
      <c r="J40" s="707">
        <f t="shared" si="3"/>
        <v>6.25E-2</v>
      </c>
      <c r="K40" s="708">
        <f t="shared" si="4"/>
        <v>16.25</v>
      </c>
      <c r="L40" s="705" t="s">
        <v>10208</v>
      </c>
      <c r="M40" s="709">
        <v>45729</v>
      </c>
      <c r="N40" s="705" t="s">
        <v>10203</v>
      </c>
      <c r="P40" s="705" t="s">
        <v>10016</v>
      </c>
      <c r="Q40" s="706">
        <v>9630</v>
      </c>
      <c r="R40" s="706">
        <v>9740</v>
      </c>
      <c r="S40" s="706" t="s">
        <v>9346</v>
      </c>
      <c r="T40" s="708">
        <f t="shared" si="5"/>
        <v>3.1428571428571424E-2</v>
      </c>
      <c r="W40" s="132"/>
    </row>
    <row r="41" spans="1:23" x14ac:dyDescent="0.3">
      <c r="A41" s="705">
        <v>7</v>
      </c>
      <c r="B41" s="705" t="s">
        <v>10003</v>
      </c>
      <c r="C41" s="705" t="s">
        <v>468</v>
      </c>
      <c r="D41" s="706">
        <v>2220</v>
      </c>
      <c r="E41" s="706">
        <v>2350</v>
      </c>
      <c r="F41" s="705" t="s">
        <v>9341</v>
      </c>
      <c r="G41" s="705">
        <f>IF(F41="BHS",(ABS(D41-E41)*2),(ABS(D41-E41)))</f>
        <v>260</v>
      </c>
      <c r="H41" s="705">
        <v>16</v>
      </c>
      <c r="I41" s="705">
        <v>7</v>
      </c>
      <c r="J41" s="707">
        <f>IFERROR(IF(I41&gt;0,1/H41,0),0)</f>
        <v>6.25E-2</v>
      </c>
      <c r="K41" s="708">
        <f>J41*G41</f>
        <v>16.25</v>
      </c>
      <c r="L41" s="705" t="s">
        <v>10209</v>
      </c>
      <c r="M41" s="709">
        <v>45741</v>
      </c>
      <c r="N41" s="705" t="s">
        <v>10203</v>
      </c>
      <c r="P41" s="705" t="s">
        <v>10024</v>
      </c>
      <c r="Q41" s="706">
        <v>9650</v>
      </c>
      <c r="R41" s="706">
        <v>10000</v>
      </c>
      <c r="S41" s="706" t="s">
        <v>9367</v>
      </c>
      <c r="T41" s="708">
        <f t="shared" si="5"/>
        <v>0.03</v>
      </c>
      <c r="W41" s="132"/>
    </row>
    <row r="42" spans="1:23" x14ac:dyDescent="0.3">
      <c r="A42" s="705">
        <v>8</v>
      </c>
      <c r="B42" s="705" t="s">
        <v>10003</v>
      </c>
      <c r="C42" s="705" t="s">
        <v>468</v>
      </c>
      <c r="D42" s="706">
        <v>2220</v>
      </c>
      <c r="E42" s="706">
        <v>2350</v>
      </c>
      <c r="F42" s="705" t="s">
        <v>9341</v>
      </c>
      <c r="G42" s="705">
        <f>IF(F42="BHS",(ABS(D42-E42)*2),(ABS(D42-E42)))</f>
        <v>260</v>
      </c>
      <c r="H42" s="705">
        <v>16</v>
      </c>
      <c r="I42" s="705">
        <v>8</v>
      </c>
      <c r="J42" s="707">
        <f>IFERROR(IF(I42&gt;0,1/H42,0),0)</f>
        <v>6.25E-2</v>
      </c>
      <c r="K42" s="708">
        <f>J42*G42</f>
        <v>16.25</v>
      </c>
      <c r="L42" s="705" t="s">
        <v>10210</v>
      </c>
      <c r="M42" s="709">
        <v>45745</v>
      </c>
      <c r="N42" s="705" t="s">
        <v>10203</v>
      </c>
      <c r="P42" s="705" t="s">
        <v>10019</v>
      </c>
      <c r="Q42" s="706">
        <v>9740</v>
      </c>
      <c r="R42" s="706">
        <v>9780</v>
      </c>
      <c r="S42" s="706" t="s">
        <v>9346</v>
      </c>
      <c r="T42" s="708">
        <f t="shared" si="5"/>
        <v>1.7777777777777778E-2</v>
      </c>
      <c r="W42" s="132"/>
    </row>
    <row r="43" spans="1:23" x14ac:dyDescent="0.3">
      <c r="A43" s="705">
        <v>9</v>
      </c>
      <c r="B43" s="705" t="s">
        <v>10006</v>
      </c>
      <c r="C43" s="705" t="s">
        <v>468</v>
      </c>
      <c r="D43" s="706">
        <v>2450</v>
      </c>
      <c r="E43" s="706">
        <v>2600</v>
      </c>
      <c r="F43" s="705" t="s">
        <v>9346</v>
      </c>
      <c r="G43" s="705">
        <f t="shared" si="6"/>
        <v>150</v>
      </c>
      <c r="H43" s="705">
        <v>10</v>
      </c>
      <c r="I43" s="705">
        <v>1</v>
      </c>
      <c r="J43" s="707">
        <f t="shared" si="3"/>
        <v>0.1</v>
      </c>
      <c r="K43" s="708">
        <f t="shared" si="4"/>
        <v>15</v>
      </c>
      <c r="L43" s="705" t="s">
        <v>10211</v>
      </c>
      <c r="M43" s="709">
        <v>45724</v>
      </c>
      <c r="N43" s="705" t="s">
        <v>10203</v>
      </c>
      <c r="P43" s="705" t="s">
        <v>10021</v>
      </c>
      <c r="Q43" s="706">
        <v>9780</v>
      </c>
      <c r="R43" s="706">
        <v>10000</v>
      </c>
      <c r="S43" s="706" t="s">
        <v>9346</v>
      </c>
      <c r="T43" s="708">
        <f t="shared" si="5"/>
        <v>9.7777777777777769E-2</v>
      </c>
      <c r="W43" s="132"/>
    </row>
    <row r="44" spans="1:23" x14ac:dyDescent="0.3">
      <c r="A44" s="705">
        <v>10</v>
      </c>
      <c r="B44" s="705" t="s">
        <v>10006</v>
      </c>
      <c r="C44" s="705" t="s">
        <v>468</v>
      </c>
      <c r="D44" s="706">
        <v>2450</v>
      </c>
      <c r="E44" s="706">
        <v>2600</v>
      </c>
      <c r="F44" s="705" t="s">
        <v>9346</v>
      </c>
      <c r="G44" s="705">
        <f t="shared" ref="G44:G57" si="7">IF(F44="BHS",(ABS(D44-E44)*2),(ABS(D44-E44)))</f>
        <v>150</v>
      </c>
      <c r="H44" s="705">
        <v>10</v>
      </c>
      <c r="I44" s="705">
        <v>2</v>
      </c>
      <c r="J44" s="707">
        <f t="shared" si="3"/>
        <v>0.1</v>
      </c>
      <c r="K44" s="708">
        <f t="shared" si="4"/>
        <v>15</v>
      </c>
      <c r="L44" s="705" t="s">
        <v>10212</v>
      </c>
      <c r="M44" s="709">
        <v>45725</v>
      </c>
      <c r="N44" s="705" t="s">
        <v>10203</v>
      </c>
      <c r="P44" s="705" t="s">
        <v>10027</v>
      </c>
      <c r="Q44" s="706">
        <v>10000</v>
      </c>
      <c r="R44" s="706">
        <v>10100</v>
      </c>
      <c r="S44" s="706" t="s">
        <v>9341</v>
      </c>
      <c r="T44" s="708">
        <f t="shared" si="5"/>
        <v>2.8571428571428571E-2</v>
      </c>
      <c r="W44" s="132"/>
    </row>
    <row r="45" spans="1:23" x14ac:dyDescent="0.3">
      <c r="A45" s="705">
        <v>11</v>
      </c>
      <c r="B45" s="705" t="s">
        <v>10006</v>
      </c>
      <c r="C45" s="705" t="s">
        <v>468</v>
      </c>
      <c r="D45" s="706">
        <v>2450</v>
      </c>
      <c r="E45" s="706">
        <v>2600</v>
      </c>
      <c r="F45" s="705" t="s">
        <v>9346</v>
      </c>
      <c r="G45" s="705">
        <f t="shared" si="7"/>
        <v>150</v>
      </c>
      <c r="H45" s="705">
        <v>10</v>
      </c>
      <c r="I45" s="705">
        <v>3</v>
      </c>
      <c r="J45" s="707">
        <f t="shared" si="3"/>
        <v>0.1</v>
      </c>
      <c r="K45" s="708">
        <f t="shared" si="4"/>
        <v>15</v>
      </c>
      <c r="L45" s="705" t="s">
        <v>10213</v>
      </c>
      <c r="M45" s="709">
        <v>45726</v>
      </c>
      <c r="N45" s="705" t="s">
        <v>10203</v>
      </c>
      <c r="P45" s="705" t="s">
        <v>10030</v>
      </c>
      <c r="Q45" s="706">
        <v>10338</v>
      </c>
      <c r="R45" s="706">
        <v>10450</v>
      </c>
      <c r="S45" s="706" t="s">
        <v>9341</v>
      </c>
      <c r="T45" s="708">
        <f t="shared" si="5"/>
        <v>2.4888888888888884E-2</v>
      </c>
      <c r="W45" s="132"/>
    </row>
    <row r="46" spans="1:23" x14ac:dyDescent="0.3">
      <c r="A46" s="705">
        <v>12</v>
      </c>
      <c r="B46" s="705" t="s">
        <v>10006</v>
      </c>
      <c r="C46" s="705" t="s">
        <v>468</v>
      </c>
      <c r="D46" s="706">
        <v>2450</v>
      </c>
      <c r="E46" s="706">
        <v>2600</v>
      </c>
      <c r="F46" s="705" t="s">
        <v>9346</v>
      </c>
      <c r="G46" s="705">
        <f t="shared" si="7"/>
        <v>150</v>
      </c>
      <c r="H46" s="705">
        <v>10</v>
      </c>
      <c r="I46" s="705">
        <v>4</v>
      </c>
      <c r="J46" s="707">
        <f t="shared" si="3"/>
        <v>0.1</v>
      </c>
      <c r="K46" s="708">
        <f t="shared" si="4"/>
        <v>15</v>
      </c>
      <c r="L46" s="705" t="s">
        <v>10214</v>
      </c>
      <c r="M46" s="709">
        <v>45727</v>
      </c>
      <c r="N46" s="705" t="s">
        <v>10203</v>
      </c>
      <c r="P46" s="705" t="s">
        <v>10032</v>
      </c>
      <c r="Q46" s="706">
        <v>10450</v>
      </c>
      <c r="R46" s="706">
        <v>10550</v>
      </c>
      <c r="S46" s="706" t="s">
        <v>9341</v>
      </c>
      <c r="T46" s="708">
        <f t="shared" si="5"/>
        <v>2.3529411764705882E-2</v>
      </c>
      <c r="W46" s="132"/>
    </row>
    <row r="47" spans="1:23" x14ac:dyDescent="0.3">
      <c r="A47" s="705">
        <v>13</v>
      </c>
      <c r="B47" s="705" t="s">
        <v>10006</v>
      </c>
      <c r="C47" s="705" t="s">
        <v>468</v>
      </c>
      <c r="D47" s="706">
        <v>2450</v>
      </c>
      <c r="E47" s="706">
        <v>2600</v>
      </c>
      <c r="F47" s="705" t="s">
        <v>9346</v>
      </c>
      <c r="G47" s="705">
        <f t="shared" si="7"/>
        <v>150</v>
      </c>
      <c r="H47" s="705">
        <v>10</v>
      </c>
      <c r="I47" s="705">
        <v>5</v>
      </c>
      <c r="J47" s="707">
        <f t="shared" si="3"/>
        <v>0.1</v>
      </c>
      <c r="K47" s="708">
        <f t="shared" si="4"/>
        <v>15</v>
      </c>
      <c r="L47" s="705" t="s">
        <v>10215</v>
      </c>
      <c r="M47" s="709">
        <v>45728</v>
      </c>
      <c r="N47" s="705" t="s">
        <v>10203</v>
      </c>
      <c r="P47" s="705" t="s">
        <v>10035</v>
      </c>
      <c r="Q47" s="706">
        <v>11800</v>
      </c>
      <c r="R47" s="706">
        <v>12000</v>
      </c>
      <c r="S47" s="706" t="s">
        <v>9367</v>
      </c>
      <c r="T47" s="708">
        <f t="shared" si="5"/>
        <v>0.06</v>
      </c>
      <c r="W47" s="132"/>
    </row>
    <row r="48" spans="1:23" x14ac:dyDescent="0.3">
      <c r="A48" s="705">
        <v>14</v>
      </c>
      <c r="B48" s="705" t="s">
        <v>10006</v>
      </c>
      <c r="C48" s="705" t="s">
        <v>468</v>
      </c>
      <c r="D48" s="706">
        <v>2450</v>
      </c>
      <c r="E48" s="706">
        <v>2600</v>
      </c>
      <c r="F48" s="705" t="s">
        <v>9346</v>
      </c>
      <c r="G48" s="705">
        <f t="shared" si="7"/>
        <v>150</v>
      </c>
      <c r="H48" s="705">
        <v>10</v>
      </c>
      <c r="I48" s="705">
        <v>6</v>
      </c>
      <c r="J48" s="707">
        <f t="shared" si="3"/>
        <v>0.1</v>
      </c>
      <c r="K48" s="708">
        <f t="shared" si="4"/>
        <v>15</v>
      </c>
      <c r="L48" s="705" t="s">
        <v>10216</v>
      </c>
      <c r="M48" s="709">
        <v>45729</v>
      </c>
      <c r="N48" s="705" t="s">
        <v>10203</v>
      </c>
      <c r="P48" s="705" t="s">
        <v>10037</v>
      </c>
      <c r="Q48" s="706">
        <v>11800</v>
      </c>
      <c r="R48" s="706">
        <v>11900</v>
      </c>
      <c r="S48" s="706" t="s">
        <v>9346</v>
      </c>
      <c r="T48" s="708">
        <f t="shared" si="5"/>
        <v>2.5000000000000001E-2</v>
      </c>
      <c r="W48" s="132"/>
    </row>
    <row r="49" spans="1:23" x14ac:dyDescent="0.3">
      <c r="A49" s="705">
        <v>15</v>
      </c>
      <c r="B49" s="705" t="s">
        <v>10006</v>
      </c>
      <c r="C49" s="705" t="s">
        <v>468</v>
      </c>
      <c r="D49" s="706">
        <v>2450</v>
      </c>
      <c r="E49" s="706">
        <v>2600</v>
      </c>
      <c r="F49" s="705" t="s">
        <v>9346</v>
      </c>
      <c r="G49" s="705">
        <f t="shared" si="7"/>
        <v>150</v>
      </c>
      <c r="H49" s="705">
        <v>10</v>
      </c>
      <c r="I49" s="705">
        <v>7</v>
      </c>
      <c r="J49" s="707">
        <f t="shared" si="3"/>
        <v>0.1</v>
      </c>
      <c r="K49" s="708">
        <f t="shared" si="4"/>
        <v>15</v>
      </c>
      <c r="L49" s="705" t="s">
        <v>10217</v>
      </c>
      <c r="M49" s="709">
        <v>45743</v>
      </c>
      <c r="N49" s="705" t="s">
        <v>10203</v>
      </c>
      <c r="P49" s="705" t="s">
        <v>10041</v>
      </c>
      <c r="Q49" s="706">
        <v>11950</v>
      </c>
      <c r="R49" s="706">
        <v>12000</v>
      </c>
      <c r="S49" s="706" t="s">
        <v>9346</v>
      </c>
      <c r="T49" s="708">
        <f t="shared" si="5"/>
        <v>1.8749999999999999E-2</v>
      </c>
      <c r="W49" s="132"/>
    </row>
    <row r="50" spans="1:23" x14ac:dyDescent="0.3">
      <c r="A50" s="705">
        <v>16</v>
      </c>
      <c r="B50" s="705" t="s">
        <v>10006</v>
      </c>
      <c r="C50" s="705" t="s">
        <v>468</v>
      </c>
      <c r="D50" s="706">
        <v>2450</v>
      </c>
      <c r="E50" s="706">
        <v>2600</v>
      </c>
      <c r="F50" s="705" t="s">
        <v>9346</v>
      </c>
      <c r="G50" s="705">
        <f>IF(F50="BHS",(ABS(D50-E50)*2),(ABS(D50-E50)))</f>
        <v>150</v>
      </c>
      <c r="H50" s="705">
        <v>10</v>
      </c>
      <c r="I50" s="705">
        <v>8</v>
      </c>
      <c r="J50" s="707">
        <f>IFERROR(IF(I50&gt;0,1/H50,0),0)</f>
        <v>0.1</v>
      </c>
      <c r="K50" s="708">
        <f>J50*G50</f>
        <v>15</v>
      </c>
      <c r="L50" s="705" t="s">
        <v>10218</v>
      </c>
      <c r="M50" s="709">
        <v>45745</v>
      </c>
      <c r="N50" s="705" t="s">
        <v>10203</v>
      </c>
      <c r="P50" s="705" t="s">
        <v>10044</v>
      </c>
      <c r="Q50" s="706">
        <v>12000</v>
      </c>
      <c r="R50" s="706">
        <v>12040</v>
      </c>
      <c r="S50" s="706" t="s">
        <v>9341</v>
      </c>
      <c r="T50" s="708">
        <f t="shared" si="5"/>
        <v>2.2857142857142854E-2</v>
      </c>
      <c r="W50" s="132"/>
    </row>
    <row r="51" spans="1:23" x14ac:dyDescent="0.3">
      <c r="A51" s="705">
        <v>17</v>
      </c>
      <c r="B51" s="705" t="s">
        <v>10009</v>
      </c>
      <c r="C51" s="705" t="s">
        <v>468</v>
      </c>
      <c r="D51" s="706">
        <v>2600</v>
      </c>
      <c r="E51" s="706">
        <v>2650</v>
      </c>
      <c r="F51" s="705" t="s">
        <v>9341</v>
      </c>
      <c r="G51" s="705">
        <f t="shared" si="7"/>
        <v>100</v>
      </c>
      <c r="H51" s="705">
        <v>8</v>
      </c>
      <c r="I51" s="705">
        <v>1</v>
      </c>
      <c r="J51" s="707">
        <f t="shared" si="3"/>
        <v>0.125</v>
      </c>
      <c r="K51" s="708">
        <f t="shared" si="4"/>
        <v>12.5</v>
      </c>
      <c r="L51" s="705" t="s">
        <v>10219</v>
      </c>
      <c r="M51" s="709">
        <v>45724</v>
      </c>
      <c r="N51" s="705" t="s">
        <v>10203</v>
      </c>
      <c r="T51" s="712">
        <f>SUM(T35:T50)</f>
        <v>1.0708956843809785</v>
      </c>
      <c r="W51" s="132"/>
    </row>
    <row r="52" spans="1:23" x14ac:dyDescent="0.3">
      <c r="A52" s="705">
        <v>18</v>
      </c>
      <c r="B52" s="705" t="s">
        <v>10009</v>
      </c>
      <c r="C52" s="705" t="s">
        <v>468</v>
      </c>
      <c r="D52" s="706">
        <v>2600</v>
      </c>
      <c r="E52" s="706">
        <v>2650</v>
      </c>
      <c r="F52" s="705" t="s">
        <v>9341</v>
      </c>
      <c r="G52" s="705">
        <f t="shared" si="7"/>
        <v>100</v>
      </c>
      <c r="H52" s="705">
        <v>8</v>
      </c>
      <c r="I52" s="705">
        <v>2</v>
      </c>
      <c r="J52" s="707">
        <f t="shared" si="3"/>
        <v>0.125</v>
      </c>
      <c r="K52" s="708">
        <f t="shared" si="4"/>
        <v>12.5</v>
      </c>
      <c r="L52" s="705" t="s">
        <v>10220</v>
      </c>
      <c r="M52" s="709">
        <v>45725</v>
      </c>
      <c r="N52" s="705" t="s">
        <v>10203</v>
      </c>
      <c r="Q52" s="711"/>
      <c r="R52" s="711"/>
      <c r="S52" s="711"/>
      <c r="W52" s="132"/>
    </row>
    <row r="53" spans="1:23" x14ac:dyDescent="0.3">
      <c r="A53" s="705">
        <v>19</v>
      </c>
      <c r="B53" s="705" t="s">
        <v>10009</v>
      </c>
      <c r="C53" s="705" t="s">
        <v>468</v>
      </c>
      <c r="D53" s="706">
        <v>2600</v>
      </c>
      <c r="E53" s="706">
        <v>2650</v>
      </c>
      <c r="F53" s="705" t="s">
        <v>9341</v>
      </c>
      <c r="G53" s="705">
        <f t="shared" si="7"/>
        <v>100</v>
      </c>
      <c r="H53" s="705">
        <v>8</v>
      </c>
      <c r="I53" s="705">
        <v>3</v>
      </c>
      <c r="J53" s="707">
        <f t="shared" si="3"/>
        <v>0.125</v>
      </c>
      <c r="K53" s="708">
        <f t="shared" si="4"/>
        <v>12.5</v>
      </c>
      <c r="L53" s="705" t="s">
        <v>10221</v>
      </c>
      <c r="M53" s="709">
        <v>45726</v>
      </c>
      <c r="N53" s="705" t="s">
        <v>10203</v>
      </c>
      <c r="Q53" s="711"/>
      <c r="R53" s="711"/>
      <c r="S53" s="711"/>
      <c r="W53" s="132"/>
    </row>
    <row r="54" spans="1:23" x14ac:dyDescent="0.3">
      <c r="A54" s="705">
        <v>20</v>
      </c>
      <c r="B54" s="705" t="s">
        <v>10009</v>
      </c>
      <c r="C54" s="705" t="s">
        <v>468</v>
      </c>
      <c r="D54" s="706">
        <v>2600</v>
      </c>
      <c r="E54" s="706">
        <v>2650</v>
      </c>
      <c r="F54" s="705" t="s">
        <v>9341</v>
      </c>
      <c r="G54" s="705">
        <f t="shared" si="7"/>
        <v>100</v>
      </c>
      <c r="H54" s="705">
        <v>8</v>
      </c>
      <c r="I54" s="705">
        <v>4</v>
      </c>
      <c r="J54" s="707">
        <f t="shared" si="3"/>
        <v>0.125</v>
      </c>
      <c r="K54" s="708">
        <f t="shared" si="4"/>
        <v>12.5</v>
      </c>
      <c r="L54" s="705" t="s">
        <v>10222</v>
      </c>
      <c r="M54" s="709">
        <v>45727</v>
      </c>
      <c r="N54" s="705" t="s">
        <v>10203</v>
      </c>
      <c r="Q54" s="711"/>
      <c r="R54" s="711"/>
      <c r="S54" s="711"/>
      <c r="W54" s="132"/>
    </row>
    <row r="55" spans="1:23" x14ac:dyDescent="0.3">
      <c r="A55" s="705">
        <v>21</v>
      </c>
      <c r="B55" s="705" t="s">
        <v>10009</v>
      </c>
      <c r="C55" s="705" t="s">
        <v>468</v>
      </c>
      <c r="D55" s="706">
        <v>2600</v>
      </c>
      <c r="E55" s="706">
        <v>2650</v>
      </c>
      <c r="F55" s="705" t="s">
        <v>9341</v>
      </c>
      <c r="G55" s="705">
        <f t="shared" si="7"/>
        <v>100</v>
      </c>
      <c r="H55" s="705">
        <v>8</v>
      </c>
      <c r="I55" s="705">
        <v>5</v>
      </c>
      <c r="J55" s="707">
        <f t="shared" si="3"/>
        <v>0.125</v>
      </c>
      <c r="K55" s="708">
        <f t="shared" si="4"/>
        <v>12.5</v>
      </c>
      <c r="L55" s="705" t="s">
        <v>10223</v>
      </c>
      <c r="M55" s="709">
        <v>45728</v>
      </c>
      <c r="N55" s="705" t="s">
        <v>10203</v>
      </c>
      <c r="Q55" s="711"/>
      <c r="R55" s="711"/>
      <c r="S55" s="711"/>
      <c r="W55" s="132"/>
    </row>
    <row r="56" spans="1:23" x14ac:dyDescent="0.3">
      <c r="A56" s="705">
        <v>22</v>
      </c>
      <c r="B56" s="705" t="s">
        <v>10009</v>
      </c>
      <c r="C56" s="705" t="s">
        <v>468</v>
      </c>
      <c r="D56" s="706">
        <v>2600</v>
      </c>
      <c r="E56" s="706">
        <v>2650</v>
      </c>
      <c r="F56" s="705" t="s">
        <v>9341</v>
      </c>
      <c r="G56" s="705">
        <f t="shared" si="7"/>
        <v>100</v>
      </c>
      <c r="H56" s="705">
        <v>8</v>
      </c>
      <c r="I56" s="705">
        <v>6</v>
      </c>
      <c r="J56" s="707">
        <f t="shared" si="3"/>
        <v>0.125</v>
      </c>
      <c r="K56" s="708">
        <f t="shared" si="4"/>
        <v>12.5</v>
      </c>
      <c r="L56" s="705" t="s">
        <v>10224</v>
      </c>
      <c r="M56" s="709">
        <v>45729</v>
      </c>
      <c r="N56" s="705" t="s">
        <v>10203</v>
      </c>
      <c r="Q56" s="711"/>
      <c r="R56" s="711"/>
      <c r="S56" s="711"/>
      <c r="W56" s="132"/>
    </row>
    <row r="57" spans="1:23" x14ac:dyDescent="0.3">
      <c r="A57" s="705">
        <v>23</v>
      </c>
      <c r="B57" s="705" t="s">
        <v>10011</v>
      </c>
      <c r="C57" s="705" t="s">
        <v>468</v>
      </c>
      <c r="D57" s="706">
        <v>2700</v>
      </c>
      <c r="E57" s="706">
        <v>2900</v>
      </c>
      <c r="F57" s="705" t="s">
        <v>9341</v>
      </c>
      <c r="G57" s="705">
        <f t="shared" si="7"/>
        <v>400</v>
      </c>
      <c r="H57" s="705">
        <v>11</v>
      </c>
      <c r="I57" s="705">
        <v>1</v>
      </c>
      <c r="J57" s="707">
        <f t="shared" si="3"/>
        <v>9.0909090909090912E-2</v>
      </c>
      <c r="K57" s="708">
        <f t="shared" si="4"/>
        <v>36.363636363636367</v>
      </c>
      <c r="L57" s="705" t="s">
        <v>10225</v>
      </c>
      <c r="M57" s="709">
        <v>45723</v>
      </c>
      <c r="N57" s="705" t="s">
        <v>10203</v>
      </c>
      <c r="Q57" s="711"/>
      <c r="R57" s="711"/>
      <c r="S57" s="711"/>
      <c r="W57" s="132"/>
    </row>
    <row r="58" spans="1:23" x14ac:dyDescent="0.3">
      <c r="A58" s="705">
        <v>24</v>
      </c>
      <c r="B58" s="705" t="s">
        <v>10011</v>
      </c>
      <c r="C58" s="705" t="s">
        <v>468</v>
      </c>
      <c r="D58" s="706">
        <v>2700</v>
      </c>
      <c r="E58" s="706">
        <v>2900</v>
      </c>
      <c r="F58" s="705" t="s">
        <v>9341</v>
      </c>
      <c r="G58" s="705">
        <f t="shared" ref="G58:G64" si="8">IF(F58="BHS",(ABS(D58-E58)*2),(ABS(D58-E58)))</f>
        <v>400</v>
      </c>
      <c r="H58" s="705">
        <v>11</v>
      </c>
      <c r="I58" s="705">
        <v>2</v>
      </c>
      <c r="J58" s="707">
        <f t="shared" ref="J58:J63" si="9">IFERROR(IF(I58&gt;0,1/H58,0),0)</f>
        <v>9.0909090909090912E-2</v>
      </c>
      <c r="K58" s="708">
        <f t="shared" ref="K58:K63" si="10">J58*G58</f>
        <v>36.363636363636367</v>
      </c>
      <c r="L58" s="705" t="s">
        <v>10226</v>
      </c>
      <c r="M58" s="709">
        <v>45724</v>
      </c>
      <c r="N58" s="705" t="s">
        <v>10203</v>
      </c>
      <c r="Q58" s="711"/>
      <c r="R58" s="711"/>
      <c r="S58" s="711"/>
      <c r="W58" s="132"/>
    </row>
    <row r="59" spans="1:23" x14ac:dyDescent="0.3">
      <c r="A59" s="705">
        <v>25</v>
      </c>
      <c r="B59" s="705" t="s">
        <v>10011</v>
      </c>
      <c r="C59" s="705" t="s">
        <v>468</v>
      </c>
      <c r="D59" s="706">
        <v>2700</v>
      </c>
      <c r="E59" s="706">
        <v>2900</v>
      </c>
      <c r="F59" s="705" t="s">
        <v>9341</v>
      </c>
      <c r="G59" s="705">
        <f t="shared" si="8"/>
        <v>400</v>
      </c>
      <c r="H59" s="705">
        <v>11</v>
      </c>
      <c r="I59" s="705">
        <v>3</v>
      </c>
      <c r="J59" s="707">
        <f t="shared" si="9"/>
        <v>9.0909090909090912E-2</v>
      </c>
      <c r="K59" s="708">
        <f t="shared" si="10"/>
        <v>36.363636363636367</v>
      </c>
      <c r="L59" s="705" t="s">
        <v>10227</v>
      </c>
      <c r="M59" s="709">
        <v>45725</v>
      </c>
      <c r="N59" s="705" t="s">
        <v>10203</v>
      </c>
      <c r="Q59" s="711"/>
      <c r="R59" s="711"/>
      <c r="S59" s="711"/>
      <c r="W59" s="132"/>
    </row>
    <row r="60" spans="1:23" x14ac:dyDescent="0.3">
      <c r="A60" s="705">
        <v>26</v>
      </c>
      <c r="B60" s="705" t="s">
        <v>10011</v>
      </c>
      <c r="C60" s="705" t="s">
        <v>468</v>
      </c>
      <c r="D60" s="706">
        <v>2700</v>
      </c>
      <c r="E60" s="706">
        <v>2900</v>
      </c>
      <c r="F60" s="705" t="s">
        <v>9341</v>
      </c>
      <c r="G60" s="705">
        <f t="shared" si="8"/>
        <v>400</v>
      </c>
      <c r="H60" s="705">
        <v>11</v>
      </c>
      <c r="I60" s="705">
        <v>4</v>
      </c>
      <c r="J60" s="707">
        <f t="shared" si="9"/>
        <v>9.0909090909090912E-2</v>
      </c>
      <c r="K60" s="708">
        <f t="shared" si="10"/>
        <v>36.363636363636367</v>
      </c>
      <c r="L60" s="705" t="s">
        <v>10228</v>
      </c>
      <c r="M60" s="709">
        <v>45726</v>
      </c>
      <c r="N60" s="705" t="s">
        <v>10203</v>
      </c>
      <c r="Q60" s="711"/>
      <c r="R60" s="711"/>
      <c r="S60" s="711"/>
      <c r="W60" s="132"/>
    </row>
    <row r="61" spans="1:23" x14ac:dyDescent="0.3">
      <c r="A61" s="705">
        <v>27</v>
      </c>
      <c r="B61" s="705" t="s">
        <v>10011</v>
      </c>
      <c r="C61" s="705" t="s">
        <v>468</v>
      </c>
      <c r="D61" s="706">
        <v>2700</v>
      </c>
      <c r="E61" s="706">
        <v>2900</v>
      </c>
      <c r="F61" s="705" t="s">
        <v>9341</v>
      </c>
      <c r="G61" s="705">
        <f t="shared" si="8"/>
        <v>400</v>
      </c>
      <c r="H61" s="705">
        <v>11</v>
      </c>
      <c r="I61" s="705">
        <v>5</v>
      </c>
      <c r="J61" s="707">
        <f t="shared" si="9"/>
        <v>9.0909090909090912E-2</v>
      </c>
      <c r="K61" s="708">
        <f t="shared" si="10"/>
        <v>36.363636363636367</v>
      </c>
      <c r="L61" s="705" t="s">
        <v>10229</v>
      </c>
      <c r="M61" s="709">
        <v>45727</v>
      </c>
      <c r="N61" s="705" t="s">
        <v>10203</v>
      </c>
      <c r="Q61" s="711"/>
      <c r="R61" s="711"/>
      <c r="S61" s="711"/>
      <c r="W61" s="132"/>
    </row>
    <row r="62" spans="1:23" x14ac:dyDescent="0.3">
      <c r="A62" s="705">
        <v>28</v>
      </c>
      <c r="B62" s="705" t="s">
        <v>10011</v>
      </c>
      <c r="C62" s="705" t="s">
        <v>468</v>
      </c>
      <c r="D62" s="706">
        <v>2700</v>
      </c>
      <c r="E62" s="706">
        <v>2900</v>
      </c>
      <c r="F62" s="705" t="s">
        <v>9341</v>
      </c>
      <c r="G62" s="705">
        <f t="shared" si="8"/>
        <v>400</v>
      </c>
      <c r="H62" s="705">
        <v>11</v>
      </c>
      <c r="I62" s="705">
        <v>6</v>
      </c>
      <c r="J62" s="707">
        <f t="shared" si="9"/>
        <v>9.0909090909090912E-2</v>
      </c>
      <c r="K62" s="708">
        <f t="shared" si="10"/>
        <v>36.363636363636367</v>
      </c>
      <c r="L62" s="705" t="s">
        <v>10230</v>
      </c>
      <c r="M62" s="709">
        <v>45728</v>
      </c>
      <c r="N62" s="705" t="s">
        <v>10203</v>
      </c>
      <c r="Q62" s="711"/>
      <c r="R62" s="711"/>
      <c r="S62" s="711"/>
      <c r="W62" s="132"/>
    </row>
    <row r="63" spans="1:23" x14ac:dyDescent="0.3">
      <c r="A63" s="705">
        <v>29</v>
      </c>
      <c r="B63" s="705" t="s">
        <v>10011</v>
      </c>
      <c r="C63" s="705" t="s">
        <v>468</v>
      </c>
      <c r="D63" s="706">
        <v>2700</v>
      </c>
      <c r="E63" s="706">
        <v>2900</v>
      </c>
      <c r="F63" s="705" t="s">
        <v>9341</v>
      </c>
      <c r="G63" s="705">
        <f>IF(F63="BHS",(ABS(D63-E63)*2),(ABS(D63-E63)))</f>
        <v>400</v>
      </c>
      <c r="H63" s="705">
        <v>11</v>
      </c>
      <c r="I63" s="705">
        <v>7</v>
      </c>
      <c r="J63" s="707">
        <f t="shared" si="9"/>
        <v>9.0909090909090912E-2</v>
      </c>
      <c r="K63" s="708">
        <f t="shared" si="10"/>
        <v>36.363636363636367</v>
      </c>
      <c r="L63" s="705" t="s">
        <v>10231</v>
      </c>
      <c r="M63" s="709">
        <v>45745</v>
      </c>
      <c r="N63" s="705" t="s">
        <v>10203</v>
      </c>
      <c r="Q63" s="711"/>
      <c r="R63" s="711"/>
      <c r="S63" s="711"/>
      <c r="W63" s="132"/>
    </row>
    <row r="64" spans="1:23" x14ac:dyDescent="0.3">
      <c r="A64" s="705">
        <v>30</v>
      </c>
      <c r="B64" s="705" t="s">
        <v>10013</v>
      </c>
      <c r="C64" s="705" t="s">
        <v>468</v>
      </c>
      <c r="D64" s="706">
        <v>3070</v>
      </c>
      <c r="E64" s="706">
        <v>3250</v>
      </c>
      <c r="F64" s="705" t="s">
        <v>9341</v>
      </c>
      <c r="G64" s="705">
        <f t="shared" si="8"/>
        <v>360</v>
      </c>
      <c r="H64" s="705">
        <v>26</v>
      </c>
      <c r="I64" s="705">
        <v>1</v>
      </c>
      <c r="J64" s="707">
        <f t="shared" ref="J64:J70" si="11">IFERROR(IF(I64&gt;0,1/H64,0),0)</f>
        <v>3.8461538461538464E-2</v>
      </c>
      <c r="K64" s="708">
        <f t="shared" ref="K64:K70" si="12">J64*G64</f>
        <v>13.846153846153847</v>
      </c>
      <c r="L64" s="705" t="s">
        <v>10232</v>
      </c>
      <c r="M64" s="709">
        <v>45724</v>
      </c>
      <c r="N64" s="705" t="s">
        <v>10203</v>
      </c>
      <c r="Q64" s="711"/>
      <c r="R64" s="711"/>
      <c r="S64" s="711"/>
      <c r="W64" s="132"/>
    </row>
    <row r="65" spans="1:23" x14ac:dyDescent="0.3">
      <c r="A65" s="705">
        <v>31</v>
      </c>
      <c r="B65" s="705" t="s">
        <v>10013</v>
      </c>
      <c r="C65" s="705" t="s">
        <v>468</v>
      </c>
      <c r="D65" s="706">
        <v>3070</v>
      </c>
      <c r="E65" s="706">
        <v>3250</v>
      </c>
      <c r="F65" s="705" t="s">
        <v>9341</v>
      </c>
      <c r="G65" s="705">
        <f t="shared" ref="G65:G72" si="13">IF(F65="BHS",(ABS(D65-E65)*2),(ABS(D65-E65)))</f>
        <v>360</v>
      </c>
      <c r="H65" s="705">
        <v>26</v>
      </c>
      <c r="I65" s="705">
        <v>2</v>
      </c>
      <c r="J65" s="707">
        <f t="shared" si="11"/>
        <v>3.8461538461538464E-2</v>
      </c>
      <c r="K65" s="708">
        <f t="shared" si="12"/>
        <v>13.846153846153847</v>
      </c>
      <c r="L65" s="705" t="s">
        <v>10233</v>
      </c>
      <c r="M65" s="709">
        <v>45725</v>
      </c>
      <c r="N65" s="705" t="s">
        <v>10203</v>
      </c>
      <c r="Q65" s="711"/>
      <c r="R65" s="711"/>
      <c r="S65" s="711"/>
      <c r="W65" s="132"/>
    </row>
    <row r="66" spans="1:23" x14ac:dyDescent="0.3">
      <c r="A66" s="705">
        <v>32</v>
      </c>
      <c r="B66" s="705" t="s">
        <v>10013</v>
      </c>
      <c r="C66" s="705" t="s">
        <v>468</v>
      </c>
      <c r="D66" s="706">
        <v>3070</v>
      </c>
      <c r="E66" s="706">
        <v>3250</v>
      </c>
      <c r="F66" s="705" t="s">
        <v>9341</v>
      </c>
      <c r="G66" s="705">
        <f t="shared" si="13"/>
        <v>360</v>
      </c>
      <c r="H66" s="705">
        <v>26</v>
      </c>
      <c r="I66" s="705">
        <v>3</v>
      </c>
      <c r="J66" s="707">
        <f t="shared" si="11"/>
        <v>3.8461538461538464E-2</v>
      </c>
      <c r="K66" s="708">
        <f t="shared" si="12"/>
        <v>13.846153846153847</v>
      </c>
      <c r="L66" s="705" t="s">
        <v>10234</v>
      </c>
      <c r="M66" s="709">
        <v>45726</v>
      </c>
      <c r="N66" s="705" t="s">
        <v>10203</v>
      </c>
      <c r="Q66" s="711"/>
      <c r="R66" s="711"/>
      <c r="S66" s="711"/>
      <c r="W66" s="132"/>
    </row>
    <row r="67" spans="1:23" x14ac:dyDescent="0.3">
      <c r="A67" s="705">
        <v>33</v>
      </c>
      <c r="B67" s="705" t="s">
        <v>10013</v>
      </c>
      <c r="C67" s="705" t="s">
        <v>468</v>
      </c>
      <c r="D67" s="706">
        <v>3070</v>
      </c>
      <c r="E67" s="706">
        <v>3250</v>
      </c>
      <c r="F67" s="705" t="s">
        <v>9341</v>
      </c>
      <c r="G67" s="705">
        <f t="shared" si="13"/>
        <v>360</v>
      </c>
      <c r="H67" s="705">
        <v>26</v>
      </c>
      <c r="I67" s="705">
        <v>4</v>
      </c>
      <c r="J67" s="707">
        <f t="shared" si="11"/>
        <v>3.8461538461538464E-2</v>
      </c>
      <c r="K67" s="708">
        <f t="shared" si="12"/>
        <v>13.846153846153847</v>
      </c>
      <c r="L67" s="705" t="s">
        <v>10235</v>
      </c>
      <c r="M67" s="709">
        <v>45727</v>
      </c>
      <c r="N67" s="705" t="s">
        <v>10203</v>
      </c>
      <c r="Q67" s="711"/>
      <c r="R67" s="711"/>
      <c r="S67" s="711"/>
      <c r="W67" s="132"/>
    </row>
    <row r="68" spans="1:23" x14ac:dyDescent="0.3">
      <c r="A68" s="705">
        <v>34</v>
      </c>
      <c r="B68" s="705" t="s">
        <v>10013</v>
      </c>
      <c r="C68" s="705" t="s">
        <v>468</v>
      </c>
      <c r="D68" s="706">
        <v>3070</v>
      </c>
      <c r="E68" s="706">
        <v>3250</v>
      </c>
      <c r="F68" s="705" t="s">
        <v>9341</v>
      </c>
      <c r="G68" s="705">
        <f t="shared" si="13"/>
        <v>360</v>
      </c>
      <c r="H68" s="705">
        <v>26</v>
      </c>
      <c r="I68" s="705">
        <v>5</v>
      </c>
      <c r="J68" s="707">
        <f t="shared" si="11"/>
        <v>3.8461538461538464E-2</v>
      </c>
      <c r="K68" s="708">
        <f t="shared" si="12"/>
        <v>13.846153846153847</v>
      </c>
      <c r="L68" s="705" t="s">
        <v>10236</v>
      </c>
      <c r="M68" s="709">
        <v>45728</v>
      </c>
      <c r="N68" s="705" t="s">
        <v>10203</v>
      </c>
      <c r="Q68" s="711"/>
      <c r="R68" s="711"/>
      <c r="S68" s="711"/>
      <c r="W68" s="132"/>
    </row>
    <row r="69" spans="1:23" x14ac:dyDescent="0.3">
      <c r="A69" s="705">
        <v>35</v>
      </c>
      <c r="B69" s="705" t="s">
        <v>10013</v>
      </c>
      <c r="C69" s="705" t="s">
        <v>468</v>
      </c>
      <c r="D69" s="706">
        <v>3070</v>
      </c>
      <c r="E69" s="706">
        <v>3250</v>
      </c>
      <c r="F69" s="705" t="s">
        <v>9341</v>
      </c>
      <c r="G69" s="705">
        <f t="shared" si="13"/>
        <v>360</v>
      </c>
      <c r="H69" s="705">
        <v>26</v>
      </c>
      <c r="I69" s="705">
        <v>6</v>
      </c>
      <c r="J69" s="707">
        <f t="shared" si="11"/>
        <v>3.8461538461538464E-2</v>
      </c>
      <c r="K69" s="708">
        <f t="shared" si="12"/>
        <v>13.846153846153847</v>
      </c>
      <c r="L69" s="705" t="s">
        <v>10237</v>
      </c>
      <c r="M69" s="709">
        <v>45729</v>
      </c>
      <c r="N69" s="705" t="s">
        <v>10203</v>
      </c>
      <c r="Q69" s="711"/>
      <c r="R69" s="711"/>
      <c r="S69" s="711"/>
      <c r="W69" s="132"/>
    </row>
    <row r="70" spans="1:23" x14ac:dyDescent="0.3">
      <c r="A70" s="705">
        <v>36</v>
      </c>
      <c r="B70" s="705" t="s">
        <v>10013</v>
      </c>
      <c r="C70" s="705" t="s">
        <v>468</v>
      </c>
      <c r="D70" s="706">
        <v>3070</v>
      </c>
      <c r="E70" s="706">
        <v>3250</v>
      </c>
      <c r="F70" s="705" t="s">
        <v>9341</v>
      </c>
      <c r="G70" s="705">
        <f t="shared" si="13"/>
        <v>360</v>
      </c>
      <c r="H70" s="705">
        <v>26</v>
      </c>
      <c r="I70" s="705">
        <v>7</v>
      </c>
      <c r="J70" s="707">
        <f t="shared" si="11"/>
        <v>3.8461538461538464E-2</v>
      </c>
      <c r="K70" s="708">
        <f t="shared" si="12"/>
        <v>13.846153846153847</v>
      </c>
      <c r="L70" s="705" t="s">
        <v>10238</v>
      </c>
      <c r="M70" s="709">
        <v>45743</v>
      </c>
      <c r="N70" s="705" t="s">
        <v>10203</v>
      </c>
      <c r="Q70" s="711"/>
      <c r="R70" s="711"/>
      <c r="S70" s="711"/>
      <c r="W70" s="132"/>
    </row>
    <row r="71" spans="1:23" x14ac:dyDescent="0.3">
      <c r="A71" s="705">
        <v>37</v>
      </c>
      <c r="B71" s="705" t="s">
        <v>10013</v>
      </c>
      <c r="C71" s="705" t="s">
        <v>468</v>
      </c>
      <c r="D71" s="706">
        <v>3070</v>
      </c>
      <c r="E71" s="706">
        <v>3250</v>
      </c>
      <c r="F71" s="705" t="s">
        <v>9341</v>
      </c>
      <c r="G71" s="705">
        <f>IF(F71="BHS",(ABS(D71-E71)*2),(ABS(D71-E71)))</f>
        <v>360</v>
      </c>
      <c r="H71" s="705">
        <v>26</v>
      </c>
      <c r="I71" s="705">
        <v>8</v>
      </c>
      <c r="J71" s="707">
        <f>IFERROR(IF(I71&gt;0,1/H71,0),0)</f>
        <v>3.8461538461538464E-2</v>
      </c>
      <c r="K71" s="708">
        <f>J71*G71</f>
        <v>13.846153846153847</v>
      </c>
      <c r="L71" s="705" t="s">
        <v>10239</v>
      </c>
      <c r="M71" s="709">
        <v>45745</v>
      </c>
      <c r="N71" s="705" t="s">
        <v>10203</v>
      </c>
      <c r="Q71" s="711"/>
      <c r="R71" s="711"/>
      <c r="S71" s="711"/>
      <c r="W71" s="132"/>
    </row>
    <row r="72" spans="1:23" x14ac:dyDescent="0.3">
      <c r="A72" s="705">
        <v>38</v>
      </c>
      <c r="B72" s="705" t="s">
        <v>10016</v>
      </c>
      <c r="C72" s="705" t="s">
        <v>468</v>
      </c>
      <c r="D72" s="706">
        <v>9630</v>
      </c>
      <c r="E72" s="706">
        <v>9740</v>
      </c>
      <c r="F72" s="705" t="s">
        <v>9346</v>
      </c>
      <c r="G72" s="705">
        <f t="shared" si="13"/>
        <v>110</v>
      </c>
      <c r="H72" s="705">
        <v>14</v>
      </c>
      <c r="I72" s="705">
        <v>1</v>
      </c>
      <c r="J72" s="707">
        <f t="shared" ref="J72:J102" si="14">IFERROR(IF(I72&gt;0,1/H72,0),0)</f>
        <v>7.1428571428571425E-2</v>
      </c>
      <c r="K72" s="708">
        <f t="shared" ref="K72:K102" si="15">J72*G72</f>
        <v>7.8571428571428568</v>
      </c>
      <c r="L72" s="705" t="s">
        <v>10240</v>
      </c>
      <c r="M72" s="709">
        <v>45723</v>
      </c>
      <c r="N72" s="705" t="s">
        <v>10203</v>
      </c>
      <c r="Q72" s="711"/>
      <c r="R72" s="711"/>
      <c r="S72" s="711"/>
      <c r="W72" s="132"/>
    </row>
    <row r="73" spans="1:23" x14ac:dyDescent="0.3">
      <c r="A73" s="705">
        <v>39</v>
      </c>
      <c r="B73" s="705" t="s">
        <v>10016</v>
      </c>
      <c r="C73" s="705" t="s">
        <v>468</v>
      </c>
      <c r="D73" s="706">
        <v>9630</v>
      </c>
      <c r="E73" s="706">
        <v>9740</v>
      </c>
      <c r="F73" s="705" t="s">
        <v>9346</v>
      </c>
      <c r="G73" s="705">
        <f t="shared" ref="G73:G102" si="16">IF(F73="BHS",(ABS(D73-E73)*2),(ABS(D73-E73)))</f>
        <v>110</v>
      </c>
      <c r="H73" s="705">
        <v>14</v>
      </c>
      <c r="I73" s="705">
        <v>2</v>
      </c>
      <c r="J73" s="707">
        <f t="shared" si="14"/>
        <v>7.1428571428571425E-2</v>
      </c>
      <c r="K73" s="708">
        <f t="shared" si="15"/>
        <v>7.8571428571428568</v>
      </c>
      <c r="L73" s="705" t="s">
        <v>10241</v>
      </c>
      <c r="M73" s="709">
        <v>45726</v>
      </c>
      <c r="N73" s="705" t="s">
        <v>10203</v>
      </c>
      <c r="Q73" s="711"/>
      <c r="R73" s="711"/>
      <c r="S73" s="711"/>
      <c r="W73" s="132"/>
    </row>
    <row r="74" spans="1:23" x14ac:dyDescent="0.3">
      <c r="A74" s="705">
        <v>40</v>
      </c>
      <c r="B74" s="705" t="s">
        <v>10016</v>
      </c>
      <c r="C74" s="705" t="s">
        <v>468</v>
      </c>
      <c r="D74" s="706">
        <v>9630</v>
      </c>
      <c r="E74" s="706">
        <v>9740</v>
      </c>
      <c r="F74" s="705" t="s">
        <v>9346</v>
      </c>
      <c r="G74" s="705">
        <f t="shared" si="16"/>
        <v>110</v>
      </c>
      <c r="H74" s="705">
        <v>14</v>
      </c>
      <c r="I74" s="705">
        <v>3</v>
      </c>
      <c r="J74" s="707">
        <f t="shared" si="14"/>
        <v>7.1428571428571425E-2</v>
      </c>
      <c r="K74" s="708">
        <f t="shared" si="15"/>
        <v>7.8571428571428568</v>
      </c>
      <c r="L74" s="705" t="s">
        <v>10242</v>
      </c>
      <c r="M74" s="709">
        <v>45731</v>
      </c>
      <c r="N74" s="705" t="s">
        <v>10203</v>
      </c>
      <c r="Q74" s="711"/>
      <c r="R74" s="711"/>
      <c r="S74" s="711"/>
      <c r="W74" s="132"/>
    </row>
    <row r="75" spans="1:23" x14ac:dyDescent="0.3">
      <c r="A75" s="705">
        <v>41</v>
      </c>
      <c r="B75" s="705" t="s">
        <v>10016</v>
      </c>
      <c r="C75" s="705" t="s">
        <v>468</v>
      </c>
      <c r="D75" s="706">
        <v>9630</v>
      </c>
      <c r="E75" s="706">
        <v>9740</v>
      </c>
      <c r="F75" s="705" t="s">
        <v>9346</v>
      </c>
      <c r="G75" s="705">
        <f t="shared" si="16"/>
        <v>110</v>
      </c>
      <c r="H75" s="705">
        <v>14</v>
      </c>
      <c r="I75" s="705">
        <v>4</v>
      </c>
      <c r="J75" s="707">
        <f t="shared" ref="J75:J83" si="17">IFERROR(IF(I75&gt;0,1/H75,0),0)</f>
        <v>7.1428571428571425E-2</v>
      </c>
      <c r="K75" s="708">
        <f t="shared" ref="K75:K83" si="18">J75*G75</f>
        <v>7.8571428571428568</v>
      </c>
      <c r="L75" s="705" t="s">
        <v>10243</v>
      </c>
      <c r="M75" s="709">
        <v>45740</v>
      </c>
      <c r="N75" s="705" t="s">
        <v>10203</v>
      </c>
      <c r="Q75" s="711"/>
      <c r="R75" s="711"/>
      <c r="S75" s="711"/>
      <c r="W75" s="132"/>
    </row>
    <row r="76" spans="1:23" x14ac:dyDescent="0.3">
      <c r="A76" s="705">
        <v>42</v>
      </c>
      <c r="B76" s="705" t="s">
        <v>10019</v>
      </c>
      <c r="C76" s="705" t="s">
        <v>468</v>
      </c>
      <c r="D76" s="706">
        <v>9740</v>
      </c>
      <c r="E76" s="706">
        <v>9780</v>
      </c>
      <c r="F76" s="705" t="s">
        <v>9346</v>
      </c>
      <c r="G76" s="705">
        <f t="shared" si="16"/>
        <v>40</v>
      </c>
      <c r="H76" s="705">
        <v>9</v>
      </c>
      <c r="I76" s="705">
        <v>1</v>
      </c>
      <c r="J76" s="707">
        <f t="shared" si="17"/>
        <v>0.1111111111111111</v>
      </c>
      <c r="K76" s="708">
        <f t="shared" si="18"/>
        <v>4.4444444444444446</v>
      </c>
      <c r="L76" s="705" t="s">
        <v>10244</v>
      </c>
      <c r="M76" s="709" t="s">
        <v>10245</v>
      </c>
      <c r="N76" s="705" t="s">
        <v>10203</v>
      </c>
      <c r="Q76" s="711"/>
      <c r="R76" s="711"/>
      <c r="S76" s="711"/>
      <c r="W76" s="132"/>
    </row>
    <row r="77" spans="1:23" x14ac:dyDescent="0.3">
      <c r="A77" s="705">
        <v>43</v>
      </c>
      <c r="B77" s="705" t="s">
        <v>10019</v>
      </c>
      <c r="C77" s="705" t="s">
        <v>468</v>
      </c>
      <c r="D77" s="706">
        <v>9740</v>
      </c>
      <c r="E77" s="706">
        <v>9780</v>
      </c>
      <c r="F77" s="705" t="s">
        <v>9346</v>
      </c>
      <c r="G77" s="705">
        <f t="shared" si="16"/>
        <v>40</v>
      </c>
      <c r="H77" s="705">
        <v>9</v>
      </c>
      <c r="I77" s="705">
        <v>2</v>
      </c>
      <c r="J77" s="707">
        <f t="shared" si="17"/>
        <v>0.1111111111111111</v>
      </c>
      <c r="K77" s="708">
        <f t="shared" si="18"/>
        <v>4.4444444444444446</v>
      </c>
      <c r="L77" s="705" t="s">
        <v>10246</v>
      </c>
      <c r="M77" s="709" t="s">
        <v>10247</v>
      </c>
      <c r="N77" s="705" t="s">
        <v>10203</v>
      </c>
      <c r="Q77" s="711"/>
      <c r="R77" s="711"/>
      <c r="S77" s="711"/>
      <c r="W77" s="132"/>
    </row>
    <row r="78" spans="1:23" x14ac:dyDescent="0.3">
      <c r="A78" s="705">
        <v>44</v>
      </c>
      <c r="B78" s="705" t="s">
        <v>10019</v>
      </c>
      <c r="C78" s="705" t="s">
        <v>468</v>
      </c>
      <c r="D78" s="706">
        <v>9740</v>
      </c>
      <c r="E78" s="706">
        <v>9780</v>
      </c>
      <c r="F78" s="705" t="s">
        <v>9346</v>
      </c>
      <c r="G78" s="705">
        <f t="shared" si="16"/>
        <v>40</v>
      </c>
      <c r="H78" s="705">
        <v>9</v>
      </c>
      <c r="I78" s="705">
        <v>3</v>
      </c>
      <c r="J78" s="707">
        <f t="shared" si="17"/>
        <v>0.1111111111111111</v>
      </c>
      <c r="K78" s="708">
        <f t="shared" si="18"/>
        <v>4.4444444444444446</v>
      </c>
      <c r="L78" s="705" t="s">
        <v>10248</v>
      </c>
      <c r="M78" s="709" t="s">
        <v>10247</v>
      </c>
      <c r="N78" s="705" t="s">
        <v>10203</v>
      </c>
      <c r="Q78" s="711"/>
      <c r="R78" s="711"/>
      <c r="S78" s="711"/>
      <c r="W78" s="132"/>
    </row>
    <row r="79" spans="1:23" x14ac:dyDescent="0.3">
      <c r="A79" s="705">
        <v>45</v>
      </c>
      <c r="B79" s="705" t="s">
        <v>10019</v>
      </c>
      <c r="C79" s="705" t="s">
        <v>468</v>
      </c>
      <c r="D79" s="706">
        <v>9740</v>
      </c>
      <c r="E79" s="706">
        <v>9780</v>
      </c>
      <c r="F79" s="705" t="s">
        <v>9346</v>
      </c>
      <c r="G79" s="705">
        <f t="shared" si="16"/>
        <v>40</v>
      </c>
      <c r="H79" s="705">
        <v>9</v>
      </c>
      <c r="I79" s="705">
        <v>4</v>
      </c>
      <c r="J79" s="707">
        <f t="shared" si="17"/>
        <v>0.1111111111111111</v>
      </c>
      <c r="K79" s="708">
        <f t="shared" si="18"/>
        <v>4.4444444444444446</v>
      </c>
      <c r="L79" s="705" t="s">
        <v>10243</v>
      </c>
      <c r="M79" s="709">
        <v>45740</v>
      </c>
      <c r="N79" s="705" t="s">
        <v>10203</v>
      </c>
      <c r="Q79" s="711"/>
      <c r="R79" s="711"/>
      <c r="S79" s="711"/>
      <c r="W79" s="132"/>
    </row>
    <row r="80" spans="1:23" x14ac:dyDescent="0.3">
      <c r="A80" s="705">
        <v>46</v>
      </c>
      <c r="B80" s="705" t="s">
        <v>10021</v>
      </c>
      <c r="C80" s="705" t="s">
        <v>468</v>
      </c>
      <c r="D80" s="706">
        <v>9780</v>
      </c>
      <c r="E80" s="706">
        <v>10000</v>
      </c>
      <c r="F80" s="705" t="s">
        <v>9346</v>
      </c>
      <c r="G80" s="705">
        <f t="shared" si="16"/>
        <v>220</v>
      </c>
      <c r="H80" s="705">
        <v>9</v>
      </c>
      <c r="I80" s="705">
        <v>1</v>
      </c>
      <c r="J80" s="707">
        <f t="shared" si="17"/>
        <v>0.1111111111111111</v>
      </c>
      <c r="K80" s="708">
        <f t="shared" si="18"/>
        <v>24.444444444444443</v>
      </c>
      <c r="L80" s="705" t="s">
        <v>10249</v>
      </c>
      <c r="M80" s="709">
        <v>45723</v>
      </c>
      <c r="N80" s="705" t="s">
        <v>10203</v>
      </c>
      <c r="Q80" s="711"/>
      <c r="R80" s="711"/>
      <c r="S80" s="711"/>
      <c r="W80" s="132"/>
    </row>
    <row r="81" spans="1:23" x14ac:dyDescent="0.3">
      <c r="A81" s="705">
        <v>47</v>
      </c>
      <c r="B81" s="705" t="s">
        <v>10021</v>
      </c>
      <c r="C81" s="705" t="s">
        <v>468</v>
      </c>
      <c r="D81" s="706">
        <v>9780</v>
      </c>
      <c r="E81" s="706">
        <v>10000</v>
      </c>
      <c r="F81" s="705" t="s">
        <v>9346</v>
      </c>
      <c r="G81" s="705">
        <f t="shared" si="16"/>
        <v>220</v>
      </c>
      <c r="H81" s="705">
        <v>9</v>
      </c>
      <c r="I81" s="705">
        <v>2</v>
      </c>
      <c r="J81" s="707">
        <f t="shared" si="17"/>
        <v>0.1111111111111111</v>
      </c>
      <c r="K81" s="708">
        <f t="shared" si="18"/>
        <v>24.444444444444443</v>
      </c>
      <c r="L81" s="705" t="s">
        <v>10250</v>
      </c>
      <c r="M81" s="709">
        <v>45723</v>
      </c>
      <c r="N81" s="705" t="s">
        <v>10203</v>
      </c>
      <c r="Q81" s="711"/>
      <c r="R81" s="711"/>
      <c r="S81" s="711"/>
      <c r="W81" s="132"/>
    </row>
    <row r="82" spans="1:23" x14ac:dyDescent="0.3">
      <c r="A82" s="705">
        <v>48</v>
      </c>
      <c r="B82" s="705" t="s">
        <v>10021</v>
      </c>
      <c r="C82" s="705" t="s">
        <v>468</v>
      </c>
      <c r="D82" s="706">
        <v>9780</v>
      </c>
      <c r="E82" s="706">
        <v>10000</v>
      </c>
      <c r="F82" s="705" t="s">
        <v>9346</v>
      </c>
      <c r="G82" s="705">
        <f t="shared" si="16"/>
        <v>220</v>
      </c>
      <c r="H82" s="705">
        <v>9</v>
      </c>
      <c r="I82" s="705">
        <v>3</v>
      </c>
      <c r="J82" s="707">
        <f t="shared" si="17"/>
        <v>0.1111111111111111</v>
      </c>
      <c r="K82" s="708">
        <f t="shared" si="18"/>
        <v>24.444444444444443</v>
      </c>
      <c r="L82" s="705" t="s">
        <v>10251</v>
      </c>
      <c r="M82" s="709">
        <v>45738</v>
      </c>
      <c r="N82" s="705" t="s">
        <v>10203</v>
      </c>
      <c r="Q82" s="711"/>
      <c r="R82" s="711"/>
      <c r="S82" s="711"/>
      <c r="W82" s="132"/>
    </row>
    <row r="83" spans="1:23" x14ac:dyDescent="0.3">
      <c r="A83" s="705">
        <v>49</v>
      </c>
      <c r="B83" s="705" t="s">
        <v>10021</v>
      </c>
      <c r="C83" s="705" t="s">
        <v>468</v>
      </c>
      <c r="D83" s="706">
        <v>9780</v>
      </c>
      <c r="E83" s="706">
        <v>10000</v>
      </c>
      <c r="F83" s="705" t="s">
        <v>9346</v>
      </c>
      <c r="G83" s="705">
        <f t="shared" si="16"/>
        <v>220</v>
      </c>
      <c r="H83" s="705">
        <v>9</v>
      </c>
      <c r="I83" s="705">
        <v>4</v>
      </c>
      <c r="J83" s="707">
        <f t="shared" si="17"/>
        <v>0.1111111111111111</v>
      </c>
      <c r="K83" s="708">
        <f t="shared" si="18"/>
        <v>24.444444444444443</v>
      </c>
      <c r="L83" s="705" t="s">
        <v>10243</v>
      </c>
      <c r="M83" s="709">
        <v>45740</v>
      </c>
      <c r="N83" s="705" t="s">
        <v>10203</v>
      </c>
      <c r="Q83" s="711"/>
      <c r="R83" s="711"/>
      <c r="S83" s="711"/>
      <c r="W83" s="132"/>
    </row>
    <row r="84" spans="1:23" x14ac:dyDescent="0.3">
      <c r="A84" s="705">
        <v>50</v>
      </c>
      <c r="B84" s="705" t="s">
        <v>10024</v>
      </c>
      <c r="C84" s="705" t="s">
        <v>468</v>
      </c>
      <c r="D84" s="706">
        <v>9650</v>
      </c>
      <c r="E84" s="706">
        <v>9750</v>
      </c>
      <c r="F84" s="705" t="s">
        <v>9367</v>
      </c>
      <c r="G84" s="705">
        <f t="shared" si="16"/>
        <v>100</v>
      </c>
      <c r="H84" s="705">
        <v>10</v>
      </c>
      <c r="I84" s="705">
        <v>1</v>
      </c>
      <c r="J84" s="707">
        <f t="shared" si="14"/>
        <v>0.1</v>
      </c>
      <c r="K84" s="708">
        <f t="shared" si="15"/>
        <v>10</v>
      </c>
      <c r="L84" s="705" t="s">
        <v>10252</v>
      </c>
      <c r="M84" s="709">
        <v>45723</v>
      </c>
      <c r="N84" s="705" t="s">
        <v>10203</v>
      </c>
      <c r="Q84" s="711"/>
      <c r="R84" s="711"/>
      <c r="S84" s="711"/>
      <c r="W84" s="132"/>
    </row>
    <row r="85" spans="1:23" x14ac:dyDescent="0.3">
      <c r="A85" s="705">
        <v>51</v>
      </c>
      <c r="B85" s="705" t="s">
        <v>10024</v>
      </c>
      <c r="C85" s="705" t="s">
        <v>468</v>
      </c>
      <c r="D85" s="706">
        <v>9650</v>
      </c>
      <c r="E85" s="706">
        <v>9750</v>
      </c>
      <c r="F85" s="705" t="s">
        <v>9367</v>
      </c>
      <c r="G85" s="705">
        <f t="shared" si="16"/>
        <v>100</v>
      </c>
      <c r="H85" s="705">
        <v>10</v>
      </c>
      <c r="I85" s="705">
        <v>2</v>
      </c>
      <c r="J85" s="707">
        <f t="shared" si="14"/>
        <v>0.1</v>
      </c>
      <c r="K85" s="708">
        <f t="shared" si="15"/>
        <v>10</v>
      </c>
      <c r="L85" s="705" t="s">
        <v>10253</v>
      </c>
      <c r="M85" s="709">
        <v>45726</v>
      </c>
      <c r="N85" s="705" t="s">
        <v>10203</v>
      </c>
      <c r="Q85" s="711"/>
      <c r="R85" s="711"/>
      <c r="S85" s="711"/>
      <c r="W85" s="132"/>
    </row>
    <row r="86" spans="1:23" x14ac:dyDescent="0.3">
      <c r="A86" s="705">
        <v>52</v>
      </c>
      <c r="B86" s="705" t="s">
        <v>10024</v>
      </c>
      <c r="C86" s="705" t="s">
        <v>468</v>
      </c>
      <c r="D86" s="706">
        <v>9650</v>
      </c>
      <c r="E86" s="706">
        <v>9750</v>
      </c>
      <c r="F86" s="705" t="s">
        <v>9367</v>
      </c>
      <c r="G86" s="705">
        <f t="shared" si="16"/>
        <v>100</v>
      </c>
      <c r="H86" s="705">
        <v>10</v>
      </c>
      <c r="I86" s="705">
        <v>3</v>
      </c>
      <c r="J86" s="707">
        <f>IFERROR(IF(I86&gt;0,1/H86,0),0)</f>
        <v>0.1</v>
      </c>
      <c r="K86" s="708">
        <f>J86*G86</f>
        <v>10</v>
      </c>
      <c r="L86" s="705" t="s">
        <v>10254</v>
      </c>
      <c r="M86" s="709">
        <v>45731</v>
      </c>
      <c r="N86" s="705" t="s">
        <v>10203</v>
      </c>
      <c r="Q86" s="711"/>
      <c r="R86" s="711"/>
      <c r="S86" s="711"/>
      <c r="W86" s="132"/>
    </row>
    <row r="87" spans="1:23" x14ac:dyDescent="0.3">
      <c r="A87" s="705">
        <v>53</v>
      </c>
      <c r="B87" s="705" t="s">
        <v>10027</v>
      </c>
      <c r="C87" s="705" t="s">
        <v>468</v>
      </c>
      <c r="D87" s="706">
        <v>10000</v>
      </c>
      <c r="E87" s="706">
        <v>10100</v>
      </c>
      <c r="F87" s="705" t="s">
        <v>9341</v>
      </c>
      <c r="G87" s="705">
        <f t="shared" si="16"/>
        <v>200</v>
      </c>
      <c r="H87" s="705">
        <v>14</v>
      </c>
      <c r="I87" s="705">
        <v>1</v>
      </c>
      <c r="J87" s="707">
        <f t="shared" si="14"/>
        <v>7.1428571428571425E-2</v>
      </c>
      <c r="K87" s="708">
        <f t="shared" si="15"/>
        <v>14.285714285714285</v>
      </c>
      <c r="L87" s="705" t="s">
        <v>10255</v>
      </c>
      <c r="M87" s="709">
        <v>45726</v>
      </c>
      <c r="N87" s="705" t="s">
        <v>10203</v>
      </c>
      <c r="Q87" s="711"/>
      <c r="R87" s="711"/>
      <c r="S87" s="711"/>
      <c r="W87" s="132"/>
    </row>
    <row r="88" spans="1:23" x14ac:dyDescent="0.3">
      <c r="A88" s="705">
        <v>54</v>
      </c>
      <c r="B88" s="705" t="s">
        <v>10027</v>
      </c>
      <c r="C88" s="705" t="s">
        <v>468</v>
      </c>
      <c r="D88" s="706">
        <v>10000</v>
      </c>
      <c r="E88" s="706">
        <v>10100</v>
      </c>
      <c r="F88" s="705" t="s">
        <v>9341</v>
      </c>
      <c r="G88" s="705">
        <f t="shared" si="16"/>
        <v>200</v>
      </c>
      <c r="H88" s="705">
        <v>14</v>
      </c>
      <c r="I88" s="705">
        <v>2</v>
      </c>
      <c r="J88" s="707">
        <f t="shared" si="14"/>
        <v>7.1428571428571425E-2</v>
      </c>
      <c r="K88" s="708">
        <f t="shared" si="15"/>
        <v>14.285714285714285</v>
      </c>
      <c r="L88" s="705" t="s">
        <v>10256</v>
      </c>
      <c r="M88" s="709">
        <v>45731</v>
      </c>
      <c r="N88" s="705" t="s">
        <v>10203</v>
      </c>
      <c r="Q88" s="711"/>
      <c r="R88" s="711"/>
      <c r="S88" s="711"/>
      <c r="W88" s="132"/>
    </row>
    <row r="89" spans="1:23" x14ac:dyDescent="0.3">
      <c r="A89" s="705">
        <v>55</v>
      </c>
      <c r="B89" s="705" t="s">
        <v>10030</v>
      </c>
      <c r="C89" s="705" t="s">
        <v>468</v>
      </c>
      <c r="D89" s="706">
        <v>10338</v>
      </c>
      <c r="E89" s="706">
        <v>10450</v>
      </c>
      <c r="F89" s="705" t="s">
        <v>9341</v>
      </c>
      <c r="G89" s="705">
        <f t="shared" si="16"/>
        <v>224</v>
      </c>
      <c r="H89" s="705">
        <v>18</v>
      </c>
      <c r="I89" s="705">
        <v>1</v>
      </c>
      <c r="J89" s="707">
        <f t="shared" si="14"/>
        <v>5.5555555555555552E-2</v>
      </c>
      <c r="K89" s="708">
        <f t="shared" si="15"/>
        <v>12.444444444444443</v>
      </c>
      <c r="L89" s="705" t="s">
        <v>10257</v>
      </c>
      <c r="M89" s="709">
        <v>45723</v>
      </c>
      <c r="N89" s="705" t="s">
        <v>10203</v>
      </c>
      <c r="Q89" s="711"/>
      <c r="R89" s="711"/>
      <c r="S89" s="711"/>
      <c r="W89" s="132"/>
    </row>
    <row r="90" spans="1:23" x14ac:dyDescent="0.3">
      <c r="A90" s="705">
        <v>56</v>
      </c>
      <c r="B90" s="705" t="s">
        <v>10030</v>
      </c>
      <c r="C90" s="705" t="s">
        <v>468</v>
      </c>
      <c r="D90" s="706">
        <v>10338</v>
      </c>
      <c r="E90" s="706">
        <v>10450</v>
      </c>
      <c r="F90" s="705" t="s">
        <v>9341</v>
      </c>
      <c r="G90" s="705">
        <f t="shared" si="16"/>
        <v>224</v>
      </c>
      <c r="H90" s="705">
        <v>18</v>
      </c>
      <c r="I90" s="705">
        <v>2</v>
      </c>
      <c r="J90" s="707">
        <f t="shared" si="14"/>
        <v>5.5555555555555552E-2</v>
      </c>
      <c r="K90" s="708">
        <f t="shared" si="15"/>
        <v>12.444444444444443</v>
      </c>
      <c r="L90" s="705" t="s">
        <v>10258</v>
      </c>
      <c r="M90" s="709">
        <v>45731</v>
      </c>
      <c r="N90" s="705" t="s">
        <v>10203</v>
      </c>
      <c r="Q90" s="711"/>
      <c r="R90" s="711"/>
      <c r="S90" s="711"/>
      <c r="W90" s="132"/>
    </row>
    <row r="91" spans="1:23" x14ac:dyDescent="0.3">
      <c r="A91" s="705">
        <v>57</v>
      </c>
      <c r="B91" s="705" t="s">
        <v>10032</v>
      </c>
      <c r="C91" s="705" t="s">
        <v>468</v>
      </c>
      <c r="D91" s="706">
        <v>10450</v>
      </c>
      <c r="E91" s="706">
        <v>10550</v>
      </c>
      <c r="F91" s="705" t="s">
        <v>9341</v>
      </c>
      <c r="G91" s="705">
        <f t="shared" si="16"/>
        <v>200</v>
      </c>
      <c r="H91" s="705">
        <v>17</v>
      </c>
      <c r="I91" s="705">
        <v>1</v>
      </c>
      <c r="J91" s="707">
        <f>IFERROR(IF(I91&gt;0,1/H91,0),0)</f>
        <v>5.8823529411764705E-2</v>
      </c>
      <c r="K91" s="708">
        <f>J91*G91</f>
        <v>11.76470588235294</v>
      </c>
      <c r="L91" s="705" t="s">
        <v>10259</v>
      </c>
      <c r="M91" s="709">
        <v>45723</v>
      </c>
      <c r="N91" s="705" t="s">
        <v>10203</v>
      </c>
      <c r="Q91" s="711"/>
      <c r="R91" s="711"/>
      <c r="S91" s="711"/>
      <c r="W91" s="132"/>
    </row>
    <row r="92" spans="1:23" x14ac:dyDescent="0.3">
      <c r="A92" s="705">
        <v>58</v>
      </c>
      <c r="B92" s="705" t="s">
        <v>10032</v>
      </c>
      <c r="C92" s="705" t="s">
        <v>468</v>
      </c>
      <c r="D92" s="706">
        <v>10450</v>
      </c>
      <c r="E92" s="706">
        <v>10550</v>
      </c>
      <c r="F92" s="705" t="s">
        <v>9341</v>
      </c>
      <c r="G92" s="705">
        <f t="shared" si="16"/>
        <v>200</v>
      </c>
      <c r="H92" s="705">
        <v>17</v>
      </c>
      <c r="I92" s="705">
        <v>2</v>
      </c>
      <c r="J92" s="707">
        <f>IFERROR(IF(I92&gt;0,1/H92,0),0)</f>
        <v>5.8823529411764705E-2</v>
      </c>
      <c r="K92" s="708">
        <f>J92*G92</f>
        <v>11.76470588235294</v>
      </c>
      <c r="L92" s="705" t="s">
        <v>10260</v>
      </c>
      <c r="M92" s="709">
        <v>45731</v>
      </c>
      <c r="N92" s="705" t="s">
        <v>10203</v>
      </c>
      <c r="Q92" s="711"/>
      <c r="R92" s="711"/>
      <c r="S92" s="711"/>
      <c r="W92" s="132"/>
    </row>
    <row r="93" spans="1:23" x14ac:dyDescent="0.3">
      <c r="A93" s="705">
        <v>59</v>
      </c>
      <c r="B93" s="705" t="s">
        <v>10035</v>
      </c>
      <c r="C93" s="705" t="s">
        <v>468</v>
      </c>
      <c r="D93" s="706">
        <v>11800</v>
      </c>
      <c r="E93" s="706">
        <v>12000</v>
      </c>
      <c r="F93" s="705" t="s">
        <v>9367</v>
      </c>
      <c r="G93" s="705">
        <f t="shared" si="16"/>
        <v>200</v>
      </c>
      <c r="H93" s="705">
        <v>10</v>
      </c>
      <c r="I93" s="705">
        <v>1</v>
      </c>
      <c r="J93" s="707">
        <f t="shared" si="14"/>
        <v>0.1</v>
      </c>
      <c r="K93" s="708">
        <f t="shared" si="15"/>
        <v>20</v>
      </c>
      <c r="L93" s="705" t="s">
        <v>10261</v>
      </c>
      <c r="M93" s="709">
        <v>45740</v>
      </c>
      <c r="N93" s="705" t="s">
        <v>10203</v>
      </c>
      <c r="Q93" s="711"/>
      <c r="R93" s="711"/>
      <c r="S93" s="711"/>
      <c r="W93" s="132"/>
    </row>
    <row r="94" spans="1:23" x14ac:dyDescent="0.3">
      <c r="A94" s="705">
        <v>60</v>
      </c>
      <c r="B94" s="705" t="s">
        <v>10035</v>
      </c>
      <c r="C94" s="705" t="s">
        <v>468</v>
      </c>
      <c r="D94" s="706">
        <v>11800</v>
      </c>
      <c r="E94" s="706">
        <v>12000</v>
      </c>
      <c r="F94" s="705" t="s">
        <v>9367</v>
      </c>
      <c r="G94" s="705">
        <f t="shared" si="16"/>
        <v>200</v>
      </c>
      <c r="H94" s="705">
        <v>10</v>
      </c>
      <c r="I94" s="705">
        <v>2</v>
      </c>
      <c r="J94" s="707">
        <f t="shared" si="14"/>
        <v>0.1</v>
      </c>
      <c r="K94" s="708">
        <f t="shared" si="15"/>
        <v>20</v>
      </c>
      <c r="L94" s="705" t="s">
        <v>10262</v>
      </c>
      <c r="M94" s="709">
        <v>45743</v>
      </c>
      <c r="N94" s="705" t="s">
        <v>10203</v>
      </c>
      <c r="Q94" s="711"/>
      <c r="R94" s="711"/>
      <c r="S94" s="711"/>
      <c r="W94" s="132"/>
    </row>
    <row r="95" spans="1:23" x14ac:dyDescent="0.3">
      <c r="A95" s="705">
        <v>61</v>
      </c>
      <c r="B95" s="705" t="s">
        <v>10035</v>
      </c>
      <c r="C95" s="705" t="s">
        <v>468</v>
      </c>
      <c r="D95" s="706">
        <v>11800</v>
      </c>
      <c r="E95" s="706">
        <v>12000</v>
      </c>
      <c r="F95" s="705" t="s">
        <v>9367</v>
      </c>
      <c r="G95" s="705">
        <f t="shared" si="16"/>
        <v>200</v>
      </c>
      <c r="H95" s="705">
        <v>10</v>
      </c>
      <c r="I95" s="705">
        <v>3</v>
      </c>
      <c r="J95" s="707">
        <f>IFERROR(IF(I95&gt;0,1/H95,0),0)</f>
        <v>0.1</v>
      </c>
      <c r="K95" s="708">
        <f>J95*G95</f>
        <v>20</v>
      </c>
      <c r="L95" s="705" t="s">
        <v>10263</v>
      </c>
      <c r="M95" s="709">
        <v>45745</v>
      </c>
      <c r="N95" s="705" t="s">
        <v>10203</v>
      </c>
      <c r="Q95" s="711"/>
      <c r="R95" s="711"/>
      <c r="S95" s="711"/>
      <c r="W95" s="132"/>
    </row>
    <row r="96" spans="1:23" x14ac:dyDescent="0.3">
      <c r="A96" s="705">
        <v>62</v>
      </c>
      <c r="B96" s="705" t="s">
        <v>10037</v>
      </c>
      <c r="C96" s="705" t="s">
        <v>468</v>
      </c>
      <c r="D96" s="706">
        <v>11800</v>
      </c>
      <c r="E96" s="706">
        <v>11900</v>
      </c>
      <c r="F96" s="705" t="s">
        <v>9346</v>
      </c>
      <c r="G96" s="705">
        <f t="shared" si="16"/>
        <v>100</v>
      </c>
      <c r="H96" s="705">
        <v>8</v>
      </c>
      <c r="I96" s="705">
        <v>1</v>
      </c>
      <c r="J96" s="707">
        <f t="shared" si="14"/>
        <v>0.125</v>
      </c>
      <c r="K96" s="708">
        <f t="shared" si="15"/>
        <v>12.5</v>
      </c>
      <c r="L96" s="705" t="s">
        <v>10264</v>
      </c>
      <c r="M96" s="709">
        <v>45740</v>
      </c>
      <c r="N96" s="705" t="s">
        <v>10203</v>
      </c>
      <c r="Q96" s="711"/>
      <c r="R96" s="711"/>
      <c r="S96" s="711"/>
      <c r="W96" s="132"/>
    </row>
    <row r="97" spans="1:23" x14ac:dyDescent="0.3">
      <c r="A97" s="705">
        <v>63</v>
      </c>
      <c r="B97" s="705" t="s">
        <v>10037</v>
      </c>
      <c r="C97" s="705" t="s">
        <v>468</v>
      </c>
      <c r="D97" s="706">
        <v>11800</v>
      </c>
      <c r="E97" s="706">
        <v>11900</v>
      </c>
      <c r="F97" s="705" t="s">
        <v>9346</v>
      </c>
      <c r="G97" s="705">
        <f t="shared" si="16"/>
        <v>100</v>
      </c>
      <c r="H97" s="705">
        <v>8</v>
      </c>
      <c r="I97" s="705">
        <v>2</v>
      </c>
      <c r="J97" s="707">
        <f t="shared" si="14"/>
        <v>0.125</v>
      </c>
      <c r="K97" s="708">
        <f t="shared" si="15"/>
        <v>12.5</v>
      </c>
      <c r="L97" s="705" t="s">
        <v>10265</v>
      </c>
      <c r="M97" s="709">
        <v>45745</v>
      </c>
      <c r="N97" s="705" t="s">
        <v>10203</v>
      </c>
      <c r="Q97" s="711"/>
      <c r="R97" s="711"/>
      <c r="S97" s="711"/>
      <c r="W97" s="132"/>
    </row>
    <row r="98" spans="1:23" x14ac:dyDescent="0.3">
      <c r="A98" s="705">
        <v>64</v>
      </c>
      <c r="B98" s="705" t="s">
        <v>10041</v>
      </c>
      <c r="C98" s="705" t="s">
        <v>468</v>
      </c>
      <c r="D98" s="706">
        <v>11950</v>
      </c>
      <c r="E98" s="706">
        <v>12000</v>
      </c>
      <c r="F98" s="705" t="s">
        <v>9346</v>
      </c>
      <c r="G98" s="705">
        <f t="shared" si="16"/>
        <v>50</v>
      </c>
      <c r="H98" s="705">
        <v>8</v>
      </c>
      <c r="I98" s="705">
        <v>1</v>
      </c>
      <c r="J98" s="707">
        <f t="shared" si="14"/>
        <v>0.125</v>
      </c>
      <c r="K98" s="708">
        <f t="shared" si="15"/>
        <v>6.25</v>
      </c>
      <c r="L98" s="705" t="s">
        <v>10266</v>
      </c>
      <c r="M98" s="709">
        <v>45740</v>
      </c>
      <c r="N98" s="705" t="s">
        <v>10203</v>
      </c>
      <c r="Q98" s="711"/>
      <c r="R98" s="711"/>
      <c r="S98" s="711"/>
      <c r="W98" s="132"/>
    </row>
    <row r="99" spans="1:23" x14ac:dyDescent="0.3">
      <c r="A99" s="705">
        <v>65</v>
      </c>
      <c r="B99" s="705" t="s">
        <v>10041</v>
      </c>
      <c r="C99" s="705" t="s">
        <v>468</v>
      </c>
      <c r="D99" s="706">
        <v>11950</v>
      </c>
      <c r="E99" s="706">
        <v>12000</v>
      </c>
      <c r="F99" s="705" t="s">
        <v>9346</v>
      </c>
      <c r="G99" s="705">
        <f t="shared" si="16"/>
        <v>50</v>
      </c>
      <c r="H99" s="705">
        <v>8</v>
      </c>
      <c r="I99" s="705">
        <v>2</v>
      </c>
      <c r="J99" s="707">
        <f t="shared" si="14"/>
        <v>0.125</v>
      </c>
      <c r="K99" s="708">
        <f t="shared" si="15"/>
        <v>6.25</v>
      </c>
      <c r="L99" s="705" t="s">
        <v>10267</v>
      </c>
      <c r="M99" s="709">
        <v>45745</v>
      </c>
      <c r="N99" s="705" t="s">
        <v>10203</v>
      </c>
      <c r="Q99" s="711"/>
      <c r="R99" s="711"/>
      <c r="S99" s="711"/>
      <c r="W99" s="132"/>
    </row>
    <row r="100" spans="1:23" x14ac:dyDescent="0.3">
      <c r="A100" s="705">
        <v>66</v>
      </c>
      <c r="B100" s="705" t="s">
        <v>10041</v>
      </c>
      <c r="C100" s="705" t="s">
        <v>468</v>
      </c>
      <c r="D100" s="706">
        <v>11950</v>
      </c>
      <c r="E100" s="706">
        <v>12000</v>
      </c>
      <c r="F100" s="705" t="s">
        <v>9346</v>
      </c>
      <c r="G100" s="705">
        <f t="shared" si="16"/>
        <v>50</v>
      </c>
      <c r="H100" s="705">
        <v>8</v>
      </c>
      <c r="I100" s="705">
        <v>3</v>
      </c>
      <c r="J100" s="707">
        <f t="shared" si="14"/>
        <v>0.125</v>
      </c>
      <c r="K100" s="708">
        <f t="shared" si="15"/>
        <v>6.25</v>
      </c>
      <c r="L100" s="705" t="s">
        <v>10268</v>
      </c>
      <c r="M100" s="709">
        <v>45747</v>
      </c>
      <c r="N100" s="705" t="s">
        <v>10203</v>
      </c>
      <c r="Q100" s="711"/>
      <c r="R100" s="711"/>
      <c r="S100" s="711"/>
      <c r="W100" s="132"/>
    </row>
    <row r="101" spans="1:23" x14ac:dyDescent="0.3">
      <c r="A101" s="705">
        <v>67</v>
      </c>
      <c r="B101" s="705" t="s">
        <v>10044</v>
      </c>
      <c r="C101" s="705" t="s">
        <v>468</v>
      </c>
      <c r="D101" s="706">
        <v>12000</v>
      </c>
      <c r="E101" s="706">
        <v>12040</v>
      </c>
      <c r="F101" s="705" t="s">
        <v>9341</v>
      </c>
      <c r="G101" s="705">
        <f t="shared" si="16"/>
        <v>80</v>
      </c>
      <c r="H101" s="705">
        <v>7</v>
      </c>
      <c r="I101" s="705">
        <v>1</v>
      </c>
      <c r="J101" s="707">
        <f t="shared" si="14"/>
        <v>0.14285714285714285</v>
      </c>
      <c r="K101" s="708">
        <f t="shared" si="15"/>
        <v>11.428571428571427</v>
      </c>
      <c r="L101" s="705" t="s">
        <v>10269</v>
      </c>
      <c r="M101" s="709">
        <v>45745</v>
      </c>
      <c r="N101" s="705" t="s">
        <v>10203</v>
      </c>
      <c r="Q101" s="711"/>
      <c r="R101" s="711"/>
      <c r="S101" s="711"/>
      <c r="W101" s="132"/>
    </row>
    <row r="102" spans="1:23" x14ac:dyDescent="0.3">
      <c r="A102" s="705">
        <v>68</v>
      </c>
      <c r="B102" s="705" t="s">
        <v>10044</v>
      </c>
      <c r="C102" s="705" t="s">
        <v>468</v>
      </c>
      <c r="D102" s="706">
        <v>12000</v>
      </c>
      <c r="E102" s="706">
        <v>12040</v>
      </c>
      <c r="F102" s="705" t="s">
        <v>9341</v>
      </c>
      <c r="G102" s="705">
        <f t="shared" si="16"/>
        <v>80</v>
      </c>
      <c r="H102" s="705">
        <v>7</v>
      </c>
      <c r="I102" s="705">
        <v>2</v>
      </c>
      <c r="J102" s="707">
        <f t="shared" si="14"/>
        <v>0.14285714285714285</v>
      </c>
      <c r="K102" s="708">
        <f t="shared" si="15"/>
        <v>11.428571428571427</v>
      </c>
      <c r="L102" s="705" t="s">
        <v>10270</v>
      </c>
      <c r="M102" s="709">
        <v>45747</v>
      </c>
      <c r="N102" s="705" t="s">
        <v>10203</v>
      </c>
      <c r="W102" s="132"/>
    </row>
    <row r="103" spans="1:23" ht="7.65" customHeight="1" x14ac:dyDescent="0.3">
      <c r="A103" s="713"/>
      <c r="B103" s="713"/>
      <c r="C103" s="713"/>
      <c r="D103" s="714"/>
      <c r="E103" s="714"/>
      <c r="F103" s="713"/>
      <c r="G103" s="713"/>
      <c r="H103" s="713"/>
      <c r="I103" s="713"/>
      <c r="J103" s="715"/>
      <c r="K103" s="716"/>
      <c r="L103" s="713"/>
      <c r="M103" s="717"/>
      <c r="N103" s="713"/>
    </row>
    <row r="104" spans="1:23" x14ac:dyDescent="0.3">
      <c r="A104" s="705">
        <v>1</v>
      </c>
      <c r="B104" s="705" t="s">
        <v>10047</v>
      </c>
      <c r="C104" s="705" t="s">
        <v>468</v>
      </c>
      <c r="D104" s="706">
        <v>4620</v>
      </c>
      <c r="E104" s="706">
        <v>4830</v>
      </c>
      <c r="F104" s="705" t="s">
        <v>9341</v>
      </c>
      <c r="G104" s="705">
        <f t="shared" ref="G104:G116" si="19">IF(F104="BHS",(ABS(D104-E104)*2),(ABS(D104-E104)))</f>
        <v>420</v>
      </c>
      <c r="H104" s="705">
        <v>28</v>
      </c>
      <c r="I104" s="705">
        <v>1</v>
      </c>
      <c r="J104" s="707">
        <f t="shared" ref="J104:J116" si="20">IFERROR(IF(I104&gt;0,1/H104,0),0)</f>
        <v>3.5714285714285712E-2</v>
      </c>
      <c r="K104" s="708">
        <f t="shared" ref="K104:K116" si="21">J104*G104</f>
        <v>15</v>
      </c>
      <c r="L104" s="705" t="s">
        <v>10271</v>
      </c>
      <c r="M104" s="709">
        <v>45767</v>
      </c>
      <c r="N104" s="705" t="s">
        <v>10272</v>
      </c>
      <c r="P104" s="705" t="s">
        <v>10047</v>
      </c>
      <c r="Q104" s="706">
        <v>4620</v>
      </c>
      <c r="R104" s="706">
        <v>4830</v>
      </c>
      <c r="S104" s="706" t="s">
        <v>9341</v>
      </c>
      <c r="T104" s="708">
        <f t="shared" ref="T104:T111" si="22">SUMIFS($K:$K,$B:$B,$P104)/1000</f>
        <v>1.4999999999999999E-2</v>
      </c>
      <c r="W104" s="132"/>
    </row>
    <row r="105" spans="1:23" x14ac:dyDescent="0.3">
      <c r="A105" s="705">
        <v>2</v>
      </c>
      <c r="B105" s="705" t="s">
        <v>10050</v>
      </c>
      <c r="C105" s="705" t="s">
        <v>468</v>
      </c>
      <c r="D105" s="706">
        <v>5170</v>
      </c>
      <c r="E105" s="706">
        <v>5200</v>
      </c>
      <c r="F105" s="705" t="s">
        <v>9341</v>
      </c>
      <c r="G105" s="705">
        <f t="shared" si="19"/>
        <v>60</v>
      </c>
      <c r="H105" s="705">
        <v>28</v>
      </c>
      <c r="I105" s="705">
        <v>1</v>
      </c>
      <c r="J105" s="707">
        <f t="shared" si="20"/>
        <v>3.5714285714285712E-2</v>
      </c>
      <c r="K105" s="708">
        <f t="shared" si="21"/>
        <v>2.1428571428571428</v>
      </c>
      <c r="L105" s="705" t="s">
        <v>10273</v>
      </c>
      <c r="M105" s="709">
        <v>45767</v>
      </c>
      <c r="N105" s="705" t="s">
        <v>10272</v>
      </c>
      <c r="P105" s="705" t="s">
        <v>10050</v>
      </c>
      <c r="Q105" s="706">
        <v>5170</v>
      </c>
      <c r="R105" s="706">
        <v>5200</v>
      </c>
      <c r="S105" s="706" t="s">
        <v>9341</v>
      </c>
      <c r="T105" s="708">
        <f t="shared" si="22"/>
        <v>2.142857142857143E-3</v>
      </c>
      <c r="W105" s="132"/>
    </row>
    <row r="106" spans="1:23" s="22" customFormat="1" x14ac:dyDescent="0.3">
      <c r="A106" s="831">
        <v>3</v>
      </c>
      <c r="B106" s="831" t="s">
        <v>10052</v>
      </c>
      <c r="C106" s="831" t="s">
        <v>468</v>
      </c>
      <c r="D106" s="832">
        <v>9650</v>
      </c>
      <c r="E106" s="832">
        <v>9750</v>
      </c>
      <c r="F106" s="831" t="s">
        <v>9367</v>
      </c>
      <c r="G106" s="831">
        <f t="shared" si="19"/>
        <v>100</v>
      </c>
      <c r="H106" s="705">
        <v>10</v>
      </c>
      <c r="I106" s="831">
        <v>4</v>
      </c>
      <c r="J106" s="833">
        <f t="shared" si="20"/>
        <v>0.1</v>
      </c>
      <c r="K106" s="834">
        <f t="shared" si="21"/>
        <v>10</v>
      </c>
      <c r="L106" s="831" t="s">
        <v>10274</v>
      </c>
      <c r="M106" s="835">
        <v>45751</v>
      </c>
      <c r="N106" s="831" t="s">
        <v>10272</v>
      </c>
      <c r="P106" s="831" t="s">
        <v>10052</v>
      </c>
      <c r="Q106" s="832">
        <v>9650</v>
      </c>
      <c r="R106" s="832">
        <v>9750</v>
      </c>
      <c r="S106" s="832" t="s">
        <v>9367</v>
      </c>
      <c r="T106" s="834">
        <f t="shared" si="22"/>
        <v>0.02</v>
      </c>
      <c r="W106" s="481"/>
    </row>
    <row r="107" spans="1:23" s="22" customFormat="1" x14ac:dyDescent="0.3">
      <c r="A107" s="831">
        <v>4</v>
      </c>
      <c r="B107" s="831" t="s">
        <v>10052</v>
      </c>
      <c r="C107" s="831" t="s">
        <v>468</v>
      </c>
      <c r="D107" s="832">
        <v>9650</v>
      </c>
      <c r="E107" s="832">
        <v>9750</v>
      </c>
      <c r="F107" s="831" t="s">
        <v>9367</v>
      </c>
      <c r="G107" s="831">
        <f t="shared" si="19"/>
        <v>100</v>
      </c>
      <c r="H107" s="705">
        <v>10</v>
      </c>
      <c r="I107" s="831">
        <v>5</v>
      </c>
      <c r="J107" s="833">
        <f t="shared" si="20"/>
        <v>0.1</v>
      </c>
      <c r="K107" s="834">
        <f t="shared" si="21"/>
        <v>10</v>
      </c>
      <c r="L107" s="831" t="s">
        <v>10051</v>
      </c>
      <c r="M107" s="835">
        <v>45758</v>
      </c>
      <c r="N107" s="831" t="s">
        <v>10272</v>
      </c>
      <c r="P107" s="831" t="s">
        <v>10053</v>
      </c>
      <c r="Q107" s="832">
        <v>9750</v>
      </c>
      <c r="R107" s="832">
        <v>10000</v>
      </c>
      <c r="S107" s="832" t="s">
        <v>9367</v>
      </c>
      <c r="T107" s="834">
        <f t="shared" si="22"/>
        <v>0.1388888888888889</v>
      </c>
      <c r="W107" s="481"/>
    </row>
    <row r="108" spans="1:23" x14ac:dyDescent="0.3">
      <c r="A108" s="705">
        <v>5</v>
      </c>
      <c r="B108" s="705" t="s">
        <v>10053</v>
      </c>
      <c r="C108" s="705" t="s">
        <v>468</v>
      </c>
      <c r="D108" s="706">
        <v>9750</v>
      </c>
      <c r="E108" s="706">
        <v>10000</v>
      </c>
      <c r="F108" s="705" t="s">
        <v>9367</v>
      </c>
      <c r="G108" s="705">
        <f t="shared" si="19"/>
        <v>250</v>
      </c>
      <c r="H108" s="705">
        <v>9</v>
      </c>
      <c r="I108" s="705">
        <v>1</v>
      </c>
      <c r="J108" s="707">
        <f t="shared" si="20"/>
        <v>0.1111111111111111</v>
      </c>
      <c r="K108" s="708">
        <f t="shared" si="21"/>
        <v>27.777777777777775</v>
      </c>
      <c r="L108" s="705" t="s">
        <v>10275</v>
      </c>
      <c r="M108" s="709">
        <v>45719</v>
      </c>
      <c r="N108" s="705" t="s">
        <v>10272</v>
      </c>
      <c r="P108" s="705" t="s">
        <v>10055</v>
      </c>
      <c r="Q108" s="706">
        <v>10338</v>
      </c>
      <c r="R108" s="706">
        <v>10450</v>
      </c>
      <c r="S108" s="706" t="s">
        <v>9341</v>
      </c>
      <c r="T108" s="708">
        <f t="shared" si="22"/>
        <v>1.2444444444444442E-2</v>
      </c>
      <c r="W108" s="132"/>
    </row>
    <row r="109" spans="1:23" x14ac:dyDescent="0.3">
      <c r="A109" s="705">
        <v>6</v>
      </c>
      <c r="B109" s="705" t="s">
        <v>10053</v>
      </c>
      <c r="C109" s="705" t="s">
        <v>468</v>
      </c>
      <c r="D109" s="706">
        <v>9750</v>
      </c>
      <c r="E109" s="706">
        <v>10000</v>
      </c>
      <c r="F109" s="705" t="s">
        <v>9367</v>
      </c>
      <c r="G109" s="705">
        <f t="shared" si="19"/>
        <v>250</v>
      </c>
      <c r="H109" s="705">
        <v>9</v>
      </c>
      <c r="I109" s="705">
        <v>2</v>
      </c>
      <c r="J109" s="707">
        <f t="shared" si="20"/>
        <v>0.1111111111111111</v>
      </c>
      <c r="K109" s="708">
        <f t="shared" si="21"/>
        <v>27.777777777777775</v>
      </c>
      <c r="L109" s="705" t="s">
        <v>10276</v>
      </c>
      <c r="M109" s="709">
        <v>45726</v>
      </c>
      <c r="N109" s="705" t="s">
        <v>10272</v>
      </c>
      <c r="P109" s="705" t="s">
        <v>10056</v>
      </c>
      <c r="Q109" s="706">
        <v>10450</v>
      </c>
      <c r="R109" s="706">
        <v>10550</v>
      </c>
      <c r="S109" s="706" t="s">
        <v>9341</v>
      </c>
      <c r="T109" s="708">
        <f t="shared" si="22"/>
        <v>1.1764705882352941E-2</v>
      </c>
      <c r="W109" s="132"/>
    </row>
    <row r="110" spans="1:23" x14ac:dyDescent="0.3">
      <c r="A110" s="705">
        <v>7</v>
      </c>
      <c r="B110" s="705" t="s">
        <v>10053</v>
      </c>
      <c r="C110" s="705" t="s">
        <v>468</v>
      </c>
      <c r="D110" s="706">
        <v>9750</v>
      </c>
      <c r="E110" s="706">
        <v>10000</v>
      </c>
      <c r="F110" s="705" t="s">
        <v>9367</v>
      </c>
      <c r="G110" s="705">
        <f t="shared" si="19"/>
        <v>250</v>
      </c>
      <c r="H110" s="705">
        <v>9</v>
      </c>
      <c r="I110" s="705">
        <v>3</v>
      </c>
      <c r="J110" s="707">
        <f t="shared" si="20"/>
        <v>0.1111111111111111</v>
      </c>
      <c r="K110" s="708">
        <f t="shared" si="21"/>
        <v>27.777777777777775</v>
      </c>
      <c r="L110" s="705" t="s">
        <v>10277</v>
      </c>
      <c r="M110" s="709">
        <v>45731</v>
      </c>
      <c r="N110" s="705" t="s">
        <v>10272</v>
      </c>
      <c r="P110" s="705" t="s">
        <v>10058</v>
      </c>
      <c r="Q110" s="706">
        <v>11800</v>
      </c>
      <c r="R110" s="706">
        <v>11900</v>
      </c>
      <c r="S110" s="706" t="s">
        <v>9346</v>
      </c>
      <c r="T110" s="708">
        <f t="shared" si="22"/>
        <v>0.02</v>
      </c>
      <c r="W110" s="132"/>
    </row>
    <row r="111" spans="1:23" x14ac:dyDescent="0.3">
      <c r="A111" s="705">
        <v>8</v>
      </c>
      <c r="B111" s="705" t="s">
        <v>10053</v>
      </c>
      <c r="C111" s="705" t="s">
        <v>468</v>
      </c>
      <c r="D111" s="706">
        <v>9750</v>
      </c>
      <c r="E111" s="706">
        <v>10000</v>
      </c>
      <c r="F111" s="705" t="s">
        <v>9367</v>
      </c>
      <c r="G111" s="705">
        <f t="shared" si="19"/>
        <v>250</v>
      </c>
      <c r="H111" s="705">
        <v>9</v>
      </c>
      <c r="I111" s="705">
        <v>4</v>
      </c>
      <c r="J111" s="707">
        <f t="shared" si="20"/>
        <v>0.1111111111111111</v>
      </c>
      <c r="K111" s="708">
        <f t="shared" si="21"/>
        <v>27.777777777777775</v>
      </c>
      <c r="L111" s="705" t="s">
        <v>10274</v>
      </c>
      <c r="M111" s="709">
        <v>45751</v>
      </c>
      <c r="N111" s="705" t="s">
        <v>10272</v>
      </c>
      <c r="P111" s="705" t="s">
        <v>10060</v>
      </c>
      <c r="Q111" s="706">
        <v>11800</v>
      </c>
      <c r="R111" s="706">
        <v>11900</v>
      </c>
      <c r="S111" s="706" t="s">
        <v>9346</v>
      </c>
      <c r="T111" s="708">
        <f t="shared" si="22"/>
        <v>1.2500000000000001E-2</v>
      </c>
      <c r="W111" s="132"/>
    </row>
    <row r="112" spans="1:23" x14ac:dyDescent="0.3">
      <c r="A112" s="705">
        <v>9</v>
      </c>
      <c r="B112" s="705" t="s">
        <v>10053</v>
      </c>
      <c r="C112" s="705" t="s">
        <v>468</v>
      </c>
      <c r="D112" s="706">
        <v>9750</v>
      </c>
      <c r="E112" s="706">
        <v>10000</v>
      </c>
      <c r="F112" s="705" t="s">
        <v>9367</v>
      </c>
      <c r="G112" s="705">
        <f t="shared" si="19"/>
        <v>250</v>
      </c>
      <c r="H112" s="705">
        <v>9</v>
      </c>
      <c r="I112" s="705">
        <v>5</v>
      </c>
      <c r="J112" s="707">
        <f t="shared" si="20"/>
        <v>0.1111111111111111</v>
      </c>
      <c r="K112" s="708">
        <f t="shared" si="21"/>
        <v>27.777777777777775</v>
      </c>
      <c r="L112" s="705" t="s">
        <v>10051</v>
      </c>
      <c r="M112" s="709">
        <v>45758</v>
      </c>
      <c r="N112" s="705" t="s">
        <v>10272</v>
      </c>
      <c r="P112"/>
      <c r="Q112"/>
      <c r="R112"/>
      <c r="S112"/>
      <c r="T112" s="712">
        <f>SUM(T104:T111)</f>
        <v>0.23274089635854342</v>
      </c>
      <c r="W112" s="132"/>
    </row>
    <row r="113" spans="1:23" x14ac:dyDescent="0.3">
      <c r="A113" s="705">
        <v>10</v>
      </c>
      <c r="B113" s="705" t="s">
        <v>10055</v>
      </c>
      <c r="C113" s="705" t="s">
        <v>468</v>
      </c>
      <c r="D113" s="706">
        <v>10338</v>
      </c>
      <c r="E113" s="706">
        <v>10450</v>
      </c>
      <c r="F113" s="705" t="s">
        <v>9341</v>
      </c>
      <c r="G113" s="705">
        <f t="shared" si="19"/>
        <v>224</v>
      </c>
      <c r="H113" s="705">
        <v>18</v>
      </c>
      <c r="I113" s="705">
        <v>3</v>
      </c>
      <c r="J113" s="707">
        <f t="shared" si="20"/>
        <v>5.5555555555555552E-2</v>
      </c>
      <c r="K113" s="708">
        <f t="shared" si="21"/>
        <v>12.444444444444443</v>
      </c>
      <c r="L113" s="705" t="s">
        <v>10054</v>
      </c>
      <c r="M113" s="709">
        <v>45757</v>
      </c>
      <c r="N113" s="705" t="s">
        <v>10272</v>
      </c>
      <c r="P113"/>
      <c r="Q113"/>
      <c r="R113"/>
      <c r="S113"/>
      <c r="T113"/>
      <c r="W113" s="132"/>
    </row>
    <row r="114" spans="1:23" x14ac:dyDescent="0.3">
      <c r="A114" s="705">
        <v>11</v>
      </c>
      <c r="B114" s="705" t="s">
        <v>10056</v>
      </c>
      <c r="C114" s="705" t="s">
        <v>468</v>
      </c>
      <c r="D114" s="706">
        <v>10450</v>
      </c>
      <c r="E114" s="706">
        <v>10550</v>
      </c>
      <c r="F114" s="705" t="s">
        <v>9341</v>
      </c>
      <c r="G114" s="705">
        <f t="shared" si="19"/>
        <v>200</v>
      </c>
      <c r="H114" s="705">
        <v>17</v>
      </c>
      <c r="I114" s="705">
        <v>3</v>
      </c>
      <c r="J114" s="707">
        <f t="shared" si="20"/>
        <v>5.8823529411764705E-2</v>
      </c>
      <c r="K114" s="708">
        <f t="shared" si="21"/>
        <v>11.76470588235294</v>
      </c>
      <c r="L114" s="705" t="s">
        <v>10054</v>
      </c>
      <c r="M114" s="709">
        <v>45757</v>
      </c>
      <c r="N114" s="705" t="s">
        <v>10272</v>
      </c>
      <c r="P114"/>
      <c r="Q114"/>
      <c r="R114"/>
      <c r="S114"/>
      <c r="T114"/>
      <c r="W114" s="132"/>
    </row>
    <row r="115" spans="1:23" x14ac:dyDescent="0.3">
      <c r="A115" s="705">
        <v>12</v>
      </c>
      <c r="B115" s="705" t="s">
        <v>10058</v>
      </c>
      <c r="C115" s="705" t="s">
        <v>468</v>
      </c>
      <c r="D115" s="706">
        <v>11800</v>
      </c>
      <c r="E115" s="706">
        <v>12000</v>
      </c>
      <c r="F115" s="705" t="s">
        <v>9367</v>
      </c>
      <c r="G115" s="705">
        <f t="shared" si="19"/>
        <v>200</v>
      </c>
      <c r="H115" s="705">
        <v>10</v>
      </c>
      <c r="I115" s="705">
        <v>4</v>
      </c>
      <c r="J115" s="707">
        <f t="shared" si="20"/>
        <v>0.1</v>
      </c>
      <c r="K115" s="708">
        <f t="shared" si="21"/>
        <v>20</v>
      </c>
      <c r="L115" s="705" t="s">
        <v>10057</v>
      </c>
      <c r="M115" s="709">
        <v>45756</v>
      </c>
      <c r="N115" s="705" t="s">
        <v>10272</v>
      </c>
      <c r="P115"/>
      <c r="Q115"/>
      <c r="R115"/>
      <c r="S115"/>
      <c r="T115"/>
      <c r="W115" s="132"/>
    </row>
    <row r="116" spans="1:23" x14ac:dyDescent="0.3">
      <c r="A116" s="705">
        <v>13</v>
      </c>
      <c r="B116" s="705" t="s">
        <v>10060</v>
      </c>
      <c r="C116" s="705" t="s">
        <v>468</v>
      </c>
      <c r="D116" s="706">
        <v>11800</v>
      </c>
      <c r="E116" s="706">
        <v>11900</v>
      </c>
      <c r="F116" s="705" t="s">
        <v>9346</v>
      </c>
      <c r="G116" s="705">
        <f t="shared" si="19"/>
        <v>100</v>
      </c>
      <c r="H116" s="705">
        <v>8</v>
      </c>
      <c r="I116" s="705">
        <v>3</v>
      </c>
      <c r="J116" s="707">
        <f t="shared" si="20"/>
        <v>0.125</v>
      </c>
      <c r="K116" s="708">
        <f t="shared" si="21"/>
        <v>12.5</v>
      </c>
      <c r="L116" s="705" t="s">
        <v>10059</v>
      </c>
      <c r="M116" s="709">
        <v>45756</v>
      </c>
      <c r="N116" s="705" t="s">
        <v>10272</v>
      </c>
      <c r="P116"/>
      <c r="Q116"/>
      <c r="R116"/>
      <c r="S116"/>
      <c r="T116"/>
      <c r="W116" s="132"/>
    </row>
    <row r="117" spans="1:23" ht="7.65" customHeight="1" x14ac:dyDescent="0.3">
      <c r="A117" s="713"/>
      <c r="B117" s="713"/>
      <c r="C117" s="713"/>
      <c r="D117" s="714"/>
      <c r="E117" s="714"/>
      <c r="F117" s="713"/>
      <c r="G117" s="713"/>
      <c r="H117" s="713"/>
      <c r="I117" s="713"/>
      <c r="J117" s="715"/>
      <c r="K117" s="716"/>
      <c r="L117" s="713"/>
      <c r="M117" s="717"/>
      <c r="N117" s="713"/>
    </row>
    <row r="118" spans="1:23" s="22" customFormat="1" x14ac:dyDescent="0.3">
      <c r="A118" s="831">
        <v>1</v>
      </c>
      <c r="B118" s="705" t="s">
        <v>10062</v>
      </c>
      <c r="C118" s="705" t="s">
        <v>468</v>
      </c>
      <c r="D118" s="706">
        <v>0</v>
      </c>
      <c r="E118" s="706">
        <v>290</v>
      </c>
      <c r="F118" s="705" t="s">
        <v>9341</v>
      </c>
      <c r="G118" s="705">
        <f t="shared" ref="G118:G177" si="23">IF(F118="BHS",(ABS(D118-E118)*2),(ABS(D118-E118)))</f>
        <v>580</v>
      </c>
      <c r="H118" s="705">
        <v>6</v>
      </c>
      <c r="I118" s="705">
        <v>1</v>
      </c>
      <c r="J118" s="707">
        <f t="shared" ref="J118:J174" si="24">IFERROR(IF(I118&gt;0,1/H118,0),0)</f>
        <v>0.16666666666666666</v>
      </c>
      <c r="K118" s="708">
        <f t="shared" ref="K118:K174" si="25">J118*G118</f>
        <v>96.666666666666657</v>
      </c>
      <c r="L118" s="705" t="s">
        <v>10278</v>
      </c>
      <c r="M118" s="835">
        <v>46077</v>
      </c>
      <c r="N118" s="831" t="s">
        <v>10279</v>
      </c>
      <c r="P118" s="705" t="s">
        <v>10062</v>
      </c>
      <c r="Q118" s="832">
        <v>0</v>
      </c>
      <c r="R118" s="832">
        <v>290</v>
      </c>
      <c r="S118" s="832" t="s">
        <v>9341</v>
      </c>
      <c r="T118" s="834">
        <f t="shared" ref="T118:T137" si="26">SUMIFS($K:$K,$B:$B,$P118)/1000</f>
        <v>0.48333333333333328</v>
      </c>
      <c r="U118" s="22" t="s">
        <v>10061</v>
      </c>
      <c r="W118" s="481"/>
    </row>
    <row r="119" spans="1:23" s="22" customFormat="1" x14ac:dyDescent="0.3">
      <c r="A119" s="831">
        <v>2</v>
      </c>
      <c r="B119" s="705" t="s">
        <v>10062</v>
      </c>
      <c r="C119" s="705" t="s">
        <v>468</v>
      </c>
      <c r="D119" s="706">
        <v>0</v>
      </c>
      <c r="E119" s="706">
        <v>290</v>
      </c>
      <c r="F119" s="705" t="s">
        <v>9341</v>
      </c>
      <c r="G119" s="705">
        <f t="shared" si="23"/>
        <v>580</v>
      </c>
      <c r="H119" s="705">
        <v>6</v>
      </c>
      <c r="I119" s="705">
        <v>2</v>
      </c>
      <c r="J119" s="707">
        <f t="shared" si="24"/>
        <v>0.16666666666666666</v>
      </c>
      <c r="K119" s="708">
        <f t="shared" si="25"/>
        <v>96.666666666666657</v>
      </c>
      <c r="L119" s="705" t="s">
        <v>10280</v>
      </c>
      <c r="M119" s="835">
        <v>46078</v>
      </c>
      <c r="N119" s="831" t="s">
        <v>10279</v>
      </c>
      <c r="P119" s="705" t="s">
        <v>10064</v>
      </c>
      <c r="Q119" s="832">
        <v>480</v>
      </c>
      <c r="R119" s="832">
        <v>680</v>
      </c>
      <c r="S119" s="832" t="s">
        <v>9341</v>
      </c>
      <c r="T119" s="834">
        <f t="shared" si="26"/>
        <v>0.21052631578947367</v>
      </c>
      <c r="U119" s="22" t="s">
        <v>10063</v>
      </c>
      <c r="W119" s="481"/>
    </row>
    <row r="120" spans="1:23" s="22" customFormat="1" x14ac:dyDescent="0.3">
      <c r="A120" s="831">
        <v>3</v>
      </c>
      <c r="B120" s="705" t="s">
        <v>10062</v>
      </c>
      <c r="C120" s="705" t="s">
        <v>468</v>
      </c>
      <c r="D120" s="706">
        <v>0</v>
      </c>
      <c r="E120" s="706">
        <v>290</v>
      </c>
      <c r="F120" s="705" t="s">
        <v>9341</v>
      </c>
      <c r="G120" s="705">
        <f t="shared" si="23"/>
        <v>580</v>
      </c>
      <c r="H120" s="705">
        <v>6</v>
      </c>
      <c r="I120" s="705">
        <v>3</v>
      </c>
      <c r="J120" s="707">
        <f t="shared" si="24"/>
        <v>0.16666666666666666</v>
      </c>
      <c r="K120" s="708">
        <f t="shared" si="25"/>
        <v>96.666666666666657</v>
      </c>
      <c r="L120" s="705" t="s">
        <v>10281</v>
      </c>
      <c r="M120" s="835">
        <v>46079</v>
      </c>
      <c r="N120" s="831" t="s">
        <v>10279</v>
      </c>
      <c r="P120" s="705" t="s">
        <v>10066</v>
      </c>
      <c r="Q120" s="832">
        <v>2000</v>
      </c>
      <c r="R120" s="832">
        <v>2170</v>
      </c>
      <c r="S120" s="832" t="s">
        <v>9341</v>
      </c>
      <c r="T120" s="834">
        <f t="shared" si="26"/>
        <v>0.29142857142857137</v>
      </c>
      <c r="U120" s="22" t="s">
        <v>10065</v>
      </c>
      <c r="W120" s="481"/>
    </row>
    <row r="121" spans="1:23" s="22" customFormat="1" x14ac:dyDescent="0.3">
      <c r="A121" s="831">
        <v>4</v>
      </c>
      <c r="B121" s="705" t="s">
        <v>10062</v>
      </c>
      <c r="C121" s="705" t="s">
        <v>468</v>
      </c>
      <c r="D121" s="706">
        <v>0</v>
      </c>
      <c r="E121" s="706">
        <v>290</v>
      </c>
      <c r="F121" s="705" t="s">
        <v>9341</v>
      </c>
      <c r="G121" s="705">
        <f t="shared" si="23"/>
        <v>580</v>
      </c>
      <c r="H121" s="705">
        <v>6</v>
      </c>
      <c r="I121" s="705">
        <v>4</v>
      </c>
      <c r="J121" s="707">
        <f t="shared" si="24"/>
        <v>0.16666666666666666</v>
      </c>
      <c r="K121" s="708">
        <f t="shared" si="25"/>
        <v>96.666666666666657</v>
      </c>
      <c r="L121" s="705" t="s">
        <v>10282</v>
      </c>
      <c r="M121" s="835">
        <v>46080</v>
      </c>
      <c r="N121" s="831" t="s">
        <v>10279</v>
      </c>
      <c r="P121" s="705" t="s">
        <v>10067</v>
      </c>
      <c r="Q121" s="832">
        <v>2220</v>
      </c>
      <c r="R121" s="832">
        <v>2350</v>
      </c>
      <c r="S121" s="832" t="s">
        <v>9341</v>
      </c>
      <c r="T121" s="834">
        <f t="shared" si="26"/>
        <v>6.5000000000000002E-2</v>
      </c>
      <c r="U121" s="22" t="s">
        <v>10065</v>
      </c>
      <c r="W121" s="481"/>
    </row>
    <row r="122" spans="1:23" s="22" customFormat="1" x14ac:dyDescent="0.3">
      <c r="A122" s="831">
        <v>5</v>
      </c>
      <c r="B122" s="705" t="s">
        <v>10062</v>
      </c>
      <c r="C122" s="705" t="s">
        <v>468</v>
      </c>
      <c r="D122" s="706">
        <v>0</v>
      </c>
      <c r="E122" s="706">
        <v>290</v>
      </c>
      <c r="F122" s="705" t="s">
        <v>9341</v>
      </c>
      <c r="G122" s="705">
        <f t="shared" si="23"/>
        <v>580</v>
      </c>
      <c r="H122" s="705">
        <v>6</v>
      </c>
      <c r="I122" s="705">
        <v>5</v>
      </c>
      <c r="J122" s="707">
        <f t="shared" si="24"/>
        <v>0.16666666666666666</v>
      </c>
      <c r="K122" s="708">
        <f t="shared" si="25"/>
        <v>96.666666666666657</v>
      </c>
      <c r="L122" s="705" t="s">
        <v>10061</v>
      </c>
      <c r="M122" s="835">
        <v>46081</v>
      </c>
      <c r="N122" s="831" t="s">
        <v>10279</v>
      </c>
      <c r="P122" s="705" t="s">
        <v>10069</v>
      </c>
      <c r="Q122" s="832">
        <v>2450</v>
      </c>
      <c r="R122" s="832">
        <v>2600</v>
      </c>
      <c r="S122" s="832" t="s">
        <v>9346</v>
      </c>
      <c r="T122" s="834">
        <f t="shared" si="26"/>
        <v>1.4999999999999999E-2</v>
      </c>
      <c r="U122" s="22" t="s">
        <v>10068</v>
      </c>
      <c r="W122" s="481"/>
    </row>
    <row r="123" spans="1:23" s="22" customFormat="1" x14ac:dyDescent="0.3">
      <c r="A123" s="831">
        <v>6</v>
      </c>
      <c r="B123" s="705" t="s">
        <v>10064</v>
      </c>
      <c r="C123" s="705" t="s">
        <v>468</v>
      </c>
      <c r="D123" s="706">
        <v>480</v>
      </c>
      <c r="E123" s="706">
        <v>680</v>
      </c>
      <c r="F123" s="705" t="s">
        <v>9341</v>
      </c>
      <c r="G123" s="705">
        <f t="shared" si="23"/>
        <v>400</v>
      </c>
      <c r="H123" s="705">
        <v>19</v>
      </c>
      <c r="I123" s="705">
        <v>1</v>
      </c>
      <c r="J123" s="707">
        <f t="shared" si="24"/>
        <v>5.2631578947368418E-2</v>
      </c>
      <c r="K123" s="708">
        <f t="shared" si="25"/>
        <v>21.052631578947366</v>
      </c>
      <c r="L123" s="705" t="s">
        <v>10283</v>
      </c>
      <c r="M123" s="835">
        <v>46067</v>
      </c>
      <c r="N123" s="831" t="s">
        <v>10279</v>
      </c>
      <c r="P123" s="705" t="s">
        <v>10071</v>
      </c>
      <c r="Q123" s="832">
        <v>2700</v>
      </c>
      <c r="R123" s="832">
        <v>2900</v>
      </c>
      <c r="S123" s="832" t="s">
        <v>9341</v>
      </c>
      <c r="T123" s="834">
        <f t="shared" si="26"/>
        <v>0.1090909090909091</v>
      </c>
      <c r="U123" s="22" t="s">
        <v>10070</v>
      </c>
      <c r="W123" s="481"/>
    </row>
    <row r="124" spans="1:23" s="22" customFormat="1" x14ac:dyDescent="0.3">
      <c r="A124" s="831">
        <v>7</v>
      </c>
      <c r="B124" s="705" t="s">
        <v>10064</v>
      </c>
      <c r="C124" s="705" t="s">
        <v>468</v>
      </c>
      <c r="D124" s="706">
        <v>480</v>
      </c>
      <c r="E124" s="706">
        <v>680</v>
      </c>
      <c r="F124" s="705" t="s">
        <v>9341</v>
      </c>
      <c r="G124" s="705">
        <f t="shared" si="23"/>
        <v>400</v>
      </c>
      <c r="H124" s="705">
        <v>19</v>
      </c>
      <c r="I124" s="705">
        <v>2</v>
      </c>
      <c r="J124" s="707">
        <f t="shared" si="24"/>
        <v>5.2631578947368418E-2</v>
      </c>
      <c r="K124" s="708">
        <f t="shared" si="25"/>
        <v>21.052631578947366</v>
      </c>
      <c r="L124" s="705" t="s">
        <v>10284</v>
      </c>
      <c r="M124" s="835">
        <v>46068</v>
      </c>
      <c r="N124" s="831" t="s">
        <v>10279</v>
      </c>
      <c r="P124" s="705" t="s">
        <v>10073</v>
      </c>
      <c r="Q124" s="832">
        <v>3070</v>
      </c>
      <c r="R124" s="832">
        <v>3250</v>
      </c>
      <c r="S124" s="832" t="s">
        <v>9341</v>
      </c>
      <c r="T124" s="834">
        <f t="shared" si="26"/>
        <v>2.7692307692307693E-2</v>
      </c>
      <c r="U124" s="22" t="s">
        <v>10070</v>
      </c>
      <c r="W124" s="481"/>
    </row>
    <row r="125" spans="1:23" s="22" customFormat="1" x14ac:dyDescent="0.3">
      <c r="A125" s="831">
        <v>8</v>
      </c>
      <c r="B125" s="705" t="s">
        <v>10064</v>
      </c>
      <c r="C125" s="705" t="s">
        <v>468</v>
      </c>
      <c r="D125" s="706">
        <v>480</v>
      </c>
      <c r="E125" s="706">
        <v>680</v>
      </c>
      <c r="F125" s="705" t="s">
        <v>9341</v>
      </c>
      <c r="G125" s="705">
        <f t="shared" si="23"/>
        <v>400</v>
      </c>
      <c r="H125" s="705">
        <v>19</v>
      </c>
      <c r="I125" s="705">
        <v>3</v>
      </c>
      <c r="J125" s="707">
        <f t="shared" si="24"/>
        <v>5.2631578947368418E-2</v>
      </c>
      <c r="K125" s="708">
        <f t="shared" si="25"/>
        <v>21.052631578947366</v>
      </c>
      <c r="L125" s="705" t="s">
        <v>10285</v>
      </c>
      <c r="M125" s="835">
        <v>46068</v>
      </c>
      <c r="N125" s="831" t="s">
        <v>10279</v>
      </c>
      <c r="P125" s="705" t="s">
        <v>10075</v>
      </c>
      <c r="Q125" s="832">
        <v>4210</v>
      </c>
      <c r="R125" s="832">
        <v>4350</v>
      </c>
      <c r="S125" s="832" t="s">
        <v>9341</v>
      </c>
      <c r="T125" s="834">
        <f t="shared" si="26"/>
        <v>0.10370370370370369</v>
      </c>
      <c r="U125" s="22" t="s">
        <v>10074</v>
      </c>
      <c r="W125" s="481"/>
    </row>
    <row r="126" spans="1:23" s="22" customFormat="1" x14ac:dyDescent="0.3">
      <c r="A126" s="831">
        <v>9</v>
      </c>
      <c r="B126" s="705" t="s">
        <v>10064</v>
      </c>
      <c r="C126" s="705" t="s">
        <v>468</v>
      </c>
      <c r="D126" s="706">
        <v>480</v>
      </c>
      <c r="E126" s="706">
        <v>680</v>
      </c>
      <c r="F126" s="705" t="s">
        <v>9341</v>
      </c>
      <c r="G126" s="705">
        <f t="shared" si="23"/>
        <v>400</v>
      </c>
      <c r="H126" s="705">
        <v>19</v>
      </c>
      <c r="I126" s="705">
        <v>4</v>
      </c>
      <c r="J126" s="707">
        <f t="shared" si="24"/>
        <v>5.2631578947368418E-2</v>
      </c>
      <c r="K126" s="708">
        <f t="shared" si="25"/>
        <v>21.052631578947366</v>
      </c>
      <c r="L126" s="705" t="s">
        <v>10286</v>
      </c>
      <c r="M126" s="835">
        <v>46069</v>
      </c>
      <c r="N126" s="831" t="s">
        <v>10279</v>
      </c>
      <c r="P126" s="705" t="s">
        <v>10076</v>
      </c>
      <c r="Q126" s="832">
        <v>4620</v>
      </c>
      <c r="R126" s="832">
        <v>4830</v>
      </c>
      <c r="S126" s="832" t="s">
        <v>9341</v>
      </c>
      <c r="T126" s="834">
        <f t="shared" si="26"/>
        <v>0.13500000000000001</v>
      </c>
      <c r="U126" s="22" t="s">
        <v>10074</v>
      </c>
      <c r="W126" s="481"/>
    </row>
    <row r="127" spans="1:23" s="22" customFormat="1" x14ac:dyDescent="0.3">
      <c r="A127" s="831">
        <v>10</v>
      </c>
      <c r="B127" s="705" t="s">
        <v>10064</v>
      </c>
      <c r="C127" s="705" t="s">
        <v>468</v>
      </c>
      <c r="D127" s="706">
        <v>480</v>
      </c>
      <c r="E127" s="706">
        <v>680</v>
      </c>
      <c r="F127" s="705" t="s">
        <v>9341</v>
      </c>
      <c r="G127" s="705">
        <f t="shared" si="23"/>
        <v>400</v>
      </c>
      <c r="H127" s="705">
        <v>19</v>
      </c>
      <c r="I127" s="705">
        <v>5</v>
      </c>
      <c r="J127" s="707">
        <f t="shared" si="24"/>
        <v>5.2631578947368418E-2</v>
      </c>
      <c r="K127" s="708">
        <f t="shared" si="25"/>
        <v>21.052631578947366</v>
      </c>
      <c r="L127" s="705" t="s">
        <v>10287</v>
      </c>
      <c r="M127" s="835">
        <v>46069</v>
      </c>
      <c r="N127" s="831" t="s">
        <v>10279</v>
      </c>
      <c r="P127" s="705" t="s">
        <v>10078</v>
      </c>
      <c r="Q127" s="832">
        <v>9630</v>
      </c>
      <c r="R127" s="832">
        <v>10000</v>
      </c>
      <c r="S127" s="706" t="s">
        <v>9346</v>
      </c>
      <c r="T127" s="834">
        <f t="shared" si="26"/>
        <v>3.6999999999999998E-2</v>
      </c>
      <c r="U127" s="22" t="s">
        <v>10077</v>
      </c>
      <c r="W127" s="481"/>
    </row>
    <row r="128" spans="1:23" s="22" customFormat="1" x14ac:dyDescent="0.3">
      <c r="A128" s="831">
        <v>11</v>
      </c>
      <c r="B128" s="705" t="s">
        <v>10064</v>
      </c>
      <c r="C128" s="705" t="s">
        <v>468</v>
      </c>
      <c r="D128" s="706">
        <v>480</v>
      </c>
      <c r="E128" s="706">
        <v>680</v>
      </c>
      <c r="F128" s="705" t="s">
        <v>9341</v>
      </c>
      <c r="G128" s="705">
        <f t="shared" si="23"/>
        <v>400</v>
      </c>
      <c r="H128" s="705">
        <v>19</v>
      </c>
      <c r="I128" s="705">
        <v>6</v>
      </c>
      <c r="J128" s="707">
        <f t="shared" si="24"/>
        <v>5.2631578947368418E-2</v>
      </c>
      <c r="K128" s="708">
        <f t="shared" si="25"/>
        <v>21.052631578947366</v>
      </c>
      <c r="L128" s="705" t="s">
        <v>10288</v>
      </c>
      <c r="M128" s="835">
        <v>46071</v>
      </c>
      <c r="N128" s="831" t="s">
        <v>10279</v>
      </c>
      <c r="P128" s="705" t="s">
        <v>10080</v>
      </c>
      <c r="Q128" s="832">
        <v>9650</v>
      </c>
      <c r="R128" s="832">
        <v>10060</v>
      </c>
      <c r="S128" s="706" t="s">
        <v>9341</v>
      </c>
      <c r="T128" s="834">
        <f t="shared" si="26"/>
        <v>0.41</v>
      </c>
      <c r="U128" s="22" t="s">
        <v>10079</v>
      </c>
      <c r="W128" s="481"/>
    </row>
    <row r="129" spans="1:23" s="22" customFormat="1" x14ac:dyDescent="0.3">
      <c r="A129" s="831">
        <v>12</v>
      </c>
      <c r="B129" s="705" t="s">
        <v>10064</v>
      </c>
      <c r="C129" s="705" t="s">
        <v>468</v>
      </c>
      <c r="D129" s="706">
        <v>480</v>
      </c>
      <c r="E129" s="706">
        <v>680</v>
      </c>
      <c r="F129" s="705" t="s">
        <v>9341</v>
      </c>
      <c r="G129" s="705">
        <f t="shared" si="23"/>
        <v>400</v>
      </c>
      <c r="H129" s="705">
        <v>19</v>
      </c>
      <c r="I129" s="705">
        <v>7</v>
      </c>
      <c r="J129" s="707">
        <f t="shared" si="24"/>
        <v>5.2631578947368418E-2</v>
      </c>
      <c r="K129" s="708">
        <f t="shared" si="25"/>
        <v>21.052631578947366</v>
      </c>
      <c r="L129" s="705" t="s">
        <v>10289</v>
      </c>
      <c r="M129" s="835">
        <v>46077</v>
      </c>
      <c r="N129" s="831" t="s">
        <v>10279</v>
      </c>
      <c r="P129" s="705" t="s">
        <v>10082</v>
      </c>
      <c r="Q129" s="832">
        <v>10000</v>
      </c>
      <c r="R129" s="832">
        <v>10060</v>
      </c>
      <c r="S129" s="706" t="s">
        <v>9341</v>
      </c>
      <c r="T129" s="834">
        <f t="shared" si="26"/>
        <v>2.5714285714285714E-2</v>
      </c>
      <c r="U129" s="22" t="s">
        <v>10081</v>
      </c>
      <c r="W129" s="481"/>
    </row>
    <row r="130" spans="1:23" s="22" customFormat="1" x14ac:dyDescent="0.3">
      <c r="A130" s="831">
        <v>13</v>
      </c>
      <c r="B130" s="705" t="s">
        <v>10064</v>
      </c>
      <c r="C130" s="705" t="s">
        <v>468</v>
      </c>
      <c r="D130" s="706">
        <v>480</v>
      </c>
      <c r="E130" s="706">
        <v>680</v>
      </c>
      <c r="F130" s="705" t="s">
        <v>9341</v>
      </c>
      <c r="G130" s="705">
        <f t="shared" si="23"/>
        <v>400</v>
      </c>
      <c r="H130" s="705">
        <v>19</v>
      </c>
      <c r="I130" s="705">
        <v>8</v>
      </c>
      <c r="J130" s="707">
        <f t="shared" si="24"/>
        <v>5.2631578947368418E-2</v>
      </c>
      <c r="K130" s="708">
        <f t="shared" si="25"/>
        <v>21.052631578947366</v>
      </c>
      <c r="L130" s="705" t="s">
        <v>10290</v>
      </c>
      <c r="M130" s="835">
        <v>46077</v>
      </c>
      <c r="N130" s="831" t="s">
        <v>10279</v>
      </c>
      <c r="P130" s="705" t="s">
        <v>10084</v>
      </c>
      <c r="Q130" s="832">
        <v>10110</v>
      </c>
      <c r="R130" s="832">
        <v>10170</v>
      </c>
      <c r="S130" s="706" t="s">
        <v>9341</v>
      </c>
      <c r="T130" s="834">
        <f t="shared" si="26"/>
        <v>0.12000000000000004</v>
      </c>
      <c r="U130" s="22" t="s">
        <v>10083</v>
      </c>
      <c r="W130" s="481"/>
    </row>
    <row r="131" spans="1:23" s="22" customFormat="1" x14ac:dyDescent="0.3">
      <c r="A131" s="831">
        <v>14</v>
      </c>
      <c r="B131" s="705" t="s">
        <v>10064</v>
      </c>
      <c r="C131" s="705" t="s">
        <v>468</v>
      </c>
      <c r="D131" s="706">
        <v>480</v>
      </c>
      <c r="E131" s="706">
        <v>680</v>
      </c>
      <c r="F131" s="705" t="s">
        <v>9341</v>
      </c>
      <c r="G131" s="705">
        <f t="shared" si="23"/>
        <v>400</v>
      </c>
      <c r="H131" s="705">
        <v>19</v>
      </c>
      <c r="I131" s="705">
        <v>9</v>
      </c>
      <c r="J131" s="707">
        <f t="shared" si="24"/>
        <v>5.2631578947368418E-2</v>
      </c>
      <c r="K131" s="708">
        <f t="shared" si="25"/>
        <v>21.052631578947366</v>
      </c>
      <c r="L131" s="705" t="s">
        <v>10291</v>
      </c>
      <c r="M131" s="835">
        <v>46078</v>
      </c>
      <c r="N131" s="831" t="s">
        <v>10279</v>
      </c>
      <c r="P131" s="1136" t="s">
        <v>10086</v>
      </c>
      <c r="Q131" s="832">
        <v>10170</v>
      </c>
      <c r="R131" s="832">
        <v>10230</v>
      </c>
      <c r="S131" s="706" t="s">
        <v>9341</v>
      </c>
      <c r="T131" s="834">
        <f t="shared" si="26"/>
        <v>2.4E-2</v>
      </c>
      <c r="U131" s="22" t="s">
        <v>10085</v>
      </c>
      <c r="W131" s="481"/>
    </row>
    <row r="132" spans="1:23" s="22" customFormat="1" x14ac:dyDescent="0.3">
      <c r="A132" s="831">
        <v>15</v>
      </c>
      <c r="B132" s="705" t="s">
        <v>10064</v>
      </c>
      <c r="C132" s="705" t="s">
        <v>468</v>
      </c>
      <c r="D132" s="706">
        <v>480</v>
      </c>
      <c r="E132" s="706">
        <v>680</v>
      </c>
      <c r="F132" s="705" t="s">
        <v>9341</v>
      </c>
      <c r="G132" s="705">
        <f t="shared" si="23"/>
        <v>400</v>
      </c>
      <c r="H132" s="705">
        <v>19</v>
      </c>
      <c r="I132" s="705">
        <v>10</v>
      </c>
      <c r="J132" s="707">
        <f t="shared" si="24"/>
        <v>5.2631578947368418E-2</v>
      </c>
      <c r="K132" s="708">
        <f t="shared" si="25"/>
        <v>21.052631578947366</v>
      </c>
      <c r="L132" s="705" t="s">
        <v>10063</v>
      </c>
      <c r="M132" s="835">
        <v>46079</v>
      </c>
      <c r="N132" s="831" t="s">
        <v>10279</v>
      </c>
      <c r="P132" s="1136" t="s">
        <v>10088</v>
      </c>
      <c r="Q132" s="832">
        <v>10338</v>
      </c>
      <c r="R132" s="832">
        <v>10550</v>
      </c>
      <c r="S132" s="706" t="s">
        <v>9346</v>
      </c>
      <c r="T132" s="834">
        <f t="shared" si="26"/>
        <v>2.3555555555555555E-2</v>
      </c>
      <c r="U132" s="22" t="s">
        <v>10087</v>
      </c>
      <c r="W132" s="481"/>
    </row>
    <row r="133" spans="1:23" s="22" customFormat="1" x14ac:dyDescent="0.3">
      <c r="A133" s="831">
        <v>16</v>
      </c>
      <c r="B133" s="705" t="s">
        <v>10066</v>
      </c>
      <c r="C133" s="705" t="s">
        <v>468</v>
      </c>
      <c r="D133" s="706">
        <v>2000</v>
      </c>
      <c r="E133" s="706">
        <v>2170</v>
      </c>
      <c r="F133" s="705" t="s">
        <v>9341</v>
      </c>
      <c r="G133" s="705">
        <f t="shared" si="23"/>
        <v>340</v>
      </c>
      <c r="H133" s="705">
        <v>14</v>
      </c>
      <c r="I133" s="705">
        <v>1</v>
      </c>
      <c r="J133" s="707">
        <f t="shared" si="24"/>
        <v>7.1428571428571425E-2</v>
      </c>
      <c r="K133" s="708">
        <f t="shared" si="25"/>
        <v>24.285714285714285</v>
      </c>
      <c r="L133" s="705" t="s">
        <v>10283</v>
      </c>
      <c r="M133" s="835">
        <v>46067</v>
      </c>
      <c r="N133" s="831" t="s">
        <v>10279</v>
      </c>
      <c r="P133" s="1136" t="s">
        <v>10090</v>
      </c>
      <c r="Q133" s="706">
        <v>10338</v>
      </c>
      <c r="R133" s="706">
        <v>10550</v>
      </c>
      <c r="S133" s="706" t="s">
        <v>9367</v>
      </c>
      <c r="T133" s="834">
        <f t="shared" si="26"/>
        <v>2.3555555555555555E-2</v>
      </c>
      <c r="U133" s="22" t="s">
        <v>10089</v>
      </c>
      <c r="W133" s="481"/>
    </row>
    <row r="134" spans="1:23" s="22" customFormat="1" x14ac:dyDescent="0.3">
      <c r="A134" s="831">
        <v>17</v>
      </c>
      <c r="B134" s="705" t="s">
        <v>10066</v>
      </c>
      <c r="C134" s="705" t="s">
        <v>468</v>
      </c>
      <c r="D134" s="706">
        <v>2000</v>
      </c>
      <c r="E134" s="706">
        <v>2170</v>
      </c>
      <c r="F134" s="705" t="s">
        <v>9341</v>
      </c>
      <c r="G134" s="705">
        <f t="shared" si="23"/>
        <v>340</v>
      </c>
      <c r="H134" s="705">
        <v>14</v>
      </c>
      <c r="I134" s="705">
        <v>2</v>
      </c>
      <c r="J134" s="707">
        <f t="shared" si="24"/>
        <v>7.1428571428571425E-2</v>
      </c>
      <c r="K134" s="708">
        <f t="shared" si="25"/>
        <v>24.285714285714285</v>
      </c>
      <c r="L134" s="705" t="s">
        <v>10284</v>
      </c>
      <c r="M134" s="835">
        <v>46068</v>
      </c>
      <c r="N134" s="831" t="s">
        <v>10279</v>
      </c>
      <c r="P134" s="1136" t="s">
        <v>10092</v>
      </c>
      <c r="Q134" s="706">
        <v>10338</v>
      </c>
      <c r="R134" s="706">
        <v>10600</v>
      </c>
      <c r="S134" s="706" t="s">
        <v>9341</v>
      </c>
      <c r="T134" s="834">
        <f t="shared" si="26"/>
        <v>0.37844444444444436</v>
      </c>
      <c r="U134" s="22" t="s">
        <v>10091</v>
      </c>
      <c r="W134" s="481"/>
    </row>
    <row r="135" spans="1:23" s="22" customFormat="1" x14ac:dyDescent="0.3">
      <c r="A135" s="831">
        <v>18</v>
      </c>
      <c r="B135" s="705" t="s">
        <v>10066</v>
      </c>
      <c r="C135" s="705" t="s">
        <v>468</v>
      </c>
      <c r="D135" s="706">
        <v>2000</v>
      </c>
      <c r="E135" s="706">
        <v>2170</v>
      </c>
      <c r="F135" s="705" t="s">
        <v>9341</v>
      </c>
      <c r="G135" s="705">
        <f t="shared" si="23"/>
        <v>340</v>
      </c>
      <c r="H135" s="705">
        <v>14</v>
      </c>
      <c r="I135" s="705">
        <v>3</v>
      </c>
      <c r="J135" s="707">
        <f t="shared" si="24"/>
        <v>7.1428571428571425E-2</v>
      </c>
      <c r="K135" s="708">
        <f t="shared" si="25"/>
        <v>24.285714285714285</v>
      </c>
      <c r="L135" s="705" t="s">
        <v>10285</v>
      </c>
      <c r="M135" s="835">
        <v>46068</v>
      </c>
      <c r="N135" s="831" t="s">
        <v>10279</v>
      </c>
      <c r="P135" s="1136" t="s">
        <v>10093</v>
      </c>
      <c r="Q135" s="706">
        <v>10550</v>
      </c>
      <c r="R135" s="706">
        <v>10600</v>
      </c>
      <c r="S135" s="706" t="s">
        <v>9341</v>
      </c>
      <c r="T135" s="834">
        <f t="shared" si="26"/>
        <v>2.777777777777778E-2</v>
      </c>
      <c r="U135" s="22" t="s">
        <v>10081</v>
      </c>
      <c r="W135" s="481"/>
    </row>
    <row r="136" spans="1:23" s="22" customFormat="1" x14ac:dyDescent="0.3">
      <c r="A136" s="831">
        <v>19</v>
      </c>
      <c r="B136" s="705" t="s">
        <v>10066</v>
      </c>
      <c r="C136" s="705" t="s">
        <v>468</v>
      </c>
      <c r="D136" s="706">
        <v>2000</v>
      </c>
      <c r="E136" s="706">
        <v>2170</v>
      </c>
      <c r="F136" s="705" t="s">
        <v>9341</v>
      </c>
      <c r="G136" s="705">
        <f t="shared" si="23"/>
        <v>340</v>
      </c>
      <c r="H136" s="705">
        <v>14</v>
      </c>
      <c r="I136" s="705">
        <v>4</v>
      </c>
      <c r="J136" s="707">
        <f t="shared" si="24"/>
        <v>7.1428571428571425E-2</v>
      </c>
      <c r="K136" s="708">
        <f t="shared" si="25"/>
        <v>24.285714285714285</v>
      </c>
      <c r="L136" s="705" t="s">
        <v>10286</v>
      </c>
      <c r="M136" s="835">
        <v>46069</v>
      </c>
      <c r="N136" s="831" t="s">
        <v>10279</v>
      </c>
      <c r="P136" s="1136" t="s">
        <v>10095</v>
      </c>
      <c r="Q136" s="706">
        <v>11356</v>
      </c>
      <c r="R136" s="706">
        <v>11570</v>
      </c>
      <c r="S136" s="706" t="s">
        <v>9341</v>
      </c>
      <c r="T136" s="834">
        <f t="shared" si="26"/>
        <v>0.42799999999999977</v>
      </c>
      <c r="U136" s="22" t="s">
        <v>10094</v>
      </c>
      <c r="W136" s="481"/>
    </row>
    <row r="137" spans="1:23" s="22" customFormat="1" x14ac:dyDescent="0.3">
      <c r="A137" s="831">
        <v>20</v>
      </c>
      <c r="B137" s="705" t="s">
        <v>10066</v>
      </c>
      <c r="C137" s="705" t="s">
        <v>468</v>
      </c>
      <c r="D137" s="706">
        <v>2000</v>
      </c>
      <c r="E137" s="706">
        <v>2170</v>
      </c>
      <c r="F137" s="705" t="s">
        <v>9341</v>
      </c>
      <c r="G137" s="705">
        <f t="shared" si="23"/>
        <v>340</v>
      </c>
      <c r="H137" s="705">
        <v>14</v>
      </c>
      <c r="I137" s="705">
        <v>5</v>
      </c>
      <c r="J137" s="707">
        <f t="shared" si="24"/>
        <v>7.1428571428571425E-2</v>
      </c>
      <c r="K137" s="708">
        <f t="shared" si="25"/>
        <v>24.285714285714285</v>
      </c>
      <c r="L137" s="705" t="s">
        <v>10287</v>
      </c>
      <c r="M137" s="835">
        <v>46069</v>
      </c>
      <c r="N137" s="831" t="s">
        <v>10279</v>
      </c>
      <c r="P137" s="1136" t="s">
        <v>10097</v>
      </c>
      <c r="Q137" s="706">
        <v>11590</v>
      </c>
      <c r="R137" s="706">
        <v>11770</v>
      </c>
      <c r="S137" s="706" t="s">
        <v>9341</v>
      </c>
      <c r="T137" s="834">
        <f t="shared" si="26"/>
        <v>0.36</v>
      </c>
      <c r="U137" s="22" t="s">
        <v>10096</v>
      </c>
      <c r="W137" s="481"/>
    </row>
    <row r="138" spans="1:23" s="22" customFormat="1" x14ac:dyDescent="0.3">
      <c r="A138" s="831">
        <v>21</v>
      </c>
      <c r="B138" s="705" t="s">
        <v>10066</v>
      </c>
      <c r="C138" s="705" t="s">
        <v>468</v>
      </c>
      <c r="D138" s="706">
        <v>2000</v>
      </c>
      <c r="E138" s="706">
        <v>2170</v>
      </c>
      <c r="F138" s="705" t="s">
        <v>9341</v>
      </c>
      <c r="G138" s="705">
        <f t="shared" si="23"/>
        <v>340</v>
      </c>
      <c r="H138" s="705">
        <v>14</v>
      </c>
      <c r="I138" s="705">
        <v>6</v>
      </c>
      <c r="J138" s="707">
        <f t="shared" si="24"/>
        <v>7.1428571428571425E-2</v>
      </c>
      <c r="K138" s="708">
        <f t="shared" si="25"/>
        <v>24.285714285714285</v>
      </c>
      <c r="L138" s="705" t="s">
        <v>10288</v>
      </c>
      <c r="M138" s="835">
        <v>46071</v>
      </c>
      <c r="N138" s="831" t="s">
        <v>10279</v>
      </c>
      <c r="P138" s="1136"/>
      <c r="Q138" s="706"/>
      <c r="R138" s="706"/>
      <c r="S138" s="706"/>
      <c r="T138" s="708"/>
      <c r="W138" s="481"/>
    </row>
    <row r="139" spans="1:23" s="22" customFormat="1" x14ac:dyDescent="0.3">
      <c r="A139" s="831">
        <v>22</v>
      </c>
      <c r="B139" s="705" t="s">
        <v>10066</v>
      </c>
      <c r="C139" s="705" t="s">
        <v>468</v>
      </c>
      <c r="D139" s="706">
        <v>2000</v>
      </c>
      <c r="E139" s="706">
        <v>2170</v>
      </c>
      <c r="F139" s="705" t="s">
        <v>9341</v>
      </c>
      <c r="G139" s="705">
        <f t="shared" si="23"/>
        <v>340</v>
      </c>
      <c r="H139" s="705">
        <v>14</v>
      </c>
      <c r="I139" s="705">
        <v>7</v>
      </c>
      <c r="J139" s="707">
        <f t="shared" si="24"/>
        <v>7.1428571428571425E-2</v>
      </c>
      <c r="K139" s="708">
        <f t="shared" si="25"/>
        <v>24.285714285714285</v>
      </c>
      <c r="L139" s="705" t="s">
        <v>10289</v>
      </c>
      <c r="M139" s="835">
        <v>46077</v>
      </c>
      <c r="N139" s="831" t="s">
        <v>10279</v>
      </c>
      <c r="P139"/>
      <c r="Q139" s="706"/>
      <c r="R139" s="706"/>
      <c r="S139" s="706"/>
      <c r="T139" s="708"/>
      <c r="W139" s="481"/>
    </row>
    <row r="140" spans="1:23" s="22" customFormat="1" x14ac:dyDescent="0.3">
      <c r="A140" s="831">
        <v>23</v>
      </c>
      <c r="B140" s="705" t="s">
        <v>10066</v>
      </c>
      <c r="C140" s="705" t="s">
        <v>468</v>
      </c>
      <c r="D140" s="706">
        <v>2000</v>
      </c>
      <c r="E140" s="706">
        <v>2170</v>
      </c>
      <c r="F140" s="705" t="s">
        <v>9341</v>
      </c>
      <c r="G140" s="705">
        <f t="shared" si="23"/>
        <v>340</v>
      </c>
      <c r="H140" s="705">
        <v>14</v>
      </c>
      <c r="I140" s="705">
        <v>8</v>
      </c>
      <c r="J140" s="707">
        <f t="shared" si="24"/>
        <v>7.1428571428571425E-2</v>
      </c>
      <c r="K140" s="708">
        <f t="shared" si="25"/>
        <v>24.285714285714285</v>
      </c>
      <c r="L140" s="705" t="s">
        <v>10290</v>
      </c>
      <c r="M140" s="835">
        <v>46077</v>
      </c>
      <c r="N140" s="831" t="s">
        <v>10279</v>
      </c>
      <c r="P140"/>
      <c r="Q140" s="706"/>
      <c r="R140" s="706"/>
      <c r="S140" s="706"/>
      <c r="T140" s="712">
        <f>SUM(T118:T139)</f>
        <v>3.2988227600859177</v>
      </c>
      <c r="W140" s="481"/>
    </row>
    <row r="141" spans="1:23" s="22" customFormat="1" x14ac:dyDescent="0.3">
      <c r="A141" s="831">
        <v>24</v>
      </c>
      <c r="B141" s="705" t="s">
        <v>10066</v>
      </c>
      <c r="C141" s="705" t="s">
        <v>468</v>
      </c>
      <c r="D141" s="706">
        <v>2000</v>
      </c>
      <c r="E141" s="706">
        <v>2170</v>
      </c>
      <c r="F141" s="705" t="s">
        <v>9341</v>
      </c>
      <c r="G141" s="705">
        <f t="shared" si="23"/>
        <v>340</v>
      </c>
      <c r="H141" s="705">
        <v>14</v>
      </c>
      <c r="I141" s="705">
        <v>9</v>
      </c>
      <c r="J141" s="707">
        <f t="shared" si="24"/>
        <v>7.1428571428571425E-2</v>
      </c>
      <c r="K141" s="708">
        <f t="shared" si="25"/>
        <v>24.285714285714285</v>
      </c>
      <c r="L141" s="705" t="s">
        <v>10291</v>
      </c>
      <c r="M141" s="835">
        <v>46078</v>
      </c>
      <c r="N141" s="831" t="s">
        <v>10279</v>
      </c>
      <c r="P141"/>
      <c r="Q141" s="615"/>
      <c r="R141" s="615"/>
      <c r="S141" s="615"/>
      <c r="T141" s="615"/>
      <c r="W141" s="481"/>
    </row>
    <row r="142" spans="1:23" s="22" customFormat="1" x14ac:dyDescent="0.3">
      <c r="A142" s="831">
        <v>25</v>
      </c>
      <c r="B142" s="705" t="s">
        <v>10066</v>
      </c>
      <c r="C142" s="705" t="s">
        <v>468</v>
      </c>
      <c r="D142" s="706">
        <v>2000</v>
      </c>
      <c r="E142" s="706">
        <v>2170</v>
      </c>
      <c r="F142" s="705" t="s">
        <v>9341</v>
      </c>
      <c r="G142" s="705">
        <f t="shared" si="23"/>
        <v>340</v>
      </c>
      <c r="H142" s="705">
        <v>14</v>
      </c>
      <c r="I142" s="705">
        <v>10</v>
      </c>
      <c r="J142" s="707">
        <f t="shared" si="24"/>
        <v>7.1428571428571425E-2</v>
      </c>
      <c r="K142" s="708">
        <f t="shared" si="25"/>
        <v>24.285714285714285</v>
      </c>
      <c r="L142" s="705" t="s">
        <v>10063</v>
      </c>
      <c r="M142" s="835">
        <v>46079</v>
      </c>
      <c r="N142" s="831" t="s">
        <v>10279</v>
      </c>
      <c r="P142"/>
      <c r="Q142" s="602"/>
      <c r="R142" s="602"/>
      <c r="S142" s="602"/>
      <c r="T142" s="1137"/>
      <c r="W142" s="481"/>
    </row>
    <row r="143" spans="1:23" s="22" customFormat="1" x14ac:dyDescent="0.3">
      <c r="A143" s="831">
        <v>26</v>
      </c>
      <c r="B143" s="705" t="s">
        <v>10066</v>
      </c>
      <c r="C143" s="705" t="s">
        <v>468</v>
      </c>
      <c r="D143" s="706">
        <v>2000</v>
      </c>
      <c r="E143" s="706">
        <v>2170</v>
      </c>
      <c r="F143" s="705" t="s">
        <v>9341</v>
      </c>
      <c r="G143" s="705">
        <f t="shared" si="23"/>
        <v>340</v>
      </c>
      <c r="H143" s="705">
        <v>14</v>
      </c>
      <c r="I143" s="705">
        <v>11</v>
      </c>
      <c r="J143" s="707">
        <f t="shared" si="24"/>
        <v>7.1428571428571425E-2</v>
      </c>
      <c r="K143" s="708">
        <f t="shared" si="25"/>
        <v>24.285714285714285</v>
      </c>
      <c r="L143" s="705" t="s">
        <v>10292</v>
      </c>
      <c r="M143" s="835">
        <v>46080</v>
      </c>
      <c r="N143" s="831" t="s">
        <v>10279</v>
      </c>
      <c r="P143"/>
      <c r="Q143" s="602"/>
      <c r="R143" s="602"/>
      <c r="S143" s="602"/>
      <c r="T143" s="602"/>
      <c r="W143" s="481"/>
    </row>
    <row r="144" spans="1:23" s="22" customFormat="1" x14ac:dyDescent="0.3">
      <c r="A144" s="831">
        <v>27</v>
      </c>
      <c r="B144" s="705" t="s">
        <v>10066</v>
      </c>
      <c r="C144" s="705" t="s">
        <v>468</v>
      </c>
      <c r="D144" s="706">
        <v>2000</v>
      </c>
      <c r="E144" s="706">
        <v>2170</v>
      </c>
      <c r="F144" s="705" t="s">
        <v>9341</v>
      </c>
      <c r="G144" s="705">
        <f t="shared" si="23"/>
        <v>340</v>
      </c>
      <c r="H144" s="705">
        <v>14</v>
      </c>
      <c r="I144" s="705">
        <v>12</v>
      </c>
      <c r="J144" s="707">
        <f t="shared" si="24"/>
        <v>7.1428571428571425E-2</v>
      </c>
      <c r="K144" s="708">
        <f t="shared" si="25"/>
        <v>24.285714285714285</v>
      </c>
      <c r="L144" s="705" t="s">
        <v>10065</v>
      </c>
      <c r="M144" s="835">
        <v>46081</v>
      </c>
      <c r="N144" s="831" t="s">
        <v>10279</v>
      </c>
      <c r="P144"/>
      <c r="Q144" s="602"/>
      <c r="R144" s="602"/>
      <c r="S144" s="602"/>
      <c r="T144" s="602"/>
      <c r="W144" s="481"/>
    </row>
    <row r="145" spans="1:23" s="22" customFormat="1" x14ac:dyDescent="0.3">
      <c r="A145" s="831">
        <v>28</v>
      </c>
      <c r="B145" s="705" t="s">
        <v>10067</v>
      </c>
      <c r="C145" s="705" t="s">
        <v>468</v>
      </c>
      <c r="D145" s="706">
        <v>2220</v>
      </c>
      <c r="E145" s="706">
        <v>2350</v>
      </c>
      <c r="F145" s="705" t="s">
        <v>9341</v>
      </c>
      <c r="G145" s="705">
        <f t="shared" si="23"/>
        <v>260</v>
      </c>
      <c r="H145" s="705">
        <v>16</v>
      </c>
      <c r="I145" s="705">
        <v>9</v>
      </c>
      <c r="J145" s="707">
        <f t="shared" si="24"/>
        <v>6.25E-2</v>
      </c>
      <c r="K145" s="708">
        <f t="shared" si="25"/>
        <v>16.25</v>
      </c>
      <c r="L145" s="705" t="s">
        <v>10293</v>
      </c>
      <c r="M145" s="835">
        <v>46077</v>
      </c>
      <c r="N145" s="831" t="s">
        <v>10279</v>
      </c>
      <c r="P145"/>
      <c r="Q145" s="602"/>
      <c r="R145" s="602"/>
      <c r="S145" s="602"/>
      <c r="T145" s="602"/>
      <c r="W145" s="481"/>
    </row>
    <row r="146" spans="1:23" s="22" customFormat="1" x14ac:dyDescent="0.3">
      <c r="A146" s="831">
        <v>29</v>
      </c>
      <c r="B146" s="705" t="s">
        <v>10067</v>
      </c>
      <c r="C146" s="705" t="s">
        <v>468</v>
      </c>
      <c r="D146" s="706">
        <v>2220</v>
      </c>
      <c r="E146" s="706">
        <v>2350</v>
      </c>
      <c r="F146" s="705" t="s">
        <v>9341</v>
      </c>
      <c r="G146" s="705">
        <f t="shared" si="23"/>
        <v>260</v>
      </c>
      <c r="H146" s="705">
        <v>16</v>
      </c>
      <c r="I146" s="705">
        <v>10</v>
      </c>
      <c r="J146" s="707">
        <f t="shared" si="24"/>
        <v>6.25E-2</v>
      </c>
      <c r="K146" s="708">
        <f t="shared" si="25"/>
        <v>16.25</v>
      </c>
      <c r="L146" s="705" t="s">
        <v>10294</v>
      </c>
      <c r="M146" s="835">
        <v>46078</v>
      </c>
      <c r="N146" s="831" t="s">
        <v>10279</v>
      </c>
      <c r="P146"/>
      <c r="Q146" s="602"/>
      <c r="R146" s="602"/>
      <c r="S146" s="602"/>
      <c r="T146" s="602"/>
      <c r="W146" s="481"/>
    </row>
    <row r="147" spans="1:23" s="22" customFormat="1" x14ac:dyDescent="0.3">
      <c r="A147" s="831">
        <v>30</v>
      </c>
      <c r="B147" s="705" t="s">
        <v>10067</v>
      </c>
      <c r="C147" s="705" t="s">
        <v>468</v>
      </c>
      <c r="D147" s="706">
        <v>2220</v>
      </c>
      <c r="E147" s="706">
        <v>2350</v>
      </c>
      <c r="F147" s="705" t="s">
        <v>9341</v>
      </c>
      <c r="G147" s="705">
        <f t="shared" si="23"/>
        <v>260</v>
      </c>
      <c r="H147" s="705">
        <v>16</v>
      </c>
      <c r="I147" s="705">
        <v>11</v>
      </c>
      <c r="J147" s="707">
        <f t="shared" si="24"/>
        <v>6.25E-2</v>
      </c>
      <c r="K147" s="708">
        <f t="shared" si="25"/>
        <v>16.25</v>
      </c>
      <c r="L147" s="705" t="s">
        <v>10292</v>
      </c>
      <c r="M147" s="835">
        <v>46080</v>
      </c>
      <c r="N147" s="831" t="s">
        <v>10279</v>
      </c>
      <c r="P147"/>
      <c r="Q147" s="602"/>
      <c r="R147" s="602"/>
      <c r="S147" s="602"/>
      <c r="T147" s="602"/>
      <c r="W147" s="481"/>
    </row>
    <row r="148" spans="1:23" s="22" customFormat="1" x14ac:dyDescent="0.3">
      <c r="A148" s="831">
        <v>31</v>
      </c>
      <c r="B148" s="705" t="s">
        <v>10067</v>
      </c>
      <c r="C148" s="705" t="s">
        <v>468</v>
      </c>
      <c r="D148" s="706">
        <v>2220</v>
      </c>
      <c r="E148" s="706">
        <v>2350</v>
      </c>
      <c r="F148" s="705" t="s">
        <v>9341</v>
      </c>
      <c r="G148" s="705">
        <f t="shared" si="23"/>
        <v>260</v>
      </c>
      <c r="H148" s="705">
        <v>16</v>
      </c>
      <c r="I148" s="705">
        <v>12</v>
      </c>
      <c r="J148" s="707">
        <f t="shared" si="24"/>
        <v>6.25E-2</v>
      </c>
      <c r="K148" s="708">
        <f t="shared" si="25"/>
        <v>16.25</v>
      </c>
      <c r="L148" s="705" t="s">
        <v>10065</v>
      </c>
      <c r="M148" s="835">
        <v>46081</v>
      </c>
      <c r="N148" s="831" t="s">
        <v>10279</v>
      </c>
      <c r="P148"/>
      <c r="Q148" s="602"/>
      <c r="R148" s="602"/>
      <c r="S148" s="602"/>
      <c r="T148" s="602"/>
      <c r="W148" s="481"/>
    </row>
    <row r="149" spans="1:23" s="22" customFormat="1" x14ac:dyDescent="0.3">
      <c r="A149" s="831">
        <v>32</v>
      </c>
      <c r="B149" s="705" t="s">
        <v>10069</v>
      </c>
      <c r="C149" s="705" t="s">
        <v>468</v>
      </c>
      <c r="D149" s="706">
        <v>2450</v>
      </c>
      <c r="E149" s="706">
        <v>2600</v>
      </c>
      <c r="F149" s="705" t="s">
        <v>9346</v>
      </c>
      <c r="G149" s="705">
        <f t="shared" ref="G149" si="27">IF(F149="BHS",(ABS(D149-E149)*2),(ABS(D149-E149)))</f>
        <v>150</v>
      </c>
      <c r="H149" s="705">
        <v>10</v>
      </c>
      <c r="I149" s="705">
        <v>9</v>
      </c>
      <c r="J149" s="707">
        <f t="shared" ref="J149" si="28">IFERROR(IF(I149&gt;0,1/H149,0),0)</f>
        <v>0.1</v>
      </c>
      <c r="K149" s="708">
        <f t="shared" ref="K149" si="29">J149*G149</f>
        <v>15</v>
      </c>
      <c r="L149" s="705" t="s">
        <v>10068</v>
      </c>
      <c r="M149" s="835">
        <v>46077</v>
      </c>
      <c r="N149" s="831" t="s">
        <v>10279</v>
      </c>
      <c r="P149"/>
      <c r="Q149" s="602"/>
      <c r="R149" s="602"/>
      <c r="S149" s="602"/>
      <c r="T149" s="602"/>
      <c r="W149" s="481"/>
    </row>
    <row r="150" spans="1:23" s="22" customFormat="1" x14ac:dyDescent="0.3">
      <c r="A150" s="831">
        <v>33</v>
      </c>
      <c r="B150" s="705" t="s">
        <v>10071</v>
      </c>
      <c r="C150" s="705" t="s">
        <v>468</v>
      </c>
      <c r="D150" s="706">
        <v>2700</v>
      </c>
      <c r="E150" s="706">
        <v>2900</v>
      </c>
      <c r="F150" s="705" t="s">
        <v>9341</v>
      </c>
      <c r="G150" s="705">
        <f t="shared" ref="G150:G154" si="30">IF(F150="BHS",(ABS(D150-E150)*2),(ABS(D150-E150)))</f>
        <v>400</v>
      </c>
      <c r="H150" s="705">
        <v>11</v>
      </c>
      <c r="I150" s="705">
        <v>8</v>
      </c>
      <c r="J150" s="707">
        <f t="shared" ref="J150:J154" si="31">IFERROR(IF(I150&gt;0,1/H150,0),0)</f>
        <v>9.0909090909090912E-2</v>
      </c>
      <c r="K150" s="708">
        <f t="shared" ref="K150:K154" si="32">J150*G150</f>
        <v>36.363636363636367</v>
      </c>
      <c r="L150" s="705" t="s">
        <v>10295</v>
      </c>
      <c r="M150" s="835">
        <v>46077</v>
      </c>
      <c r="N150" s="831" t="s">
        <v>10279</v>
      </c>
      <c r="P150"/>
      <c r="Q150"/>
      <c r="R150"/>
      <c r="S150"/>
      <c r="T150" s="602"/>
      <c r="W150" s="481"/>
    </row>
    <row r="151" spans="1:23" s="22" customFormat="1" x14ac:dyDescent="0.3">
      <c r="A151" s="831">
        <v>34</v>
      </c>
      <c r="B151" s="705" t="s">
        <v>10071</v>
      </c>
      <c r="C151" s="705" t="s">
        <v>468</v>
      </c>
      <c r="D151" s="706">
        <v>2700</v>
      </c>
      <c r="E151" s="706">
        <v>2900</v>
      </c>
      <c r="F151" s="705" t="s">
        <v>9341</v>
      </c>
      <c r="G151" s="705">
        <f t="shared" si="30"/>
        <v>400</v>
      </c>
      <c r="H151" s="705">
        <v>11</v>
      </c>
      <c r="I151" s="705">
        <v>9</v>
      </c>
      <c r="J151" s="707">
        <f t="shared" si="31"/>
        <v>9.0909090909090912E-2</v>
      </c>
      <c r="K151" s="708">
        <f t="shared" si="32"/>
        <v>36.363636363636367</v>
      </c>
      <c r="L151" s="705" t="s">
        <v>10296</v>
      </c>
      <c r="M151" s="835">
        <v>46079</v>
      </c>
      <c r="N151" s="831" t="s">
        <v>10279</v>
      </c>
      <c r="P151"/>
      <c r="Q151"/>
      <c r="R151"/>
      <c r="S151"/>
      <c r="T151" s="602"/>
      <c r="W151" s="481"/>
    </row>
    <row r="152" spans="1:23" s="22" customFormat="1" x14ac:dyDescent="0.3">
      <c r="A152" s="831">
        <v>35</v>
      </c>
      <c r="B152" s="705" t="s">
        <v>10071</v>
      </c>
      <c r="C152" s="705" t="s">
        <v>468</v>
      </c>
      <c r="D152" s="706">
        <v>2700</v>
      </c>
      <c r="E152" s="706">
        <v>2900</v>
      </c>
      <c r="F152" s="705" t="s">
        <v>9341</v>
      </c>
      <c r="G152" s="705">
        <f t="shared" si="30"/>
        <v>400</v>
      </c>
      <c r="H152" s="705">
        <v>11</v>
      </c>
      <c r="I152" s="705">
        <v>10</v>
      </c>
      <c r="J152" s="707">
        <f t="shared" si="31"/>
        <v>9.0909090909090912E-2</v>
      </c>
      <c r="K152" s="708">
        <f t="shared" si="32"/>
        <v>36.363636363636367</v>
      </c>
      <c r="L152" s="705" t="s">
        <v>10070</v>
      </c>
      <c r="M152" s="835">
        <v>46080</v>
      </c>
      <c r="N152" s="831" t="s">
        <v>10279</v>
      </c>
      <c r="P152"/>
      <c r="Q152"/>
      <c r="R152"/>
      <c r="S152"/>
      <c r="T152" s="602"/>
      <c r="W152" s="481"/>
    </row>
    <row r="153" spans="1:23" s="22" customFormat="1" x14ac:dyDescent="0.3">
      <c r="A153" s="831">
        <v>36</v>
      </c>
      <c r="B153" s="705" t="s">
        <v>10073</v>
      </c>
      <c r="C153" s="705" t="s">
        <v>468</v>
      </c>
      <c r="D153" s="706">
        <v>3070</v>
      </c>
      <c r="E153" s="706">
        <v>3250</v>
      </c>
      <c r="F153" s="705" t="s">
        <v>9341</v>
      </c>
      <c r="G153" s="705">
        <f t="shared" si="30"/>
        <v>360</v>
      </c>
      <c r="H153" s="705">
        <v>26</v>
      </c>
      <c r="I153" s="705">
        <v>9</v>
      </c>
      <c r="J153" s="707">
        <f t="shared" si="31"/>
        <v>3.8461538461538464E-2</v>
      </c>
      <c r="K153" s="708">
        <f t="shared" si="32"/>
        <v>13.846153846153847</v>
      </c>
      <c r="L153" s="705" t="s">
        <v>10296</v>
      </c>
      <c r="M153" s="835">
        <v>46079</v>
      </c>
      <c r="N153" s="831" t="s">
        <v>10279</v>
      </c>
      <c r="P153"/>
      <c r="Q153"/>
      <c r="R153"/>
      <c r="S153"/>
      <c r="T153" s="602"/>
      <c r="W153" s="481"/>
    </row>
    <row r="154" spans="1:23" s="22" customFormat="1" x14ac:dyDescent="0.3">
      <c r="A154" s="831">
        <v>37</v>
      </c>
      <c r="B154" s="705" t="s">
        <v>10073</v>
      </c>
      <c r="C154" s="705" t="s">
        <v>468</v>
      </c>
      <c r="D154" s="706">
        <v>3070</v>
      </c>
      <c r="E154" s="706">
        <v>3250</v>
      </c>
      <c r="F154" s="705" t="s">
        <v>9341</v>
      </c>
      <c r="G154" s="705">
        <f t="shared" si="30"/>
        <v>360</v>
      </c>
      <c r="H154" s="705">
        <v>26</v>
      </c>
      <c r="I154" s="705">
        <v>10</v>
      </c>
      <c r="J154" s="707">
        <f t="shared" si="31"/>
        <v>3.8461538461538464E-2</v>
      </c>
      <c r="K154" s="708">
        <f t="shared" si="32"/>
        <v>13.846153846153847</v>
      </c>
      <c r="L154" s="705" t="s">
        <v>10070</v>
      </c>
      <c r="M154" s="835">
        <v>46080</v>
      </c>
      <c r="N154" s="831" t="s">
        <v>10279</v>
      </c>
      <c r="P154"/>
      <c r="Q154"/>
      <c r="R154"/>
      <c r="S154"/>
      <c r="T154" s="602"/>
      <c r="W154" s="481"/>
    </row>
    <row r="155" spans="1:23" s="22" customFormat="1" x14ac:dyDescent="0.3">
      <c r="A155" s="831">
        <v>38</v>
      </c>
      <c r="B155" s="705" t="s">
        <v>10075</v>
      </c>
      <c r="C155" s="705" t="s">
        <v>468</v>
      </c>
      <c r="D155" s="706">
        <v>4210</v>
      </c>
      <c r="E155" s="706">
        <v>4350</v>
      </c>
      <c r="F155" s="705" t="s">
        <v>9341</v>
      </c>
      <c r="G155" s="705">
        <f t="shared" si="23"/>
        <v>280</v>
      </c>
      <c r="H155" s="705">
        <v>27</v>
      </c>
      <c r="I155" s="705">
        <v>1</v>
      </c>
      <c r="J155" s="707">
        <f t="shared" si="24"/>
        <v>3.7037037037037035E-2</v>
      </c>
      <c r="K155" s="708">
        <f t="shared" si="25"/>
        <v>10.37037037037037</v>
      </c>
      <c r="L155" s="705" t="s">
        <v>10297</v>
      </c>
      <c r="M155" s="835">
        <v>46061</v>
      </c>
      <c r="N155" s="831" t="s">
        <v>10279</v>
      </c>
      <c r="P155"/>
      <c r="Q155"/>
      <c r="R155"/>
      <c r="S155"/>
      <c r="T155" s="602"/>
      <c r="W155" s="481"/>
    </row>
    <row r="156" spans="1:23" s="22" customFormat="1" x14ac:dyDescent="0.3">
      <c r="A156" s="831">
        <v>39</v>
      </c>
      <c r="B156" s="705" t="s">
        <v>10075</v>
      </c>
      <c r="C156" s="705" t="s">
        <v>468</v>
      </c>
      <c r="D156" s="706">
        <v>4210</v>
      </c>
      <c r="E156" s="706">
        <v>4350</v>
      </c>
      <c r="F156" s="705" t="s">
        <v>9341</v>
      </c>
      <c r="G156" s="705">
        <f t="shared" si="23"/>
        <v>280</v>
      </c>
      <c r="H156" s="705">
        <v>27</v>
      </c>
      <c r="I156" s="705">
        <v>2</v>
      </c>
      <c r="J156" s="707">
        <f t="shared" si="24"/>
        <v>3.7037037037037035E-2</v>
      </c>
      <c r="K156" s="708">
        <f t="shared" si="25"/>
        <v>10.37037037037037</v>
      </c>
      <c r="L156" s="705" t="s">
        <v>10298</v>
      </c>
      <c r="M156" s="835">
        <v>46065</v>
      </c>
      <c r="N156" s="831" t="s">
        <v>10279</v>
      </c>
      <c r="P156"/>
      <c r="Q156"/>
      <c r="R156"/>
      <c r="S156"/>
      <c r="T156" s="602"/>
      <c r="W156" s="481"/>
    </row>
    <row r="157" spans="1:23" s="22" customFormat="1" x14ac:dyDescent="0.3">
      <c r="A157" s="831">
        <v>40</v>
      </c>
      <c r="B157" s="705" t="s">
        <v>10075</v>
      </c>
      <c r="C157" s="705" t="s">
        <v>468</v>
      </c>
      <c r="D157" s="706">
        <v>4210</v>
      </c>
      <c r="E157" s="706">
        <v>4350</v>
      </c>
      <c r="F157" s="705" t="s">
        <v>9341</v>
      </c>
      <c r="G157" s="705">
        <f t="shared" si="23"/>
        <v>280</v>
      </c>
      <c r="H157" s="705">
        <v>27</v>
      </c>
      <c r="I157" s="705">
        <v>3</v>
      </c>
      <c r="J157" s="707">
        <f t="shared" si="24"/>
        <v>3.7037037037037035E-2</v>
      </c>
      <c r="K157" s="708">
        <f t="shared" si="25"/>
        <v>10.37037037037037</v>
      </c>
      <c r="L157" s="705" t="s">
        <v>10299</v>
      </c>
      <c r="M157" s="835">
        <v>46067</v>
      </c>
      <c r="N157" s="831" t="s">
        <v>10279</v>
      </c>
      <c r="P157"/>
      <c r="Q157" s="602"/>
      <c r="R157" s="602"/>
      <c r="S157" s="602"/>
      <c r="T157" s="602"/>
      <c r="W157" s="481"/>
    </row>
    <row r="158" spans="1:23" s="22" customFormat="1" x14ac:dyDescent="0.3">
      <c r="A158" s="831">
        <v>41</v>
      </c>
      <c r="B158" s="705" t="s">
        <v>10075</v>
      </c>
      <c r="C158" s="705" t="s">
        <v>468</v>
      </c>
      <c r="D158" s="706">
        <v>4210</v>
      </c>
      <c r="E158" s="706">
        <v>4350</v>
      </c>
      <c r="F158" s="705" t="s">
        <v>9341</v>
      </c>
      <c r="G158" s="705">
        <f t="shared" si="23"/>
        <v>280</v>
      </c>
      <c r="H158" s="705">
        <v>27</v>
      </c>
      <c r="I158" s="705">
        <v>4</v>
      </c>
      <c r="J158" s="707">
        <f t="shared" si="24"/>
        <v>3.7037037037037035E-2</v>
      </c>
      <c r="K158" s="708">
        <f t="shared" si="25"/>
        <v>10.37037037037037</v>
      </c>
      <c r="L158" s="705" t="s">
        <v>10300</v>
      </c>
      <c r="M158" s="835">
        <v>46068</v>
      </c>
      <c r="N158" s="831" t="s">
        <v>10279</v>
      </c>
      <c r="P158"/>
      <c r="Q158" s="602"/>
      <c r="R158" s="602"/>
      <c r="S158" s="602"/>
      <c r="T158" s="602"/>
      <c r="W158" s="481"/>
    </row>
    <row r="159" spans="1:23" s="22" customFormat="1" x14ac:dyDescent="0.3">
      <c r="A159" s="831">
        <v>42</v>
      </c>
      <c r="B159" s="705" t="s">
        <v>10075</v>
      </c>
      <c r="C159" s="705" t="s">
        <v>468</v>
      </c>
      <c r="D159" s="706">
        <v>4210</v>
      </c>
      <c r="E159" s="706">
        <v>4350</v>
      </c>
      <c r="F159" s="705" t="s">
        <v>9341</v>
      </c>
      <c r="G159" s="705">
        <f t="shared" si="23"/>
        <v>280</v>
      </c>
      <c r="H159" s="705">
        <v>27</v>
      </c>
      <c r="I159" s="705">
        <v>5</v>
      </c>
      <c r="J159" s="707">
        <f t="shared" si="24"/>
        <v>3.7037037037037035E-2</v>
      </c>
      <c r="K159" s="708">
        <f t="shared" si="25"/>
        <v>10.37037037037037</v>
      </c>
      <c r="L159" s="705" t="s">
        <v>10301</v>
      </c>
      <c r="M159" s="835">
        <v>46069</v>
      </c>
      <c r="N159" s="831" t="s">
        <v>10279</v>
      </c>
      <c r="P159"/>
      <c r="Q159"/>
      <c r="R159"/>
      <c r="S159"/>
      <c r="T159" s="602"/>
      <c r="W159" s="481"/>
    </row>
    <row r="160" spans="1:23" s="22" customFormat="1" x14ac:dyDescent="0.3">
      <c r="A160" s="831">
        <v>43</v>
      </c>
      <c r="B160" s="705" t="s">
        <v>10075</v>
      </c>
      <c r="C160" s="705" t="s">
        <v>468</v>
      </c>
      <c r="D160" s="706">
        <v>4210</v>
      </c>
      <c r="E160" s="706">
        <v>4350</v>
      </c>
      <c r="F160" s="705" t="s">
        <v>9341</v>
      </c>
      <c r="G160" s="705">
        <f t="shared" si="23"/>
        <v>280</v>
      </c>
      <c r="H160" s="705">
        <v>27</v>
      </c>
      <c r="I160" s="705">
        <v>6</v>
      </c>
      <c r="J160" s="707">
        <f t="shared" si="24"/>
        <v>3.7037037037037035E-2</v>
      </c>
      <c r="K160" s="708">
        <f t="shared" si="25"/>
        <v>10.37037037037037</v>
      </c>
      <c r="L160" s="705" t="s">
        <v>10302</v>
      </c>
      <c r="M160" s="835">
        <v>46071</v>
      </c>
      <c r="N160" s="831" t="s">
        <v>10279</v>
      </c>
      <c r="P160"/>
      <c r="Q160"/>
      <c r="R160"/>
      <c r="S160"/>
      <c r="T160" s="602"/>
      <c r="W160" s="481"/>
    </row>
    <row r="161" spans="1:23" s="22" customFormat="1" x14ac:dyDescent="0.3">
      <c r="A161" s="831">
        <v>44</v>
      </c>
      <c r="B161" s="705" t="s">
        <v>10075</v>
      </c>
      <c r="C161" s="705" t="s">
        <v>468</v>
      </c>
      <c r="D161" s="706">
        <v>4210</v>
      </c>
      <c r="E161" s="706">
        <v>4350</v>
      </c>
      <c r="F161" s="705" t="s">
        <v>9341</v>
      </c>
      <c r="G161" s="705">
        <f t="shared" si="23"/>
        <v>280</v>
      </c>
      <c r="H161" s="705">
        <v>27</v>
      </c>
      <c r="I161" s="705">
        <v>7</v>
      </c>
      <c r="J161" s="707">
        <f t="shared" si="24"/>
        <v>3.7037037037037035E-2</v>
      </c>
      <c r="K161" s="708">
        <f t="shared" si="25"/>
        <v>10.37037037037037</v>
      </c>
      <c r="L161" s="705" t="s">
        <v>10303</v>
      </c>
      <c r="M161" s="835">
        <v>46077</v>
      </c>
      <c r="N161" s="831" t="s">
        <v>10279</v>
      </c>
      <c r="P161"/>
      <c r="Q161"/>
      <c r="R161"/>
      <c r="S161"/>
      <c r="T161" s="602"/>
      <c r="W161" s="481"/>
    </row>
    <row r="162" spans="1:23" s="22" customFormat="1" x14ac:dyDescent="0.3">
      <c r="A162" s="831">
        <v>45</v>
      </c>
      <c r="B162" s="705" t="s">
        <v>10075</v>
      </c>
      <c r="C162" s="705" t="s">
        <v>468</v>
      </c>
      <c r="D162" s="706">
        <v>4210</v>
      </c>
      <c r="E162" s="706">
        <v>4350</v>
      </c>
      <c r="F162" s="705" t="s">
        <v>9341</v>
      </c>
      <c r="G162" s="705">
        <f t="shared" si="23"/>
        <v>280</v>
      </c>
      <c r="H162" s="705">
        <v>27</v>
      </c>
      <c r="I162" s="705">
        <v>8</v>
      </c>
      <c r="J162" s="707">
        <f t="shared" si="24"/>
        <v>3.7037037037037035E-2</v>
      </c>
      <c r="K162" s="708">
        <f t="shared" si="25"/>
        <v>10.37037037037037</v>
      </c>
      <c r="L162" s="705" t="s">
        <v>10304</v>
      </c>
      <c r="M162" s="835">
        <v>46078</v>
      </c>
      <c r="N162" s="831" t="s">
        <v>10279</v>
      </c>
      <c r="P162"/>
      <c r="Q162"/>
      <c r="R162"/>
      <c r="S162"/>
      <c r="T162" s="602"/>
      <c r="W162" s="481"/>
    </row>
    <row r="163" spans="1:23" s="22" customFormat="1" x14ac:dyDescent="0.3">
      <c r="A163" s="831">
        <v>46</v>
      </c>
      <c r="B163" s="705" t="s">
        <v>10075</v>
      </c>
      <c r="C163" s="705" t="s">
        <v>468</v>
      </c>
      <c r="D163" s="706">
        <v>4210</v>
      </c>
      <c r="E163" s="706">
        <v>4350</v>
      </c>
      <c r="F163" s="705" t="s">
        <v>9341</v>
      </c>
      <c r="G163" s="705">
        <f t="shared" si="23"/>
        <v>280</v>
      </c>
      <c r="H163" s="705">
        <v>27</v>
      </c>
      <c r="I163" s="705">
        <v>9</v>
      </c>
      <c r="J163" s="707">
        <f t="shared" si="24"/>
        <v>3.7037037037037035E-2</v>
      </c>
      <c r="K163" s="708">
        <f t="shared" si="25"/>
        <v>10.37037037037037</v>
      </c>
      <c r="L163" s="705" t="s">
        <v>10305</v>
      </c>
      <c r="M163" s="835">
        <v>46079</v>
      </c>
      <c r="N163" s="831" t="s">
        <v>10279</v>
      </c>
      <c r="P163"/>
      <c r="Q163"/>
      <c r="R163"/>
      <c r="S163"/>
      <c r="T163" s="602"/>
      <c r="W163" s="481"/>
    </row>
    <row r="164" spans="1:23" s="22" customFormat="1" x14ac:dyDescent="0.3">
      <c r="A164" s="831">
        <v>47</v>
      </c>
      <c r="B164" s="705" t="s">
        <v>10075</v>
      </c>
      <c r="C164" s="705" t="s">
        <v>468</v>
      </c>
      <c r="D164" s="706">
        <v>4210</v>
      </c>
      <c r="E164" s="706">
        <v>4350</v>
      </c>
      <c r="F164" s="705" t="s">
        <v>9341</v>
      </c>
      <c r="G164" s="705">
        <f t="shared" si="23"/>
        <v>280</v>
      </c>
      <c r="H164" s="705">
        <v>27</v>
      </c>
      <c r="I164" s="705">
        <v>10</v>
      </c>
      <c r="J164" s="707">
        <f t="shared" si="24"/>
        <v>3.7037037037037035E-2</v>
      </c>
      <c r="K164" s="708">
        <f t="shared" si="25"/>
        <v>10.37037037037037</v>
      </c>
      <c r="L164" s="705" t="s">
        <v>10074</v>
      </c>
      <c r="M164" s="835">
        <v>46080</v>
      </c>
      <c r="N164" s="831" t="s">
        <v>10279</v>
      </c>
      <c r="P164"/>
      <c r="Q164"/>
      <c r="R164"/>
      <c r="S164"/>
      <c r="T164" s="602"/>
      <c r="W164" s="481"/>
    </row>
    <row r="165" spans="1:23" s="22" customFormat="1" x14ac:dyDescent="0.3">
      <c r="A165" s="831">
        <v>48</v>
      </c>
      <c r="B165" s="705" t="s">
        <v>10076</v>
      </c>
      <c r="C165" s="705" t="s">
        <v>468</v>
      </c>
      <c r="D165" s="706">
        <v>4620</v>
      </c>
      <c r="E165" s="706">
        <v>4830</v>
      </c>
      <c r="F165" s="705" t="s">
        <v>9341</v>
      </c>
      <c r="G165" s="705">
        <f t="shared" si="23"/>
        <v>420</v>
      </c>
      <c r="H165" s="705">
        <v>28</v>
      </c>
      <c r="I165" s="705">
        <v>2</v>
      </c>
      <c r="J165" s="707">
        <f t="shared" si="24"/>
        <v>3.5714285714285712E-2</v>
      </c>
      <c r="K165" s="708">
        <f t="shared" si="25"/>
        <v>15</v>
      </c>
      <c r="L165" s="705" t="s">
        <v>10298</v>
      </c>
      <c r="M165" s="835">
        <v>46065</v>
      </c>
      <c r="N165" s="831" t="s">
        <v>10279</v>
      </c>
      <c r="P165"/>
      <c r="Q165"/>
      <c r="R165"/>
      <c r="S165"/>
      <c r="T165" s="602"/>
      <c r="W165" s="481"/>
    </row>
    <row r="166" spans="1:23" s="22" customFormat="1" x14ac:dyDescent="0.3">
      <c r="A166" s="831">
        <v>49</v>
      </c>
      <c r="B166" s="705" t="s">
        <v>10076</v>
      </c>
      <c r="C166" s="705" t="s">
        <v>468</v>
      </c>
      <c r="D166" s="706">
        <v>4620</v>
      </c>
      <c r="E166" s="706">
        <v>4830</v>
      </c>
      <c r="F166" s="705" t="s">
        <v>9341</v>
      </c>
      <c r="G166" s="705">
        <f t="shared" si="23"/>
        <v>420</v>
      </c>
      <c r="H166" s="705">
        <v>28</v>
      </c>
      <c r="I166" s="705">
        <v>3</v>
      </c>
      <c r="J166" s="707">
        <f t="shared" si="24"/>
        <v>3.5714285714285712E-2</v>
      </c>
      <c r="K166" s="708">
        <f t="shared" si="25"/>
        <v>15</v>
      </c>
      <c r="L166" s="705" t="s">
        <v>10299</v>
      </c>
      <c r="M166" s="835">
        <v>46067</v>
      </c>
      <c r="N166" s="831" t="s">
        <v>10279</v>
      </c>
      <c r="P166"/>
      <c r="Q166"/>
      <c r="R166"/>
      <c r="S166"/>
      <c r="T166" s="602"/>
      <c r="W166" s="481"/>
    </row>
    <row r="167" spans="1:23" s="22" customFormat="1" x14ac:dyDescent="0.3">
      <c r="A167" s="831">
        <v>50</v>
      </c>
      <c r="B167" s="705" t="s">
        <v>10076</v>
      </c>
      <c r="C167" s="705" t="s">
        <v>468</v>
      </c>
      <c r="D167" s="706">
        <v>4620</v>
      </c>
      <c r="E167" s="706">
        <v>4830</v>
      </c>
      <c r="F167" s="705" t="s">
        <v>9341</v>
      </c>
      <c r="G167" s="705">
        <f t="shared" si="23"/>
        <v>420</v>
      </c>
      <c r="H167" s="705">
        <v>28</v>
      </c>
      <c r="I167" s="705">
        <v>4</v>
      </c>
      <c r="J167" s="707">
        <f t="shared" si="24"/>
        <v>3.5714285714285712E-2</v>
      </c>
      <c r="K167" s="708">
        <f t="shared" si="25"/>
        <v>15</v>
      </c>
      <c r="L167" s="705" t="s">
        <v>10300</v>
      </c>
      <c r="M167" s="835">
        <v>46068</v>
      </c>
      <c r="N167" s="831" t="s">
        <v>10279</v>
      </c>
      <c r="P167"/>
      <c r="Q167"/>
      <c r="R167"/>
      <c r="S167"/>
      <c r="T167" s="602"/>
      <c r="W167" s="481"/>
    </row>
    <row r="168" spans="1:23" s="22" customFormat="1" x14ac:dyDescent="0.3">
      <c r="A168" s="831">
        <v>51</v>
      </c>
      <c r="B168" s="705" t="s">
        <v>10076</v>
      </c>
      <c r="C168" s="705" t="s">
        <v>468</v>
      </c>
      <c r="D168" s="706">
        <v>4620</v>
      </c>
      <c r="E168" s="706">
        <v>4830</v>
      </c>
      <c r="F168" s="705" t="s">
        <v>9341</v>
      </c>
      <c r="G168" s="705">
        <f t="shared" si="23"/>
        <v>420</v>
      </c>
      <c r="H168" s="705">
        <v>28</v>
      </c>
      <c r="I168" s="705">
        <v>5</v>
      </c>
      <c r="J168" s="707">
        <f t="shared" si="24"/>
        <v>3.5714285714285712E-2</v>
      </c>
      <c r="K168" s="708">
        <f t="shared" si="25"/>
        <v>15</v>
      </c>
      <c r="L168" s="705" t="s">
        <v>10301</v>
      </c>
      <c r="M168" s="835">
        <v>46069</v>
      </c>
      <c r="N168" s="831" t="s">
        <v>10279</v>
      </c>
      <c r="P168"/>
      <c r="Q168"/>
      <c r="R168"/>
      <c r="S168"/>
      <c r="T168" s="602"/>
      <c r="W168" s="481"/>
    </row>
    <row r="169" spans="1:23" s="22" customFormat="1" x14ac:dyDescent="0.3">
      <c r="A169" s="831">
        <v>52</v>
      </c>
      <c r="B169" s="705" t="s">
        <v>10076</v>
      </c>
      <c r="C169" s="705" t="s">
        <v>468</v>
      </c>
      <c r="D169" s="706">
        <v>4620</v>
      </c>
      <c r="E169" s="706">
        <v>4830</v>
      </c>
      <c r="F169" s="705" t="s">
        <v>9341</v>
      </c>
      <c r="G169" s="705">
        <f t="shared" si="23"/>
        <v>420</v>
      </c>
      <c r="H169" s="705">
        <v>28</v>
      </c>
      <c r="I169" s="705">
        <v>6</v>
      </c>
      <c r="J169" s="707">
        <f t="shared" si="24"/>
        <v>3.5714285714285712E-2</v>
      </c>
      <c r="K169" s="708">
        <f t="shared" si="25"/>
        <v>15</v>
      </c>
      <c r="L169" s="705" t="s">
        <v>10302</v>
      </c>
      <c r="M169" s="835">
        <v>46071</v>
      </c>
      <c r="N169" s="831" t="s">
        <v>10279</v>
      </c>
      <c r="P169"/>
      <c r="Q169"/>
      <c r="R169"/>
      <c r="S169"/>
      <c r="T169" s="602"/>
      <c r="W169" s="481"/>
    </row>
    <row r="170" spans="1:23" s="22" customFormat="1" x14ac:dyDescent="0.3">
      <c r="A170" s="831">
        <v>53</v>
      </c>
      <c r="B170" s="705" t="s">
        <v>10076</v>
      </c>
      <c r="C170" s="705" t="s">
        <v>468</v>
      </c>
      <c r="D170" s="706">
        <v>4620</v>
      </c>
      <c r="E170" s="706">
        <v>4830</v>
      </c>
      <c r="F170" s="705" t="s">
        <v>9341</v>
      </c>
      <c r="G170" s="705">
        <f t="shared" si="23"/>
        <v>420</v>
      </c>
      <c r="H170" s="705">
        <v>28</v>
      </c>
      <c r="I170" s="705">
        <v>7</v>
      </c>
      <c r="J170" s="707">
        <f t="shared" si="24"/>
        <v>3.5714285714285712E-2</v>
      </c>
      <c r="K170" s="708">
        <f t="shared" si="25"/>
        <v>15</v>
      </c>
      <c r="L170" s="705" t="s">
        <v>10303</v>
      </c>
      <c r="M170" s="835">
        <v>46077</v>
      </c>
      <c r="N170" s="831" t="s">
        <v>10279</v>
      </c>
      <c r="P170"/>
      <c r="Q170"/>
      <c r="R170"/>
      <c r="S170"/>
      <c r="T170" s="602"/>
      <c r="W170" s="481"/>
    </row>
    <row r="171" spans="1:23" s="22" customFormat="1" x14ac:dyDescent="0.3">
      <c r="A171" s="831">
        <v>54</v>
      </c>
      <c r="B171" s="705" t="s">
        <v>10076</v>
      </c>
      <c r="C171" s="705" t="s">
        <v>468</v>
      </c>
      <c r="D171" s="706">
        <v>4620</v>
      </c>
      <c r="E171" s="706">
        <v>4830</v>
      </c>
      <c r="F171" s="705" t="s">
        <v>9341</v>
      </c>
      <c r="G171" s="705">
        <f t="shared" si="23"/>
        <v>420</v>
      </c>
      <c r="H171" s="705">
        <v>28</v>
      </c>
      <c r="I171" s="705">
        <v>8</v>
      </c>
      <c r="J171" s="707">
        <f t="shared" si="24"/>
        <v>3.5714285714285712E-2</v>
      </c>
      <c r="K171" s="708">
        <f t="shared" si="25"/>
        <v>15</v>
      </c>
      <c r="L171" s="705" t="s">
        <v>10304</v>
      </c>
      <c r="M171" s="835">
        <v>46078</v>
      </c>
      <c r="N171" s="831" t="s">
        <v>10279</v>
      </c>
      <c r="P171"/>
      <c r="Q171"/>
      <c r="R171"/>
      <c r="S171"/>
      <c r="T171" s="602"/>
      <c r="W171" s="481"/>
    </row>
    <row r="172" spans="1:23" s="22" customFormat="1" x14ac:dyDescent="0.3">
      <c r="A172" s="831">
        <v>55</v>
      </c>
      <c r="B172" s="705" t="s">
        <v>10076</v>
      </c>
      <c r="C172" s="705" t="s">
        <v>468</v>
      </c>
      <c r="D172" s="706">
        <v>4620</v>
      </c>
      <c r="E172" s="706">
        <v>4830</v>
      </c>
      <c r="F172" s="705" t="s">
        <v>9341</v>
      </c>
      <c r="G172" s="705">
        <f t="shared" si="23"/>
        <v>420</v>
      </c>
      <c r="H172" s="705">
        <v>28</v>
      </c>
      <c r="I172" s="705">
        <v>9</v>
      </c>
      <c r="J172" s="707">
        <f t="shared" si="24"/>
        <v>3.5714285714285712E-2</v>
      </c>
      <c r="K172" s="708">
        <f t="shared" si="25"/>
        <v>15</v>
      </c>
      <c r="L172" s="705" t="s">
        <v>10305</v>
      </c>
      <c r="M172" s="835">
        <v>46079</v>
      </c>
      <c r="N172" s="831" t="s">
        <v>10279</v>
      </c>
      <c r="P172"/>
      <c r="Q172"/>
      <c r="R172"/>
      <c r="S172"/>
      <c r="T172" s="602"/>
      <c r="W172" s="481"/>
    </row>
    <row r="173" spans="1:23" s="22" customFormat="1" x14ac:dyDescent="0.3">
      <c r="A173" s="831">
        <v>56</v>
      </c>
      <c r="B173" s="705" t="s">
        <v>10076</v>
      </c>
      <c r="C173" s="705" t="s">
        <v>468</v>
      </c>
      <c r="D173" s="706">
        <v>4620</v>
      </c>
      <c r="E173" s="706">
        <v>4830</v>
      </c>
      <c r="F173" s="705" t="s">
        <v>9341</v>
      </c>
      <c r="G173" s="705">
        <f t="shared" si="23"/>
        <v>420</v>
      </c>
      <c r="H173" s="705">
        <v>28</v>
      </c>
      <c r="I173" s="705">
        <v>10</v>
      </c>
      <c r="J173" s="707">
        <f t="shared" si="24"/>
        <v>3.5714285714285712E-2</v>
      </c>
      <c r="K173" s="708">
        <f t="shared" si="25"/>
        <v>15</v>
      </c>
      <c r="L173" s="705" t="s">
        <v>10074</v>
      </c>
      <c r="M173" s="835">
        <v>46080</v>
      </c>
      <c r="N173" s="831" t="s">
        <v>10279</v>
      </c>
      <c r="P173"/>
      <c r="Q173"/>
      <c r="R173"/>
      <c r="S173"/>
      <c r="T173" s="602"/>
      <c r="W173" s="481"/>
    </row>
    <row r="174" spans="1:23" s="22" customFormat="1" x14ac:dyDescent="0.3">
      <c r="A174" s="831">
        <v>57</v>
      </c>
      <c r="B174" s="705" t="s">
        <v>10078</v>
      </c>
      <c r="C174" s="705" t="s">
        <v>468</v>
      </c>
      <c r="D174" s="706">
        <v>9630</v>
      </c>
      <c r="E174" s="706">
        <v>10000</v>
      </c>
      <c r="F174" s="705" t="s">
        <v>9346</v>
      </c>
      <c r="G174" s="705">
        <f t="shared" si="23"/>
        <v>370</v>
      </c>
      <c r="H174" s="705">
        <v>10</v>
      </c>
      <c r="I174" s="705">
        <v>5</v>
      </c>
      <c r="J174" s="707">
        <f t="shared" si="24"/>
        <v>0.1</v>
      </c>
      <c r="K174" s="708">
        <f t="shared" si="25"/>
        <v>37</v>
      </c>
      <c r="L174" s="705" t="s">
        <v>10077</v>
      </c>
      <c r="M174" s="835">
        <v>45762</v>
      </c>
      <c r="N174" s="831" t="s">
        <v>10279</v>
      </c>
      <c r="P174"/>
      <c r="Q174"/>
      <c r="R174"/>
      <c r="S174"/>
      <c r="T174" s="602"/>
      <c r="W174" s="481"/>
    </row>
    <row r="175" spans="1:23" s="22" customFormat="1" x14ac:dyDescent="0.3">
      <c r="A175" s="831">
        <v>58</v>
      </c>
      <c r="B175" s="705" t="s">
        <v>10080</v>
      </c>
      <c r="C175" s="705" t="s">
        <v>468</v>
      </c>
      <c r="D175" s="706">
        <v>9650</v>
      </c>
      <c r="E175" s="706">
        <v>10060</v>
      </c>
      <c r="F175" s="705" t="s">
        <v>9341</v>
      </c>
      <c r="G175" s="705">
        <f t="shared" si="23"/>
        <v>820</v>
      </c>
      <c r="H175" s="705">
        <v>10</v>
      </c>
      <c r="I175" s="705">
        <v>6</v>
      </c>
      <c r="J175" s="707">
        <f t="shared" ref="J175:J177" si="33">IFERROR(IF(I175&gt;0,1/H175,0),0)</f>
        <v>0.1</v>
      </c>
      <c r="K175" s="708">
        <f t="shared" ref="K175:K177" si="34">J175*G175</f>
        <v>82</v>
      </c>
      <c r="L175" s="705" t="s">
        <v>10306</v>
      </c>
      <c r="M175" s="835">
        <v>46065</v>
      </c>
      <c r="N175" s="831" t="s">
        <v>10279</v>
      </c>
      <c r="P175"/>
      <c r="Q175"/>
      <c r="R175"/>
      <c r="S175"/>
      <c r="T175" s="602"/>
      <c r="W175" s="481"/>
    </row>
    <row r="176" spans="1:23" s="22" customFormat="1" x14ac:dyDescent="0.3">
      <c r="A176" s="831">
        <v>59</v>
      </c>
      <c r="B176" s="705" t="s">
        <v>10080</v>
      </c>
      <c r="C176" s="705" t="s">
        <v>468</v>
      </c>
      <c r="D176" s="706">
        <v>9650</v>
      </c>
      <c r="E176" s="706">
        <v>10060</v>
      </c>
      <c r="F176" s="705" t="s">
        <v>9341</v>
      </c>
      <c r="G176" s="705">
        <f t="shared" si="23"/>
        <v>820</v>
      </c>
      <c r="H176" s="705">
        <v>10</v>
      </c>
      <c r="I176" s="705">
        <v>7</v>
      </c>
      <c r="J176" s="707">
        <f t="shared" si="33"/>
        <v>0.1</v>
      </c>
      <c r="K176" s="708">
        <f t="shared" si="34"/>
        <v>82</v>
      </c>
      <c r="L176" s="705" t="s">
        <v>10307</v>
      </c>
      <c r="M176" s="835">
        <v>46068</v>
      </c>
      <c r="N176" s="831" t="s">
        <v>10279</v>
      </c>
      <c r="P176"/>
      <c r="Q176"/>
      <c r="R176"/>
      <c r="S176"/>
      <c r="T176" s="602"/>
      <c r="W176" s="481"/>
    </row>
    <row r="177" spans="1:23" s="22" customFormat="1" x14ac:dyDescent="0.3">
      <c r="A177" s="831">
        <v>60</v>
      </c>
      <c r="B177" s="705" t="s">
        <v>10080</v>
      </c>
      <c r="C177" s="705" t="s">
        <v>468</v>
      </c>
      <c r="D177" s="706">
        <v>9650</v>
      </c>
      <c r="E177" s="706">
        <v>10060</v>
      </c>
      <c r="F177" s="705" t="s">
        <v>9341</v>
      </c>
      <c r="G177" s="705">
        <f t="shared" si="23"/>
        <v>820</v>
      </c>
      <c r="H177" s="705">
        <v>10</v>
      </c>
      <c r="I177" s="705">
        <v>8</v>
      </c>
      <c r="J177" s="707">
        <f t="shared" si="33"/>
        <v>0.1</v>
      </c>
      <c r="K177" s="708">
        <f t="shared" si="34"/>
        <v>82</v>
      </c>
      <c r="L177" s="705" t="s">
        <v>10308</v>
      </c>
      <c r="M177" s="835">
        <v>46068</v>
      </c>
      <c r="N177" s="831" t="s">
        <v>10279</v>
      </c>
      <c r="P177"/>
      <c r="Q177"/>
      <c r="R177"/>
      <c r="S177"/>
      <c r="T177" s="602"/>
      <c r="W177" s="481"/>
    </row>
    <row r="178" spans="1:23" s="22" customFormat="1" x14ac:dyDescent="0.3">
      <c r="A178" s="831">
        <v>61</v>
      </c>
      <c r="B178" s="705" t="s">
        <v>10080</v>
      </c>
      <c r="C178" s="705" t="s">
        <v>468</v>
      </c>
      <c r="D178" s="706">
        <v>9650</v>
      </c>
      <c r="E178" s="706">
        <v>10060</v>
      </c>
      <c r="F178" s="705" t="s">
        <v>9341</v>
      </c>
      <c r="G178" s="705">
        <f t="shared" ref="G178:G179" si="35">IF(F178="BHS",(ABS(D178-E178)*2),(ABS(D178-E178)))</f>
        <v>820</v>
      </c>
      <c r="H178" s="705">
        <v>10</v>
      </c>
      <c r="I178" s="705">
        <v>9</v>
      </c>
      <c r="J178" s="707">
        <f t="shared" ref="J178:J179" si="36">IFERROR(IF(I178&gt;0,1/H178,0),0)</f>
        <v>0.1</v>
      </c>
      <c r="K178" s="708">
        <f t="shared" ref="K178:K179" si="37">J178*G178</f>
        <v>82</v>
      </c>
      <c r="L178" s="705" t="s">
        <v>10309</v>
      </c>
      <c r="M178" s="835">
        <v>46070</v>
      </c>
      <c r="N178" s="831" t="s">
        <v>10279</v>
      </c>
      <c r="P178"/>
      <c r="Q178"/>
      <c r="R178"/>
      <c r="S178"/>
      <c r="T178" s="602"/>
      <c r="W178" s="481"/>
    </row>
    <row r="179" spans="1:23" s="22" customFormat="1" x14ac:dyDescent="0.3">
      <c r="A179" s="831">
        <v>62</v>
      </c>
      <c r="B179" s="705" t="s">
        <v>10080</v>
      </c>
      <c r="C179" s="705" t="s">
        <v>468</v>
      </c>
      <c r="D179" s="706">
        <v>9650</v>
      </c>
      <c r="E179" s="706">
        <v>10060</v>
      </c>
      <c r="F179" s="705" t="s">
        <v>9341</v>
      </c>
      <c r="G179" s="705">
        <f t="shared" si="35"/>
        <v>820</v>
      </c>
      <c r="H179" s="705">
        <v>10</v>
      </c>
      <c r="I179" s="705">
        <v>10</v>
      </c>
      <c r="J179" s="707">
        <f t="shared" si="36"/>
        <v>0.1</v>
      </c>
      <c r="K179" s="708">
        <f t="shared" si="37"/>
        <v>82</v>
      </c>
      <c r="L179" s="705" t="s">
        <v>10079</v>
      </c>
      <c r="M179" s="835">
        <v>46070</v>
      </c>
      <c r="N179" s="831" t="s">
        <v>10279</v>
      </c>
      <c r="P179"/>
      <c r="Q179"/>
      <c r="R179"/>
      <c r="S179"/>
      <c r="T179" s="602"/>
      <c r="W179" s="481"/>
    </row>
    <row r="180" spans="1:23" s="22" customFormat="1" x14ac:dyDescent="0.3">
      <c r="A180" s="831">
        <v>63</v>
      </c>
      <c r="B180" s="705" t="s">
        <v>10082</v>
      </c>
      <c r="C180" s="705" t="s">
        <v>468</v>
      </c>
      <c r="D180" s="706">
        <v>10000</v>
      </c>
      <c r="E180" s="706">
        <v>10060</v>
      </c>
      <c r="F180" s="705" t="s">
        <v>9341</v>
      </c>
      <c r="G180" s="705">
        <f t="shared" ref="G180:G241" si="38">IF(F180="BHS",(ABS(D180-E180)*2),(ABS(D180-E180)))</f>
        <v>120</v>
      </c>
      <c r="H180" s="705">
        <v>14</v>
      </c>
      <c r="I180" s="705">
        <v>3</v>
      </c>
      <c r="J180" s="707">
        <f t="shared" ref="J180:J241" si="39">IFERROR(IF(I180&gt;0,1/H180,0),0)</f>
        <v>7.1428571428571425E-2</v>
      </c>
      <c r="K180" s="708">
        <f t="shared" ref="K180:K241" si="40">J180*G180</f>
        <v>8.5714285714285712</v>
      </c>
      <c r="L180" s="705" t="s">
        <v>10310</v>
      </c>
      <c r="M180" s="835">
        <v>45754</v>
      </c>
      <c r="N180" s="831" t="s">
        <v>10279</v>
      </c>
      <c r="P180"/>
      <c r="Q180"/>
      <c r="R180"/>
      <c r="S180"/>
      <c r="T180" s="602"/>
      <c r="W180" s="481"/>
    </row>
    <row r="181" spans="1:23" s="22" customFormat="1" x14ac:dyDescent="0.3">
      <c r="A181" s="831">
        <v>64</v>
      </c>
      <c r="B181" s="705" t="s">
        <v>10082</v>
      </c>
      <c r="C181" s="705" t="s">
        <v>468</v>
      </c>
      <c r="D181" s="706">
        <v>10000</v>
      </c>
      <c r="E181" s="706">
        <v>10060</v>
      </c>
      <c r="F181" s="705" t="s">
        <v>9341</v>
      </c>
      <c r="G181" s="705">
        <f t="shared" si="38"/>
        <v>120</v>
      </c>
      <c r="H181" s="705">
        <v>14</v>
      </c>
      <c r="I181" s="705">
        <v>4</v>
      </c>
      <c r="J181" s="707">
        <f t="shared" si="39"/>
        <v>7.1428571428571425E-2</v>
      </c>
      <c r="K181" s="708">
        <f t="shared" si="40"/>
        <v>8.5714285714285712</v>
      </c>
      <c r="L181" s="705" t="s">
        <v>10311</v>
      </c>
      <c r="M181" s="835">
        <v>46064</v>
      </c>
      <c r="N181" s="831" t="s">
        <v>10279</v>
      </c>
      <c r="P181"/>
      <c r="Q181"/>
      <c r="R181"/>
      <c r="S181"/>
      <c r="T181" s="602"/>
      <c r="W181" s="481"/>
    </row>
    <row r="182" spans="1:23" s="22" customFormat="1" x14ac:dyDescent="0.3">
      <c r="A182" s="831">
        <v>65</v>
      </c>
      <c r="B182" s="705" t="s">
        <v>10082</v>
      </c>
      <c r="C182" s="705" t="s">
        <v>468</v>
      </c>
      <c r="D182" s="706">
        <v>10000</v>
      </c>
      <c r="E182" s="706">
        <v>10060</v>
      </c>
      <c r="F182" s="705" t="s">
        <v>9341</v>
      </c>
      <c r="G182" s="705">
        <f t="shared" si="38"/>
        <v>120</v>
      </c>
      <c r="H182" s="705">
        <v>14</v>
      </c>
      <c r="I182" s="705">
        <v>5</v>
      </c>
      <c r="J182" s="707">
        <f t="shared" si="39"/>
        <v>7.1428571428571425E-2</v>
      </c>
      <c r="K182" s="708">
        <f t="shared" si="40"/>
        <v>8.5714285714285712</v>
      </c>
      <c r="L182" s="705" t="s">
        <v>10081</v>
      </c>
      <c r="M182" s="835">
        <v>46065</v>
      </c>
      <c r="N182" s="831" t="s">
        <v>10279</v>
      </c>
      <c r="P182"/>
      <c r="Q182"/>
      <c r="R182"/>
      <c r="S182"/>
      <c r="T182" s="602"/>
      <c r="W182" s="481"/>
    </row>
    <row r="183" spans="1:23" s="22" customFormat="1" x14ac:dyDescent="0.3">
      <c r="A183" s="831">
        <v>66</v>
      </c>
      <c r="B183" s="705" t="s">
        <v>10084</v>
      </c>
      <c r="C183" s="705" t="s">
        <v>468</v>
      </c>
      <c r="D183" s="706">
        <v>10110</v>
      </c>
      <c r="E183" s="706">
        <v>10170</v>
      </c>
      <c r="F183" s="705" t="s">
        <v>9341</v>
      </c>
      <c r="G183" s="705">
        <f t="shared" si="38"/>
        <v>120</v>
      </c>
      <c r="H183" s="705">
        <v>17</v>
      </c>
      <c r="I183" s="705">
        <v>1</v>
      </c>
      <c r="J183" s="707">
        <f t="shared" si="39"/>
        <v>5.8823529411764705E-2</v>
      </c>
      <c r="K183" s="708">
        <f t="shared" si="40"/>
        <v>7.0588235294117645</v>
      </c>
      <c r="L183" s="705" t="s">
        <v>10312</v>
      </c>
      <c r="M183" s="835">
        <v>46061</v>
      </c>
      <c r="N183" s="831" t="s">
        <v>10279</v>
      </c>
      <c r="P183"/>
      <c r="Q183"/>
      <c r="R183"/>
      <c r="S183"/>
      <c r="T183" s="602"/>
      <c r="W183" s="481"/>
    </row>
    <row r="184" spans="1:23" s="22" customFormat="1" x14ac:dyDescent="0.3">
      <c r="A184" s="831">
        <v>67</v>
      </c>
      <c r="B184" s="705" t="s">
        <v>10084</v>
      </c>
      <c r="C184" s="705" t="s">
        <v>468</v>
      </c>
      <c r="D184" s="706">
        <v>10110</v>
      </c>
      <c r="E184" s="706">
        <v>10170</v>
      </c>
      <c r="F184" s="705" t="s">
        <v>9341</v>
      </c>
      <c r="G184" s="705">
        <f t="shared" si="38"/>
        <v>120</v>
      </c>
      <c r="H184" s="705">
        <v>17</v>
      </c>
      <c r="I184" s="705">
        <v>2</v>
      </c>
      <c r="J184" s="707">
        <f t="shared" si="39"/>
        <v>5.8823529411764705E-2</v>
      </c>
      <c r="K184" s="708">
        <f t="shared" si="40"/>
        <v>7.0588235294117645</v>
      </c>
      <c r="L184" s="705" t="s">
        <v>10313</v>
      </c>
      <c r="M184" s="835">
        <v>46061</v>
      </c>
      <c r="N184" s="831" t="s">
        <v>10279</v>
      </c>
      <c r="P184"/>
      <c r="Q184"/>
      <c r="R184"/>
      <c r="S184"/>
      <c r="T184" s="602"/>
      <c r="W184" s="481"/>
    </row>
    <row r="185" spans="1:23" s="22" customFormat="1" x14ac:dyDescent="0.3">
      <c r="A185" s="831">
        <v>68</v>
      </c>
      <c r="B185" s="705" t="s">
        <v>10084</v>
      </c>
      <c r="C185" s="705" t="s">
        <v>468</v>
      </c>
      <c r="D185" s="706">
        <v>10110</v>
      </c>
      <c r="E185" s="706">
        <v>10170</v>
      </c>
      <c r="F185" s="705" t="s">
        <v>9341</v>
      </c>
      <c r="G185" s="705">
        <f t="shared" si="38"/>
        <v>120</v>
      </c>
      <c r="H185" s="705">
        <v>17</v>
      </c>
      <c r="I185" s="705">
        <v>3</v>
      </c>
      <c r="J185" s="707">
        <f t="shared" si="39"/>
        <v>5.8823529411764705E-2</v>
      </c>
      <c r="K185" s="708">
        <f t="shared" si="40"/>
        <v>7.0588235294117645</v>
      </c>
      <c r="L185" s="705" t="s">
        <v>10096</v>
      </c>
      <c r="M185" s="835">
        <v>46071</v>
      </c>
      <c r="N185" s="831" t="s">
        <v>10279</v>
      </c>
      <c r="P185"/>
      <c r="Q185"/>
      <c r="R185"/>
      <c r="S185"/>
      <c r="T185" s="602"/>
      <c r="W185" s="481"/>
    </row>
    <row r="186" spans="1:23" s="22" customFormat="1" x14ac:dyDescent="0.3">
      <c r="A186" s="831">
        <v>69</v>
      </c>
      <c r="B186" s="705" t="s">
        <v>10084</v>
      </c>
      <c r="C186" s="705" t="s">
        <v>468</v>
      </c>
      <c r="D186" s="706">
        <v>10110</v>
      </c>
      <c r="E186" s="706">
        <v>10170</v>
      </c>
      <c r="F186" s="705" t="s">
        <v>9341</v>
      </c>
      <c r="G186" s="705">
        <f t="shared" si="38"/>
        <v>120</v>
      </c>
      <c r="H186" s="705">
        <v>17</v>
      </c>
      <c r="I186" s="705">
        <v>4</v>
      </c>
      <c r="J186" s="707">
        <f t="shared" si="39"/>
        <v>5.8823529411764705E-2</v>
      </c>
      <c r="K186" s="708">
        <f t="shared" si="40"/>
        <v>7.0588235294117645</v>
      </c>
      <c r="L186" s="705" t="s">
        <v>10314</v>
      </c>
      <c r="M186" s="835">
        <v>46071</v>
      </c>
      <c r="N186" s="831" t="s">
        <v>10279</v>
      </c>
      <c r="P186"/>
      <c r="Q186"/>
      <c r="R186"/>
      <c r="S186"/>
      <c r="T186" s="602"/>
      <c r="W186" s="481"/>
    </row>
    <row r="187" spans="1:23" s="22" customFormat="1" x14ac:dyDescent="0.3">
      <c r="A187" s="831">
        <v>70</v>
      </c>
      <c r="B187" s="705" t="s">
        <v>10084</v>
      </c>
      <c r="C187" s="705" t="s">
        <v>468</v>
      </c>
      <c r="D187" s="706">
        <v>10110</v>
      </c>
      <c r="E187" s="706">
        <v>10170</v>
      </c>
      <c r="F187" s="705" t="s">
        <v>9341</v>
      </c>
      <c r="G187" s="705">
        <f t="shared" si="38"/>
        <v>120</v>
      </c>
      <c r="H187" s="705">
        <v>17</v>
      </c>
      <c r="I187" s="705">
        <v>5</v>
      </c>
      <c r="J187" s="707">
        <f t="shared" si="39"/>
        <v>5.8823529411764705E-2</v>
      </c>
      <c r="K187" s="708">
        <f t="shared" si="40"/>
        <v>7.0588235294117645</v>
      </c>
      <c r="L187" s="705" t="s">
        <v>10315</v>
      </c>
      <c r="M187" s="835">
        <v>46071</v>
      </c>
      <c r="N187" s="831" t="s">
        <v>10279</v>
      </c>
      <c r="P187"/>
      <c r="Q187"/>
      <c r="R187"/>
      <c r="S187"/>
      <c r="T187" s="602"/>
      <c r="W187" s="481"/>
    </row>
    <row r="188" spans="1:23" s="22" customFormat="1" x14ac:dyDescent="0.3">
      <c r="A188" s="831">
        <v>71</v>
      </c>
      <c r="B188" s="705" t="s">
        <v>10084</v>
      </c>
      <c r="C188" s="705" t="s">
        <v>468</v>
      </c>
      <c r="D188" s="706">
        <v>10110</v>
      </c>
      <c r="E188" s="706">
        <v>10170</v>
      </c>
      <c r="F188" s="705" t="s">
        <v>9341</v>
      </c>
      <c r="G188" s="705">
        <f t="shared" si="38"/>
        <v>120</v>
      </c>
      <c r="H188" s="705">
        <v>17</v>
      </c>
      <c r="I188" s="705">
        <v>6</v>
      </c>
      <c r="J188" s="707">
        <f t="shared" si="39"/>
        <v>5.8823529411764705E-2</v>
      </c>
      <c r="K188" s="708">
        <f t="shared" si="40"/>
        <v>7.0588235294117645</v>
      </c>
      <c r="L188" s="705" t="s">
        <v>10316</v>
      </c>
      <c r="M188" s="835">
        <v>46072</v>
      </c>
      <c r="N188" s="831" t="s">
        <v>10279</v>
      </c>
      <c r="P188"/>
      <c r="Q188"/>
      <c r="R188"/>
      <c r="S188"/>
      <c r="T188" s="602"/>
      <c r="W188" s="481"/>
    </row>
    <row r="189" spans="1:23" s="22" customFormat="1" x14ac:dyDescent="0.3">
      <c r="A189" s="831">
        <v>72</v>
      </c>
      <c r="B189" s="705" t="s">
        <v>10084</v>
      </c>
      <c r="C189" s="705" t="s">
        <v>468</v>
      </c>
      <c r="D189" s="706">
        <v>10110</v>
      </c>
      <c r="E189" s="706">
        <v>10170</v>
      </c>
      <c r="F189" s="705" t="s">
        <v>9341</v>
      </c>
      <c r="G189" s="705">
        <f t="shared" si="38"/>
        <v>120</v>
      </c>
      <c r="H189" s="705">
        <v>17</v>
      </c>
      <c r="I189" s="705">
        <v>7</v>
      </c>
      <c r="J189" s="707">
        <f t="shared" si="39"/>
        <v>5.8823529411764705E-2</v>
      </c>
      <c r="K189" s="708">
        <f t="shared" si="40"/>
        <v>7.0588235294117645</v>
      </c>
      <c r="L189" s="705" t="s">
        <v>10317</v>
      </c>
      <c r="M189" s="835">
        <v>46072</v>
      </c>
      <c r="N189" s="831" t="s">
        <v>10279</v>
      </c>
      <c r="P189"/>
      <c r="Q189"/>
      <c r="R189"/>
      <c r="S189"/>
      <c r="T189" s="602"/>
      <c r="W189" s="481"/>
    </row>
    <row r="190" spans="1:23" s="22" customFormat="1" x14ac:dyDescent="0.3">
      <c r="A190" s="831">
        <v>73</v>
      </c>
      <c r="B190" s="705" t="s">
        <v>10084</v>
      </c>
      <c r="C190" s="705" t="s">
        <v>468</v>
      </c>
      <c r="D190" s="706">
        <v>10110</v>
      </c>
      <c r="E190" s="706">
        <v>10170</v>
      </c>
      <c r="F190" s="705" t="s">
        <v>9341</v>
      </c>
      <c r="G190" s="705">
        <f t="shared" si="38"/>
        <v>120</v>
      </c>
      <c r="H190" s="705">
        <v>17</v>
      </c>
      <c r="I190" s="705">
        <v>8</v>
      </c>
      <c r="J190" s="707">
        <f t="shared" si="39"/>
        <v>5.8823529411764705E-2</v>
      </c>
      <c r="K190" s="708">
        <f t="shared" si="40"/>
        <v>7.0588235294117645</v>
      </c>
      <c r="L190" s="705" t="s">
        <v>10318</v>
      </c>
      <c r="M190" s="835">
        <v>46073</v>
      </c>
      <c r="N190" s="831" t="s">
        <v>10279</v>
      </c>
      <c r="P190"/>
      <c r="Q190"/>
      <c r="R190"/>
      <c r="S190"/>
      <c r="T190" s="602"/>
      <c r="W190" s="481"/>
    </row>
    <row r="191" spans="1:23" s="22" customFormat="1" x14ac:dyDescent="0.3">
      <c r="A191" s="831">
        <v>74</v>
      </c>
      <c r="B191" s="705" t="s">
        <v>10084</v>
      </c>
      <c r="C191" s="705" t="s">
        <v>468</v>
      </c>
      <c r="D191" s="706">
        <v>10110</v>
      </c>
      <c r="E191" s="706">
        <v>10170</v>
      </c>
      <c r="F191" s="705" t="s">
        <v>9341</v>
      </c>
      <c r="G191" s="705">
        <f t="shared" si="38"/>
        <v>120</v>
      </c>
      <c r="H191" s="705">
        <v>17</v>
      </c>
      <c r="I191" s="705">
        <v>9</v>
      </c>
      <c r="J191" s="707">
        <f t="shared" si="39"/>
        <v>5.8823529411764705E-2</v>
      </c>
      <c r="K191" s="708">
        <f t="shared" si="40"/>
        <v>7.0588235294117645</v>
      </c>
      <c r="L191" s="705" t="s">
        <v>10319</v>
      </c>
      <c r="M191" s="835">
        <v>46074</v>
      </c>
      <c r="N191" s="831" t="s">
        <v>10279</v>
      </c>
      <c r="P191"/>
      <c r="Q191"/>
      <c r="R191"/>
      <c r="S191"/>
      <c r="T191" s="602"/>
      <c r="W191" s="481"/>
    </row>
    <row r="192" spans="1:23" s="22" customFormat="1" x14ac:dyDescent="0.3">
      <c r="A192" s="831">
        <v>75</v>
      </c>
      <c r="B192" s="705" t="s">
        <v>10084</v>
      </c>
      <c r="C192" s="705" t="s">
        <v>468</v>
      </c>
      <c r="D192" s="706">
        <v>10110</v>
      </c>
      <c r="E192" s="706">
        <v>10170</v>
      </c>
      <c r="F192" s="705" t="s">
        <v>9341</v>
      </c>
      <c r="G192" s="705">
        <f t="shared" si="38"/>
        <v>120</v>
      </c>
      <c r="H192" s="705">
        <v>17</v>
      </c>
      <c r="I192" s="705">
        <v>10</v>
      </c>
      <c r="J192" s="707">
        <f t="shared" si="39"/>
        <v>5.8823529411764705E-2</v>
      </c>
      <c r="K192" s="708">
        <f t="shared" si="40"/>
        <v>7.0588235294117645</v>
      </c>
      <c r="L192" s="705" t="s">
        <v>10320</v>
      </c>
      <c r="M192" s="835">
        <v>46074</v>
      </c>
      <c r="N192" s="831" t="s">
        <v>10279</v>
      </c>
      <c r="P192"/>
      <c r="Q192"/>
      <c r="R192"/>
      <c r="S192"/>
      <c r="T192" s="602"/>
      <c r="W192" s="481"/>
    </row>
    <row r="193" spans="1:23" s="22" customFormat="1" x14ac:dyDescent="0.3">
      <c r="A193" s="831">
        <v>76</v>
      </c>
      <c r="B193" s="705" t="s">
        <v>10084</v>
      </c>
      <c r="C193" s="705" t="s">
        <v>468</v>
      </c>
      <c r="D193" s="706">
        <v>10110</v>
      </c>
      <c r="E193" s="706">
        <v>10170</v>
      </c>
      <c r="F193" s="705" t="s">
        <v>9341</v>
      </c>
      <c r="G193" s="705">
        <f t="shared" si="38"/>
        <v>120</v>
      </c>
      <c r="H193" s="705">
        <v>17</v>
      </c>
      <c r="I193" s="705">
        <v>11</v>
      </c>
      <c r="J193" s="707">
        <f t="shared" si="39"/>
        <v>5.8823529411764705E-2</v>
      </c>
      <c r="K193" s="708">
        <f t="shared" si="40"/>
        <v>7.0588235294117645</v>
      </c>
      <c r="L193" s="705" t="s">
        <v>10321</v>
      </c>
      <c r="M193" s="835">
        <v>46074</v>
      </c>
      <c r="N193" s="831" t="s">
        <v>10279</v>
      </c>
      <c r="P193"/>
      <c r="Q193"/>
      <c r="R193"/>
      <c r="S193"/>
      <c r="T193" s="602"/>
      <c r="W193" s="481"/>
    </row>
    <row r="194" spans="1:23" s="22" customFormat="1" x14ac:dyDescent="0.3">
      <c r="A194" s="831">
        <v>77</v>
      </c>
      <c r="B194" s="705" t="s">
        <v>10084</v>
      </c>
      <c r="C194" s="705" t="s">
        <v>468</v>
      </c>
      <c r="D194" s="706">
        <v>10110</v>
      </c>
      <c r="E194" s="706">
        <v>10170</v>
      </c>
      <c r="F194" s="705" t="s">
        <v>9341</v>
      </c>
      <c r="G194" s="705">
        <f t="shared" si="38"/>
        <v>120</v>
      </c>
      <c r="H194" s="705">
        <v>17</v>
      </c>
      <c r="I194" s="705">
        <v>12</v>
      </c>
      <c r="J194" s="707">
        <f t="shared" si="39"/>
        <v>5.8823529411764705E-2</v>
      </c>
      <c r="K194" s="708">
        <f t="shared" si="40"/>
        <v>7.0588235294117645</v>
      </c>
      <c r="L194" s="705" t="s">
        <v>10322</v>
      </c>
      <c r="M194" s="835">
        <v>46076</v>
      </c>
      <c r="N194" s="831" t="s">
        <v>10279</v>
      </c>
      <c r="P194"/>
      <c r="Q194"/>
      <c r="R194"/>
      <c r="S194"/>
      <c r="T194" s="602"/>
      <c r="W194" s="481"/>
    </row>
    <row r="195" spans="1:23" s="22" customFormat="1" x14ac:dyDescent="0.3">
      <c r="A195" s="831">
        <v>78</v>
      </c>
      <c r="B195" s="705" t="s">
        <v>10084</v>
      </c>
      <c r="C195" s="705" t="s">
        <v>468</v>
      </c>
      <c r="D195" s="706">
        <v>10110</v>
      </c>
      <c r="E195" s="706">
        <v>10170</v>
      </c>
      <c r="F195" s="705" t="s">
        <v>9341</v>
      </c>
      <c r="G195" s="705">
        <f t="shared" si="38"/>
        <v>120</v>
      </c>
      <c r="H195" s="705">
        <v>17</v>
      </c>
      <c r="I195" s="705">
        <v>13</v>
      </c>
      <c r="J195" s="707">
        <f t="shared" si="39"/>
        <v>5.8823529411764705E-2</v>
      </c>
      <c r="K195" s="708">
        <f t="shared" si="40"/>
        <v>7.0588235294117645</v>
      </c>
      <c r="L195" s="705" t="s">
        <v>10323</v>
      </c>
      <c r="M195" s="835">
        <v>46076</v>
      </c>
      <c r="N195" s="831" t="s">
        <v>10279</v>
      </c>
      <c r="P195"/>
      <c r="Q195"/>
      <c r="R195"/>
      <c r="S195"/>
      <c r="T195" s="602"/>
      <c r="W195" s="481"/>
    </row>
    <row r="196" spans="1:23" s="22" customFormat="1" x14ac:dyDescent="0.3">
      <c r="A196" s="831">
        <v>79</v>
      </c>
      <c r="B196" s="705" t="s">
        <v>10084</v>
      </c>
      <c r="C196" s="705" t="s">
        <v>468</v>
      </c>
      <c r="D196" s="706">
        <v>10110</v>
      </c>
      <c r="E196" s="706">
        <v>10170</v>
      </c>
      <c r="F196" s="705" t="s">
        <v>9341</v>
      </c>
      <c r="G196" s="705">
        <f t="shared" si="38"/>
        <v>120</v>
      </c>
      <c r="H196" s="705">
        <v>17</v>
      </c>
      <c r="I196" s="705">
        <v>14</v>
      </c>
      <c r="J196" s="707">
        <f t="shared" si="39"/>
        <v>5.8823529411764705E-2</v>
      </c>
      <c r="K196" s="708">
        <f t="shared" si="40"/>
        <v>7.0588235294117645</v>
      </c>
      <c r="L196" s="705" t="s">
        <v>10324</v>
      </c>
      <c r="M196" s="835">
        <v>46076</v>
      </c>
      <c r="N196" s="831" t="s">
        <v>10279</v>
      </c>
      <c r="P196"/>
      <c r="Q196"/>
      <c r="R196"/>
      <c r="S196"/>
      <c r="T196" s="602"/>
      <c r="W196" s="481"/>
    </row>
    <row r="197" spans="1:23" s="22" customFormat="1" x14ac:dyDescent="0.3">
      <c r="A197" s="831">
        <v>80</v>
      </c>
      <c r="B197" s="705" t="s">
        <v>10084</v>
      </c>
      <c r="C197" s="705" t="s">
        <v>468</v>
      </c>
      <c r="D197" s="706">
        <v>10110</v>
      </c>
      <c r="E197" s="706">
        <v>10170</v>
      </c>
      <c r="F197" s="705" t="s">
        <v>9341</v>
      </c>
      <c r="G197" s="705">
        <f t="shared" si="38"/>
        <v>120</v>
      </c>
      <c r="H197" s="705">
        <v>17</v>
      </c>
      <c r="I197" s="705">
        <v>15</v>
      </c>
      <c r="J197" s="707">
        <f t="shared" si="39"/>
        <v>5.8823529411764705E-2</v>
      </c>
      <c r="K197" s="708">
        <f t="shared" si="40"/>
        <v>7.0588235294117645</v>
      </c>
      <c r="L197" s="705" t="s">
        <v>10325</v>
      </c>
      <c r="M197" s="835">
        <v>46076</v>
      </c>
      <c r="N197" s="831" t="s">
        <v>10279</v>
      </c>
      <c r="P197"/>
      <c r="Q197"/>
      <c r="R197"/>
      <c r="S197"/>
      <c r="T197" s="602"/>
      <c r="W197" s="481"/>
    </row>
    <row r="198" spans="1:23" s="22" customFormat="1" x14ac:dyDescent="0.3">
      <c r="A198" s="831">
        <v>81</v>
      </c>
      <c r="B198" s="705" t="s">
        <v>10084</v>
      </c>
      <c r="C198" s="705" t="s">
        <v>468</v>
      </c>
      <c r="D198" s="706">
        <v>10110</v>
      </c>
      <c r="E198" s="706">
        <v>10170</v>
      </c>
      <c r="F198" s="705" t="s">
        <v>9341</v>
      </c>
      <c r="G198" s="705">
        <f t="shared" si="38"/>
        <v>120</v>
      </c>
      <c r="H198" s="705">
        <v>17</v>
      </c>
      <c r="I198" s="705">
        <v>16</v>
      </c>
      <c r="J198" s="707">
        <f t="shared" si="39"/>
        <v>5.8823529411764705E-2</v>
      </c>
      <c r="K198" s="708">
        <f t="shared" si="40"/>
        <v>7.0588235294117645</v>
      </c>
      <c r="L198" s="705" t="s">
        <v>10326</v>
      </c>
      <c r="M198" s="835">
        <v>46077</v>
      </c>
      <c r="N198" s="831" t="s">
        <v>10279</v>
      </c>
      <c r="P198"/>
      <c r="Q198"/>
      <c r="R198"/>
      <c r="S198"/>
      <c r="T198" s="602"/>
      <c r="W198" s="481"/>
    </row>
    <row r="199" spans="1:23" s="22" customFormat="1" x14ac:dyDescent="0.3">
      <c r="A199" s="831">
        <v>82</v>
      </c>
      <c r="B199" s="705" t="s">
        <v>10084</v>
      </c>
      <c r="C199" s="705" t="s">
        <v>468</v>
      </c>
      <c r="D199" s="706">
        <v>10110</v>
      </c>
      <c r="E199" s="706">
        <v>10170</v>
      </c>
      <c r="F199" s="705" t="s">
        <v>9341</v>
      </c>
      <c r="G199" s="705">
        <f t="shared" si="38"/>
        <v>120</v>
      </c>
      <c r="H199" s="705">
        <v>17</v>
      </c>
      <c r="I199" s="705">
        <v>17</v>
      </c>
      <c r="J199" s="707">
        <f t="shared" si="39"/>
        <v>5.8823529411764705E-2</v>
      </c>
      <c r="K199" s="708">
        <f t="shared" si="40"/>
        <v>7.0588235294117645</v>
      </c>
      <c r="L199" s="705" t="s">
        <v>10083</v>
      </c>
      <c r="M199" s="835">
        <v>46077</v>
      </c>
      <c r="N199" s="831" t="s">
        <v>10279</v>
      </c>
      <c r="P199"/>
      <c r="Q199"/>
      <c r="R199"/>
      <c r="S199"/>
      <c r="T199" s="602"/>
      <c r="W199" s="481"/>
    </row>
    <row r="200" spans="1:23" s="22" customFormat="1" x14ac:dyDescent="0.3">
      <c r="A200" s="831">
        <v>83</v>
      </c>
      <c r="B200" s="705" t="s">
        <v>10086</v>
      </c>
      <c r="C200" s="705" t="s">
        <v>468</v>
      </c>
      <c r="D200" s="706">
        <v>10170</v>
      </c>
      <c r="E200" s="706">
        <v>10230</v>
      </c>
      <c r="F200" s="705" t="s">
        <v>9341</v>
      </c>
      <c r="G200" s="705">
        <f t="shared" si="38"/>
        <v>120</v>
      </c>
      <c r="H200" s="705">
        <v>20</v>
      </c>
      <c r="I200" s="705">
        <v>1</v>
      </c>
      <c r="J200" s="707">
        <f t="shared" si="39"/>
        <v>0.05</v>
      </c>
      <c r="K200" s="708">
        <f t="shared" si="40"/>
        <v>6</v>
      </c>
      <c r="L200" s="705" t="s">
        <v>10319</v>
      </c>
      <c r="M200" s="835">
        <v>46074</v>
      </c>
      <c r="N200" s="831" t="s">
        <v>10279</v>
      </c>
      <c r="P200"/>
      <c r="Q200"/>
      <c r="R200"/>
      <c r="S200"/>
      <c r="T200" s="602"/>
      <c r="W200" s="481"/>
    </row>
    <row r="201" spans="1:23" s="22" customFormat="1" x14ac:dyDescent="0.3">
      <c r="A201" s="831">
        <v>84</v>
      </c>
      <c r="B201" s="705" t="s">
        <v>10086</v>
      </c>
      <c r="C201" s="705" t="s">
        <v>468</v>
      </c>
      <c r="D201" s="706">
        <v>10170</v>
      </c>
      <c r="E201" s="706">
        <v>10230</v>
      </c>
      <c r="F201" s="705" t="s">
        <v>9341</v>
      </c>
      <c r="G201" s="705">
        <f t="shared" si="38"/>
        <v>120</v>
      </c>
      <c r="H201" s="705">
        <v>20</v>
      </c>
      <c r="I201" s="705">
        <v>2</v>
      </c>
      <c r="J201" s="707">
        <f t="shared" si="39"/>
        <v>0.05</v>
      </c>
      <c r="K201" s="708">
        <f t="shared" si="40"/>
        <v>6</v>
      </c>
      <c r="L201" s="705" t="s">
        <v>10326</v>
      </c>
      <c r="M201" s="835">
        <v>46077</v>
      </c>
      <c r="N201" s="831" t="s">
        <v>10279</v>
      </c>
      <c r="P201"/>
      <c r="Q201"/>
      <c r="R201"/>
      <c r="S201"/>
      <c r="T201" s="602"/>
      <c r="W201" s="481"/>
    </row>
    <row r="202" spans="1:23" s="22" customFormat="1" x14ac:dyDescent="0.3">
      <c r="A202" s="831">
        <v>85</v>
      </c>
      <c r="B202" s="705" t="s">
        <v>10086</v>
      </c>
      <c r="C202" s="705" t="s">
        <v>468</v>
      </c>
      <c r="D202" s="706">
        <v>10170</v>
      </c>
      <c r="E202" s="706">
        <v>10230</v>
      </c>
      <c r="F202" s="705" t="s">
        <v>9341</v>
      </c>
      <c r="G202" s="705">
        <f t="shared" si="38"/>
        <v>120</v>
      </c>
      <c r="H202" s="705">
        <v>20</v>
      </c>
      <c r="I202" s="705">
        <v>3</v>
      </c>
      <c r="J202" s="707">
        <f t="shared" si="39"/>
        <v>0.05</v>
      </c>
      <c r="K202" s="708">
        <f t="shared" si="40"/>
        <v>6</v>
      </c>
      <c r="L202" s="705" t="s">
        <v>10094</v>
      </c>
      <c r="M202" s="835">
        <v>46078</v>
      </c>
      <c r="N202" s="831" t="s">
        <v>10279</v>
      </c>
      <c r="P202"/>
      <c r="Q202"/>
      <c r="R202"/>
      <c r="S202"/>
      <c r="T202" s="602"/>
      <c r="W202" s="481"/>
    </row>
    <row r="203" spans="1:23" s="22" customFormat="1" x14ac:dyDescent="0.3">
      <c r="A203" s="831">
        <v>86</v>
      </c>
      <c r="B203" s="705" t="s">
        <v>10086</v>
      </c>
      <c r="C203" s="705" t="s">
        <v>468</v>
      </c>
      <c r="D203" s="706">
        <v>10170</v>
      </c>
      <c r="E203" s="706">
        <v>10230</v>
      </c>
      <c r="F203" s="705" t="s">
        <v>9341</v>
      </c>
      <c r="G203" s="705">
        <f t="shared" si="38"/>
        <v>120</v>
      </c>
      <c r="H203" s="705">
        <v>20</v>
      </c>
      <c r="I203" s="705">
        <v>4</v>
      </c>
      <c r="J203" s="707">
        <f t="shared" si="39"/>
        <v>0.05</v>
      </c>
      <c r="K203" s="708">
        <f t="shared" si="40"/>
        <v>6</v>
      </c>
      <c r="L203" s="705" t="s">
        <v>10085</v>
      </c>
      <c r="M203" s="835">
        <v>46078</v>
      </c>
      <c r="N203" s="831" t="s">
        <v>10279</v>
      </c>
      <c r="P203"/>
      <c r="Q203"/>
      <c r="R203"/>
      <c r="S203"/>
      <c r="T203" s="602"/>
      <c r="W203" s="481"/>
    </row>
    <row r="204" spans="1:23" s="22" customFormat="1" x14ac:dyDescent="0.3">
      <c r="A204" s="831">
        <v>87</v>
      </c>
      <c r="B204" s="705" t="s">
        <v>10088</v>
      </c>
      <c r="C204" s="705" t="s">
        <v>468</v>
      </c>
      <c r="D204" s="706">
        <v>10338</v>
      </c>
      <c r="E204" s="706">
        <v>10550</v>
      </c>
      <c r="F204" s="705" t="s">
        <v>9346</v>
      </c>
      <c r="G204" s="705">
        <f t="shared" si="38"/>
        <v>212</v>
      </c>
      <c r="H204" s="705">
        <v>18</v>
      </c>
      <c r="I204" s="705">
        <v>4</v>
      </c>
      <c r="J204" s="707">
        <f t="shared" si="39"/>
        <v>5.5555555555555552E-2</v>
      </c>
      <c r="K204" s="708">
        <f t="shared" si="40"/>
        <v>11.777777777777777</v>
      </c>
      <c r="L204" s="705" t="s">
        <v>10327</v>
      </c>
      <c r="M204" s="835">
        <v>45820</v>
      </c>
      <c r="N204" s="831" t="s">
        <v>10279</v>
      </c>
      <c r="P204"/>
      <c r="Q204"/>
      <c r="R204"/>
      <c r="S204"/>
      <c r="T204" s="602"/>
      <c r="W204" s="481"/>
    </row>
    <row r="205" spans="1:23" s="22" customFormat="1" x14ac:dyDescent="0.3">
      <c r="A205" s="831">
        <v>88</v>
      </c>
      <c r="B205" s="705" t="s">
        <v>10090</v>
      </c>
      <c r="C205" s="705" t="s">
        <v>468</v>
      </c>
      <c r="D205" s="706">
        <v>10338</v>
      </c>
      <c r="E205" s="706">
        <v>10550</v>
      </c>
      <c r="F205" s="705" t="s">
        <v>9367</v>
      </c>
      <c r="G205" s="705">
        <f t="shared" si="38"/>
        <v>212</v>
      </c>
      <c r="H205" s="705">
        <v>18</v>
      </c>
      <c r="I205" s="705">
        <v>4</v>
      </c>
      <c r="J205" s="707">
        <f t="shared" si="39"/>
        <v>5.5555555555555552E-2</v>
      </c>
      <c r="K205" s="708">
        <f t="shared" si="40"/>
        <v>11.777777777777777</v>
      </c>
      <c r="L205" s="705" t="s">
        <v>10328</v>
      </c>
      <c r="M205" s="835">
        <v>45820</v>
      </c>
      <c r="N205" s="831" t="s">
        <v>10279</v>
      </c>
      <c r="P205"/>
      <c r="Q205"/>
      <c r="R205"/>
      <c r="S205"/>
      <c r="T205" s="602"/>
      <c r="W205" s="481"/>
    </row>
    <row r="206" spans="1:23" s="22" customFormat="1" x14ac:dyDescent="0.3">
      <c r="A206" s="831">
        <v>89</v>
      </c>
      <c r="B206" s="705" t="s">
        <v>10088</v>
      </c>
      <c r="C206" s="705" t="s">
        <v>468</v>
      </c>
      <c r="D206" s="706">
        <v>10338</v>
      </c>
      <c r="E206" s="706">
        <v>10550</v>
      </c>
      <c r="F206" s="705" t="s">
        <v>9346</v>
      </c>
      <c r="G206" s="705">
        <f t="shared" si="38"/>
        <v>212</v>
      </c>
      <c r="H206" s="705">
        <v>18</v>
      </c>
      <c r="I206" s="705">
        <v>5</v>
      </c>
      <c r="J206" s="707">
        <f t="shared" si="39"/>
        <v>5.5555555555555552E-2</v>
      </c>
      <c r="K206" s="708">
        <f t="shared" si="40"/>
        <v>11.777777777777777</v>
      </c>
      <c r="L206" s="705" t="s">
        <v>10087</v>
      </c>
      <c r="M206" s="835">
        <v>46030</v>
      </c>
      <c r="N206" s="831" t="s">
        <v>10279</v>
      </c>
      <c r="P206"/>
      <c r="Q206"/>
      <c r="R206"/>
      <c r="S206"/>
      <c r="T206" s="602"/>
      <c r="W206" s="481"/>
    </row>
    <row r="207" spans="1:23" s="22" customFormat="1" x14ac:dyDescent="0.3">
      <c r="A207" s="831">
        <v>90</v>
      </c>
      <c r="B207" s="705" t="s">
        <v>10090</v>
      </c>
      <c r="C207" s="705" t="s">
        <v>468</v>
      </c>
      <c r="D207" s="706">
        <v>10338</v>
      </c>
      <c r="E207" s="706">
        <v>10550</v>
      </c>
      <c r="F207" s="705" t="s">
        <v>9367</v>
      </c>
      <c r="G207" s="705">
        <f t="shared" si="38"/>
        <v>212</v>
      </c>
      <c r="H207" s="705">
        <v>18</v>
      </c>
      <c r="I207" s="705">
        <v>5</v>
      </c>
      <c r="J207" s="707">
        <f t="shared" si="39"/>
        <v>5.5555555555555552E-2</v>
      </c>
      <c r="K207" s="708">
        <f t="shared" si="40"/>
        <v>11.777777777777777</v>
      </c>
      <c r="L207" s="705" t="s">
        <v>10089</v>
      </c>
      <c r="M207" s="835">
        <v>46030</v>
      </c>
      <c r="N207" s="831" t="s">
        <v>10279</v>
      </c>
      <c r="P207" s="602"/>
      <c r="Q207"/>
      <c r="R207"/>
      <c r="S207"/>
      <c r="T207" s="602"/>
      <c r="W207" s="481"/>
    </row>
    <row r="208" spans="1:23" s="22" customFormat="1" x14ac:dyDescent="0.3">
      <c r="A208" s="831">
        <v>91</v>
      </c>
      <c r="B208" s="705" t="s">
        <v>10092</v>
      </c>
      <c r="C208" s="705" t="s">
        <v>468</v>
      </c>
      <c r="D208" s="706">
        <v>10338</v>
      </c>
      <c r="E208" s="706">
        <v>10600</v>
      </c>
      <c r="F208" s="705" t="s">
        <v>9341</v>
      </c>
      <c r="G208" s="705">
        <f t="shared" si="38"/>
        <v>524</v>
      </c>
      <c r="H208" s="705">
        <v>18</v>
      </c>
      <c r="I208" s="705">
        <v>6</v>
      </c>
      <c r="J208" s="707">
        <f t="shared" si="39"/>
        <v>5.5555555555555552E-2</v>
      </c>
      <c r="K208" s="708">
        <f t="shared" si="40"/>
        <v>29.111111111111111</v>
      </c>
      <c r="L208" s="705" t="s">
        <v>10306</v>
      </c>
      <c r="M208" s="835">
        <v>46065</v>
      </c>
      <c r="N208" s="831" t="s">
        <v>10279</v>
      </c>
      <c r="P208" s="602"/>
      <c r="Q208"/>
      <c r="R208"/>
      <c r="S208"/>
      <c r="T208" s="602"/>
      <c r="W208" s="481"/>
    </row>
    <row r="209" spans="1:23" s="22" customFormat="1" x14ac:dyDescent="0.3">
      <c r="A209" s="831">
        <v>92</v>
      </c>
      <c r="B209" s="705" t="s">
        <v>10092</v>
      </c>
      <c r="C209" s="705" t="s">
        <v>468</v>
      </c>
      <c r="D209" s="706">
        <v>10338</v>
      </c>
      <c r="E209" s="706">
        <v>10600</v>
      </c>
      <c r="F209" s="705" t="s">
        <v>9341</v>
      </c>
      <c r="G209" s="705">
        <f t="shared" si="38"/>
        <v>524</v>
      </c>
      <c r="H209" s="705">
        <v>18</v>
      </c>
      <c r="I209" s="705">
        <v>7</v>
      </c>
      <c r="J209" s="707">
        <f t="shared" si="39"/>
        <v>5.5555555555555552E-2</v>
      </c>
      <c r="K209" s="708">
        <f t="shared" si="40"/>
        <v>29.111111111111111</v>
      </c>
      <c r="L209" s="705" t="s">
        <v>10307</v>
      </c>
      <c r="M209" s="835">
        <v>46068</v>
      </c>
      <c r="N209" s="831" t="s">
        <v>10279</v>
      </c>
      <c r="P209" s="602"/>
      <c r="Q209"/>
      <c r="R209"/>
      <c r="S209"/>
      <c r="T209" s="602"/>
      <c r="W209" s="481"/>
    </row>
    <row r="210" spans="1:23" s="22" customFormat="1" x14ac:dyDescent="0.3">
      <c r="A210" s="831">
        <v>93</v>
      </c>
      <c r="B210" s="705" t="s">
        <v>10092</v>
      </c>
      <c r="C210" s="705" t="s">
        <v>468</v>
      </c>
      <c r="D210" s="706">
        <v>10338</v>
      </c>
      <c r="E210" s="706">
        <v>10600</v>
      </c>
      <c r="F210" s="705" t="s">
        <v>9341</v>
      </c>
      <c r="G210" s="705">
        <f t="shared" si="38"/>
        <v>524</v>
      </c>
      <c r="H210" s="705">
        <v>18</v>
      </c>
      <c r="I210" s="705">
        <v>8</v>
      </c>
      <c r="J210" s="707">
        <f t="shared" si="39"/>
        <v>5.5555555555555552E-2</v>
      </c>
      <c r="K210" s="708">
        <f t="shared" si="40"/>
        <v>29.111111111111111</v>
      </c>
      <c r="L210" s="705" t="s">
        <v>10308</v>
      </c>
      <c r="M210" s="835">
        <v>46068</v>
      </c>
      <c r="N210" s="831" t="s">
        <v>10279</v>
      </c>
      <c r="P210" s="602"/>
      <c r="Q210"/>
      <c r="R210"/>
      <c r="S210"/>
      <c r="T210" s="602"/>
      <c r="W210" s="481"/>
    </row>
    <row r="211" spans="1:23" s="22" customFormat="1" x14ac:dyDescent="0.3">
      <c r="A211" s="831">
        <v>94</v>
      </c>
      <c r="B211" s="705" t="s">
        <v>10092</v>
      </c>
      <c r="C211" s="705" t="s">
        <v>468</v>
      </c>
      <c r="D211" s="706">
        <v>10338</v>
      </c>
      <c r="E211" s="706">
        <v>10600</v>
      </c>
      <c r="F211" s="705" t="s">
        <v>9341</v>
      </c>
      <c r="G211" s="705">
        <f t="shared" si="38"/>
        <v>524</v>
      </c>
      <c r="H211" s="705">
        <v>18</v>
      </c>
      <c r="I211" s="705">
        <v>9</v>
      </c>
      <c r="J211" s="707">
        <f t="shared" si="39"/>
        <v>5.5555555555555552E-2</v>
      </c>
      <c r="K211" s="708">
        <f t="shared" si="40"/>
        <v>29.111111111111111</v>
      </c>
      <c r="L211" s="705" t="s">
        <v>10309</v>
      </c>
      <c r="M211" s="835">
        <v>46070</v>
      </c>
      <c r="N211" s="831" t="s">
        <v>10279</v>
      </c>
      <c r="P211" s="602"/>
      <c r="Q211"/>
      <c r="R211"/>
      <c r="S211"/>
      <c r="T211" s="602"/>
      <c r="W211" s="481"/>
    </row>
    <row r="212" spans="1:23" s="22" customFormat="1" x14ac:dyDescent="0.3">
      <c r="A212" s="831">
        <v>95</v>
      </c>
      <c r="B212" s="705" t="s">
        <v>10092</v>
      </c>
      <c r="C212" s="705" t="s">
        <v>468</v>
      </c>
      <c r="D212" s="706">
        <v>10338</v>
      </c>
      <c r="E212" s="706">
        <v>10600</v>
      </c>
      <c r="F212" s="705" t="s">
        <v>9341</v>
      </c>
      <c r="G212" s="705">
        <f t="shared" si="38"/>
        <v>524</v>
      </c>
      <c r="H212" s="705">
        <v>18</v>
      </c>
      <c r="I212" s="705">
        <v>10</v>
      </c>
      <c r="J212" s="707">
        <f t="shared" si="39"/>
        <v>5.5555555555555552E-2</v>
      </c>
      <c r="K212" s="708">
        <f t="shared" si="40"/>
        <v>29.111111111111111</v>
      </c>
      <c r="L212" s="705" t="s">
        <v>10079</v>
      </c>
      <c r="M212" s="835">
        <v>46070</v>
      </c>
      <c r="N212" s="831" t="s">
        <v>10279</v>
      </c>
      <c r="P212" s="602"/>
      <c r="Q212"/>
      <c r="R212"/>
      <c r="S212"/>
      <c r="T212" s="602"/>
      <c r="W212" s="481"/>
    </row>
    <row r="213" spans="1:23" s="22" customFormat="1" x14ac:dyDescent="0.3">
      <c r="A213" s="831">
        <v>96</v>
      </c>
      <c r="B213" s="705" t="s">
        <v>10092</v>
      </c>
      <c r="C213" s="705" t="s">
        <v>468</v>
      </c>
      <c r="D213" s="706">
        <v>10338</v>
      </c>
      <c r="E213" s="706">
        <v>10600</v>
      </c>
      <c r="F213" s="705" t="s">
        <v>9341</v>
      </c>
      <c r="G213" s="705">
        <f t="shared" si="38"/>
        <v>524</v>
      </c>
      <c r="H213" s="705">
        <v>18</v>
      </c>
      <c r="I213" s="705">
        <v>11</v>
      </c>
      <c r="J213" s="707">
        <f t="shared" si="39"/>
        <v>5.5555555555555552E-2</v>
      </c>
      <c r="K213" s="708">
        <f t="shared" si="40"/>
        <v>29.111111111111111</v>
      </c>
      <c r="L213" s="705" t="s">
        <v>10329</v>
      </c>
      <c r="M213" s="835">
        <v>46071</v>
      </c>
      <c r="N213" s="831" t="s">
        <v>10279</v>
      </c>
      <c r="P213" s="602"/>
      <c r="Q213"/>
      <c r="R213"/>
      <c r="S213"/>
      <c r="T213" s="602"/>
      <c r="W213" s="481"/>
    </row>
    <row r="214" spans="1:23" s="22" customFormat="1" x14ac:dyDescent="0.3">
      <c r="A214" s="831">
        <v>97</v>
      </c>
      <c r="B214" s="705" t="s">
        <v>10092</v>
      </c>
      <c r="C214" s="705" t="s">
        <v>468</v>
      </c>
      <c r="D214" s="706">
        <v>10338</v>
      </c>
      <c r="E214" s="706">
        <v>10600</v>
      </c>
      <c r="F214" s="705" t="s">
        <v>9341</v>
      </c>
      <c r="G214" s="705">
        <f t="shared" si="38"/>
        <v>524</v>
      </c>
      <c r="H214" s="705">
        <v>18</v>
      </c>
      <c r="I214" s="705">
        <v>12</v>
      </c>
      <c r="J214" s="707">
        <f t="shared" si="39"/>
        <v>5.5555555555555552E-2</v>
      </c>
      <c r="K214" s="708">
        <f t="shared" si="40"/>
        <v>29.111111111111111</v>
      </c>
      <c r="L214" s="705" t="s">
        <v>10096</v>
      </c>
      <c r="M214" s="835">
        <v>46071</v>
      </c>
      <c r="N214" s="831" t="s">
        <v>10279</v>
      </c>
      <c r="P214" s="602"/>
      <c r="Q214"/>
      <c r="R214"/>
      <c r="S214"/>
      <c r="T214" s="602"/>
      <c r="W214" s="481"/>
    </row>
    <row r="215" spans="1:23" s="22" customFormat="1" x14ac:dyDescent="0.3">
      <c r="A215" s="831">
        <v>98</v>
      </c>
      <c r="B215" s="705" t="s">
        <v>10092</v>
      </c>
      <c r="C215" s="705" t="s">
        <v>468</v>
      </c>
      <c r="D215" s="706">
        <v>10338</v>
      </c>
      <c r="E215" s="706">
        <v>10600</v>
      </c>
      <c r="F215" s="705" t="s">
        <v>9341</v>
      </c>
      <c r="G215" s="705">
        <f t="shared" si="38"/>
        <v>524</v>
      </c>
      <c r="H215" s="705">
        <v>18</v>
      </c>
      <c r="I215" s="705">
        <v>13</v>
      </c>
      <c r="J215" s="707">
        <f t="shared" si="39"/>
        <v>5.5555555555555552E-2</v>
      </c>
      <c r="K215" s="708">
        <f t="shared" si="40"/>
        <v>29.111111111111111</v>
      </c>
      <c r="L215" s="705" t="s">
        <v>10314</v>
      </c>
      <c r="M215" s="835">
        <v>46071</v>
      </c>
      <c r="N215" s="831" t="s">
        <v>10279</v>
      </c>
      <c r="P215" s="602"/>
      <c r="Q215"/>
      <c r="R215"/>
      <c r="S215"/>
      <c r="T215" s="602"/>
      <c r="W215" s="481"/>
    </row>
    <row r="216" spans="1:23" s="22" customFormat="1" x14ac:dyDescent="0.3">
      <c r="A216" s="831">
        <v>99</v>
      </c>
      <c r="B216" s="705" t="s">
        <v>10092</v>
      </c>
      <c r="C216" s="705" t="s">
        <v>468</v>
      </c>
      <c r="D216" s="706">
        <v>10338</v>
      </c>
      <c r="E216" s="706">
        <v>10600</v>
      </c>
      <c r="F216" s="705" t="s">
        <v>9341</v>
      </c>
      <c r="G216" s="705">
        <f t="shared" si="38"/>
        <v>524</v>
      </c>
      <c r="H216" s="705">
        <v>18</v>
      </c>
      <c r="I216" s="705">
        <v>14</v>
      </c>
      <c r="J216" s="707">
        <f t="shared" si="39"/>
        <v>5.5555555555555552E-2</v>
      </c>
      <c r="K216" s="708">
        <f t="shared" si="40"/>
        <v>29.111111111111111</v>
      </c>
      <c r="L216" s="705" t="s">
        <v>10315</v>
      </c>
      <c r="M216" s="835">
        <v>46071</v>
      </c>
      <c r="N216" s="831" t="s">
        <v>10279</v>
      </c>
      <c r="P216" s="602"/>
      <c r="Q216"/>
      <c r="R216"/>
      <c r="S216"/>
      <c r="T216" s="602"/>
      <c r="W216" s="481"/>
    </row>
    <row r="217" spans="1:23" s="22" customFormat="1" x14ac:dyDescent="0.3">
      <c r="A217" s="831">
        <v>100</v>
      </c>
      <c r="B217" s="705" t="s">
        <v>10092</v>
      </c>
      <c r="C217" s="705" t="s">
        <v>468</v>
      </c>
      <c r="D217" s="706">
        <v>10338</v>
      </c>
      <c r="E217" s="706">
        <v>10600</v>
      </c>
      <c r="F217" s="705" t="s">
        <v>9341</v>
      </c>
      <c r="G217" s="705">
        <f t="shared" si="38"/>
        <v>524</v>
      </c>
      <c r="H217" s="705">
        <v>18</v>
      </c>
      <c r="I217" s="705">
        <v>15</v>
      </c>
      <c r="J217" s="707">
        <f t="shared" si="39"/>
        <v>5.5555555555555552E-2</v>
      </c>
      <c r="K217" s="708">
        <f t="shared" si="40"/>
        <v>29.111111111111111</v>
      </c>
      <c r="L217" s="705" t="s">
        <v>10316</v>
      </c>
      <c r="M217" s="835">
        <v>46072</v>
      </c>
      <c r="N217" s="831" t="s">
        <v>10279</v>
      </c>
      <c r="P217" s="602"/>
      <c r="Q217"/>
      <c r="R217"/>
      <c r="S217"/>
      <c r="T217" s="602"/>
      <c r="W217" s="481"/>
    </row>
    <row r="218" spans="1:23" s="22" customFormat="1" x14ac:dyDescent="0.3">
      <c r="A218" s="831">
        <v>101</v>
      </c>
      <c r="B218" s="705" t="s">
        <v>10092</v>
      </c>
      <c r="C218" s="705" t="s">
        <v>468</v>
      </c>
      <c r="D218" s="706">
        <v>10338</v>
      </c>
      <c r="E218" s="706">
        <v>10600</v>
      </c>
      <c r="F218" s="705" t="s">
        <v>9341</v>
      </c>
      <c r="G218" s="705">
        <f t="shared" si="38"/>
        <v>524</v>
      </c>
      <c r="H218" s="705">
        <v>18</v>
      </c>
      <c r="I218" s="705">
        <v>16</v>
      </c>
      <c r="J218" s="707">
        <f t="shared" si="39"/>
        <v>5.5555555555555552E-2</v>
      </c>
      <c r="K218" s="708">
        <f t="shared" si="40"/>
        <v>29.111111111111111</v>
      </c>
      <c r="L218" s="705" t="s">
        <v>10317</v>
      </c>
      <c r="M218" s="835">
        <v>46072</v>
      </c>
      <c r="N218" s="831" t="s">
        <v>10279</v>
      </c>
      <c r="P218" s="602"/>
      <c r="Q218"/>
      <c r="R218"/>
      <c r="S218"/>
      <c r="T218" s="602"/>
      <c r="W218" s="481"/>
    </row>
    <row r="219" spans="1:23" s="22" customFormat="1" x14ac:dyDescent="0.3">
      <c r="A219" s="831">
        <v>102</v>
      </c>
      <c r="B219" s="705" t="s">
        <v>10092</v>
      </c>
      <c r="C219" s="705" t="s">
        <v>468</v>
      </c>
      <c r="D219" s="706">
        <v>10338</v>
      </c>
      <c r="E219" s="706">
        <v>10600</v>
      </c>
      <c r="F219" s="705" t="s">
        <v>9341</v>
      </c>
      <c r="G219" s="705">
        <f t="shared" si="38"/>
        <v>524</v>
      </c>
      <c r="H219" s="705">
        <v>18</v>
      </c>
      <c r="I219" s="705">
        <v>17</v>
      </c>
      <c r="J219" s="707">
        <f t="shared" si="39"/>
        <v>5.5555555555555552E-2</v>
      </c>
      <c r="K219" s="708">
        <f t="shared" si="40"/>
        <v>29.111111111111111</v>
      </c>
      <c r="L219" s="705" t="s">
        <v>10320</v>
      </c>
      <c r="M219" s="835">
        <v>46074</v>
      </c>
      <c r="N219" s="831" t="s">
        <v>10279</v>
      </c>
      <c r="P219" s="602"/>
      <c r="Q219"/>
      <c r="R219"/>
      <c r="S219"/>
      <c r="T219" s="602"/>
      <c r="W219" s="481"/>
    </row>
    <row r="220" spans="1:23" s="22" customFormat="1" x14ac:dyDescent="0.3">
      <c r="A220" s="831">
        <v>103</v>
      </c>
      <c r="B220" s="705" t="s">
        <v>10092</v>
      </c>
      <c r="C220" s="705" t="s">
        <v>468</v>
      </c>
      <c r="D220" s="706">
        <v>10338</v>
      </c>
      <c r="E220" s="706">
        <v>10600</v>
      </c>
      <c r="F220" s="705" t="s">
        <v>9341</v>
      </c>
      <c r="G220" s="705">
        <f t="shared" si="38"/>
        <v>524</v>
      </c>
      <c r="H220" s="705">
        <v>18</v>
      </c>
      <c r="I220" s="705">
        <v>18</v>
      </c>
      <c r="J220" s="707">
        <f t="shared" si="39"/>
        <v>5.5555555555555552E-2</v>
      </c>
      <c r="K220" s="708">
        <f t="shared" si="40"/>
        <v>29.111111111111111</v>
      </c>
      <c r="L220" s="705" t="s">
        <v>10091</v>
      </c>
      <c r="M220" s="835">
        <v>46074</v>
      </c>
      <c r="N220" s="831" t="s">
        <v>10279</v>
      </c>
      <c r="P220" s="602"/>
      <c r="Q220"/>
      <c r="R220"/>
      <c r="S220"/>
      <c r="T220" s="602"/>
      <c r="W220" s="481"/>
    </row>
    <row r="221" spans="1:23" s="22" customFormat="1" x14ac:dyDescent="0.3">
      <c r="A221" s="831">
        <v>106</v>
      </c>
      <c r="B221" s="705" t="s">
        <v>10093</v>
      </c>
      <c r="C221" s="705" t="s">
        <v>468</v>
      </c>
      <c r="D221" s="706">
        <v>10550</v>
      </c>
      <c r="E221" s="706">
        <v>10600</v>
      </c>
      <c r="F221" s="705" t="s">
        <v>9341</v>
      </c>
      <c r="G221" s="705">
        <f t="shared" si="38"/>
        <v>100</v>
      </c>
      <c r="H221" s="705">
        <v>18</v>
      </c>
      <c r="I221" s="705">
        <v>1</v>
      </c>
      <c r="J221" s="707">
        <f t="shared" si="39"/>
        <v>5.5555555555555552E-2</v>
      </c>
      <c r="K221" s="708">
        <f t="shared" si="40"/>
        <v>5.5555555555555554</v>
      </c>
      <c r="L221" s="705" t="s">
        <v>10312</v>
      </c>
      <c r="M221" s="835">
        <v>46061</v>
      </c>
      <c r="N221" s="831" t="s">
        <v>10279</v>
      </c>
      <c r="P221" s="602"/>
      <c r="Q221"/>
      <c r="R221"/>
      <c r="S221"/>
      <c r="T221" s="602"/>
      <c r="W221" s="481"/>
    </row>
    <row r="222" spans="1:23" s="22" customFormat="1" x14ac:dyDescent="0.3">
      <c r="A222" s="831">
        <v>107</v>
      </c>
      <c r="B222" s="705" t="s">
        <v>10093</v>
      </c>
      <c r="C222" s="705" t="s">
        <v>468</v>
      </c>
      <c r="D222" s="706">
        <v>10550</v>
      </c>
      <c r="E222" s="706">
        <v>10600</v>
      </c>
      <c r="F222" s="705" t="s">
        <v>9341</v>
      </c>
      <c r="G222" s="705">
        <f t="shared" si="38"/>
        <v>100</v>
      </c>
      <c r="H222" s="705">
        <v>18</v>
      </c>
      <c r="I222" s="705">
        <v>2</v>
      </c>
      <c r="J222" s="707">
        <f t="shared" si="39"/>
        <v>5.5555555555555552E-2</v>
      </c>
      <c r="K222" s="708">
        <f t="shared" si="40"/>
        <v>5.5555555555555554</v>
      </c>
      <c r="L222" s="705" t="s">
        <v>10313</v>
      </c>
      <c r="M222" s="835">
        <v>46061</v>
      </c>
      <c r="N222" s="831" t="s">
        <v>10279</v>
      </c>
      <c r="P222" s="602"/>
      <c r="Q222"/>
      <c r="R222"/>
      <c r="S222"/>
      <c r="T222" s="602"/>
      <c r="W222" s="481"/>
    </row>
    <row r="223" spans="1:23" s="22" customFormat="1" x14ac:dyDescent="0.3">
      <c r="A223" s="831">
        <v>108</v>
      </c>
      <c r="B223" s="705" t="s">
        <v>10093</v>
      </c>
      <c r="C223" s="705" t="s">
        <v>468</v>
      </c>
      <c r="D223" s="706">
        <v>10550</v>
      </c>
      <c r="E223" s="706">
        <v>10600</v>
      </c>
      <c r="F223" s="705" t="s">
        <v>9341</v>
      </c>
      <c r="G223" s="705">
        <f t="shared" si="38"/>
        <v>100</v>
      </c>
      <c r="H223" s="705">
        <v>18</v>
      </c>
      <c r="I223" s="705">
        <v>3</v>
      </c>
      <c r="J223" s="707">
        <f t="shared" si="39"/>
        <v>5.5555555555555552E-2</v>
      </c>
      <c r="K223" s="708">
        <f t="shared" si="40"/>
        <v>5.5555555555555554</v>
      </c>
      <c r="L223" s="705" t="s">
        <v>10330</v>
      </c>
      <c r="M223" s="835">
        <v>46064</v>
      </c>
      <c r="N223" s="831" t="s">
        <v>10279</v>
      </c>
      <c r="P223" s="602"/>
      <c r="Q223"/>
      <c r="R223"/>
      <c r="S223"/>
      <c r="T223" s="602"/>
      <c r="W223" s="481"/>
    </row>
    <row r="224" spans="1:23" s="22" customFormat="1" x14ac:dyDescent="0.3">
      <c r="A224" s="831">
        <v>109</v>
      </c>
      <c r="B224" s="705" t="s">
        <v>10093</v>
      </c>
      <c r="C224" s="705" t="s">
        <v>468</v>
      </c>
      <c r="D224" s="706">
        <v>10550</v>
      </c>
      <c r="E224" s="706">
        <v>10600</v>
      </c>
      <c r="F224" s="705" t="s">
        <v>9341</v>
      </c>
      <c r="G224" s="705">
        <f t="shared" si="38"/>
        <v>100</v>
      </c>
      <c r="H224" s="705">
        <v>18</v>
      </c>
      <c r="I224" s="705">
        <v>4</v>
      </c>
      <c r="J224" s="707">
        <f t="shared" si="39"/>
        <v>5.5555555555555552E-2</v>
      </c>
      <c r="K224" s="708">
        <f t="shared" si="40"/>
        <v>5.5555555555555554</v>
      </c>
      <c r="L224" s="705" t="s">
        <v>10311</v>
      </c>
      <c r="M224" s="835">
        <v>46064</v>
      </c>
      <c r="N224" s="831" t="s">
        <v>10279</v>
      </c>
      <c r="P224" s="602"/>
      <c r="Q224"/>
      <c r="R224"/>
      <c r="S224"/>
      <c r="T224" s="602"/>
      <c r="W224" s="481"/>
    </row>
    <row r="225" spans="1:23" s="22" customFormat="1" x14ac:dyDescent="0.3">
      <c r="A225" s="831">
        <v>110</v>
      </c>
      <c r="B225" s="705" t="s">
        <v>10093</v>
      </c>
      <c r="C225" s="705" t="s">
        <v>468</v>
      </c>
      <c r="D225" s="706">
        <v>10550</v>
      </c>
      <c r="E225" s="706">
        <v>10600</v>
      </c>
      <c r="F225" s="705" t="s">
        <v>9341</v>
      </c>
      <c r="G225" s="705">
        <f t="shared" si="38"/>
        <v>100</v>
      </c>
      <c r="H225" s="705">
        <v>18</v>
      </c>
      <c r="I225" s="705">
        <v>5</v>
      </c>
      <c r="J225" s="707">
        <f t="shared" si="39"/>
        <v>5.5555555555555552E-2</v>
      </c>
      <c r="K225" s="708">
        <f t="shared" si="40"/>
        <v>5.5555555555555554</v>
      </c>
      <c r="L225" s="705" t="s">
        <v>10081</v>
      </c>
      <c r="M225" s="835">
        <v>46065</v>
      </c>
      <c r="N225" s="831" t="s">
        <v>10279</v>
      </c>
      <c r="P225" s="602"/>
      <c r="Q225"/>
      <c r="R225"/>
      <c r="S225"/>
      <c r="T225" s="602"/>
      <c r="W225" s="481"/>
    </row>
    <row r="226" spans="1:23" s="22" customFormat="1" x14ac:dyDescent="0.3">
      <c r="A226" s="831">
        <v>111</v>
      </c>
      <c r="B226" s="705" t="s">
        <v>10095</v>
      </c>
      <c r="C226" s="705" t="s">
        <v>468</v>
      </c>
      <c r="D226" s="706">
        <v>11356</v>
      </c>
      <c r="E226" s="706">
        <v>11570</v>
      </c>
      <c r="F226" s="705" t="s">
        <v>9341</v>
      </c>
      <c r="G226" s="705">
        <f t="shared" si="38"/>
        <v>428</v>
      </c>
      <c r="H226" s="705">
        <v>15</v>
      </c>
      <c r="I226" s="705">
        <v>1</v>
      </c>
      <c r="J226" s="707">
        <f t="shared" si="39"/>
        <v>6.6666666666666666E-2</v>
      </c>
      <c r="K226" s="708">
        <f t="shared" si="40"/>
        <v>28.533333333333331</v>
      </c>
      <c r="L226" s="705" t="s">
        <v>10312</v>
      </c>
      <c r="M226" s="835">
        <v>46061</v>
      </c>
      <c r="N226" s="831" t="s">
        <v>10279</v>
      </c>
      <c r="P226" s="602"/>
      <c r="Q226" s="602"/>
      <c r="R226" s="602"/>
      <c r="S226" s="602"/>
      <c r="T226" s="602"/>
      <c r="W226" s="481"/>
    </row>
    <row r="227" spans="1:23" s="22" customFormat="1" x14ac:dyDescent="0.3">
      <c r="A227" s="831">
        <v>112</v>
      </c>
      <c r="B227" s="705" t="s">
        <v>10095</v>
      </c>
      <c r="C227" s="705" t="s">
        <v>468</v>
      </c>
      <c r="D227" s="706">
        <v>11356</v>
      </c>
      <c r="E227" s="706">
        <v>11570</v>
      </c>
      <c r="F227" s="705" t="s">
        <v>9341</v>
      </c>
      <c r="G227" s="705">
        <f t="shared" si="38"/>
        <v>428</v>
      </c>
      <c r="H227" s="705">
        <v>15</v>
      </c>
      <c r="I227" s="705">
        <v>2</v>
      </c>
      <c r="J227" s="707">
        <f t="shared" si="39"/>
        <v>6.6666666666666666E-2</v>
      </c>
      <c r="K227" s="708">
        <f t="shared" si="40"/>
        <v>28.533333333333331</v>
      </c>
      <c r="L227" s="705" t="s">
        <v>10313</v>
      </c>
      <c r="M227" s="835">
        <v>46061</v>
      </c>
      <c r="N227" s="831" t="s">
        <v>10279</v>
      </c>
      <c r="P227" s="602"/>
      <c r="Q227" s="602"/>
      <c r="R227" s="602"/>
      <c r="S227" s="602"/>
      <c r="T227" s="602"/>
      <c r="W227" s="481"/>
    </row>
    <row r="228" spans="1:23" s="22" customFormat="1" x14ac:dyDescent="0.3">
      <c r="A228" s="831">
        <v>113</v>
      </c>
      <c r="B228" s="705" t="s">
        <v>10095</v>
      </c>
      <c r="C228" s="705" t="s">
        <v>468</v>
      </c>
      <c r="D228" s="706">
        <v>11356</v>
      </c>
      <c r="E228" s="706">
        <v>11570</v>
      </c>
      <c r="F228" s="705" t="s">
        <v>9341</v>
      </c>
      <c r="G228" s="705">
        <f t="shared" si="38"/>
        <v>428</v>
      </c>
      <c r="H228" s="705">
        <v>15</v>
      </c>
      <c r="I228" s="705">
        <v>3</v>
      </c>
      <c r="J228" s="707">
        <f t="shared" si="39"/>
        <v>6.6666666666666666E-2</v>
      </c>
      <c r="K228" s="708">
        <f t="shared" si="40"/>
        <v>28.533333333333331</v>
      </c>
      <c r="L228" s="705" t="s">
        <v>10330</v>
      </c>
      <c r="M228" s="835">
        <v>46064</v>
      </c>
      <c r="N228" s="831" t="s">
        <v>10279</v>
      </c>
      <c r="P228" s="602"/>
      <c r="Q228" s="602"/>
      <c r="R228" s="602"/>
      <c r="S228" s="602"/>
      <c r="T228" s="602"/>
      <c r="W228" s="481"/>
    </row>
    <row r="229" spans="1:23" s="22" customFormat="1" x14ac:dyDescent="0.3">
      <c r="A229" s="831">
        <v>114</v>
      </c>
      <c r="B229" s="705" t="s">
        <v>10095</v>
      </c>
      <c r="C229" s="705" t="s">
        <v>468</v>
      </c>
      <c r="D229" s="706">
        <v>11356</v>
      </c>
      <c r="E229" s="706">
        <v>11570</v>
      </c>
      <c r="F229" s="705" t="s">
        <v>9341</v>
      </c>
      <c r="G229" s="705">
        <f t="shared" si="38"/>
        <v>428</v>
      </c>
      <c r="H229" s="705">
        <v>15</v>
      </c>
      <c r="I229" s="705">
        <v>4</v>
      </c>
      <c r="J229" s="707">
        <f t="shared" si="39"/>
        <v>6.6666666666666666E-2</v>
      </c>
      <c r="K229" s="708">
        <f t="shared" si="40"/>
        <v>28.533333333333331</v>
      </c>
      <c r="L229" s="705" t="s">
        <v>10329</v>
      </c>
      <c r="M229" s="835">
        <v>46071</v>
      </c>
      <c r="N229" s="831" t="s">
        <v>10279</v>
      </c>
      <c r="P229" s="602"/>
      <c r="Q229" s="602"/>
      <c r="R229" s="602"/>
      <c r="S229" s="602"/>
      <c r="T229" s="602"/>
      <c r="W229" s="481"/>
    </row>
    <row r="230" spans="1:23" s="22" customFormat="1" x14ac:dyDescent="0.3">
      <c r="A230" s="831">
        <v>115</v>
      </c>
      <c r="B230" s="705" t="s">
        <v>10095</v>
      </c>
      <c r="C230" s="705" t="s">
        <v>468</v>
      </c>
      <c r="D230" s="706">
        <v>11356</v>
      </c>
      <c r="E230" s="706">
        <v>11570</v>
      </c>
      <c r="F230" s="705" t="s">
        <v>9341</v>
      </c>
      <c r="G230" s="705">
        <f t="shared" si="38"/>
        <v>428</v>
      </c>
      <c r="H230" s="705">
        <v>15</v>
      </c>
      <c r="I230" s="705">
        <v>5</v>
      </c>
      <c r="J230" s="707">
        <f t="shared" si="39"/>
        <v>6.6666666666666666E-2</v>
      </c>
      <c r="K230" s="708">
        <f t="shared" si="40"/>
        <v>28.533333333333331</v>
      </c>
      <c r="L230" s="705" t="s">
        <v>10314</v>
      </c>
      <c r="M230" s="835">
        <v>46071</v>
      </c>
      <c r="N230" s="831" t="s">
        <v>10279</v>
      </c>
      <c r="P230" s="602"/>
      <c r="Q230" s="602"/>
      <c r="R230" s="602"/>
      <c r="S230" s="602"/>
      <c r="T230" s="602"/>
      <c r="W230" s="481"/>
    </row>
    <row r="231" spans="1:23" s="22" customFormat="1" x14ac:dyDescent="0.3">
      <c r="A231" s="831">
        <v>116</v>
      </c>
      <c r="B231" s="705" t="s">
        <v>10095</v>
      </c>
      <c r="C231" s="705" t="s">
        <v>468</v>
      </c>
      <c r="D231" s="706">
        <v>11356</v>
      </c>
      <c r="E231" s="706">
        <v>11570</v>
      </c>
      <c r="F231" s="705" t="s">
        <v>9341</v>
      </c>
      <c r="G231" s="705">
        <f t="shared" si="38"/>
        <v>428</v>
      </c>
      <c r="H231" s="705">
        <v>15</v>
      </c>
      <c r="I231" s="705">
        <v>6</v>
      </c>
      <c r="J231" s="707">
        <f t="shared" si="39"/>
        <v>6.6666666666666666E-2</v>
      </c>
      <c r="K231" s="708">
        <f t="shared" si="40"/>
        <v>28.533333333333331</v>
      </c>
      <c r="L231" s="705" t="s">
        <v>10315</v>
      </c>
      <c r="M231" s="835">
        <v>46071</v>
      </c>
      <c r="N231" s="831" t="s">
        <v>10279</v>
      </c>
      <c r="P231" s="602"/>
      <c r="Q231" s="602"/>
      <c r="R231" s="602"/>
      <c r="S231" s="602"/>
      <c r="T231" s="602"/>
      <c r="W231" s="481"/>
    </row>
    <row r="232" spans="1:23" s="22" customFormat="1" x14ac:dyDescent="0.3">
      <c r="A232" s="831">
        <v>117</v>
      </c>
      <c r="B232" s="705" t="s">
        <v>10095</v>
      </c>
      <c r="C232" s="705" t="s">
        <v>468</v>
      </c>
      <c r="D232" s="706">
        <v>11356</v>
      </c>
      <c r="E232" s="706">
        <v>11570</v>
      </c>
      <c r="F232" s="705" t="s">
        <v>9341</v>
      </c>
      <c r="G232" s="705">
        <f t="shared" si="38"/>
        <v>428</v>
      </c>
      <c r="H232" s="705">
        <v>15</v>
      </c>
      <c r="I232" s="705">
        <v>7</v>
      </c>
      <c r="J232" s="707">
        <f t="shared" si="39"/>
        <v>6.6666666666666666E-2</v>
      </c>
      <c r="K232" s="708">
        <f t="shared" si="40"/>
        <v>28.533333333333331</v>
      </c>
      <c r="L232" s="705" t="s">
        <v>10316</v>
      </c>
      <c r="M232" s="835">
        <v>46072</v>
      </c>
      <c r="N232" s="831" t="s">
        <v>10279</v>
      </c>
      <c r="P232" s="602"/>
      <c r="Q232" s="602"/>
      <c r="R232" s="602"/>
      <c r="S232" s="602"/>
      <c r="T232" s="602"/>
      <c r="W232" s="481"/>
    </row>
    <row r="233" spans="1:23" s="22" customFormat="1" x14ac:dyDescent="0.3">
      <c r="A233" s="831">
        <v>118</v>
      </c>
      <c r="B233" s="705" t="s">
        <v>10095</v>
      </c>
      <c r="C233" s="705" t="s">
        <v>468</v>
      </c>
      <c r="D233" s="706">
        <v>11356</v>
      </c>
      <c r="E233" s="706">
        <v>11570</v>
      </c>
      <c r="F233" s="705" t="s">
        <v>9341</v>
      </c>
      <c r="G233" s="705">
        <f t="shared" si="38"/>
        <v>428</v>
      </c>
      <c r="H233" s="705">
        <v>15</v>
      </c>
      <c r="I233" s="705">
        <v>8</v>
      </c>
      <c r="J233" s="707">
        <f t="shared" si="39"/>
        <v>6.6666666666666666E-2</v>
      </c>
      <c r="K233" s="708">
        <f t="shared" si="40"/>
        <v>28.533333333333331</v>
      </c>
      <c r="L233" s="705" t="s">
        <v>10317</v>
      </c>
      <c r="M233" s="835">
        <v>46072</v>
      </c>
      <c r="N233" s="831" t="s">
        <v>10279</v>
      </c>
      <c r="P233" s="602"/>
      <c r="Q233" s="602"/>
      <c r="R233" s="602"/>
      <c r="S233" s="602"/>
      <c r="T233" s="602"/>
      <c r="W233" s="481"/>
    </row>
    <row r="234" spans="1:23" s="22" customFormat="1" x14ac:dyDescent="0.3">
      <c r="A234" s="831">
        <v>119</v>
      </c>
      <c r="B234" s="705" t="s">
        <v>10095</v>
      </c>
      <c r="C234" s="705" t="s">
        <v>468</v>
      </c>
      <c r="D234" s="706">
        <v>11356</v>
      </c>
      <c r="E234" s="706">
        <v>11570</v>
      </c>
      <c r="F234" s="705" t="s">
        <v>9341</v>
      </c>
      <c r="G234" s="705">
        <f t="shared" si="38"/>
        <v>428</v>
      </c>
      <c r="H234" s="705">
        <v>15</v>
      </c>
      <c r="I234" s="705">
        <v>9</v>
      </c>
      <c r="J234" s="707">
        <f t="shared" si="39"/>
        <v>6.6666666666666666E-2</v>
      </c>
      <c r="K234" s="708">
        <f t="shared" si="40"/>
        <v>28.533333333333331</v>
      </c>
      <c r="L234" s="705" t="s">
        <v>10318</v>
      </c>
      <c r="M234" s="835">
        <v>46073</v>
      </c>
      <c r="N234" s="831" t="s">
        <v>10279</v>
      </c>
      <c r="P234" s="602"/>
      <c r="Q234" s="602"/>
      <c r="R234" s="602"/>
      <c r="S234" s="602"/>
      <c r="T234" s="602"/>
      <c r="W234" s="481"/>
    </row>
    <row r="235" spans="1:23" s="22" customFormat="1" x14ac:dyDescent="0.3">
      <c r="A235" s="831">
        <v>120</v>
      </c>
      <c r="B235" s="705" t="s">
        <v>10095</v>
      </c>
      <c r="C235" s="705" t="s">
        <v>468</v>
      </c>
      <c r="D235" s="706">
        <v>11356</v>
      </c>
      <c r="E235" s="706">
        <v>11570</v>
      </c>
      <c r="F235" s="705" t="s">
        <v>9341</v>
      </c>
      <c r="G235" s="705">
        <f t="shared" si="38"/>
        <v>428</v>
      </c>
      <c r="H235" s="705">
        <v>15</v>
      </c>
      <c r="I235" s="705">
        <v>10</v>
      </c>
      <c r="J235" s="707">
        <f t="shared" si="39"/>
        <v>6.6666666666666666E-2</v>
      </c>
      <c r="K235" s="708">
        <f t="shared" si="40"/>
        <v>28.533333333333331</v>
      </c>
      <c r="L235" s="705" t="s">
        <v>10319</v>
      </c>
      <c r="M235" s="835">
        <v>46074</v>
      </c>
      <c r="N235" s="831" t="s">
        <v>10279</v>
      </c>
      <c r="P235" s="602"/>
      <c r="Q235" s="602"/>
      <c r="R235" s="602"/>
      <c r="S235" s="602"/>
      <c r="T235" s="602"/>
      <c r="W235" s="481"/>
    </row>
    <row r="236" spans="1:23" s="22" customFormat="1" x14ac:dyDescent="0.3">
      <c r="A236" s="831">
        <v>121</v>
      </c>
      <c r="B236" s="705" t="s">
        <v>10095</v>
      </c>
      <c r="C236" s="705" t="s">
        <v>468</v>
      </c>
      <c r="D236" s="706">
        <v>11356</v>
      </c>
      <c r="E236" s="706">
        <v>11570</v>
      </c>
      <c r="F236" s="705" t="s">
        <v>9341</v>
      </c>
      <c r="G236" s="705">
        <f t="shared" si="38"/>
        <v>428</v>
      </c>
      <c r="H236" s="705">
        <v>15</v>
      </c>
      <c r="I236" s="705">
        <v>11</v>
      </c>
      <c r="J236" s="707">
        <f t="shared" si="39"/>
        <v>6.6666666666666666E-2</v>
      </c>
      <c r="K236" s="708">
        <f t="shared" si="40"/>
        <v>28.533333333333331</v>
      </c>
      <c r="L236" s="705" t="s">
        <v>10320</v>
      </c>
      <c r="M236" s="835">
        <v>46074</v>
      </c>
      <c r="N236" s="831" t="s">
        <v>10279</v>
      </c>
      <c r="P236" s="602"/>
      <c r="Q236" s="602"/>
      <c r="R236" s="602"/>
      <c r="S236" s="602"/>
      <c r="T236" s="602"/>
      <c r="W236" s="481"/>
    </row>
    <row r="237" spans="1:23" s="22" customFormat="1" x14ac:dyDescent="0.3">
      <c r="A237" s="831">
        <v>122</v>
      </c>
      <c r="B237" s="705" t="s">
        <v>10095</v>
      </c>
      <c r="C237" s="705" t="s">
        <v>468</v>
      </c>
      <c r="D237" s="706">
        <v>11356</v>
      </c>
      <c r="E237" s="706">
        <v>11570</v>
      </c>
      <c r="F237" s="705" t="s">
        <v>9341</v>
      </c>
      <c r="G237" s="705">
        <f t="shared" si="38"/>
        <v>428</v>
      </c>
      <c r="H237" s="705">
        <v>15</v>
      </c>
      <c r="I237" s="705">
        <v>12</v>
      </c>
      <c r="J237" s="707">
        <f t="shared" si="39"/>
        <v>6.6666666666666666E-2</v>
      </c>
      <c r="K237" s="708">
        <f t="shared" si="40"/>
        <v>28.533333333333331</v>
      </c>
      <c r="L237" s="705" t="s">
        <v>10091</v>
      </c>
      <c r="M237" s="835">
        <v>46074</v>
      </c>
      <c r="N237" s="831" t="s">
        <v>10279</v>
      </c>
      <c r="P237" s="602"/>
      <c r="Q237" s="602"/>
      <c r="R237" s="602"/>
      <c r="S237" s="602"/>
      <c r="T237" s="602"/>
      <c r="W237" s="481"/>
    </row>
    <row r="238" spans="1:23" s="22" customFormat="1" x14ac:dyDescent="0.3">
      <c r="A238" s="831">
        <v>123</v>
      </c>
      <c r="B238" s="705" t="s">
        <v>10095</v>
      </c>
      <c r="C238" s="705" t="s">
        <v>468</v>
      </c>
      <c r="D238" s="706">
        <v>11356</v>
      </c>
      <c r="E238" s="706">
        <v>11570</v>
      </c>
      <c r="F238" s="705" t="s">
        <v>9341</v>
      </c>
      <c r="G238" s="705">
        <f t="shared" si="38"/>
        <v>428</v>
      </c>
      <c r="H238" s="705">
        <v>15</v>
      </c>
      <c r="I238" s="705">
        <v>13</v>
      </c>
      <c r="J238" s="707">
        <f t="shared" si="39"/>
        <v>6.6666666666666666E-2</v>
      </c>
      <c r="K238" s="708">
        <f t="shared" si="40"/>
        <v>28.533333333333331</v>
      </c>
      <c r="L238" s="705" t="s">
        <v>10321</v>
      </c>
      <c r="M238" s="835">
        <v>46074</v>
      </c>
      <c r="N238" s="831" t="s">
        <v>10279</v>
      </c>
      <c r="P238" s="602"/>
      <c r="Q238" s="602"/>
      <c r="R238" s="602"/>
      <c r="S238"/>
      <c r="T238" s="602"/>
      <c r="W238" s="481"/>
    </row>
    <row r="239" spans="1:23" s="22" customFormat="1" x14ac:dyDescent="0.3">
      <c r="A239" s="831">
        <v>124</v>
      </c>
      <c r="B239" s="705" t="s">
        <v>10095</v>
      </c>
      <c r="C239" s="705" t="s">
        <v>468</v>
      </c>
      <c r="D239" s="706">
        <v>11356</v>
      </c>
      <c r="E239" s="706">
        <v>11570</v>
      </c>
      <c r="F239" s="705" t="s">
        <v>9341</v>
      </c>
      <c r="G239" s="705">
        <f t="shared" si="38"/>
        <v>428</v>
      </c>
      <c r="H239" s="705">
        <v>15</v>
      </c>
      <c r="I239" s="705">
        <v>14</v>
      </c>
      <c r="J239" s="707">
        <f t="shared" si="39"/>
        <v>6.6666666666666666E-2</v>
      </c>
      <c r="K239" s="708">
        <f t="shared" si="40"/>
        <v>28.533333333333331</v>
      </c>
      <c r="L239" s="705" t="s">
        <v>10324</v>
      </c>
      <c r="M239" s="835">
        <v>46076</v>
      </c>
      <c r="N239" s="831" t="s">
        <v>10279</v>
      </c>
      <c r="P239" s="602"/>
      <c r="Q239" s="602"/>
      <c r="R239" s="602"/>
      <c r="S239"/>
      <c r="T239" s="602"/>
      <c r="W239" s="481"/>
    </row>
    <row r="240" spans="1:23" s="22" customFormat="1" x14ac:dyDescent="0.3">
      <c r="A240" s="831">
        <v>125</v>
      </c>
      <c r="B240" s="705" t="s">
        <v>10095</v>
      </c>
      <c r="C240" s="705" t="s">
        <v>468</v>
      </c>
      <c r="D240" s="706">
        <v>11356</v>
      </c>
      <c r="E240" s="706">
        <v>11570</v>
      </c>
      <c r="F240" s="705" t="s">
        <v>9341</v>
      </c>
      <c r="G240" s="705">
        <f t="shared" si="38"/>
        <v>428</v>
      </c>
      <c r="H240" s="705">
        <v>15</v>
      </c>
      <c r="I240" s="705">
        <v>15</v>
      </c>
      <c r="J240" s="707">
        <f t="shared" si="39"/>
        <v>6.6666666666666666E-2</v>
      </c>
      <c r="K240" s="708">
        <f t="shared" si="40"/>
        <v>28.533333333333331</v>
      </c>
      <c r="L240" s="705" t="s">
        <v>10094</v>
      </c>
      <c r="M240" s="835">
        <v>46078</v>
      </c>
      <c r="N240" s="831" t="s">
        <v>10279</v>
      </c>
      <c r="P240" s="602"/>
      <c r="Q240" s="602"/>
      <c r="R240" s="602"/>
      <c r="S240"/>
      <c r="T240" s="602"/>
      <c r="W240" s="481"/>
    </row>
    <row r="241" spans="1:23" s="22" customFormat="1" x14ac:dyDescent="0.3">
      <c r="A241" s="831">
        <v>126</v>
      </c>
      <c r="B241" s="705" t="s">
        <v>10097</v>
      </c>
      <c r="C241" s="705" t="s">
        <v>468</v>
      </c>
      <c r="D241" s="706">
        <v>11590</v>
      </c>
      <c r="E241" s="706">
        <v>11770</v>
      </c>
      <c r="F241" s="705" t="s">
        <v>9341</v>
      </c>
      <c r="G241" s="705">
        <f t="shared" si="38"/>
        <v>360</v>
      </c>
      <c r="H241" s="705">
        <v>10</v>
      </c>
      <c r="I241" s="705">
        <v>1</v>
      </c>
      <c r="J241" s="707">
        <f t="shared" si="39"/>
        <v>0.1</v>
      </c>
      <c r="K241" s="708">
        <f t="shared" si="40"/>
        <v>36</v>
      </c>
      <c r="L241" s="705" t="s">
        <v>10330</v>
      </c>
      <c r="M241" s="835">
        <v>46064</v>
      </c>
      <c r="N241" s="831" t="s">
        <v>10279</v>
      </c>
      <c r="P241" s="602"/>
      <c r="Q241" s="602"/>
      <c r="R241" s="602"/>
      <c r="S241"/>
      <c r="T241" s="602"/>
      <c r="W241" s="481"/>
    </row>
    <row r="242" spans="1:23" s="22" customFormat="1" x14ac:dyDescent="0.3">
      <c r="A242" s="831">
        <v>127</v>
      </c>
      <c r="B242" s="705" t="s">
        <v>10097</v>
      </c>
      <c r="C242" s="705" t="s">
        <v>468</v>
      </c>
      <c r="D242" s="706">
        <v>11590</v>
      </c>
      <c r="E242" s="706">
        <v>11770</v>
      </c>
      <c r="F242" s="705" t="s">
        <v>9341</v>
      </c>
      <c r="G242" s="705">
        <f t="shared" ref="G242:G250" si="41">IF(F242="BHS",(ABS(D242-E242)*2),(ABS(D242-E242)))</f>
        <v>360</v>
      </c>
      <c r="H242" s="705">
        <v>10</v>
      </c>
      <c r="I242" s="705">
        <v>2</v>
      </c>
      <c r="J242" s="707">
        <f t="shared" ref="J242:J250" si="42">IFERROR(IF(I242&gt;0,1/H242,0),0)</f>
        <v>0.1</v>
      </c>
      <c r="K242" s="708">
        <f t="shared" ref="K242:K250" si="43">J242*G242</f>
        <v>36</v>
      </c>
      <c r="L242" s="705" t="s">
        <v>10311</v>
      </c>
      <c r="M242" s="835">
        <v>46064</v>
      </c>
      <c r="N242" s="831" t="s">
        <v>10279</v>
      </c>
      <c r="P242" s="602"/>
      <c r="Q242" s="602"/>
      <c r="R242" s="602"/>
      <c r="S242"/>
      <c r="T242" s="602"/>
      <c r="W242" s="481"/>
    </row>
    <row r="243" spans="1:23" s="22" customFormat="1" x14ac:dyDescent="0.3">
      <c r="A243" s="831">
        <v>128</v>
      </c>
      <c r="B243" s="705" t="s">
        <v>10097</v>
      </c>
      <c r="C243" s="705" t="s">
        <v>468</v>
      </c>
      <c r="D243" s="706">
        <v>11590</v>
      </c>
      <c r="E243" s="706">
        <v>11770</v>
      </c>
      <c r="F243" s="705" t="s">
        <v>9341</v>
      </c>
      <c r="G243" s="705">
        <f t="shared" si="41"/>
        <v>360</v>
      </c>
      <c r="H243" s="705">
        <v>10</v>
      </c>
      <c r="I243" s="705">
        <v>3</v>
      </c>
      <c r="J243" s="707">
        <f t="shared" si="42"/>
        <v>0.1</v>
      </c>
      <c r="K243" s="708">
        <f t="shared" si="43"/>
        <v>36</v>
      </c>
      <c r="L243" s="705" t="s">
        <v>10081</v>
      </c>
      <c r="M243" s="835">
        <v>46065</v>
      </c>
      <c r="N243" s="831" t="s">
        <v>10279</v>
      </c>
      <c r="P243" s="602"/>
      <c r="Q243" s="602"/>
      <c r="R243" s="602"/>
      <c r="S243"/>
      <c r="T243" s="602"/>
      <c r="W243" s="481"/>
    </row>
    <row r="244" spans="1:23" s="22" customFormat="1" x14ac:dyDescent="0.3">
      <c r="A244" s="831">
        <v>129</v>
      </c>
      <c r="B244" s="705" t="s">
        <v>10097</v>
      </c>
      <c r="C244" s="705" t="s">
        <v>468</v>
      </c>
      <c r="D244" s="706">
        <v>11590</v>
      </c>
      <c r="E244" s="706">
        <v>11770</v>
      </c>
      <c r="F244" s="705" t="s">
        <v>9341</v>
      </c>
      <c r="G244" s="705">
        <f t="shared" si="41"/>
        <v>360</v>
      </c>
      <c r="H244" s="705">
        <v>10</v>
      </c>
      <c r="I244" s="705">
        <v>4</v>
      </c>
      <c r="J244" s="707">
        <f t="shared" si="42"/>
        <v>0.1</v>
      </c>
      <c r="K244" s="708">
        <f t="shared" si="43"/>
        <v>36</v>
      </c>
      <c r="L244" s="705" t="s">
        <v>10306</v>
      </c>
      <c r="M244" s="835">
        <v>46065</v>
      </c>
      <c r="N244" s="831" t="s">
        <v>10279</v>
      </c>
      <c r="P244" s="602"/>
      <c r="Q244" s="602"/>
      <c r="R244" s="602"/>
      <c r="S244"/>
      <c r="T244" s="602"/>
      <c r="W244" s="481"/>
    </row>
    <row r="245" spans="1:23" s="22" customFormat="1" x14ac:dyDescent="0.3">
      <c r="A245" s="831">
        <v>130</v>
      </c>
      <c r="B245" s="705" t="s">
        <v>10097</v>
      </c>
      <c r="C245" s="705" t="s">
        <v>468</v>
      </c>
      <c r="D245" s="706">
        <v>11590</v>
      </c>
      <c r="E245" s="706">
        <v>11770</v>
      </c>
      <c r="F245" s="705" t="s">
        <v>9341</v>
      </c>
      <c r="G245" s="705">
        <f t="shared" si="41"/>
        <v>360</v>
      </c>
      <c r="H245" s="705">
        <v>10</v>
      </c>
      <c r="I245" s="705">
        <v>5</v>
      </c>
      <c r="J245" s="707">
        <f t="shared" si="42"/>
        <v>0.1</v>
      </c>
      <c r="K245" s="708">
        <f t="shared" si="43"/>
        <v>36</v>
      </c>
      <c r="L245" s="705" t="s">
        <v>10307</v>
      </c>
      <c r="M245" s="835">
        <v>46068</v>
      </c>
      <c r="N245" s="831" t="s">
        <v>10279</v>
      </c>
      <c r="P245" s="602"/>
      <c r="Q245" s="602"/>
      <c r="R245" s="602"/>
      <c r="S245"/>
      <c r="T245" s="602"/>
      <c r="W245" s="481"/>
    </row>
    <row r="246" spans="1:23" s="22" customFormat="1" x14ac:dyDescent="0.3">
      <c r="A246" s="831">
        <v>131</v>
      </c>
      <c r="B246" s="705" t="s">
        <v>10097</v>
      </c>
      <c r="C246" s="705" t="s">
        <v>468</v>
      </c>
      <c r="D246" s="706">
        <v>11590</v>
      </c>
      <c r="E246" s="706">
        <v>11770</v>
      </c>
      <c r="F246" s="705" t="s">
        <v>9341</v>
      </c>
      <c r="G246" s="705">
        <f t="shared" si="41"/>
        <v>360</v>
      </c>
      <c r="H246" s="705">
        <v>10</v>
      </c>
      <c r="I246" s="705">
        <v>6</v>
      </c>
      <c r="J246" s="707">
        <f t="shared" si="42"/>
        <v>0.1</v>
      </c>
      <c r="K246" s="708">
        <f t="shared" si="43"/>
        <v>36</v>
      </c>
      <c r="L246" s="705" t="s">
        <v>10308</v>
      </c>
      <c r="M246" s="835">
        <v>46068</v>
      </c>
      <c r="N246" s="831" t="s">
        <v>10279</v>
      </c>
      <c r="P246" s="602"/>
      <c r="Q246" s="602"/>
      <c r="R246" s="602"/>
      <c r="S246"/>
      <c r="T246" s="602"/>
      <c r="W246" s="481"/>
    </row>
    <row r="247" spans="1:23" s="22" customFormat="1" x14ac:dyDescent="0.3">
      <c r="A247" s="831">
        <v>132</v>
      </c>
      <c r="B247" s="705" t="s">
        <v>10097</v>
      </c>
      <c r="C247" s="705" t="s">
        <v>468</v>
      </c>
      <c r="D247" s="706">
        <v>11590</v>
      </c>
      <c r="E247" s="706">
        <v>11770</v>
      </c>
      <c r="F247" s="705" t="s">
        <v>9341</v>
      </c>
      <c r="G247" s="705">
        <f t="shared" si="41"/>
        <v>360</v>
      </c>
      <c r="H247" s="705">
        <v>10</v>
      </c>
      <c r="I247" s="705">
        <v>7</v>
      </c>
      <c r="J247" s="707">
        <f t="shared" si="42"/>
        <v>0.1</v>
      </c>
      <c r="K247" s="708">
        <f t="shared" si="43"/>
        <v>36</v>
      </c>
      <c r="L247" s="705" t="s">
        <v>10309</v>
      </c>
      <c r="M247" s="835">
        <v>46070</v>
      </c>
      <c r="N247" s="831" t="s">
        <v>10279</v>
      </c>
      <c r="P247" s="602"/>
      <c r="Q247" s="602"/>
      <c r="R247" s="602"/>
      <c r="S247"/>
      <c r="T247" s="602"/>
      <c r="W247" s="481"/>
    </row>
    <row r="248" spans="1:23" s="22" customFormat="1" x14ac:dyDescent="0.3">
      <c r="A248" s="831">
        <v>133</v>
      </c>
      <c r="B248" s="705" t="s">
        <v>10097</v>
      </c>
      <c r="C248" s="705" t="s">
        <v>468</v>
      </c>
      <c r="D248" s="706">
        <v>11590</v>
      </c>
      <c r="E248" s="706">
        <v>11770</v>
      </c>
      <c r="F248" s="705" t="s">
        <v>9341</v>
      </c>
      <c r="G248" s="705">
        <f t="shared" si="41"/>
        <v>360</v>
      </c>
      <c r="H248" s="705">
        <v>10</v>
      </c>
      <c r="I248" s="705">
        <v>8</v>
      </c>
      <c r="J248" s="707">
        <f t="shared" si="42"/>
        <v>0.1</v>
      </c>
      <c r="K248" s="708">
        <f t="shared" si="43"/>
        <v>36</v>
      </c>
      <c r="L248" s="705" t="s">
        <v>10079</v>
      </c>
      <c r="M248" s="835">
        <v>46070</v>
      </c>
      <c r="N248" s="831" t="s">
        <v>10279</v>
      </c>
      <c r="P248" s="602"/>
      <c r="Q248" s="602"/>
      <c r="R248" s="602"/>
      <c r="S248"/>
      <c r="T248" s="602"/>
      <c r="W248" s="481"/>
    </row>
    <row r="249" spans="1:23" s="22" customFormat="1" x14ac:dyDescent="0.3">
      <c r="A249" s="831">
        <v>134</v>
      </c>
      <c r="B249" s="705" t="s">
        <v>10097</v>
      </c>
      <c r="C249" s="705" t="s">
        <v>468</v>
      </c>
      <c r="D249" s="706">
        <v>11590</v>
      </c>
      <c r="E249" s="706">
        <v>11770</v>
      </c>
      <c r="F249" s="705" t="s">
        <v>9341</v>
      </c>
      <c r="G249" s="705">
        <f t="shared" si="41"/>
        <v>360</v>
      </c>
      <c r="H249" s="705">
        <v>10</v>
      </c>
      <c r="I249" s="705">
        <v>9</v>
      </c>
      <c r="J249" s="707">
        <f t="shared" si="42"/>
        <v>0.1</v>
      </c>
      <c r="K249" s="708">
        <f t="shared" si="43"/>
        <v>36</v>
      </c>
      <c r="L249" s="705" t="s">
        <v>10329</v>
      </c>
      <c r="M249" s="835">
        <v>46071</v>
      </c>
      <c r="N249" s="831" t="s">
        <v>10279</v>
      </c>
      <c r="P249" s="602"/>
      <c r="Q249" s="602"/>
      <c r="R249" s="602"/>
      <c r="S249"/>
      <c r="T249" s="602"/>
      <c r="W249" s="481"/>
    </row>
    <row r="250" spans="1:23" s="22" customFormat="1" x14ac:dyDescent="0.3">
      <c r="A250" s="831">
        <v>135</v>
      </c>
      <c r="B250" s="705" t="s">
        <v>10097</v>
      </c>
      <c r="C250" s="705" t="s">
        <v>468</v>
      </c>
      <c r="D250" s="706">
        <v>11590</v>
      </c>
      <c r="E250" s="706">
        <v>11770</v>
      </c>
      <c r="F250" s="705" t="s">
        <v>9341</v>
      </c>
      <c r="G250" s="705">
        <f t="shared" si="41"/>
        <v>360</v>
      </c>
      <c r="H250" s="705">
        <v>10</v>
      </c>
      <c r="I250" s="705">
        <v>10</v>
      </c>
      <c r="J250" s="707">
        <f t="shared" si="42"/>
        <v>0.1</v>
      </c>
      <c r="K250" s="708">
        <f t="shared" si="43"/>
        <v>36</v>
      </c>
      <c r="L250" s="705" t="s">
        <v>10096</v>
      </c>
      <c r="M250" s="835">
        <v>46071</v>
      </c>
      <c r="N250" s="831" t="s">
        <v>10279</v>
      </c>
      <c r="P250" s="602"/>
      <c r="Q250" s="602"/>
      <c r="R250" s="602"/>
      <c r="S250"/>
      <c r="T250" s="602"/>
      <c r="W250" s="481"/>
    </row>
    <row r="251" spans="1:23" x14ac:dyDescent="0.3">
      <c r="A251" s="831"/>
      <c r="B251" s="705"/>
      <c r="C251" s="705"/>
      <c r="D251" s="706"/>
      <c r="E251" s="706"/>
      <c r="F251" s="705"/>
      <c r="G251" s="705"/>
      <c r="H251" s="705"/>
      <c r="I251" s="705"/>
      <c r="J251" s="707"/>
      <c r="K251" s="708"/>
      <c r="L251" s="705"/>
      <c r="M251" s="709"/>
      <c r="N251" s="705"/>
      <c r="S251"/>
      <c r="W251" s="132"/>
    </row>
    <row r="252" spans="1:23" s="615" customFormat="1" x14ac:dyDescent="0.3">
      <c r="A252" s="1763" t="s">
        <v>771</v>
      </c>
      <c r="B252" s="1764"/>
      <c r="C252" s="1764"/>
      <c r="D252" s="1764"/>
      <c r="E252" s="1764"/>
      <c r="F252" s="1764"/>
      <c r="G252" s="1764"/>
      <c r="H252" s="1764"/>
      <c r="I252" s="1764"/>
      <c r="J252" s="1765"/>
      <c r="K252" s="725">
        <f>ROUND((SUM(K3:K251)/1000),3)</f>
        <v>7.6020000000000003</v>
      </c>
      <c r="L252" s="724" t="s">
        <v>267</v>
      </c>
      <c r="M252" s="824"/>
      <c r="N252" s="825"/>
      <c r="P252" s="602"/>
      <c r="Q252" s="602"/>
      <c r="R252" s="602"/>
      <c r="S252"/>
      <c r="T252" s="602"/>
    </row>
    <row r="253" spans="1:23" s="615" customFormat="1" x14ac:dyDescent="0.3">
      <c r="A253" s="1763" t="s">
        <v>772</v>
      </c>
      <c r="B253" s="1764"/>
      <c r="C253" s="1764"/>
      <c r="D253" s="1764"/>
      <c r="E253" s="1764"/>
      <c r="F253" s="1764"/>
      <c r="G253" s="1764"/>
      <c r="H253" s="1764"/>
      <c r="I253" s="1764"/>
      <c r="J253" s="1765"/>
      <c r="K253" s="725">
        <v>7.6020000000000003</v>
      </c>
      <c r="L253" s="724" t="s">
        <v>267</v>
      </c>
      <c r="M253" s="824"/>
      <c r="N253" s="825"/>
      <c r="P253" s="602"/>
      <c r="Q253" s="602"/>
      <c r="R253" s="602"/>
      <c r="S253"/>
      <c r="T253" s="602"/>
    </row>
    <row r="254" spans="1:23" s="615" customFormat="1" x14ac:dyDescent="0.3">
      <c r="A254" s="1763" t="s">
        <v>773</v>
      </c>
      <c r="B254" s="1764"/>
      <c r="C254" s="1764"/>
      <c r="D254" s="1764"/>
      <c r="E254" s="1764"/>
      <c r="F254" s="1764"/>
      <c r="G254" s="1764"/>
      <c r="H254" s="1764"/>
      <c r="I254" s="1764"/>
      <c r="J254" s="1765"/>
      <c r="K254" s="725">
        <f>(K252-K253)</f>
        <v>0</v>
      </c>
      <c r="L254" s="724" t="s">
        <v>267</v>
      </c>
      <c r="M254" s="824"/>
      <c r="N254" s="825"/>
      <c r="P254" s="602"/>
      <c r="Q254" s="602"/>
      <c r="R254" s="602"/>
      <c r="S254"/>
      <c r="T254" s="602"/>
    </row>
    <row r="255" spans="1:23" x14ac:dyDescent="0.3">
      <c r="K255" s="719"/>
      <c r="S255"/>
    </row>
    <row r="256" spans="1:23" x14ac:dyDescent="0.3">
      <c r="H256" s="602"/>
      <c r="I256" s="602"/>
      <c r="J256" s="602"/>
      <c r="S256"/>
    </row>
    <row r="257" spans="19:19" s="602" customFormat="1" x14ac:dyDescent="0.3">
      <c r="S257"/>
    </row>
    <row r="258" spans="19:19" s="602" customFormat="1" x14ac:dyDescent="0.3">
      <c r="S258"/>
    </row>
    <row r="259" spans="19:19" s="602" customFormat="1" x14ac:dyDescent="0.3">
      <c r="S259"/>
    </row>
    <row r="260" spans="19:19" s="602" customFormat="1" x14ac:dyDescent="0.3">
      <c r="S260"/>
    </row>
    <row r="261" spans="19:19" s="602" customFormat="1" x14ac:dyDescent="0.3">
      <c r="S261"/>
    </row>
    <row r="262" spans="19:19" s="602" customFormat="1" x14ac:dyDescent="0.3">
      <c r="S262"/>
    </row>
    <row r="263" spans="19:19" s="602" customFormat="1" x14ac:dyDescent="0.3">
      <c r="S263"/>
    </row>
    <row r="264" spans="19:19" s="602" customFormat="1" x14ac:dyDescent="0.3">
      <c r="S264"/>
    </row>
    <row r="265" spans="19:19" s="602" customFormat="1" x14ac:dyDescent="0.3">
      <c r="S265"/>
    </row>
    <row r="266" spans="19:19" s="602" customFormat="1" x14ac:dyDescent="0.3">
      <c r="S266"/>
    </row>
    <row r="267" spans="19:19" s="602" customFormat="1" x14ac:dyDescent="0.3">
      <c r="S267"/>
    </row>
    <row r="268" spans="19:19" s="602" customFormat="1" x14ac:dyDescent="0.3">
      <c r="S268"/>
    </row>
    <row r="269" spans="19:19" s="602" customFormat="1" x14ac:dyDescent="0.3">
      <c r="S269"/>
    </row>
    <row r="270" spans="19:19" s="602" customFormat="1" x14ac:dyDescent="0.3">
      <c r="S270"/>
    </row>
    <row r="271" spans="19:19" s="602" customFormat="1" x14ac:dyDescent="0.3">
      <c r="S271"/>
    </row>
    <row r="272" spans="19:19" s="602" customFormat="1" x14ac:dyDescent="0.3">
      <c r="S272"/>
    </row>
    <row r="273" spans="19:19" s="602" customFormat="1" x14ac:dyDescent="0.3">
      <c r="S273"/>
    </row>
    <row r="274" spans="19:19" x14ac:dyDescent="0.3">
      <c r="S274"/>
    </row>
    <row r="275" spans="19:19" x14ac:dyDescent="0.3">
      <c r="S275"/>
    </row>
    <row r="276" spans="19:19" x14ac:dyDescent="0.3">
      <c r="S276"/>
    </row>
    <row r="277" spans="19:19" x14ac:dyDescent="0.3">
      <c r="S277"/>
    </row>
    <row r="278" spans="19:19" x14ac:dyDescent="0.3">
      <c r="S278"/>
    </row>
    <row r="279" spans="19:19" x14ac:dyDescent="0.3">
      <c r="S279"/>
    </row>
  </sheetData>
  <autoFilter ref="A2:W254" xr:uid="{5796E7EB-CFF3-475B-9728-6A43F0ACFCC6}"/>
  <sortState xmlns:xlrd2="http://schemas.microsoft.com/office/spreadsheetml/2017/richdata2" ref="Q35:S51">
    <sortCondition ref="Q35:Q51"/>
  </sortState>
  <mergeCells count="3">
    <mergeCell ref="A252:J252"/>
    <mergeCell ref="A253:J253"/>
    <mergeCell ref="A254:J254"/>
  </mergeCells>
  <phoneticPr fontId="23" type="noConversion"/>
  <printOptions horizontalCentered="1"/>
  <pageMargins left="0.39370078740157483" right="0.39370078740157483" top="0.39370078740157483" bottom="0.94488188976377963" header="0.31496062992125984" footer="0.31496062992125984"/>
  <pageSetup paperSize="9" scale="50" orientation="portrait" r:id="rId1"/>
  <rowBreaks count="1" manualBreakCount="1">
    <brk id="93" max="13" man="1"/>
  </rowBreaks>
  <colBreaks count="1" manualBreakCount="1">
    <brk id="14" max="1048575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D4D7-105E-4BF0-93EC-D4522D92D051}">
  <sheetPr codeName="Sheet24">
    <pageSetUpPr fitToPage="1"/>
  </sheetPr>
  <dimension ref="B1:P17"/>
  <sheetViews>
    <sheetView view="pageBreakPreview" zoomScale="70" zoomScaleNormal="80" zoomScaleSheetLayoutView="70" workbookViewId="0">
      <pane ySplit="6" topLeftCell="A7" activePane="bottomLeft" state="frozen"/>
      <selection activeCell="H327" sqref="H327"/>
      <selection pane="bottomLeft" activeCell="F15" sqref="F15"/>
    </sheetView>
  </sheetViews>
  <sheetFormatPr defaultColWidth="9.109375" defaultRowHeight="14.4" x14ac:dyDescent="0.3"/>
  <cols>
    <col min="1" max="1" width="2" style="132" customWidth="1"/>
    <col min="2" max="2" width="12.5546875" style="132" customWidth="1"/>
    <col min="3" max="3" width="60.5546875" style="132" customWidth="1"/>
    <col min="4" max="4" width="10.5546875" style="132" customWidth="1"/>
    <col min="5" max="5" width="12.5546875" style="132" customWidth="1"/>
    <col min="6" max="6" width="12.5546875" style="339" customWidth="1"/>
    <col min="7" max="7" width="32.5546875" style="132" customWidth="1"/>
    <col min="8" max="8" width="12.5546875" style="132" customWidth="1"/>
    <col min="9" max="9" width="10.5546875" style="132" customWidth="1"/>
    <col min="10" max="10" width="24.5546875" style="132" customWidth="1"/>
    <col min="11" max="11" width="14.88671875" style="132" customWidth="1"/>
    <col min="12" max="12" width="19.109375" style="132" customWidth="1"/>
    <col min="13" max="13" width="5.88671875" style="132" customWidth="1"/>
    <col min="14" max="14" width="4" style="132" bestFit="1" customWidth="1"/>
    <col min="15" max="15" width="9.109375" style="132" customWidth="1"/>
    <col min="16" max="16384" width="9.109375" style="132"/>
  </cols>
  <sheetData>
    <row r="1" spans="2:16" ht="8.25" customHeight="1" x14ac:dyDescent="0.3"/>
    <row r="2" spans="2:16" ht="42" customHeight="1" x14ac:dyDescent="0.3">
      <c r="B2" s="315"/>
      <c r="C2" s="309" t="s">
        <v>141</v>
      </c>
      <c r="D2" s="310"/>
      <c r="E2" s="310"/>
      <c r="F2" s="340"/>
      <c r="G2" s="311"/>
      <c r="H2" s="311"/>
      <c r="I2" s="531"/>
      <c r="J2" s="532"/>
    </row>
    <row r="3" spans="2:16" ht="18" customHeight="1" x14ac:dyDescent="0.3">
      <c r="B3" s="317"/>
      <c r="C3" s="312"/>
      <c r="D3" s="312"/>
      <c r="E3" s="312"/>
      <c r="F3" s="341"/>
      <c r="H3" s="308" t="str">
        <f>'Schedule 7'!K3</f>
        <v>2-Jul-25
2-Jul-25</v>
      </c>
      <c r="I3" s="318"/>
      <c r="J3" s="522"/>
    </row>
    <row r="4" spans="2:16" ht="15.6" x14ac:dyDescent="0.3">
      <c r="B4" s="293" t="s">
        <v>10331</v>
      </c>
      <c r="C4" s="294"/>
      <c r="D4" s="294"/>
      <c r="E4" s="294"/>
      <c r="F4" s="342"/>
      <c r="G4" s="295"/>
      <c r="H4" s="292"/>
      <c r="I4" s="520"/>
      <c r="J4" s="133" t="str">
        <f>'Schedule 1'!J4</f>
        <v>IPC - 34</v>
      </c>
    </row>
    <row r="5" spans="2:16" ht="15.6" x14ac:dyDescent="0.3">
      <c r="B5" s="245" t="s">
        <v>762</v>
      </c>
      <c r="C5" s="246"/>
      <c r="D5" s="246"/>
      <c r="E5" s="246"/>
      <c r="F5" s="343"/>
      <c r="G5" s="246"/>
      <c r="H5" s="246"/>
      <c r="I5" s="247"/>
      <c r="J5" s="522"/>
    </row>
    <row r="6" spans="2:16" ht="31.5" customHeight="1" x14ac:dyDescent="0.3">
      <c r="B6" s="134" t="s">
        <v>498</v>
      </c>
      <c r="C6" s="135" t="s">
        <v>176</v>
      </c>
      <c r="D6" s="136" t="s">
        <v>500</v>
      </c>
      <c r="E6" s="137" t="s">
        <v>501</v>
      </c>
      <c r="F6" s="344" t="s">
        <v>502</v>
      </c>
      <c r="G6" s="137" t="s">
        <v>763</v>
      </c>
      <c r="H6" s="134" t="s">
        <v>504</v>
      </c>
      <c r="I6" s="136" t="s">
        <v>764</v>
      </c>
      <c r="J6" s="523" t="s">
        <v>507</v>
      </c>
    </row>
    <row r="7" spans="2:16" ht="7.5" customHeight="1" x14ac:dyDescent="0.3">
      <c r="B7" s="124"/>
      <c r="C7" s="142"/>
      <c r="D7" s="143"/>
      <c r="E7" s="144"/>
      <c r="F7" s="345"/>
      <c r="G7" s="144"/>
      <c r="H7" s="290"/>
      <c r="I7" s="141"/>
      <c r="J7" s="524"/>
    </row>
    <row r="8" spans="2:16" ht="15.6" x14ac:dyDescent="0.3">
      <c r="B8" s="148">
        <v>802</v>
      </c>
      <c r="C8" s="149" t="s">
        <v>492</v>
      </c>
      <c r="D8" s="138"/>
      <c r="E8" s="139"/>
      <c r="F8" s="346"/>
      <c r="G8" s="139"/>
      <c r="H8" s="139"/>
      <c r="I8" s="516"/>
      <c r="J8" s="500"/>
    </row>
    <row r="9" spans="2:16" s="597" customFormat="1" ht="15.6" x14ac:dyDescent="0.3">
      <c r="B9" s="145" t="s">
        <v>10332</v>
      </c>
      <c r="C9" s="577" t="s">
        <v>493</v>
      </c>
      <c r="D9" s="146" t="s">
        <v>188</v>
      </c>
      <c r="E9" s="147"/>
      <c r="F9" s="491">
        <v>8.2629735999999995E-2</v>
      </c>
      <c r="G9" s="594" t="s">
        <v>1117</v>
      </c>
      <c r="H9" s="1049" t="s">
        <v>1117</v>
      </c>
      <c r="I9" s="151" t="s">
        <v>1026</v>
      </c>
      <c r="J9" s="528" t="s">
        <v>10333</v>
      </c>
      <c r="K9" s="132"/>
      <c r="L9" s="132"/>
    </row>
    <row r="10" spans="2:16" s="597" customFormat="1" ht="15.6" x14ac:dyDescent="0.3">
      <c r="B10" s="145" t="s">
        <v>10332</v>
      </c>
      <c r="C10" s="577" t="s">
        <v>493</v>
      </c>
      <c r="D10" s="146" t="s">
        <v>188</v>
      </c>
      <c r="E10" s="147"/>
      <c r="F10" s="491">
        <v>9.1816064000000017E-2</v>
      </c>
      <c r="G10" s="594" t="s">
        <v>1117</v>
      </c>
      <c r="H10" s="1049" t="s">
        <v>1117</v>
      </c>
      <c r="I10" s="151" t="s">
        <v>943</v>
      </c>
      <c r="J10" s="528" t="s">
        <v>10333</v>
      </c>
      <c r="K10" s="132"/>
      <c r="L10" s="132"/>
    </row>
    <row r="11" spans="2:16" s="597" customFormat="1" ht="15.6" x14ac:dyDescent="0.3">
      <c r="B11" s="145" t="s">
        <v>10332</v>
      </c>
      <c r="C11" s="577" t="s">
        <v>493</v>
      </c>
      <c r="D11" s="146" t="s">
        <v>188</v>
      </c>
      <c r="E11" s="147"/>
      <c r="F11" s="491">
        <v>7.4405199999999963E-2</v>
      </c>
      <c r="G11" s="594" t="s">
        <v>1117</v>
      </c>
      <c r="H11" s="1049" t="s">
        <v>1117</v>
      </c>
      <c r="I11" s="151" t="s">
        <v>946</v>
      </c>
      <c r="J11" s="528" t="s">
        <v>10333</v>
      </c>
      <c r="K11" s="132"/>
      <c r="L11" s="132"/>
    </row>
    <row r="12" spans="2:16" s="597" customFormat="1" ht="15.6" x14ac:dyDescent="0.3">
      <c r="B12" s="145" t="s">
        <v>10332</v>
      </c>
      <c r="C12" s="577" t="s">
        <v>493</v>
      </c>
      <c r="D12" s="146" t="s">
        <v>188</v>
      </c>
      <c r="E12" s="147"/>
      <c r="F12" s="491">
        <f>DAAB!AA48/5000000-F9-F10-F11</f>
        <v>7.4418599999999988E-2</v>
      </c>
      <c r="G12" s="594" t="s">
        <v>1117</v>
      </c>
      <c r="H12" s="1049" t="s">
        <v>1117</v>
      </c>
      <c r="I12" s="151" t="s">
        <v>949</v>
      </c>
      <c r="J12" s="528" t="s">
        <v>10333</v>
      </c>
      <c r="K12" s="132"/>
      <c r="L12" s="132"/>
    </row>
    <row r="13" spans="2:16" ht="15.6" x14ac:dyDescent="0.3">
      <c r="B13" s="31"/>
      <c r="C13" s="130"/>
      <c r="D13" s="43"/>
      <c r="E13" s="126"/>
      <c r="F13" s="504"/>
      <c r="G13" s="126"/>
      <c r="H13" s="304"/>
      <c r="I13" s="151"/>
      <c r="J13" s="494"/>
      <c r="P13" s="597"/>
    </row>
    <row r="14" spans="2:16" s="58" customFormat="1" ht="15.6" x14ac:dyDescent="0.3">
      <c r="B14" s="352"/>
      <c r="C14" s="353" t="s">
        <v>771</v>
      </c>
      <c r="D14" s="354" t="s">
        <v>190</v>
      </c>
      <c r="E14" s="355"/>
      <c r="F14" s="356">
        <f>ROUND(SUM(F9:F13),10)</f>
        <v>0.32326959999999999</v>
      </c>
      <c r="G14" s="357"/>
      <c r="H14" s="358"/>
      <c r="I14" s="359"/>
      <c r="J14" s="535"/>
      <c r="L14" s="132"/>
      <c r="P14" s="597"/>
    </row>
    <row r="15" spans="2:16" s="58" customFormat="1" ht="15.6" x14ac:dyDescent="0.3">
      <c r="B15" s="352"/>
      <c r="C15" s="353" t="s">
        <v>772</v>
      </c>
      <c r="D15" s="354" t="s">
        <v>190</v>
      </c>
      <c r="E15" s="355"/>
      <c r="F15" s="356">
        <v>0.32326959999999999</v>
      </c>
      <c r="G15" s="357"/>
      <c r="H15" s="358"/>
      <c r="I15" s="359"/>
      <c r="J15" s="535"/>
      <c r="L15" s="132"/>
      <c r="P15" s="597"/>
    </row>
    <row r="16" spans="2:16" s="58" customFormat="1" ht="15.6" x14ac:dyDescent="0.3">
      <c r="B16" s="360"/>
      <c r="C16" s="361" t="s">
        <v>773</v>
      </c>
      <c r="D16" s="362" t="s">
        <v>190</v>
      </c>
      <c r="E16" s="363"/>
      <c r="F16" s="364">
        <f>F14-F15</f>
        <v>0</v>
      </c>
      <c r="G16" s="365"/>
      <c r="H16" s="366"/>
      <c r="I16" s="367"/>
      <c r="J16" s="536"/>
      <c r="L16" s="132"/>
      <c r="P16" s="597"/>
    </row>
    <row r="17" spans="2:16" ht="7.35" customHeight="1" x14ac:dyDescent="0.3">
      <c r="B17" s="338"/>
      <c r="C17" s="142"/>
      <c r="D17" s="143"/>
      <c r="E17" s="144"/>
      <c r="F17" s="345"/>
      <c r="G17" s="144"/>
      <c r="H17" s="144"/>
      <c r="I17" s="515"/>
      <c r="J17" s="524"/>
      <c r="P17" s="597"/>
    </row>
  </sheetData>
  <autoFilter ref="B6:Q17" xr:uid="{0015AFDA-420C-492A-B7D3-B11C51DB9178}"/>
  <conditionalFormatting sqref="D7:D17">
    <cfRule type="cellIs" dxfId="9" priority="13" operator="lessThan">
      <formula>0</formula>
    </cfRule>
  </conditionalFormatting>
  <conditionalFormatting sqref="J15:J16">
    <cfRule type="duplicateValues" dxfId="8" priority="936"/>
  </conditionalFormatting>
  <conditionalFormatting sqref="J15:J17">
    <cfRule type="duplicateValues" dxfId="7" priority="938"/>
  </conditionalFormatting>
  <conditionalFormatting sqref="K1:K1048576">
    <cfRule type="duplicateValues" dxfId="6" priority="11"/>
    <cfRule type="duplicateValues" dxfId="5" priority="14"/>
    <cfRule type="duplicateValues" dxfId="4" priority="15"/>
  </conditionalFormatting>
  <printOptions horizontalCentered="1"/>
  <pageMargins left="0.39370078740157483" right="0.39370078740157483" top="0.55118110236220474" bottom="0.94488188976377963" header="0.31496062992125984" footer="0.31496062992125984"/>
  <pageSetup paperSize="9" scale="50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5710-7F8F-4206-A50C-9004513D6250}">
  <dimension ref="A1:AB51"/>
  <sheetViews>
    <sheetView view="pageBreakPreview" zoomScale="70" zoomScaleNormal="80" zoomScaleSheetLayoutView="70" workbookViewId="0">
      <pane xSplit="4" ySplit="3" topLeftCell="E16" activePane="bottomRight" state="frozen"/>
      <selection pane="topRight" activeCell="E1" sqref="E1"/>
      <selection pane="bottomLeft" activeCell="A4" sqref="A4"/>
      <selection pane="bottomRight" activeCell="X49" sqref="X49"/>
    </sheetView>
  </sheetViews>
  <sheetFormatPr defaultColWidth="8.88671875" defaultRowHeight="14.4" x14ac:dyDescent="0.3"/>
  <cols>
    <col min="1" max="1" width="3.5546875" style="132" customWidth="1"/>
    <col min="2" max="2" width="5.5546875" style="425" bestFit="1" customWidth="1"/>
    <col min="3" max="3" width="49.5546875" style="132" customWidth="1"/>
    <col min="4" max="4" width="11.88671875" style="132" customWidth="1"/>
    <col min="5" max="5" width="1.88671875" style="132" customWidth="1"/>
    <col min="6" max="6" width="9.88671875" style="425" customWidth="1"/>
    <col min="7" max="7" width="10.44140625" style="425" bestFit="1" customWidth="1"/>
    <col min="8" max="9" width="8.88671875" style="132" customWidth="1"/>
    <col min="10" max="10" width="10.88671875" style="132" bestFit="1" customWidth="1"/>
    <col min="11" max="11" width="16.88671875" style="132" customWidth="1"/>
    <col min="12" max="12" width="1.88671875" style="132" customWidth="1"/>
    <col min="13" max="13" width="9.88671875" style="425" customWidth="1"/>
    <col min="14" max="14" width="10.44140625" style="425" bestFit="1" customWidth="1"/>
    <col min="15" max="16" width="8.88671875" style="132" customWidth="1"/>
    <col min="17" max="17" width="10.88671875" style="132" bestFit="1" customWidth="1"/>
    <col min="18" max="18" width="16.88671875" style="132" customWidth="1"/>
    <col min="19" max="19" width="1.88671875" style="132" customWidth="1"/>
    <col min="20" max="20" width="9.88671875" style="425" customWidth="1"/>
    <col min="21" max="21" width="10.44140625" style="425" bestFit="1" customWidth="1"/>
    <col min="22" max="23" width="8.88671875" style="132" customWidth="1"/>
    <col min="24" max="24" width="9.88671875" style="132" customWidth="1"/>
    <col min="25" max="25" width="16.88671875" style="132" customWidth="1"/>
    <col min="26" max="26" width="1.88671875" style="132" customWidth="1"/>
    <col min="27" max="27" width="10.88671875" style="132" bestFit="1" customWidth="1"/>
    <col min="28" max="28" width="12.44140625" style="132" bestFit="1" customWidth="1"/>
    <col min="29" max="16384" width="8.88671875" style="132"/>
  </cols>
  <sheetData>
    <row r="1" spans="1:28" ht="18" x14ac:dyDescent="0.3">
      <c r="A1" s="599" t="s">
        <v>10334</v>
      </c>
      <c r="B1" s="1335"/>
      <c r="C1" s="1335"/>
      <c r="D1" s="1335"/>
      <c r="E1" s="1335"/>
      <c r="F1" s="1335"/>
      <c r="G1" s="1335"/>
      <c r="H1" s="1335"/>
      <c r="I1" s="1335"/>
      <c r="J1" s="1335"/>
      <c r="K1" s="1335"/>
      <c r="L1" s="1335"/>
      <c r="M1" s="1335"/>
      <c r="N1" s="1335"/>
      <c r="O1" s="1335"/>
      <c r="P1" s="1335"/>
      <c r="Q1" s="1335"/>
      <c r="R1" s="1335"/>
      <c r="S1" s="1335"/>
      <c r="T1" s="1335"/>
      <c r="U1" s="1335"/>
      <c r="V1" s="1335"/>
      <c r="W1" s="1335"/>
      <c r="X1" s="1335"/>
      <c r="Y1" s="1335"/>
      <c r="Z1" s="1335"/>
      <c r="AA1" s="1335"/>
    </row>
    <row r="2" spans="1:28" x14ac:dyDescent="0.3">
      <c r="A2" s="1768" t="s">
        <v>10335</v>
      </c>
      <c r="B2" s="1779" t="s">
        <v>23</v>
      </c>
      <c r="C2" s="1779" t="s">
        <v>24</v>
      </c>
      <c r="D2" s="1779" t="s">
        <v>177</v>
      </c>
      <c r="E2" s="998"/>
      <c r="F2" s="1789" t="s">
        <v>10336</v>
      </c>
      <c r="G2" s="1790"/>
      <c r="H2" s="1790"/>
      <c r="I2" s="1790"/>
      <c r="J2" s="1790"/>
      <c r="K2" s="1790"/>
      <c r="L2" s="998"/>
      <c r="M2" s="1791" t="s">
        <v>10337</v>
      </c>
      <c r="N2" s="1792"/>
      <c r="O2" s="1792"/>
      <c r="P2" s="1792"/>
      <c r="Q2" s="1792"/>
      <c r="R2" s="1792"/>
      <c r="S2" s="998"/>
      <c r="T2" s="1787" t="s">
        <v>10338</v>
      </c>
      <c r="U2" s="1788"/>
      <c r="V2" s="1788"/>
      <c r="W2" s="1788"/>
      <c r="X2" s="1788"/>
      <c r="Y2" s="1788"/>
      <c r="Z2" s="998"/>
      <c r="AA2" s="1723" t="s">
        <v>165</v>
      </c>
    </row>
    <row r="3" spans="1:28" s="844" customFormat="1" x14ac:dyDescent="0.3">
      <c r="A3" s="1769"/>
      <c r="B3" s="1779"/>
      <c r="C3" s="1779"/>
      <c r="D3" s="1779"/>
      <c r="E3" s="999"/>
      <c r="F3" s="994" t="s">
        <v>9984</v>
      </c>
      <c r="G3" s="980" t="s">
        <v>9985</v>
      </c>
      <c r="H3" s="980" t="s">
        <v>184</v>
      </c>
      <c r="I3" s="980" t="s">
        <v>10339</v>
      </c>
      <c r="J3" s="980" t="s">
        <v>26</v>
      </c>
      <c r="K3" s="980" t="s">
        <v>507</v>
      </c>
      <c r="L3" s="999"/>
      <c r="M3" s="994" t="s">
        <v>9984</v>
      </c>
      <c r="N3" s="980" t="s">
        <v>9985</v>
      </c>
      <c r="O3" s="980" t="s">
        <v>184</v>
      </c>
      <c r="P3" s="980" t="s">
        <v>10339</v>
      </c>
      <c r="Q3" s="980" t="s">
        <v>26</v>
      </c>
      <c r="R3" s="980" t="s">
        <v>507</v>
      </c>
      <c r="S3" s="999"/>
      <c r="T3" s="994" t="s">
        <v>9984</v>
      </c>
      <c r="U3" s="980" t="s">
        <v>9985</v>
      </c>
      <c r="V3" s="980" t="s">
        <v>184</v>
      </c>
      <c r="W3" s="980" t="s">
        <v>10339</v>
      </c>
      <c r="X3" s="980" t="s">
        <v>26</v>
      </c>
      <c r="Y3" s="980" t="s">
        <v>507</v>
      </c>
      <c r="Z3" s="999"/>
      <c r="AA3" s="1725"/>
    </row>
    <row r="4" spans="1:28" ht="28.8" x14ac:dyDescent="0.3">
      <c r="A4" s="1781" t="s">
        <v>10340</v>
      </c>
      <c r="B4" s="995">
        <v>1</v>
      </c>
      <c r="C4" s="74" t="s">
        <v>10341</v>
      </c>
      <c r="D4" s="67" t="s">
        <v>10342</v>
      </c>
      <c r="E4" s="760"/>
      <c r="F4" s="1000">
        <v>45831</v>
      </c>
      <c r="G4" s="1000">
        <v>45930</v>
      </c>
      <c r="H4" s="1001">
        <f>ROUND((8/30)+3,3)</f>
        <v>3.2669999999999999</v>
      </c>
      <c r="I4" s="1002">
        <v>50000</v>
      </c>
      <c r="J4" s="1002">
        <f>H4*I4</f>
        <v>163350</v>
      </c>
      <c r="K4" s="74" t="s">
        <v>10343</v>
      </c>
      <c r="L4" s="760"/>
      <c r="M4" s="1000">
        <v>45831</v>
      </c>
      <c r="N4" s="1000">
        <v>45930</v>
      </c>
      <c r="O4" s="1001">
        <f>ROUND((8/30)+3,3)</f>
        <v>3.2669999999999999</v>
      </c>
      <c r="P4" s="1002">
        <v>50000</v>
      </c>
      <c r="Q4" s="1002">
        <f>O4*P4</f>
        <v>163350</v>
      </c>
      <c r="R4" s="74" t="s">
        <v>10343</v>
      </c>
      <c r="S4" s="760"/>
      <c r="T4" s="1000">
        <v>45831</v>
      </c>
      <c r="U4" s="1000">
        <v>45930</v>
      </c>
      <c r="V4" s="1001">
        <f>ROUND((8/30)+3,3)</f>
        <v>3.2669999999999999</v>
      </c>
      <c r="W4" s="1002">
        <v>50000</v>
      </c>
      <c r="X4" s="1002">
        <f>V4*W4</f>
        <v>163350</v>
      </c>
      <c r="Y4" s="74" t="s">
        <v>10343</v>
      </c>
      <c r="Z4" s="760"/>
      <c r="AA4" s="1002">
        <f>X4+Q4+J4</f>
        <v>490050</v>
      </c>
    </row>
    <row r="5" spans="1:28" x14ac:dyDescent="0.3">
      <c r="A5" s="1781"/>
      <c r="B5" s="996" t="s">
        <v>10344</v>
      </c>
      <c r="C5" s="75" t="s">
        <v>10345</v>
      </c>
      <c r="D5" s="68" t="s">
        <v>10346</v>
      </c>
      <c r="E5" s="760"/>
      <c r="F5" s="1003">
        <v>45894</v>
      </c>
      <c r="G5" s="1003">
        <v>45895</v>
      </c>
      <c r="H5" s="1004">
        <f>G5-F5+1</f>
        <v>2</v>
      </c>
      <c r="I5" s="861">
        <v>25000</v>
      </c>
      <c r="J5" s="861">
        <f t="shared" ref="J5:J12" si="0">H5*I5</f>
        <v>50000</v>
      </c>
      <c r="K5" s="75" t="s">
        <v>10347</v>
      </c>
      <c r="L5" s="760"/>
      <c r="M5" s="1003">
        <v>45894</v>
      </c>
      <c r="N5" s="1003">
        <v>45895</v>
      </c>
      <c r="O5" s="1004">
        <f>N5-M5+1</f>
        <v>2</v>
      </c>
      <c r="P5" s="861">
        <v>25000</v>
      </c>
      <c r="Q5" s="861">
        <f t="shared" ref="Q5:Q12" si="1">O5*P5</f>
        <v>50000</v>
      </c>
      <c r="R5" s="75" t="s">
        <v>10347</v>
      </c>
      <c r="S5" s="760"/>
      <c r="T5" s="1003"/>
      <c r="U5" s="1003"/>
      <c r="V5" s="1004"/>
      <c r="W5" s="861">
        <v>25000</v>
      </c>
      <c r="X5" s="861">
        <f t="shared" ref="X5:X6" si="2">V5*W5</f>
        <v>0</v>
      </c>
      <c r="Y5" s="75" t="s">
        <v>1117</v>
      </c>
      <c r="Z5" s="760"/>
      <c r="AA5" s="861">
        <f t="shared" ref="AA5:AA12" si="3">X5+Q5+J5</f>
        <v>100000</v>
      </c>
    </row>
    <row r="6" spans="1:28" x14ac:dyDescent="0.3">
      <c r="A6" s="1781"/>
      <c r="B6" s="996" t="s">
        <v>10348</v>
      </c>
      <c r="C6" s="75" t="s">
        <v>10349</v>
      </c>
      <c r="D6" s="68" t="s">
        <v>10346</v>
      </c>
      <c r="E6" s="760"/>
      <c r="F6" s="1785">
        <v>45860</v>
      </c>
      <c r="G6" s="1786"/>
      <c r="H6" s="1004">
        <v>1</v>
      </c>
      <c r="I6" s="861">
        <v>10000</v>
      </c>
      <c r="J6" s="861">
        <f t="shared" si="0"/>
        <v>10000</v>
      </c>
      <c r="K6" s="75" t="s">
        <v>10350</v>
      </c>
      <c r="L6" s="760"/>
      <c r="M6" s="1785">
        <v>45860</v>
      </c>
      <c r="N6" s="1786"/>
      <c r="O6" s="1004">
        <v>1</v>
      </c>
      <c r="P6" s="861">
        <v>10000</v>
      </c>
      <c r="Q6" s="861">
        <f t="shared" si="1"/>
        <v>10000</v>
      </c>
      <c r="R6" s="75" t="s">
        <v>10350</v>
      </c>
      <c r="S6" s="760"/>
      <c r="T6" s="1785">
        <v>45860</v>
      </c>
      <c r="U6" s="1786"/>
      <c r="V6" s="1004">
        <v>1</v>
      </c>
      <c r="W6" s="861">
        <v>10000</v>
      </c>
      <c r="X6" s="861">
        <f t="shared" si="2"/>
        <v>10000</v>
      </c>
      <c r="Y6" s="75" t="s">
        <v>10350</v>
      </c>
      <c r="Z6" s="760"/>
      <c r="AA6" s="861">
        <f t="shared" si="3"/>
        <v>30000</v>
      </c>
    </row>
    <row r="7" spans="1:28" x14ac:dyDescent="0.3">
      <c r="A7" s="1781"/>
      <c r="B7" s="996">
        <v>3</v>
      </c>
      <c r="C7" s="75" t="s">
        <v>10351</v>
      </c>
      <c r="D7" s="68"/>
      <c r="E7" s="760"/>
      <c r="F7" s="1003"/>
      <c r="G7" s="1003"/>
      <c r="H7" s="1004"/>
      <c r="I7" s="861"/>
      <c r="J7" s="861"/>
      <c r="K7" s="75"/>
      <c r="L7" s="760"/>
      <c r="M7" s="1003"/>
      <c r="N7" s="1003"/>
      <c r="O7" s="1004"/>
      <c r="P7" s="861"/>
      <c r="Q7" s="861"/>
      <c r="R7" s="75"/>
      <c r="S7" s="760"/>
      <c r="T7" s="1003"/>
      <c r="U7" s="1003"/>
      <c r="V7" s="1004"/>
      <c r="W7" s="861"/>
      <c r="X7" s="861"/>
      <c r="Y7" s="75"/>
      <c r="Z7" s="760"/>
      <c r="AA7" s="861">
        <f t="shared" si="3"/>
        <v>0</v>
      </c>
    </row>
    <row r="8" spans="1:28" x14ac:dyDescent="0.3">
      <c r="A8" s="1781"/>
      <c r="B8" s="996"/>
      <c r="C8" s="77" t="s">
        <v>10352</v>
      </c>
      <c r="D8" s="68" t="s">
        <v>10353</v>
      </c>
      <c r="E8" s="760"/>
      <c r="F8" s="1785">
        <v>45894</v>
      </c>
      <c r="G8" s="1786"/>
      <c r="H8" s="1004">
        <v>1</v>
      </c>
      <c r="I8" s="861">
        <f>7718-752</f>
        <v>6966</v>
      </c>
      <c r="J8" s="861">
        <f t="shared" ref="J8:J9" si="4">H8*I8</f>
        <v>6966</v>
      </c>
      <c r="K8" s="75" t="s">
        <v>10354</v>
      </c>
      <c r="L8" s="760"/>
      <c r="M8" s="1785">
        <v>45894</v>
      </c>
      <c r="N8" s="1786"/>
      <c r="O8" s="1004">
        <v>1</v>
      </c>
      <c r="P8" s="861">
        <f>7718-752</f>
        <v>6966</v>
      </c>
      <c r="Q8" s="861">
        <f t="shared" ref="Q8:Q9" si="5">O8*P8</f>
        <v>6966</v>
      </c>
      <c r="R8" s="75" t="s">
        <v>10354</v>
      </c>
      <c r="S8" s="760"/>
      <c r="T8" s="1785" t="s">
        <v>1117</v>
      </c>
      <c r="U8" s="1786"/>
      <c r="V8" s="1004">
        <v>0</v>
      </c>
      <c r="W8" s="861">
        <v>0</v>
      </c>
      <c r="X8" s="861">
        <f t="shared" ref="X8:X12" si="6">V8*W8</f>
        <v>0</v>
      </c>
      <c r="Y8" s="75"/>
      <c r="Z8" s="760"/>
      <c r="AA8" s="861">
        <f t="shared" si="3"/>
        <v>13932</v>
      </c>
    </row>
    <row r="9" spans="1:28" x14ac:dyDescent="0.3">
      <c r="A9" s="1781"/>
      <c r="B9" s="996"/>
      <c r="C9" s="77" t="s">
        <v>10355</v>
      </c>
      <c r="D9" s="68" t="s">
        <v>10353</v>
      </c>
      <c r="E9" s="760"/>
      <c r="F9" s="1785">
        <v>45895</v>
      </c>
      <c r="G9" s="1786"/>
      <c r="H9" s="1004">
        <v>1</v>
      </c>
      <c r="I9" s="861">
        <f>10107-972</f>
        <v>9135</v>
      </c>
      <c r="J9" s="861">
        <f t="shared" si="4"/>
        <v>9135</v>
      </c>
      <c r="K9" s="75" t="s">
        <v>10356</v>
      </c>
      <c r="L9" s="760"/>
      <c r="M9" s="1785">
        <v>45895</v>
      </c>
      <c r="N9" s="1786"/>
      <c r="O9" s="1004">
        <v>1</v>
      </c>
      <c r="P9" s="861">
        <f>10107-972</f>
        <v>9135</v>
      </c>
      <c r="Q9" s="861">
        <f t="shared" si="5"/>
        <v>9135</v>
      </c>
      <c r="R9" s="75" t="s">
        <v>10356</v>
      </c>
      <c r="S9" s="760"/>
      <c r="T9" s="1785" t="s">
        <v>1117</v>
      </c>
      <c r="U9" s="1786"/>
      <c r="V9" s="1004">
        <v>0</v>
      </c>
      <c r="W9" s="861">
        <v>0</v>
      </c>
      <c r="X9" s="861">
        <f t="shared" si="6"/>
        <v>0</v>
      </c>
      <c r="Y9" s="75"/>
      <c r="Z9" s="760"/>
      <c r="AA9" s="861">
        <f t="shared" si="3"/>
        <v>18270</v>
      </c>
    </row>
    <row r="10" spans="1:28" x14ac:dyDescent="0.3">
      <c r="A10" s="1781"/>
      <c r="B10" s="996">
        <v>4</v>
      </c>
      <c r="C10" s="75" t="s">
        <v>10357</v>
      </c>
      <c r="D10" s="68" t="s">
        <v>10346</v>
      </c>
      <c r="E10" s="760"/>
      <c r="F10" s="1003">
        <f>$F$5</f>
        <v>45894</v>
      </c>
      <c r="G10" s="1003">
        <f>$G$5</f>
        <v>45895</v>
      </c>
      <c r="H10" s="1004">
        <f>G10-F10+1</f>
        <v>2</v>
      </c>
      <c r="I10" s="861">
        <v>10000</v>
      </c>
      <c r="J10" s="861">
        <f t="shared" si="0"/>
        <v>20000</v>
      </c>
      <c r="K10" s="75" t="s">
        <v>1117</v>
      </c>
      <c r="L10" s="760"/>
      <c r="M10" s="1003">
        <v>45894</v>
      </c>
      <c r="N10" s="1003">
        <v>45895</v>
      </c>
      <c r="O10" s="1004">
        <f>N10-M10+1</f>
        <v>2</v>
      </c>
      <c r="P10" s="861">
        <v>10000</v>
      </c>
      <c r="Q10" s="861">
        <f t="shared" si="1"/>
        <v>20000</v>
      </c>
      <c r="R10" s="75" t="s">
        <v>1117</v>
      </c>
      <c r="S10" s="760"/>
      <c r="T10" s="1003" t="s">
        <v>1117</v>
      </c>
      <c r="U10" s="1003" t="s">
        <v>1117</v>
      </c>
      <c r="V10" s="1004">
        <v>0</v>
      </c>
      <c r="W10" s="861">
        <v>10000</v>
      </c>
      <c r="X10" s="861">
        <f t="shared" si="6"/>
        <v>0</v>
      </c>
      <c r="Y10" s="75" t="s">
        <v>1117</v>
      </c>
      <c r="Z10" s="760"/>
      <c r="AA10" s="861">
        <f t="shared" si="3"/>
        <v>40000</v>
      </c>
    </row>
    <row r="11" spans="1:28" ht="28.8" x14ac:dyDescent="0.3">
      <c r="A11" s="1781"/>
      <c r="B11" s="996">
        <v>5</v>
      </c>
      <c r="C11" s="75" t="s">
        <v>10358</v>
      </c>
      <c r="D11" s="68" t="s">
        <v>10346</v>
      </c>
      <c r="E11" s="760"/>
      <c r="F11" s="1003" t="s">
        <v>1117</v>
      </c>
      <c r="G11" s="1003" t="s">
        <v>1117</v>
      </c>
      <c r="H11" s="1004">
        <v>0</v>
      </c>
      <c r="I11" s="861">
        <v>5000</v>
      </c>
      <c r="J11" s="861">
        <f t="shared" si="0"/>
        <v>0</v>
      </c>
      <c r="K11" s="75" t="s">
        <v>1117</v>
      </c>
      <c r="L11" s="760"/>
      <c r="M11" s="1003" t="s">
        <v>1117</v>
      </c>
      <c r="N11" s="1003" t="s">
        <v>1117</v>
      </c>
      <c r="O11" s="1004">
        <v>0</v>
      </c>
      <c r="P11" s="861">
        <v>5000</v>
      </c>
      <c r="Q11" s="861">
        <f t="shared" si="1"/>
        <v>0</v>
      </c>
      <c r="R11" s="75" t="s">
        <v>1117</v>
      </c>
      <c r="S11" s="760"/>
      <c r="T11" s="1003" t="s">
        <v>1117</v>
      </c>
      <c r="U11" s="1003" t="s">
        <v>1117</v>
      </c>
      <c r="V11" s="1004">
        <v>0</v>
      </c>
      <c r="W11" s="861">
        <v>5000</v>
      </c>
      <c r="X11" s="861">
        <f t="shared" si="6"/>
        <v>0</v>
      </c>
      <c r="Y11" s="75" t="s">
        <v>1117</v>
      </c>
      <c r="Z11" s="760"/>
      <c r="AA11" s="861">
        <f t="shared" si="3"/>
        <v>0</v>
      </c>
    </row>
    <row r="12" spans="1:28" x14ac:dyDescent="0.3">
      <c r="A12" s="1781"/>
      <c r="B12" s="997">
        <v>6</v>
      </c>
      <c r="C12" s="76" t="s">
        <v>10359</v>
      </c>
      <c r="D12" s="69" t="s">
        <v>10346</v>
      </c>
      <c r="E12" s="87"/>
      <c r="F12" s="1003">
        <f>$F$5</f>
        <v>45894</v>
      </c>
      <c r="G12" s="1003">
        <f>$G$5</f>
        <v>45895</v>
      </c>
      <c r="H12" s="1005">
        <f>G12-F12+1</f>
        <v>2</v>
      </c>
      <c r="I12" s="1056">
        <v>2000</v>
      </c>
      <c r="J12" s="1056">
        <f t="shared" si="0"/>
        <v>4000</v>
      </c>
      <c r="K12" s="76" t="s">
        <v>1117</v>
      </c>
      <c r="L12" s="87"/>
      <c r="M12" s="1003">
        <v>45894</v>
      </c>
      <c r="N12" s="1003">
        <v>45895</v>
      </c>
      <c r="O12" s="1005">
        <f>N12-M12+1</f>
        <v>2</v>
      </c>
      <c r="P12" s="1056">
        <v>2000</v>
      </c>
      <c r="Q12" s="1056">
        <f t="shared" si="1"/>
        <v>4000</v>
      </c>
      <c r="R12" s="76" t="s">
        <v>1117</v>
      </c>
      <c r="S12" s="87"/>
      <c r="T12" s="1003" t="s">
        <v>1117</v>
      </c>
      <c r="U12" s="1003" t="s">
        <v>1117</v>
      </c>
      <c r="V12" s="1005">
        <v>0</v>
      </c>
      <c r="W12" s="1056">
        <v>2000</v>
      </c>
      <c r="X12" s="1056">
        <f t="shared" si="6"/>
        <v>0</v>
      </c>
      <c r="Y12" s="76" t="s">
        <v>1117</v>
      </c>
      <c r="Z12" s="87"/>
      <c r="AA12" s="1056">
        <f t="shared" si="3"/>
        <v>8000</v>
      </c>
      <c r="AB12" s="1007">
        <f>ROUND(SUM(AA4:AA12)*1.18,0)</f>
        <v>826297</v>
      </c>
    </row>
    <row r="13" spans="1:28" ht="7.65" customHeight="1" x14ac:dyDescent="0.3">
      <c r="A13" s="287"/>
      <c r="B13" s="956"/>
      <c r="C13" s="1057"/>
      <c r="D13" s="1057"/>
      <c r="E13" s="1057"/>
      <c r="F13" s="956"/>
      <c r="G13" s="956"/>
      <c r="H13" s="1058"/>
      <c r="I13" s="1057"/>
      <c r="J13" s="1057"/>
      <c r="K13" s="1057"/>
      <c r="L13" s="1057"/>
      <c r="M13" s="956"/>
      <c r="N13" s="956"/>
      <c r="O13" s="1058"/>
      <c r="P13" s="1057"/>
      <c r="Q13" s="1057"/>
      <c r="R13" s="1057"/>
      <c r="S13" s="1057"/>
      <c r="T13" s="956"/>
      <c r="U13" s="956"/>
      <c r="V13" s="1058"/>
      <c r="W13" s="1057"/>
      <c r="X13" s="1057"/>
      <c r="Y13" s="1057"/>
      <c r="Z13" s="1057"/>
      <c r="AA13" s="1059"/>
    </row>
    <row r="14" spans="1:28" ht="28.8" x14ac:dyDescent="0.3">
      <c r="A14" s="1780" t="s">
        <v>10360</v>
      </c>
      <c r="B14" s="1060">
        <v>1</v>
      </c>
      <c r="C14" s="82" t="s">
        <v>10341</v>
      </c>
      <c r="D14" s="80" t="s">
        <v>10342</v>
      </c>
      <c r="E14" s="760"/>
      <c r="F14" s="1061">
        <v>45931</v>
      </c>
      <c r="G14" s="1061">
        <v>46022</v>
      </c>
      <c r="H14" s="1062">
        <v>3</v>
      </c>
      <c r="I14" s="1063">
        <v>50000</v>
      </c>
      <c r="J14" s="1002">
        <f t="shared" ref="J14:J22" si="7">H14*I14</f>
        <v>150000</v>
      </c>
      <c r="K14" s="82" t="s">
        <v>10361</v>
      </c>
      <c r="L14" s="760"/>
      <c r="M14" s="1061">
        <v>45931</v>
      </c>
      <c r="N14" s="1061">
        <v>46022</v>
      </c>
      <c r="O14" s="1062">
        <v>3</v>
      </c>
      <c r="P14" s="1063">
        <v>50000</v>
      </c>
      <c r="Q14" s="1002">
        <f>O14*P14</f>
        <v>150000</v>
      </c>
      <c r="R14" s="82" t="s">
        <v>10361</v>
      </c>
      <c r="S14" s="760"/>
      <c r="T14" s="1061">
        <v>45931</v>
      </c>
      <c r="U14" s="1061">
        <v>46022</v>
      </c>
      <c r="V14" s="1062">
        <v>3</v>
      </c>
      <c r="W14" s="1063">
        <v>50000</v>
      </c>
      <c r="X14" s="1002">
        <f>V14*W14</f>
        <v>150000</v>
      </c>
      <c r="Y14" s="82" t="s">
        <v>10361</v>
      </c>
      <c r="Z14" s="760"/>
      <c r="AA14" s="1002">
        <f>X14+Q14+J14</f>
        <v>450000</v>
      </c>
    </row>
    <row r="15" spans="1:28" x14ac:dyDescent="0.3">
      <c r="A15" s="1781"/>
      <c r="B15" s="996" t="s">
        <v>10344</v>
      </c>
      <c r="C15" s="75" t="s">
        <v>10345</v>
      </c>
      <c r="D15" s="68" t="s">
        <v>10346</v>
      </c>
      <c r="E15" s="760"/>
      <c r="F15" s="1003">
        <v>45975</v>
      </c>
      <c r="G15" s="1003">
        <v>45976</v>
      </c>
      <c r="H15" s="1004">
        <f>G15-F15+1</f>
        <v>2</v>
      </c>
      <c r="I15" s="861">
        <v>25000</v>
      </c>
      <c r="J15" s="861">
        <f t="shared" si="7"/>
        <v>50000</v>
      </c>
      <c r="K15" s="75" t="s">
        <v>10347</v>
      </c>
      <c r="L15" s="760"/>
      <c r="M15" s="1003">
        <v>45975</v>
      </c>
      <c r="N15" s="1003">
        <v>45976</v>
      </c>
      <c r="O15" s="1004">
        <f>N15-M15+1</f>
        <v>2</v>
      </c>
      <c r="P15" s="861">
        <v>25000</v>
      </c>
      <c r="Q15" s="861">
        <f t="shared" ref="Q15:Q22" si="8">O15*P15</f>
        <v>50000</v>
      </c>
      <c r="R15" s="75" t="s">
        <v>10347</v>
      </c>
      <c r="S15" s="760"/>
      <c r="T15" s="1003">
        <v>45975</v>
      </c>
      <c r="U15" s="1003">
        <v>45976</v>
      </c>
      <c r="V15" s="1004">
        <f>U15-T15+1</f>
        <v>2</v>
      </c>
      <c r="W15" s="861">
        <v>25000</v>
      </c>
      <c r="X15" s="861">
        <f t="shared" ref="X15:X16" si="9">V15*W15</f>
        <v>50000</v>
      </c>
      <c r="Y15" s="75" t="s">
        <v>10347</v>
      </c>
      <c r="Z15" s="760"/>
      <c r="AA15" s="861">
        <f t="shared" ref="AA15:AA22" si="10">X15+Q15+J15</f>
        <v>150000</v>
      </c>
    </row>
    <row r="16" spans="1:28" ht="14.4" customHeight="1" x14ac:dyDescent="0.3">
      <c r="A16" s="1781"/>
      <c r="B16" s="996" t="s">
        <v>10348</v>
      </c>
      <c r="C16" s="75" t="s">
        <v>10349</v>
      </c>
      <c r="D16" s="68" t="s">
        <v>10346</v>
      </c>
      <c r="E16" s="760"/>
      <c r="F16" s="1785" t="s">
        <v>10362</v>
      </c>
      <c r="G16" s="1786"/>
      <c r="H16" s="1004">
        <v>2</v>
      </c>
      <c r="I16" s="861">
        <v>10000</v>
      </c>
      <c r="J16" s="861">
        <f t="shared" si="7"/>
        <v>20000</v>
      </c>
      <c r="K16" s="75" t="s">
        <v>10347</v>
      </c>
      <c r="L16" s="760"/>
      <c r="M16" s="1785" t="s">
        <v>10362</v>
      </c>
      <c r="N16" s="1786"/>
      <c r="O16" s="1004">
        <v>2</v>
      </c>
      <c r="P16" s="861">
        <v>10000</v>
      </c>
      <c r="Q16" s="861">
        <f t="shared" si="8"/>
        <v>20000</v>
      </c>
      <c r="R16" s="75" t="s">
        <v>10347</v>
      </c>
      <c r="S16" s="760"/>
      <c r="T16" s="1785" t="s">
        <v>10362</v>
      </c>
      <c r="U16" s="1786"/>
      <c r="V16" s="1004">
        <v>2</v>
      </c>
      <c r="W16" s="861">
        <v>10000</v>
      </c>
      <c r="X16" s="861">
        <f t="shared" si="9"/>
        <v>20000</v>
      </c>
      <c r="Y16" s="75" t="s">
        <v>10347</v>
      </c>
      <c r="Z16" s="760"/>
      <c r="AA16" s="861">
        <f t="shared" si="10"/>
        <v>60000</v>
      </c>
    </row>
    <row r="17" spans="1:28" x14ac:dyDescent="0.3">
      <c r="A17" s="1781"/>
      <c r="B17" s="996">
        <v>3</v>
      </c>
      <c r="C17" s="75" t="s">
        <v>10351</v>
      </c>
      <c r="D17" s="68"/>
      <c r="E17" s="760"/>
      <c r="F17" s="1003"/>
      <c r="G17" s="1003"/>
      <c r="H17" s="1004"/>
      <c r="I17" s="861"/>
      <c r="J17" s="861"/>
      <c r="K17" s="75"/>
      <c r="L17" s="760"/>
      <c r="M17" s="1003"/>
      <c r="N17" s="1003"/>
      <c r="O17" s="1004"/>
      <c r="P17" s="861"/>
      <c r="Q17" s="861"/>
      <c r="R17" s="75"/>
      <c r="S17" s="760"/>
      <c r="T17" s="1003"/>
      <c r="U17" s="1003"/>
      <c r="V17" s="1004"/>
      <c r="W17" s="861"/>
      <c r="X17" s="861"/>
      <c r="Y17" s="75"/>
      <c r="Z17" s="760"/>
      <c r="AA17" s="861">
        <f t="shared" si="10"/>
        <v>0</v>
      </c>
    </row>
    <row r="18" spans="1:28" x14ac:dyDescent="0.3">
      <c r="A18" s="1781"/>
      <c r="B18" s="996"/>
      <c r="C18" s="77" t="s">
        <v>10352</v>
      </c>
      <c r="D18" s="68" t="s">
        <v>10353</v>
      </c>
      <c r="E18" s="760"/>
      <c r="F18" s="1785">
        <v>45975</v>
      </c>
      <c r="G18" s="1786"/>
      <c r="H18" s="1004">
        <v>1</v>
      </c>
      <c r="I18" s="1051">
        <v>8626</v>
      </c>
      <c r="J18" s="861">
        <f t="shared" si="7"/>
        <v>8626</v>
      </c>
      <c r="K18" s="75" t="s">
        <v>10354</v>
      </c>
      <c r="L18" s="760"/>
      <c r="M18" s="1785">
        <v>45975</v>
      </c>
      <c r="N18" s="1786"/>
      <c r="O18" s="1004">
        <v>1</v>
      </c>
      <c r="P18" s="1051">
        <f>8479-1187</f>
        <v>7292</v>
      </c>
      <c r="Q18" s="861">
        <f t="shared" ref="Q18:Q19" si="11">O18*P18</f>
        <v>7292</v>
      </c>
      <c r="R18" s="75" t="s">
        <v>10354</v>
      </c>
      <c r="S18" s="760"/>
      <c r="T18" s="1785">
        <v>45975</v>
      </c>
      <c r="U18" s="1786"/>
      <c r="V18" s="1004">
        <v>1</v>
      </c>
      <c r="W18" s="1051">
        <f>8479-1187</f>
        <v>7292</v>
      </c>
      <c r="X18" s="861">
        <f t="shared" ref="X18:X22" si="12">V18*W18</f>
        <v>7292</v>
      </c>
      <c r="Y18" s="75" t="s">
        <v>10354</v>
      </c>
      <c r="Z18" s="760"/>
      <c r="AA18" s="861">
        <f t="shared" si="10"/>
        <v>23210</v>
      </c>
    </row>
    <row r="19" spans="1:28" x14ac:dyDescent="0.3">
      <c r="A19" s="1781"/>
      <c r="B19" s="996"/>
      <c r="C19" s="77" t="s">
        <v>10355</v>
      </c>
      <c r="D19" s="68" t="s">
        <v>10353</v>
      </c>
      <c r="E19" s="760"/>
      <c r="F19" s="1785">
        <v>45976</v>
      </c>
      <c r="G19" s="1786"/>
      <c r="H19" s="1004">
        <v>1</v>
      </c>
      <c r="I19" s="1051">
        <f>8818-593.5*2</f>
        <v>7631</v>
      </c>
      <c r="J19" s="861">
        <f t="shared" si="7"/>
        <v>7631</v>
      </c>
      <c r="K19" s="75" t="s">
        <v>10356</v>
      </c>
      <c r="L19" s="760"/>
      <c r="M19" s="1785">
        <v>45976</v>
      </c>
      <c r="N19" s="1786"/>
      <c r="O19" s="1004">
        <v>1</v>
      </c>
      <c r="P19" s="1051">
        <f>8818-593.5*2</f>
        <v>7631</v>
      </c>
      <c r="Q19" s="861">
        <f t="shared" si="11"/>
        <v>7631</v>
      </c>
      <c r="R19" s="75" t="s">
        <v>10356</v>
      </c>
      <c r="S19" s="760"/>
      <c r="T19" s="1785">
        <v>45976</v>
      </c>
      <c r="U19" s="1786"/>
      <c r="V19" s="1004">
        <v>1</v>
      </c>
      <c r="W19" s="1051">
        <f>8818-593.5*2</f>
        <v>7631</v>
      </c>
      <c r="X19" s="861">
        <f t="shared" si="12"/>
        <v>7631</v>
      </c>
      <c r="Y19" s="75" t="s">
        <v>10356</v>
      </c>
      <c r="Z19" s="760"/>
      <c r="AA19" s="861">
        <f t="shared" si="10"/>
        <v>22893</v>
      </c>
    </row>
    <row r="20" spans="1:28" x14ac:dyDescent="0.3">
      <c r="A20" s="1781"/>
      <c r="B20" s="996">
        <v>4</v>
      </c>
      <c r="C20" s="75" t="s">
        <v>10357</v>
      </c>
      <c r="D20" s="68" t="s">
        <v>10346</v>
      </c>
      <c r="E20" s="760"/>
      <c r="F20" s="1003">
        <f>F15</f>
        <v>45975</v>
      </c>
      <c r="G20" s="1003">
        <f>G15</f>
        <v>45976</v>
      </c>
      <c r="H20" s="1004">
        <f>G20-F20+1</f>
        <v>2</v>
      </c>
      <c r="I20" s="861">
        <v>10000</v>
      </c>
      <c r="J20" s="861">
        <f t="shared" si="7"/>
        <v>20000</v>
      </c>
      <c r="K20" s="75" t="s">
        <v>1117</v>
      </c>
      <c r="L20" s="760"/>
      <c r="M20" s="1003">
        <f>M15</f>
        <v>45975</v>
      </c>
      <c r="N20" s="1003">
        <f>N15</f>
        <v>45976</v>
      </c>
      <c r="O20" s="1004">
        <f>N20-M20+1</f>
        <v>2</v>
      </c>
      <c r="P20" s="861">
        <v>10000</v>
      </c>
      <c r="Q20" s="861">
        <f t="shared" si="8"/>
        <v>20000</v>
      </c>
      <c r="R20" s="75" t="s">
        <v>1117</v>
      </c>
      <c r="S20" s="760"/>
      <c r="T20" s="1003">
        <f>T15</f>
        <v>45975</v>
      </c>
      <c r="U20" s="1003">
        <f>U15</f>
        <v>45976</v>
      </c>
      <c r="V20" s="1004">
        <f>U20-T20+1</f>
        <v>2</v>
      </c>
      <c r="W20" s="861">
        <v>10000</v>
      </c>
      <c r="X20" s="861">
        <f t="shared" si="12"/>
        <v>20000</v>
      </c>
      <c r="Y20" s="75" t="s">
        <v>1117</v>
      </c>
      <c r="Z20" s="760"/>
      <c r="AA20" s="861">
        <f t="shared" si="10"/>
        <v>60000</v>
      </c>
    </row>
    <row r="21" spans="1:28" ht="28.8" x14ac:dyDescent="0.3">
      <c r="A21" s="1781"/>
      <c r="B21" s="996">
        <v>5</v>
      </c>
      <c r="C21" s="75" t="s">
        <v>10358</v>
      </c>
      <c r="D21" s="68" t="s">
        <v>10346</v>
      </c>
      <c r="E21" s="760"/>
      <c r="F21" s="1003" t="s">
        <v>1117</v>
      </c>
      <c r="G21" s="1003" t="s">
        <v>1117</v>
      </c>
      <c r="H21" s="1004">
        <v>0</v>
      </c>
      <c r="I21" s="867">
        <v>5000</v>
      </c>
      <c r="J21" s="861">
        <f t="shared" si="7"/>
        <v>0</v>
      </c>
      <c r="K21" s="75" t="s">
        <v>1117</v>
      </c>
      <c r="L21" s="760"/>
      <c r="M21" s="1003" t="s">
        <v>1117</v>
      </c>
      <c r="N21" s="1003" t="s">
        <v>1117</v>
      </c>
      <c r="O21" s="1004">
        <v>0</v>
      </c>
      <c r="P21" s="867">
        <v>5000</v>
      </c>
      <c r="Q21" s="861">
        <f t="shared" si="8"/>
        <v>0</v>
      </c>
      <c r="R21" s="75" t="s">
        <v>1117</v>
      </c>
      <c r="S21" s="760"/>
      <c r="T21" s="1003" t="s">
        <v>1117</v>
      </c>
      <c r="U21" s="1003" t="s">
        <v>1117</v>
      </c>
      <c r="V21" s="1004">
        <v>0</v>
      </c>
      <c r="W21" s="867">
        <v>5000</v>
      </c>
      <c r="X21" s="861">
        <f t="shared" si="12"/>
        <v>0</v>
      </c>
      <c r="Y21" s="75" t="s">
        <v>1117</v>
      </c>
      <c r="Z21" s="760"/>
      <c r="AA21" s="861">
        <f t="shared" si="10"/>
        <v>0</v>
      </c>
    </row>
    <row r="22" spans="1:28" x14ac:dyDescent="0.3">
      <c r="A22" s="1781"/>
      <c r="B22" s="997">
        <v>6</v>
      </c>
      <c r="C22" s="76" t="s">
        <v>10359</v>
      </c>
      <c r="D22" s="69" t="s">
        <v>10346</v>
      </c>
      <c r="E22" s="87"/>
      <c r="F22" s="1003">
        <f>F20</f>
        <v>45975</v>
      </c>
      <c r="G22" s="1003">
        <f>G15</f>
        <v>45976</v>
      </c>
      <c r="H22" s="1005">
        <v>2</v>
      </c>
      <c r="I22" s="1056">
        <v>2000</v>
      </c>
      <c r="J22" s="1056">
        <f t="shared" si="7"/>
        <v>4000</v>
      </c>
      <c r="K22" s="76" t="s">
        <v>1117</v>
      </c>
      <c r="L22" s="87"/>
      <c r="M22" s="1003">
        <f>M20</f>
        <v>45975</v>
      </c>
      <c r="N22" s="1003">
        <f>N15</f>
        <v>45976</v>
      </c>
      <c r="O22" s="1005">
        <v>2</v>
      </c>
      <c r="P22" s="1056">
        <v>2000</v>
      </c>
      <c r="Q22" s="1056">
        <f t="shared" si="8"/>
        <v>4000</v>
      </c>
      <c r="R22" s="76" t="s">
        <v>1117</v>
      </c>
      <c r="S22" s="87"/>
      <c r="T22" s="1003">
        <f>T20</f>
        <v>45975</v>
      </c>
      <c r="U22" s="1003">
        <f>U15</f>
        <v>45976</v>
      </c>
      <c r="V22" s="1005">
        <v>2</v>
      </c>
      <c r="W22" s="1056">
        <v>2000</v>
      </c>
      <c r="X22" s="1056">
        <f t="shared" si="12"/>
        <v>4000</v>
      </c>
      <c r="Y22" s="76" t="s">
        <v>1117</v>
      </c>
      <c r="Z22" s="87"/>
      <c r="AA22" s="1056">
        <f t="shared" si="10"/>
        <v>12000</v>
      </c>
      <c r="AB22" s="1007">
        <f>ROUND(SUM(AA14:AA22)*1.18,0)</f>
        <v>918162</v>
      </c>
    </row>
    <row r="23" spans="1:28" ht="7.65" customHeight="1" x14ac:dyDescent="0.3">
      <c r="A23" s="287"/>
      <c r="B23" s="956"/>
      <c r="C23" s="1057"/>
      <c r="D23" s="1057"/>
      <c r="E23" s="1057"/>
      <c r="F23" s="956"/>
      <c r="G23" s="956"/>
      <c r="H23" s="1058"/>
      <c r="I23" s="1057"/>
      <c r="J23" s="1057"/>
      <c r="K23" s="1057"/>
      <c r="L23" s="1057"/>
      <c r="M23" s="956"/>
      <c r="N23" s="956"/>
      <c r="O23" s="1058"/>
      <c r="P23" s="1057"/>
      <c r="Q23" s="1057"/>
      <c r="R23" s="1057"/>
      <c r="S23" s="1057"/>
      <c r="T23" s="956"/>
      <c r="U23" s="956"/>
      <c r="V23" s="1058"/>
      <c r="W23" s="1057"/>
      <c r="X23" s="1057"/>
      <c r="Y23" s="1057"/>
      <c r="Z23" s="1057"/>
      <c r="AA23" s="1059"/>
    </row>
    <row r="24" spans="1:28" ht="28.8" x14ac:dyDescent="0.3">
      <c r="A24" s="1780" t="s">
        <v>10363</v>
      </c>
      <c r="B24" s="1060">
        <v>1</v>
      </c>
      <c r="C24" s="82" t="s">
        <v>10341</v>
      </c>
      <c r="D24" s="80" t="s">
        <v>10342</v>
      </c>
      <c r="E24" s="760"/>
      <c r="F24" s="1061">
        <v>46023</v>
      </c>
      <c r="G24" s="1061">
        <v>46112</v>
      </c>
      <c r="H24" s="1062">
        <v>3</v>
      </c>
      <c r="I24" s="1063">
        <v>50000</v>
      </c>
      <c r="J24" s="1002">
        <f t="shared" ref="J24:J26" si="13">H24*I24</f>
        <v>150000</v>
      </c>
      <c r="K24" s="82" t="s">
        <v>10361</v>
      </c>
      <c r="L24" s="760"/>
      <c r="M24" s="1061">
        <v>46023</v>
      </c>
      <c r="N24" s="1061">
        <v>46112</v>
      </c>
      <c r="O24" s="1062">
        <v>3</v>
      </c>
      <c r="P24" s="1063">
        <v>50000</v>
      </c>
      <c r="Q24" s="1002">
        <f>O24*P24</f>
        <v>150000</v>
      </c>
      <c r="R24" s="82" t="s">
        <v>10361</v>
      </c>
      <c r="S24" s="760"/>
      <c r="T24" s="1061">
        <v>46023</v>
      </c>
      <c r="U24" s="1061">
        <v>46112</v>
      </c>
      <c r="V24" s="1062">
        <v>3</v>
      </c>
      <c r="W24" s="1063">
        <v>50000</v>
      </c>
      <c r="X24" s="1002">
        <f>V24*W24</f>
        <v>150000</v>
      </c>
      <c r="Y24" s="82" t="s">
        <v>10361</v>
      </c>
      <c r="Z24" s="760"/>
      <c r="AA24" s="1002">
        <f>X24+Q24+J24</f>
        <v>450000</v>
      </c>
    </row>
    <row r="25" spans="1:28" x14ac:dyDescent="0.3">
      <c r="A25" s="1781"/>
      <c r="B25" s="996" t="s">
        <v>10344</v>
      </c>
      <c r="C25" s="75" t="s">
        <v>10345</v>
      </c>
      <c r="D25" s="68" t="s">
        <v>10346</v>
      </c>
      <c r="E25" s="760"/>
      <c r="F25" s="1003">
        <v>46073</v>
      </c>
      <c r="G25" s="1003">
        <v>46074</v>
      </c>
      <c r="H25" s="1004">
        <f>G25-F25+1</f>
        <v>2</v>
      </c>
      <c r="I25" s="861">
        <v>25000</v>
      </c>
      <c r="J25" s="861">
        <f t="shared" si="13"/>
        <v>50000</v>
      </c>
      <c r="K25" s="75" t="s">
        <v>10347</v>
      </c>
      <c r="L25" s="760"/>
      <c r="M25" s="1003">
        <v>46074</v>
      </c>
      <c r="N25" s="1003">
        <v>46075</v>
      </c>
      <c r="O25" s="1004">
        <f>N25-M25+1</f>
        <v>2</v>
      </c>
      <c r="P25" s="861">
        <v>25000</v>
      </c>
      <c r="Q25" s="861">
        <f t="shared" ref="Q25:Q26" si="14">O25*P25</f>
        <v>50000</v>
      </c>
      <c r="R25" s="75" t="s">
        <v>10347</v>
      </c>
      <c r="S25" s="760"/>
      <c r="T25" s="1003" t="s">
        <v>1117</v>
      </c>
      <c r="U25" s="1003" t="s">
        <v>1117</v>
      </c>
      <c r="V25" s="1004">
        <f>IFERROR(U25-T25+1,0)</f>
        <v>0</v>
      </c>
      <c r="W25" s="861">
        <v>25000</v>
      </c>
      <c r="X25" s="861">
        <f t="shared" ref="X25:X26" si="15">V25*W25</f>
        <v>0</v>
      </c>
      <c r="Y25" s="75" t="s">
        <v>1117</v>
      </c>
      <c r="Z25" s="760"/>
      <c r="AA25" s="861">
        <f t="shared" ref="AA25:AA32" si="16">X25+Q25+J25</f>
        <v>100000</v>
      </c>
    </row>
    <row r="26" spans="1:28" s="481" customFormat="1" ht="14.4" customHeight="1" x14ac:dyDescent="0.3">
      <c r="A26" s="1781"/>
      <c r="B26" s="1163" t="s">
        <v>10348</v>
      </c>
      <c r="C26" s="1164" t="s">
        <v>10349</v>
      </c>
      <c r="D26" s="1165" t="s">
        <v>10346</v>
      </c>
      <c r="E26" s="1166"/>
      <c r="F26" s="1766" t="s">
        <v>1117</v>
      </c>
      <c r="G26" s="1767"/>
      <c r="H26" s="1167">
        <v>0</v>
      </c>
      <c r="I26" s="171">
        <v>10000</v>
      </c>
      <c r="J26" s="171">
        <f t="shared" si="13"/>
        <v>0</v>
      </c>
      <c r="K26" s="1164" t="s">
        <v>1117</v>
      </c>
      <c r="L26" s="1166"/>
      <c r="M26" s="1766" t="s">
        <v>1117</v>
      </c>
      <c r="N26" s="1767"/>
      <c r="O26" s="1167">
        <v>0</v>
      </c>
      <c r="P26" s="171">
        <v>10000</v>
      </c>
      <c r="Q26" s="171">
        <f t="shared" si="14"/>
        <v>0</v>
      </c>
      <c r="R26" s="1164" t="s">
        <v>1117</v>
      </c>
      <c r="S26" s="1166"/>
      <c r="T26" s="1766" t="s">
        <v>1117</v>
      </c>
      <c r="U26" s="1767"/>
      <c r="V26" s="1167">
        <v>0</v>
      </c>
      <c r="W26" s="171">
        <v>10000</v>
      </c>
      <c r="X26" s="171">
        <f t="shared" si="15"/>
        <v>0</v>
      </c>
      <c r="Y26" s="1164" t="s">
        <v>1117</v>
      </c>
      <c r="Z26" s="1166"/>
      <c r="AA26" s="171">
        <f t="shared" si="16"/>
        <v>0</v>
      </c>
    </row>
    <row r="27" spans="1:28" x14ac:dyDescent="0.3">
      <c r="A27" s="1781"/>
      <c r="B27" s="996">
        <v>3</v>
      </c>
      <c r="C27" s="75" t="s">
        <v>10351</v>
      </c>
      <c r="D27" s="68"/>
      <c r="E27" s="760"/>
      <c r="F27" s="1003"/>
      <c r="G27" s="1003"/>
      <c r="H27" s="1004"/>
      <c r="I27" s="861"/>
      <c r="J27" s="861"/>
      <c r="K27" s="75"/>
      <c r="L27" s="760"/>
      <c r="M27" s="1003"/>
      <c r="N27" s="1003"/>
      <c r="O27" s="1004"/>
      <c r="P27" s="861"/>
      <c r="Q27" s="861"/>
      <c r="R27" s="75"/>
      <c r="S27" s="760"/>
      <c r="T27" s="1003"/>
      <c r="U27" s="1003"/>
      <c r="V27" s="1004"/>
      <c r="W27" s="861"/>
      <c r="X27" s="861"/>
      <c r="Y27" s="75"/>
      <c r="Z27" s="760"/>
      <c r="AA27" s="861">
        <f t="shared" si="16"/>
        <v>0</v>
      </c>
    </row>
    <row r="28" spans="1:28" s="481" customFormat="1" x14ac:dyDescent="0.3">
      <c r="A28" s="1781"/>
      <c r="B28" s="1163"/>
      <c r="C28" s="1168" t="s">
        <v>10352</v>
      </c>
      <c r="D28" s="1165" t="s">
        <v>10353</v>
      </c>
      <c r="E28" s="1166"/>
      <c r="F28" s="1766">
        <f>F25</f>
        <v>46073</v>
      </c>
      <c r="G28" s="1767"/>
      <c r="H28" s="1167">
        <v>1</v>
      </c>
      <c r="I28" s="184">
        <v>6202</v>
      </c>
      <c r="J28" s="171">
        <f t="shared" ref="J28:J32" si="17">H28*I28</f>
        <v>6202</v>
      </c>
      <c r="K28" s="1164" t="s">
        <v>10354</v>
      </c>
      <c r="L28" s="1166"/>
      <c r="M28" s="1766">
        <f>M25</f>
        <v>46074</v>
      </c>
      <c r="N28" s="1767"/>
      <c r="O28" s="1167">
        <v>1</v>
      </c>
      <c r="P28" s="184">
        <v>6202</v>
      </c>
      <c r="Q28" s="171">
        <f t="shared" ref="Q28:Q32" si="18">O28*P28</f>
        <v>6202</v>
      </c>
      <c r="R28" s="1164" t="s">
        <v>10354</v>
      </c>
      <c r="S28" s="1166"/>
      <c r="T28" s="1766" t="str">
        <f>T25</f>
        <v>-</v>
      </c>
      <c r="U28" s="1767"/>
      <c r="V28" s="1167">
        <v>0</v>
      </c>
      <c r="W28" s="184">
        <v>0</v>
      </c>
      <c r="X28" s="171">
        <f t="shared" ref="X28:X32" si="19">V28*W28</f>
        <v>0</v>
      </c>
      <c r="Y28" s="1164" t="s">
        <v>1117</v>
      </c>
      <c r="Z28" s="1166"/>
      <c r="AA28" s="171">
        <f t="shared" si="16"/>
        <v>12404</v>
      </c>
    </row>
    <row r="29" spans="1:28" s="481" customFormat="1" x14ac:dyDescent="0.3">
      <c r="A29" s="1781"/>
      <c r="B29" s="1163"/>
      <c r="C29" s="1168" t="s">
        <v>10355</v>
      </c>
      <c r="D29" s="1165" t="s">
        <v>10353</v>
      </c>
      <c r="E29" s="1166"/>
      <c r="F29" s="1766">
        <f>G25</f>
        <v>46074</v>
      </c>
      <c r="G29" s="1767"/>
      <c r="H29" s="1167">
        <v>1</v>
      </c>
      <c r="I29" s="184">
        <v>10074</v>
      </c>
      <c r="J29" s="171">
        <f t="shared" si="17"/>
        <v>10074</v>
      </c>
      <c r="K29" s="1164" t="s">
        <v>10356</v>
      </c>
      <c r="L29" s="1166"/>
      <c r="M29" s="1766">
        <f>N25</f>
        <v>46075</v>
      </c>
      <c r="N29" s="1767"/>
      <c r="O29" s="1167">
        <v>1</v>
      </c>
      <c r="P29" s="184">
        <v>10074</v>
      </c>
      <c r="Q29" s="171">
        <f t="shared" si="18"/>
        <v>10074</v>
      </c>
      <c r="R29" s="1164" t="s">
        <v>10356</v>
      </c>
      <c r="S29" s="1166"/>
      <c r="T29" s="1766" t="str">
        <f>U25</f>
        <v>-</v>
      </c>
      <c r="U29" s="1767"/>
      <c r="V29" s="1167">
        <v>0</v>
      </c>
      <c r="W29" s="184">
        <v>0</v>
      </c>
      <c r="X29" s="171">
        <f t="shared" si="19"/>
        <v>0</v>
      </c>
      <c r="Y29" s="1164" t="s">
        <v>1117</v>
      </c>
      <c r="Z29" s="1166"/>
      <c r="AA29" s="171">
        <f t="shared" si="16"/>
        <v>20148</v>
      </c>
    </row>
    <row r="30" spans="1:28" x14ac:dyDescent="0.3">
      <c r="A30" s="1781"/>
      <c r="B30" s="996">
        <v>4</v>
      </c>
      <c r="C30" s="75" t="s">
        <v>10357</v>
      </c>
      <c r="D30" s="68" t="s">
        <v>10346</v>
      </c>
      <c r="E30" s="760"/>
      <c r="F30" s="1003">
        <f>F25</f>
        <v>46073</v>
      </c>
      <c r="G30" s="1003">
        <f>G25</f>
        <v>46074</v>
      </c>
      <c r="H30" s="1004">
        <f>G30-F30+1</f>
        <v>2</v>
      </c>
      <c r="I30" s="861">
        <v>10000</v>
      </c>
      <c r="J30" s="861">
        <f t="shared" si="17"/>
        <v>20000</v>
      </c>
      <c r="K30" s="75" t="s">
        <v>1117</v>
      </c>
      <c r="L30" s="760"/>
      <c r="M30" s="1003">
        <f>M25</f>
        <v>46074</v>
      </c>
      <c r="N30" s="1003">
        <f>N25</f>
        <v>46075</v>
      </c>
      <c r="O30" s="1004">
        <f>N30-M30+1</f>
        <v>2</v>
      </c>
      <c r="P30" s="861">
        <v>10000</v>
      </c>
      <c r="Q30" s="861">
        <f t="shared" si="18"/>
        <v>20000</v>
      </c>
      <c r="R30" s="75" t="s">
        <v>1117</v>
      </c>
      <c r="S30" s="760"/>
      <c r="T30" s="1003" t="s">
        <v>1117</v>
      </c>
      <c r="U30" s="1003" t="s">
        <v>1117</v>
      </c>
      <c r="V30" s="1004">
        <f>IFERROR(U30-T30+1,0)</f>
        <v>0</v>
      </c>
      <c r="W30" s="861">
        <v>10000</v>
      </c>
      <c r="X30" s="861">
        <f t="shared" si="19"/>
        <v>0</v>
      </c>
      <c r="Y30" s="75" t="s">
        <v>1117</v>
      </c>
      <c r="Z30" s="760"/>
      <c r="AA30" s="861">
        <f t="shared" si="16"/>
        <v>40000</v>
      </c>
    </row>
    <row r="31" spans="1:28" ht="28.8" x14ac:dyDescent="0.3">
      <c r="A31" s="1781"/>
      <c r="B31" s="996">
        <v>5</v>
      </c>
      <c r="C31" s="75" t="s">
        <v>10358</v>
      </c>
      <c r="D31" s="68" t="s">
        <v>10346</v>
      </c>
      <c r="E31" s="760"/>
      <c r="F31" s="1003" t="s">
        <v>1117</v>
      </c>
      <c r="G31" s="1003" t="s">
        <v>1117</v>
      </c>
      <c r="H31" s="1004">
        <v>0</v>
      </c>
      <c r="I31" s="867">
        <v>5000</v>
      </c>
      <c r="J31" s="861">
        <f t="shared" si="17"/>
        <v>0</v>
      </c>
      <c r="K31" s="75" t="s">
        <v>1117</v>
      </c>
      <c r="L31" s="760"/>
      <c r="M31" s="1003" t="s">
        <v>1117</v>
      </c>
      <c r="N31" s="1003" t="s">
        <v>1117</v>
      </c>
      <c r="O31" s="1004">
        <v>0</v>
      </c>
      <c r="P31" s="867">
        <v>5000</v>
      </c>
      <c r="Q31" s="861">
        <f t="shared" si="18"/>
        <v>0</v>
      </c>
      <c r="R31" s="75" t="s">
        <v>1117</v>
      </c>
      <c r="S31" s="760"/>
      <c r="T31" s="1003" t="s">
        <v>1117</v>
      </c>
      <c r="U31" s="1003" t="s">
        <v>1117</v>
      </c>
      <c r="V31" s="1004">
        <v>0</v>
      </c>
      <c r="W31" s="867">
        <v>5000</v>
      </c>
      <c r="X31" s="861">
        <f t="shared" si="19"/>
        <v>0</v>
      </c>
      <c r="Y31" s="75" t="s">
        <v>1117</v>
      </c>
      <c r="Z31" s="760"/>
      <c r="AA31" s="861">
        <f t="shared" si="16"/>
        <v>0</v>
      </c>
    </row>
    <row r="32" spans="1:28" x14ac:dyDescent="0.3">
      <c r="A32" s="1781"/>
      <c r="B32" s="997">
        <v>6</v>
      </c>
      <c r="C32" s="76" t="s">
        <v>10359</v>
      </c>
      <c r="D32" s="69" t="s">
        <v>10346</v>
      </c>
      <c r="E32" s="87"/>
      <c r="F32" s="1003">
        <f>F30</f>
        <v>46073</v>
      </c>
      <c r="G32" s="1003">
        <f>G25</f>
        <v>46074</v>
      </c>
      <c r="H32" s="1005">
        <v>2</v>
      </c>
      <c r="I32" s="1056">
        <v>2000</v>
      </c>
      <c r="J32" s="1056">
        <f t="shared" si="17"/>
        <v>4000</v>
      </c>
      <c r="K32" s="76" t="s">
        <v>1117</v>
      </c>
      <c r="L32" s="87"/>
      <c r="M32" s="1003">
        <f>M30</f>
        <v>46074</v>
      </c>
      <c r="N32" s="1003">
        <f>N25</f>
        <v>46075</v>
      </c>
      <c r="O32" s="1005">
        <v>2</v>
      </c>
      <c r="P32" s="1056">
        <v>2000</v>
      </c>
      <c r="Q32" s="1056">
        <f t="shared" si="18"/>
        <v>4000</v>
      </c>
      <c r="R32" s="76" t="s">
        <v>1117</v>
      </c>
      <c r="S32" s="87"/>
      <c r="T32" s="1003" t="str">
        <f>T30</f>
        <v>-</v>
      </c>
      <c r="U32" s="1003" t="str">
        <f>U25</f>
        <v>-</v>
      </c>
      <c r="V32" s="1005">
        <v>0</v>
      </c>
      <c r="W32" s="1056">
        <v>2000</v>
      </c>
      <c r="X32" s="1056">
        <f t="shared" si="19"/>
        <v>0</v>
      </c>
      <c r="Y32" s="76" t="s">
        <v>1117</v>
      </c>
      <c r="Z32" s="87"/>
      <c r="AA32" s="1056">
        <f t="shared" si="16"/>
        <v>8000</v>
      </c>
      <c r="AB32" s="1007">
        <f>ROUND(SUM(AA24:AA32)*1.18,0)</f>
        <v>744051</v>
      </c>
    </row>
    <row r="33" spans="1:28" ht="7.65" customHeight="1" x14ac:dyDescent="0.3">
      <c r="A33" s="287"/>
      <c r="B33" s="956"/>
      <c r="C33" s="1057"/>
      <c r="D33" s="1057"/>
      <c r="E33" s="1057"/>
      <c r="F33" s="956"/>
      <c r="G33" s="956"/>
      <c r="H33" s="1058"/>
      <c r="I33" s="1057"/>
      <c r="J33" s="1057"/>
      <c r="K33" s="1057"/>
      <c r="L33" s="1057"/>
      <c r="M33" s="956"/>
      <c r="N33" s="956"/>
      <c r="O33" s="1058"/>
      <c r="P33" s="1057"/>
      <c r="Q33" s="1057"/>
      <c r="R33" s="1057"/>
      <c r="S33" s="1057"/>
      <c r="T33" s="956"/>
      <c r="U33" s="956"/>
      <c r="V33" s="1058"/>
      <c r="W33" s="1057"/>
      <c r="X33" s="1057"/>
      <c r="Y33" s="1057"/>
      <c r="Z33" s="1057"/>
      <c r="AA33" s="1059"/>
    </row>
    <row r="34" spans="1:28" ht="28.8" x14ac:dyDescent="0.3">
      <c r="A34" s="1780" t="s">
        <v>10364</v>
      </c>
      <c r="B34" s="1060">
        <v>1</v>
      </c>
      <c r="C34" s="82" t="s">
        <v>10341</v>
      </c>
      <c r="D34" s="80" t="s">
        <v>10342</v>
      </c>
      <c r="E34" s="760"/>
      <c r="F34" s="1061">
        <v>46113</v>
      </c>
      <c r="G34" s="1061">
        <v>46203</v>
      </c>
      <c r="H34" s="1062">
        <v>3</v>
      </c>
      <c r="I34" s="1063">
        <v>50000</v>
      </c>
      <c r="J34" s="1002">
        <f t="shared" ref="J34:J36" si="20">H34*I34</f>
        <v>150000</v>
      </c>
      <c r="K34" s="82" t="s">
        <v>10361</v>
      </c>
      <c r="L34" s="760"/>
      <c r="M34" s="1061">
        <v>46023</v>
      </c>
      <c r="N34" s="1061">
        <v>46112</v>
      </c>
      <c r="O34" s="1062">
        <v>3</v>
      </c>
      <c r="P34" s="1063">
        <v>50000</v>
      </c>
      <c r="Q34" s="1002">
        <f>O34*P34</f>
        <v>150000</v>
      </c>
      <c r="R34" s="82" t="s">
        <v>10361</v>
      </c>
      <c r="S34" s="760"/>
      <c r="T34" s="1061">
        <v>46023</v>
      </c>
      <c r="U34" s="1061">
        <v>46112</v>
      </c>
      <c r="V34" s="1062">
        <v>3</v>
      </c>
      <c r="W34" s="1063">
        <v>50000</v>
      </c>
      <c r="X34" s="1002">
        <f>V34*W34</f>
        <v>150000</v>
      </c>
      <c r="Y34" s="82" t="s">
        <v>10361</v>
      </c>
      <c r="Z34" s="760"/>
      <c r="AA34" s="1002">
        <f>X34+Q34+J34</f>
        <v>450000</v>
      </c>
    </row>
    <row r="35" spans="1:28" x14ac:dyDescent="0.3">
      <c r="A35" s="1781"/>
      <c r="B35" s="996" t="s">
        <v>10344</v>
      </c>
      <c r="C35" s="75" t="s">
        <v>10345</v>
      </c>
      <c r="D35" s="68" t="s">
        <v>10346</v>
      </c>
      <c r="E35" s="760"/>
      <c r="F35" s="1003">
        <v>46177</v>
      </c>
      <c r="G35" s="1003">
        <v>46178</v>
      </c>
      <c r="H35" s="1004">
        <f>G35-F35+1</f>
        <v>2</v>
      </c>
      <c r="I35" s="861">
        <v>25000</v>
      </c>
      <c r="J35" s="861">
        <f t="shared" si="20"/>
        <v>50000</v>
      </c>
      <c r="K35" s="75" t="s">
        <v>10347</v>
      </c>
      <c r="L35" s="760"/>
      <c r="M35" s="1003">
        <v>46177</v>
      </c>
      <c r="N35" s="1003">
        <v>46178</v>
      </c>
      <c r="O35" s="1004">
        <f>N35-M35+1</f>
        <v>2</v>
      </c>
      <c r="P35" s="861">
        <v>25000</v>
      </c>
      <c r="Q35" s="861">
        <f t="shared" ref="Q35:Q36" si="21">O35*P35</f>
        <v>50000</v>
      </c>
      <c r="R35" s="75" t="s">
        <v>10347</v>
      </c>
      <c r="S35" s="760"/>
      <c r="T35" s="1003" t="s">
        <v>1117</v>
      </c>
      <c r="U35" s="1003" t="s">
        <v>1117</v>
      </c>
      <c r="V35" s="1004">
        <f>IFERROR(U35-T35+1,0)</f>
        <v>0</v>
      </c>
      <c r="W35" s="861">
        <v>25000</v>
      </c>
      <c r="X35" s="861">
        <f t="shared" ref="X35:X36" si="22">V35*W35</f>
        <v>0</v>
      </c>
      <c r="Y35" s="75" t="s">
        <v>1117</v>
      </c>
      <c r="Z35" s="760"/>
      <c r="AA35" s="861">
        <f t="shared" ref="AA35:AA42" si="23">X35+Q35+J35</f>
        <v>100000</v>
      </c>
    </row>
    <row r="36" spans="1:28" s="481" customFormat="1" ht="14.4" customHeight="1" x14ac:dyDescent="0.3">
      <c r="A36" s="1781"/>
      <c r="B36" s="1163" t="s">
        <v>10348</v>
      </c>
      <c r="C36" s="1164" t="s">
        <v>10349</v>
      </c>
      <c r="D36" s="1165" t="s">
        <v>10346</v>
      </c>
      <c r="E36" s="1166"/>
      <c r="F36" s="1766" t="s">
        <v>1117</v>
      </c>
      <c r="G36" s="1767"/>
      <c r="H36" s="1167">
        <v>0</v>
      </c>
      <c r="I36" s="171">
        <v>10000</v>
      </c>
      <c r="J36" s="171">
        <f t="shared" si="20"/>
        <v>0</v>
      </c>
      <c r="K36" s="1164" t="s">
        <v>1117</v>
      </c>
      <c r="L36" s="1166"/>
      <c r="M36" s="1766" t="s">
        <v>1117</v>
      </c>
      <c r="N36" s="1767"/>
      <c r="O36" s="1167">
        <v>0</v>
      </c>
      <c r="P36" s="171">
        <v>10000</v>
      </c>
      <c r="Q36" s="171">
        <f t="shared" si="21"/>
        <v>0</v>
      </c>
      <c r="R36" s="1164" t="s">
        <v>1117</v>
      </c>
      <c r="S36" s="1166"/>
      <c r="T36" s="1766" t="s">
        <v>1117</v>
      </c>
      <c r="U36" s="1767"/>
      <c r="V36" s="1167">
        <v>0</v>
      </c>
      <c r="W36" s="171">
        <v>10000</v>
      </c>
      <c r="X36" s="171">
        <f t="shared" si="22"/>
        <v>0</v>
      </c>
      <c r="Y36" s="1164" t="s">
        <v>1117</v>
      </c>
      <c r="Z36" s="1166"/>
      <c r="AA36" s="171">
        <f t="shared" si="23"/>
        <v>0</v>
      </c>
    </row>
    <row r="37" spans="1:28" x14ac:dyDescent="0.3">
      <c r="A37" s="1781"/>
      <c r="B37" s="996">
        <v>3</v>
      </c>
      <c r="C37" s="75" t="s">
        <v>10351</v>
      </c>
      <c r="D37" s="68"/>
      <c r="E37" s="760"/>
      <c r="F37" s="1003"/>
      <c r="G37" s="1003"/>
      <c r="H37" s="1004"/>
      <c r="I37" s="861"/>
      <c r="J37" s="861"/>
      <c r="K37" s="75"/>
      <c r="L37" s="760"/>
      <c r="M37" s="1003"/>
      <c r="N37" s="1003"/>
      <c r="O37" s="1004"/>
      <c r="P37" s="861"/>
      <c r="Q37" s="861"/>
      <c r="R37" s="75"/>
      <c r="S37" s="760"/>
      <c r="T37" s="1003"/>
      <c r="U37" s="1003"/>
      <c r="V37" s="1004"/>
      <c r="W37" s="861"/>
      <c r="X37" s="861"/>
      <c r="Y37" s="75"/>
      <c r="Z37" s="760"/>
      <c r="AA37" s="861">
        <f t="shared" si="23"/>
        <v>0</v>
      </c>
    </row>
    <row r="38" spans="1:28" s="481" customFormat="1" x14ac:dyDescent="0.3">
      <c r="A38" s="1781"/>
      <c r="B38" s="1163"/>
      <c r="C38" s="1168" t="s">
        <v>10352</v>
      </c>
      <c r="D38" s="1165" t="s">
        <v>10353</v>
      </c>
      <c r="E38" s="1166"/>
      <c r="F38" s="1766">
        <f>F35</f>
        <v>46177</v>
      </c>
      <c r="G38" s="1767"/>
      <c r="H38" s="1167">
        <v>1</v>
      </c>
      <c r="I38" s="184">
        <v>8038</v>
      </c>
      <c r="J38" s="171">
        <f t="shared" ref="J38:J42" si="24">H38*I38</f>
        <v>8038</v>
      </c>
      <c r="K38" s="1164" t="s">
        <v>10354</v>
      </c>
      <c r="L38" s="1166"/>
      <c r="M38" s="1766">
        <f>M35</f>
        <v>46177</v>
      </c>
      <c r="N38" s="1767"/>
      <c r="O38" s="1167">
        <v>1</v>
      </c>
      <c r="P38" s="184">
        <v>8038</v>
      </c>
      <c r="Q38" s="171">
        <f t="shared" ref="Q38:Q42" si="25">O38*P38</f>
        <v>8038</v>
      </c>
      <c r="R38" s="1164" t="s">
        <v>10354</v>
      </c>
      <c r="S38" s="1166"/>
      <c r="T38" s="1766" t="str">
        <f>T35</f>
        <v>-</v>
      </c>
      <c r="U38" s="1767"/>
      <c r="V38" s="1167">
        <v>0</v>
      </c>
      <c r="W38" s="184">
        <v>0</v>
      </c>
      <c r="X38" s="171">
        <f t="shared" ref="X38:X42" si="26">V38*W38</f>
        <v>0</v>
      </c>
      <c r="Y38" s="1164" t="s">
        <v>1117</v>
      </c>
      <c r="Z38" s="1166"/>
      <c r="AA38" s="171">
        <f t="shared" si="23"/>
        <v>16076</v>
      </c>
    </row>
    <row r="39" spans="1:28" s="481" customFormat="1" x14ac:dyDescent="0.3">
      <c r="A39" s="1781"/>
      <c r="B39" s="1163"/>
      <c r="C39" s="1168" t="s">
        <v>10355</v>
      </c>
      <c r="D39" s="1165" t="s">
        <v>10353</v>
      </c>
      <c r="E39" s="1166"/>
      <c r="F39" s="1766">
        <f>G35</f>
        <v>46178</v>
      </c>
      <c r="G39" s="1767"/>
      <c r="H39" s="1167">
        <v>1</v>
      </c>
      <c r="I39" s="184">
        <v>8202</v>
      </c>
      <c r="J39" s="171">
        <f t="shared" si="24"/>
        <v>8202</v>
      </c>
      <c r="K39" s="1164" t="s">
        <v>10356</v>
      </c>
      <c r="L39" s="1166"/>
      <c r="M39" s="1766">
        <f>N35</f>
        <v>46178</v>
      </c>
      <c r="N39" s="1767"/>
      <c r="O39" s="1167">
        <v>1</v>
      </c>
      <c r="P39" s="184">
        <v>8388</v>
      </c>
      <c r="Q39" s="171">
        <f t="shared" si="25"/>
        <v>8388</v>
      </c>
      <c r="R39" s="1164" t="s">
        <v>10356</v>
      </c>
      <c r="S39" s="1166"/>
      <c r="T39" s="1766" t="str">
        <f>U35</f>
        <v>-</v>
      </c>
      <c r="U39" s="1767"/>
      <c r="V39" s="1167">
        <v>0</v>
      </c>
      <c r="W39" s="184">
        <v>0</v>
      </c>
      <c r="X39" s="171">
        <f t="shared" si="26"/>
        <v>0</v>
      </c>
      <c r="Y39" s="1164" t="s">
        <v>1117</v>
      </c>
      <c r="Z39" s="1166"/>
      <c r="AA39" s="171">
        <f t="shared" si="23"/>
        <v>16590</v>
      </c>
    </row>
    <row r="40" spans="1:28" x14ac:dyDescent="0.3">
      <c r="A40" s="1781"/>
      <c r="B40" s="996">
        <v>4</v>
      </c>
      <c r="C40" s="75" t="s">
        <v>10357</v>
      </c>
      <c r="D40" s="68" t="s">
        <v>10346</v>
      </c>
      <c r="E40" s="760"/>
      <c r="F40" s="1003">
        <f>F35</f>
        <v>46177</v>
      </c>
      <c r="G40" s="1003">
        <f>G35</f>
        <v>46178</v>
      </c>
      <c r="H40" s="1004">
        <f>G40-F40+1</f>
        <v>2</v>
      </c>
      <c r="I40" s="171">
        <v>10000</v>
      </c>
      <c r="J40" s="171">
        <f t="shared" si="24"/>
        <v>20000</v>
      </c>
      <c r="K40" s="1164" t="s">
        <v>1117</v>
      </c>
      <c r="L40" s="1166"/>
      <c r="M40" s="1308">
        <f>M35</f>
        <v>46177</v>
      </c>
      <c r="N40" s="1308">
        <f>N35</f>
        <v>46178</v>
      </c>
      <c r="O40" s="1167">
        <f>N40-M40+1</f>
        <v>2</v>
      </c>
      <c r="P40" s="171">
        <v>10000</v>
      </c>
      <c r="Q40" s="171">
        <f t="shared" si="25"/>
        <v>20000</v>
      </c>
      <c r="R40" s="75" t="s">
        <v>1117</v>
      </c>
      <c r="S40" s="760"/>
      <c r="T40" s="1003" t="s">
        <v>1117</v>
      </c>
      <c r="U40" s="1003" t="s">
        <v>1117</v>
      </c>
      <c r="V40" s="1004">
        <f>IFERROR(U40-T40+1,0)</f>
        <v>0</v>
      </c>
      <c r="W40" s="861">
        <v>10000</v>
      </c>
      <c r="X40" s="861">
        <f t="shared" si="26"/>
        <v>0</v>
      </c>
      <c r="Y40" s="75" t="s">
        <v>1117</v>
      </c>
      <c r="Z40" s="760"/>
      <c r="AA40" s="861">
        <f t="shared" si="23"/>
        <v>40000</v>
      </c>
    </row>
    <row r="41" spans="1:28" ht="28.8" x14ac:dyDescent="0.3">
      <c r="A41" s="1781"/>
      <c r="B41" s="996">
        <v>5</v>
      </c>
      <c r="C41" s="75" t="s">
        <v>10358</v>
      </c>
      <c r="D41" s="68" t="s">
        <v>10346</v>
      </c>
      <c r="E41" s="760"/>
      <c r="F41" s="1003" t="s">
        <v>1117</v>
      </c>
      <c r="G41" s="1003" t="s">
        <v>1117</v>
      </c>
      <c r="H41" s="1004">
        <v>0</v>
      </c>
      <c r="I41" s="1309">
        <v>5000</v>
      </c>
      <c r="J41" s="171">
        <f t="shared" si="24"/>
        <v>0</v>
      </c>
      <c r="K41" s="1164" t="s">
        <v>1117</v>
      </c>
      <c r="L41" s="1166"/>
      <c r="M41" s="1308" t="s">
        <v>1117</v>
      </c>
      <c r="N41" s="1308" t="s">
        <v>1117</v>
      </c>
      <c r="O41" s="1167">
        <v>0</v>
      </c>
      <c r="P41" s="1309">
        <v>5000</v>
      </c>
      <c r="Q41" s="171">
        <f t="shared" si="25"/>
        <v>0</v>
      </c>
      <c r="R41" s="75" t="s">
        <v>1117</v>
      </c>
      <c r="S41" s="760"/>
      <c r="T41" s="1003" t="s">
        <v>1117</v>
      </c>
      <c r="U41" s="1003" t="s">
        <v>1117</v>
      </c>
      <c r="V41" s="1004">
        <v>0</v>
      </c>
      <c r="W41" s="867">
        <v>5000</v>
      </c>
      <c r="X41" s="861">
        <f t="shared" si="26"/>
        <v>0</v>
      </c>
      <c r="Y41" s="75" t="s">
        <v>1117</v>
      </c>
      <c r="Z41" s="760"/>
      <c r="AA41" s="861">
        <f t="shared" si="23"/>
        <v>0</v>
      </c>
    </row>
    <row r="42" spans="1:28" x14ac:dyDescent="0.3">
      <c r="A42" s="1781"/>
      <c r="B42" s="997">
        <v>6</v>
      </c>
      <c r="C42" s="76" t="s">
        <v>10359</v>
      </c>
      <c r="D42" s="69" t="s">
        <v>10346</v>
      </c>
      <c r="E42" s="87"/>
      <c r="F42" s="1003">
        <f>F40</f>
        <v>46177</v>
      </c>
      <c r="G42" s="1003">
        <f>G35</f>
        <v>46178</v>
      </c>
      <c r="H42" s="1005">
        <v>2</v>
      </c>
      <c r="I42" s="1056">
        <v>2000</v>
      </c>
      <c r="J42" s="1056">
        <f t="shared" si="24"/>
        <v>4000</v>
      </c>
      <c r="K42" s="76" t="s">
        <v>1117</v>
      </c>
      <c r="L42" s="87"/>
      <c r="M42" s="1003">
        <f>M40</f>
        <v>46177</v>
      </c>
      <c r="N42" s="1003">
        <f>N35</f>
        <v>46178</v>
      </c>
      <c r="O42" s="1005">
        <v>2</v>
      </c>
      <c r="P42" s="1056">
        <v>2000</v>
      </c>
      <c r="Q42" s="1056">
        <f t="shared" si="25"/>
        <v>4000</v>
      </c>
      <c r="R42" s="76" t="s">
        <v>1117</v>
      </c>
      <c r="S42" s="87"/>
      <c r="T42" s="1003" t="str">
        <f>T40</f>
        <v>-</v>
      </c>
      <c r="U42" s="1003" t="str">
        <f>U35</f>
        <v>-</v>
      </c>
      <c r="V42" s="1005">
        <v>0</v>
      </c>
      <c r="W42" s="1056">
        <v>2000</v>
      </c>
      <c r="X42" s="1056">
        <f t="shared" si="26"/>
        <v>0</v>
      </c>
      <c r="Y42" s="76" t="s">
        <v>1117</v>
      </c>
      <c r="Z42" s="87"/>
      <c r="AA42" s="1056">
        <f t="shared" si="23"/>
        <v>8000</v>
      </c>
      <c r="AB42" s="1007">
        <f>ROUND(SUM(AA34:AA42)*1.18,0)</f>
        <v>744186</v>
      </c>
    </row>
    <row r="43" spans="1:28" ht="7.65" customHeight="1" x14ac:dyDescent="0.3">
      <c r="A43" s="287"/>
      <c r="B43" s="956"/>
      <c r="C43" s="1057"/>
      <c r="D43" s="1057"/>
      <c r="E43" s="1057"/>
      <c r="F43" s="956"/>
      <c r="G43" s="956"/>
      <c r="H43" s="1058"/>
      <c r="I43" s="1057"/>
      <c r="J43" s="1057"/>
      <c r="K43" s="1057"/>
      <c r="L43" s="1057"/>
      <c r="M43" s="956"/>
      <c r="N43" s="956"/>
      <c r="O43" s="1058"/>
      <c r="P43" s="1057"/>
      <c r="Q43" s="1057"/>
      <c r="R43" s="1057"/>
      <c r="S43" s="1057"/>
      <c r="T43" s="956"/>
      <c r="U43" s="956"/>
      <c r="V43" s="1058"/>
      <c r="W43" s="1057"/>
      <c r="X43" s="1057"/>
      <c r="Y43" s="1057"/>
      <c r="Z43" s="1057"/>
      <c r="AA43" s="1059"/>
    </row>
    <row r="44" spans="1:28" s="58" customFormat="1" x14ac:dyDescent="0.3">
      <c r="A44" s="1770" t="s">
        <v>165</v>
      </c>
      <c r="B44" s="1771"/>
      <c r="C44" s="1771"/>
      <c r="D44" s="1772"/>
      <c r="E44" s="1064"/>
      <c r="F44" s="1052"/>
      <c r="G44" s="1052"/>
      <c r="H44" s="1065"/>
      <c r="I44" s="1066"/>
      <c r="J44" s="1067">
        <f>SUM(J4:J43)</f>
        <v>1004224</v>
      </c>
      <c r="K44" s="1066"/>
      <c r="L44" s="1064"/>
      <c r="M44" s="1052"/>
      <c r="N44" s="1052"/>
      <c r="O44" s="1065"/>
      <c r="P44" s="1066"/>
      <c r="Q44" s="1067">
        <f>SUM(Q4:Q43)</f>
        <v>1003076</v>
      </c>
      <c r="R44" s="1066"/>
      <c r="S44" s="1064"/>
      <c r="T44" s="1052"/>
      <c r="U44" s="1052"/>
      <c r="V44" s="1065"/>
      <c r="W44" s="1066"/>
      <c r="X44" s="1067">
        <f>SUM(X4:X43)</f>
        <v>732273</v>
      </c>
      <c r="Y44" s="1066"/>
      <c r="Z44" s="1064"/>
      <c r="AA44" s="1067">
        <f>SUM(AA4:AA43)</f>
        <v>2739573</v>
      </c>
    </row>
    <row r="45" spans="1:28" s="58" customFormat="1" x14ac:dyDescent="0.3">
      <c r="A45" s="1773" t="s">
        <v>10365</v>
      </c>
      <c r="B45" s="1774"/>
      <c r="C45" s="1774"/>
      <c r="D45" s="1775"/>
      <c r="E45" s="1068"/>
      <c r="F45" s="1069"/>
      <c r="G45" s="1069"/>
      <c r="H45" s="1070"/>
      <c r="I45" s="1071"/>
      <c r="J45" s="1072">
        <f>J44*0.18</f>
        <v>180760.32000000001</v>
      </c>
      <c r="K45" s="1071"/>
      <c r="L45" s="1068"/>
      <c r="M45" s="1069"/>
      <c r="N45" s="1069"/>
      <c r="O45" s="1070"/>
      <c r="P45" s="1071"/>
      <c r="Q45" s="1072">
        <f>Q44*0.18</f>
        <v>180553.68</v>
      </c>
      <c r="R45" s="1071"/>
      <c r="S45" s="1068"/>
      <c r="T45" s="1069"/>
      <c r="U45" s="1069"/>
      <c r="V45" s="1070"/>
      <c r="W45" s="1071"/>
      <c r="X45" s="1072">
        <f>X44*0.18</f>
        <v>131809.13999999998</v>
      </c>
      <c r="Y45" s="1071"/>
      <c r="Z45" s="1068"/>
      <c r="AA45" s="1012">
        <f>AA44*0.18</f>
        <v>493123.13999999996</v>
      </c>
    </row>
    <row r="46" spans="1:28" s="58" customFormat="1" x14ac:dyDescent="0.3">
      <c r="A46" s="1773" t="s">
        <v>10366</v>
      </c>
      <c r="B46" s="1774"/>
      <c r="C46" s="1774"/>
      <c r="D46" s="1775"/>
      <c r="E46" s="1068"/>
      <c r="F46" s="1053"/>
      <c r="G46" s="1053"/>
      <c r="H46" s="1073"/>
      <c r="I46" s="762"/>
      <c r="J46" s="1074">
        <f>J44+J45</f>
        <v>1184984.32</v>
      </c>
      <c r="K46" s="762"/>
      <c r="L46" s="1068"/>
      <c r="M46" s="1053"/>
      <c r="N46" s="1053"/>
      <c r="O46" s="1073"/>
      <c r="P46" s="762"/>
      <c r="Q46" s="1074">
        <f>Q44+Q45</f>
        <v>1183629.68</v>
      </c>
      <c r="R46" s="762"/>
      <c r="S46" s="1068"/>
      <c r="T46" s="1053"/>
      <c r="U46" s="1053"/>
      <c r="V46" s="1073"/>
      <c r="W46" s="762"/>
      <c r="X46" s="1074">
        <f>X44+X45</f>
        <v>864082.14</v>
      </c>
      <c r="Y46" s="762"/>
      <c r="Z46" s="1068"/>
      <c r="AA46" s="1074">
        <f>AA44+AA45</f>
        <v>3232696.14</v>
      </c>
    </row>
    <row r="47" spans="1:28" s="58" customFormat="1" x14ac:dyDescent="0.3">
      <c r="A47" s="1776" t="s">
        <v>10367</v>
      </c>
      <c r="B47" s="1777"/>
      <c r="C47" s="1777"/>
      <c r="D47" s="1778"/>
      <c r="E47" s="1068"/>
      <c r="F47" s="1053"/>
      <c r="G47" s="1053"/>
      <c r="H47" s="1073"/>
      <c r="I47" s="762"/>
      <c r="J47" s="762"/>
      <c r="K47" s="762"/>
      <c r="L47" s="1068"/>
      <c r="M47" s="1053"/>
      <c r="N47" s="1053"/>
      <c r="O47" s="1073"/>
      <c r="P47" s="762"/>
      <c r="Q47" s="762"/>
      <c r="R47" s="762"/>
      <c r="S47" s="1068"/>
      <c r="T47" s="1053"/>
      <c r="U47" s="1053"/>
      <c r="V47" s="1073"/>
      <c r="W47" s="762"/>
      <c r="X47" s="762"/>
      <c r="Y47" s="762"/>
      <c r="Z47" s="1068"/>
      <c r="AA47" s="762"/>
    </row>
    <row r="48" spans="1:28" s="58" customFormat="1" x14ac:dyDescent="0.3">
      <c r="A48" s="1773" t="s">
        <v>10368</v>
      </c>
      <c r="B48" s="1774"/>
      <c r="C48" s="1774"/>
      <c r="D48" s="1775"/>
      <c r="E48" s="1068"/>
      <c r="F48" s="1053"/>
      <c r="G48" s="1053"/>
      <c r="H48" s="1073"/>
      <c r="I48" s="762"/>
      <c r="J48" s="1074">
        <f>J46/2</f>
        <v>592492.16</v>
      </c>
      <c r="K48" s="762"/>
      <c r="L48" s="1068"/>
      <c r="M48" s="1053"/>
      <c r="N48" s="1053"/>
      <c r="O48" s="1073"/>
      <c r="P48" s="762"/>
      <c r="Q48" s="1074">
        <f>Q46/2</f>
        <v>591814.84</v>
      </c>
      <c r="R48" s="762"/>
      <c r="S48" s="1068"/>
      <c r="T48" s="1053"/>
      <c r="U48" s="1053"/>
      <c r="V48" s="1073"/>
      <c r="W48" s="762"/>
      <c r="X48" s="1074">
        <f>X46/2</f>
        <v>432041.07</v>
      </c>
      <c r="Y48" s="762"/>
      <c r="Z48" s="1068"/>
      <c r="AA48" s="1074">
        <f>ROUND(SUM(J48,Q48,X48),0)</f>
        <v>1616348</v>
      </c>
    </row>
    <row r="49" spans="1:27" s="58" customFormat="1" x14ac:dyDescent="0.3">
      <c r="A49" s="1773" t="s">
        <v>10369</v>
      </c>
      <c r="B49" s="1774"/>
      <c r="C49" s="1774"/>
      <c r="D49" s="1775"/>
      <c r="E49" s="1068"/>
      <c r="F49" s="1054"/>
      <c r="G49" s="1054"/>
      <c r="H49" s="1075"/>
      <c r="I49" s="1076"/>
      <c r="J49" s="1077">
        <v>592492.16</v>
      </c>
      <c r="K49" s="1076"/>
      <c r="L49" s="1068"/>
      <c r="M49" s="1054"/>
      <c r="N49" s="1054"/>
      <c r="O49" s="1075"/>
      <c r="P49" s="1076"/>
      <c r="Q49" s="1077">
        <v>591814.84</v>
      </c>
      <c r="R49" s="1076"/>
      <c r="S49" s="1068"/>
      <c r="T49" s="1054"/>
      <c r="U49" s="1054"/>
      <c r="V49" s="1075"/>
      <c r="W49" s="1076"/>
      <c r="X49" s="1077">
        <v>432041.07</v>
      </c>
      <c r="Y49" s="1076"/>
      <c r="Z49" s="1068"/>
      <c r="AA49" s="1074">
        <f>ROUND(SUM(J49,Q49,X49),0)</f>
        <v>1616348</v>
      </c>
    </row>
    <row r="50" spans="1:27" s="58" customFormat="1" x14ac:dyDescent="0.3">
      <c r="A50" s="1782" t="s">
        <v>10370</v>
      </c>
      <c r="B50" s="1783"/>
      <c r="C50" s="1783"/>
      <c r="D50" s="1784"/>
      <c r="E50" s="1006"/>
      <c r="F50" s="1055"/>
      <c r="G50" s="1055"/>
      <c r="H50" s="1078"/>
      <c r="I50" s="770"/>
      <c r="J50" s="1079">
        <f>J48-J49</f>
        <v>0</v>
      </c>
      <c r="K50" s="770"/>
      <c r="L50" s="1006"/>
      <c r="M50" s="1055"/>
      <c r="N50" s="1055"/>
      <c r="O50" s="1078"/>
      <c r="P50" s="770"/>
      <c r="Q50" s="1079">
        <f>Q48-Q49</f>
        <v>0</v>
      </c>
      <c r="R50" s="770"/>
      <c r="S50" s="1006"/>
      <c r="T50" s="1055"/>
      <c r="U50" s="1055"/>
      <c r="V50" s="1078"/>
      <c r="W50" s="770"/>
      <c r="X50" s="1079">
        <f>X48-X49</f>
        <v>0</v>
      </c>
      <c r="Y50" s="770"/>
      <c r="Z50" s="1006"/>
      <c r="AA50" s="1080">
        <f>AA48-AA49</f>
        <v>0</v>
      </c>
    </row>
    <row r="51" spans="1:27" x14ac:dyDescent="0.3">
      <c r="AA51" s="1305">
        <f>AA48/5000000</f>
        <v>0.32326959999999999</v>
      </c>
    </row>
  </sheetData>
  <mergeCells count="55">
    <mergeCell ref="M16:N16"/>
    <mergeCell ref="T16:U16"/>
    <mergeCell ref="AA2:AA3"/>
    <mergeCell ref="F8:G8"/>
    <mergeCell ref="M8:N8"/>
    <mergeCell ref="T8:U8"/>
    <mergeCell ref="F9:G9"/>
    <mergeCell ref="M9:N9"/>
    <mergeCell ref="T9:U9"/>
    <mergeCell ref="T2:Y2"/>
    <mergeCell ref="F2:K2"/>
    <mergeCell ref="M2:R2"/>
    <mergeCell ref="M6:N6"/>
    <mergeCell ref="T6:U6"/>
    <mergeCell ref="M18:N18"/>
    <mergeCell ref="T18:U18"/>
    <mergeCell ref="A48:D48"/>
    <mergeCell ref="A49:D49"/>
    <mergeCell ref="M19:N19"/>
    <mergeCell ref="T19:U19"/>
    <mergeCell ref="A24:A32"/>
    <mergeCell ref="F26:G26"/>
    <mergeCell ref="M26:N26"/>
    <mergeCell ref="T26:U26"/>
    <mergeCell ref="F28:G28"/>
    <mergeCell ref="M28:N28"/>
    <mergeCell ref="T28:U28"/>
    <mergeCell ref="F29:G29"/>
    <mergeCell ref="M29:N29"/>
    <mergeCell ref="T29:U29"/>
    <mergeCell ref="A50:D50"/>
    <mergeCell ref="A4:A12"/>
    <mergeCell ref="F6:G6"/>
    <mergeCell ref="A14:A22"/>
    <mergeCell ref="F16:G16"/>
    <mergeCell ref="F19:G19"/>
    <mergeCell ref="F18:G18"/>
    <mergeCell ref="F36:G36"/>
    <mergeCell ref="F39:G39"/>
    <mergeCell ref="A2:A3"/>
    <mergeCell ref="A44:D44"/>
    <mergeCell ref="A45:D45"/>
    <mergeCell ref="A46:D46"/>
    <mergeCell ref="A47:D47"/>
    <mergeCell ref="B2:B3"/>
    <mergeCell ref="C2:C3"/>
    <mergeCell ref="D2:D3"/>
    <mergeCell ref="A34:A42"/>
    <mergeCell ref="M39:N39"/>
    <mergeCell ref="T39:U39"/>
    <mergeCell ref="M36:N36"/>
    <mergeCell ref="T36:U36"/>
    <mergeCell ref="F38:G38"/>
    <mergeCell ref="M38:N38"/>
    <mergeCell ref="T38:U38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5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8FD1-BE29-459B-869B-CB1B84BEC42E}">
  <sheetPr codeName="Sheet11">
    <pageSetUpPr fitToPage="1"/>
  </sheetPr>
  <dimension ref="B1:O95"/>
  <sheetViews>
    <sheetView showGridLines="0" view="pageBreakPreview" zoomScale="70" zoomScaleNormal="80" zoomScaleSheetLayoutView="70" workbookViewId="0">
      <pane xSplit="7" ySplit="7" topLeftCell="H66" activePane="bottomRight" state="frozen"/>
      <selection pane="topRight" activeCell="M15" sqref="M15"/>
      <selection pane="bottomLeft" activeCell="M15" sqref="M15"/>
      <selection pane="bottomRight" activeCell="M81" sqref="M81"/>
    </sheetView>
  </sheetViews>
  <sheetFormatPr defaultColWidth="8.88671875" defaultRowHeight="13.8" x14ac:dyDescent="0.3"/>
  <cols>
    <col min="1" max="1" width="1" style="185" customWidth="1"/>
    <col min="2" max="2" width="10.44140625" style="185" customWidth="1"/>
    <col min="3" max="3" width="12.44140625" style="185" customWidth="1"/>
    <col min="4" max="5" width="12.109375" style="185" customWidth="1"/>
    <col min="6" max="6" width="10.44140625" style="185" customWidth="1"/>
    <col min="7" max="7" width="55.5546875" style="185" customWidth="1"/>
    <col min="8" max="8" width="7" style="186" bestFit="1" customWidth="1"/>
    <col min="9" max="9" width="12.5546875" style="185" customWidth="1"/>
    <col min="10" max="13" width="17.5546875" style="185" customWidth="1"/>
    <col min="14" max="14" width="3.88671875" style="185" customWidth="1"/>
    <col min="15" max="15" width="17.44140625" style="241" bestFit="1" customWidth="1"/>
    <col min="16" max="16384" width="8.88671875" style="185"/>
  </cols>
  <sheetData>
    <row r="1" spans="2:15" ht="5.25" customHeight="1" x14ac:dyDescent="0.3"/>
    <row r="2" spans="2:15" ht="56.25" customHeight="1" x14ac:dyDescent="0.3">
      <c r="B2" s="189"/>
      <c r="C2" s="190" t="s">
        <v>141</v>
      </c>
      <c r="D2" s="191"/>
      <c r="E2" s="191"/>
      <c r="F2" s="191"/>
      <c r="G2" s="191"/>
      <c r="H2" s="191"/>
      <c r="I2" s="191"/>
      <c r="J2" s="191"/>
      <c r="K2" s="250"/>
      <c r="L2" s="267"/>
      <c r="M2" s="268"/>
      <c r="N2" s="266"/>
      <c r="O2" s="252"/>
    </row>
    <row r="3" spans="2:15" ht="21" customHeight="1" x14ac:dyDescent="0.3">
      <c r="B3" s="279" t="s">
        <v>10371</v>
      </c>
      <c r="C3" s="280"/>
      <c r="D3" s="280"/>
      <c r="E3" s="280"/>
      <c r="F3" s="280"/>
      <c r="G3" s="280"/>
      <c r="H3" s="280"/>
      <c r="I3" s="280"/>
      <c r="J3" s="280"/>
      <c r="K3" s="281"/>
      <c r="L3" s="280"/>
      <c r="M3" s="280"/>
      <c r="N3" s="266"/>
      <c r="O3" s="283"/>
    </row>
    <row r="4" spans="2:15" ht="21" customHeight="1" x14ac:dyDescent="0.3">
      <c r="B4" s="279"/>
      <c r="C4" s="280"/>
      <c r="D4" s="280"/>
      <c r="E4" s="280"/>
      <c r="F4" s="280"/>
      <c r="G4" s="280"/>
      <c r="H4" s="280"/>
      <c r="I4" s="280"/>
      <c r="J4" s="280"/>
      <c r="K4" s="282" t="str">
        <f>'Detailed breakup'!O4</f>
        <v>Period of bill :</v>
      </c>
      <c r="L4" s="281"/>
      <c r="M4" s="282" t="str">
        <f>'Detailed breakup'!Q4</f>
        <v>1st Jul'26 to 31st Jul'26</v>
      </c>
      <c r="N4" s="281"/>
      <c r="O4" s="313"/>
    </row>
    <row r="5" spans="2:15" s="22" customFormat="1" ht="31.2" x14ac:dyDescent="0.3">
      <c r="B5" s="1632" t="s">
        <v>143</v>
      </c>
      <c r="C5" s="1662" t="s">
        <v>24</v>
      </c>
      <c r="D5" s="1627" t="s">
        <v>144</v>
      </c>
      <c r="E5" s="1628"/>
      <c r="F5" s="1632" t="s">
        <v>175</v>
      </c>
      <c r="G5" s="1662" t="s">
        <v>176</v>
      </c>
      <c r="H5" s="1672" t="s">
        <v>177</v>
      </c>
      <c r="I5" s="1668" t="s">
        <v>178</v>
      </c>
      <c r="J5" s="1668" t="s">
        <v>180</v>
      </c>
      <c r="K5" s="413" t="s">
        <v>27</v>
      </c>
      <c r="L5" s="413" t="s">
        <v>182</v>
      </c>
      <c r="M5" s="413" t="s">
        <v>29</v>
      </c>
      <c r="O5" s="1662" t="s">
        <v>10372</v>
      </c>
    </row>
    <row r="6" spans="2:15" s="22" customFormat="1" ht="31.2" x14ac:dyDescent="0.3">
      <c r="B6" s="1633"/>
      <c r="C6" s="1663"/>
      <c r="D6" s="192" t="s">
        <v>146</v>
      </c>
      <c r="E6" s="193" t="s">
        <v>148</v>
      </c>
      <c r="F6" s="1633"/>
      <c r="G6" s="1663"/>
      <c r="H6" s="1673"/>
      <c r="I6" s="1669"/>
      <c r="J6" s="1669"/>
      <c r="K6" s="258" t="s">
        <v>147</v>
      </c>
      <c r="L6" s="258" t="s">
        <v>147</v>
      </c>
      <c r="M6" s="258" t="s">
        <v>147</v>
      </c>
      <c r="O6" s="1663"/>
    </row>
    <row r="7" spans="2:15" s="22" customFormat="1" ht="7.5" customHeight="1" x14ac:dyDescent="0.3">
      <c r="B7" s="2"/>
      <c r="C7" s="152"/>
      <c r="D7" s="194"/>
      <c r="E7" s="3"/>
      <c r="F7" s="195"/>
      <c r="G7" s="4"/>
      <c r="H7" s="196"/>
      <c r="I7" s="197"/>
      <c r="J7" s="199"/>
      <c r="K7" s="259"/>
      <c r="L7" s="264"/>
      <c r="M7" s="264"/>
      <c r="O7" s="104"/>
    </row>
    <row r="8" spans="2:15" s="22" customFormat="1" ht="15.6" customHeight="1" x14ac:dyDescent="0.3">
      <c r="B8" s="1654" t="s">
        <v>149</v>
      </c>
      <c r="C8" s="1651" t="s">
        <v>150</v>
      </c>
      <c r="D8" s="1793">
        <v>2.5000000000000001E-2</v>
      </c>
      <c r="E8" s="1795">
        <f>D8*(26885400000-55400000)</f>
        <v>670750000</v>
      </c>
      <c r="F8" s="26">
        <v>101</v>
      </c>
      <c r="G8" s="6" t="s">
        <v>187</v>
      </c>
      <c r="H8" s="27" t="s">
        <v>188</v>
      </c>
      <c r="I8" s="28">
        <v>0.30499999999999999</v>
      </c>
      <c r="J8" s="30">
        <f>I8*$E$8</f>
        <v>204578750</v>
      </c>
      <c r="K8" s="260">
        <f>SUM('Detailed breakup'!N9:N28)</f>
        <v>204578753</v>
      </c>
      <c r="L8" s="260">
        <f>SUM('Detailed breakup'!P9:P28)</f>
        <v>204578753</v>
      </c>
      <c r="M8" s="260">
        <f>SUM('Detailed breakup'!R9:R28)</f>
        <v>0</v>
      </c>
      <c r="O8" s="265" t="s">
        <v>10373</v>
      </c>
    </row>
    <row r="9" spans="2:15" s="22" customFormat="1" ht="31.2" x14ac:dyDescent="0.3">
      <c r="B9" s="1655"/>
      <c r="C9" s="1652"/>
      <c r="D9" s="1794"/>
      <c r="E9" s="1796"/>
      <c r="F9" s="14">
        <f>F8+1</f>
        <v>102</v>
      </c>
      <c r="G9" s="8" t="s">
        <v>212</v>
      </c>
      <c r="H9" s="15" t="s">
        <v>188</v>
      </c>
      <c r="I9" s="16">
        <v>0.27900000000000003</v>
      </c>
      <c r="J9" s="18">
        <f>I9*$E$8</f>
        <v>187139250.00000003</v>
      </c>
      <c r="K9" s="261">
        <f>SUM('Detailed breakup'!N30:N67)</f>
        <v>187139254</v>
      </c>
      <c r="L9" s="261">
        <f>SUM('Detailed breakup'!P30:P67)</f>
        <v>187139254</v>
      </c>
      <c r="M9" s="261">
        <f>SUM('Detailed breakup'!R30:R67)</f>
        <v>0</v>
      </c>
      <c r="O9" s="265" t="s">
        <v>10373</v>
      </c>
    </row>
    <row r="10" spans="2:15" s="22" customFormat="1" ht="31.2" x14ac:dyDescent="0.3">
      <c r="B10" s="1655"/>
      <c r="C10" s="1652"/>
      <c r="D10" s="1794"/>
      <c r="E10" s="1796"/>
      <c r="F10" s="14">
        <f>F9+1</f>
        <v>103</v>
      </c>
      <c r="G10" s="8" t="s">
        <v>220</v>
      </c>
      <c r="H10" s="15" t="s">
        <v>188</v>
      </c>
      <c r="I10" s="16">
        <v>0.123</v>
      </c>
      <c r="J10" s="18">
        <f>I10*$E$8</f>
        <v>82502250</v>
      </c>
      <c r="K10" s="261">
        <f>SUM('Detailed breakup'!N69:N76)</f>
        <v>41251127</v>
      </c>
      <c r="L10" s="261">
        <f>SUM('Detailed breakup'!P69:P76)</f>
        <v>41251127</v>
      </c>
      <c r="M10" s="261">
        <f>SUM('Detailed breakup'!R69:R76)</f>
        <v>0</v>
      </c>
      <c r="O10" s="265" t="s">
        <v>10373</v>
      </c>
    </row>
    <row r="11" spans="2:15" s="22" customFormat="1" ht="15.6" x14ac:dyDescent="0.3">
      <c r="B11" s="1655"/>
      <c r="C11" s="1652"/>
      <c r="D11" s="1794"/>
      <c r="E11" s="1796"/>
      <c r="F11" s="14">
        <f>F10+1</f>
        <v>104</v>
      </c>
      <c r="G11" s="8" t="s">
        <v>230</v>
      </c>
      <c r="H11" s="15" t="s">
        <v>188</v>
      </c>
      <c r="I11" s="16">
        <v>0.22500000000000001</v>
      </c>
      <c r="J11" s="18">
        <f>I11*$E$8</f>
        <v>150918750</v>
      </c>
      <c r="K11" s="261">
        <f>SUM('Detailed breakup'!N78:N113)</f>
        <v>79747987</v>
      </c>
      <c r="L11" s="261">
        <f>SUM('Detailed breakup'!P78:P113)</f>
        <v>79747987</v>
      </c>
      <c r="M11" s="261">
        <f>SUM('Detailed breakup'!R78:R113)</f>
        <v>0</v>
      </c>
      <c r="O11" s="265" t="s">
        <v>10373</v>
      </c>
    </row>
    <row r="12" spans="2:15" s="22" customFormat="1" ht="31.2" x14ac:dyDescent="0.3">
      <c r="B12" s="1655"/>
      <c r="C12" s="1652"/>
      <c r="D12" s="1794"/>
      <c r="E12" s="1796"/>
      <c r="F12" s="201">
        <f>F11+1</f>
        <v>105</v>
      </c>
      <c r="G12" s="202" t="s">
        <v>264</v>
      </c>
      <c r="H12" s="203" t="s">
        <v>188</v>
      </c>
      <c r="I12" s="204">
        <v>6.8000000000000005E-2</v>
      </c>
      <c r="J12" s="206">
        <f>I12*$E$8</f>
        <v>45611000</v>
      </c>
      <c r="K12" s="262">
        <f>SUM('Detailed breakup'!N115:N118)</f>
        <v>0</v>
      </c>
      <c r="L12" s="262">
        <f>SUM('Detailed breakup'!P115:P118)</f>
        <v>0</v>
      </c>
      <c r="M12" s="262">
        <f>SUM('Detailed breakup'!R115:R118)</f>
        <v>0</v>
      </c>
      <c r="O12" s="265" t="s">
        <v>10373</v>
      </c>
    </row>
    <row r="13" spans="2:15" s="97" customFormat="1" ht="15.6" x14ac:dyDescent="0.3">
      <c r="B13" s="211" t="s">
        <v>150</v>
      </c>
      <c r="C13" s="212"/>
      <c r="D13" s="212"/>
      <c r="E13" s="212"/>
      <c r="F13" s="213"/>
      <c r="G13" s="103"/>
      <c r="H13" s="214"/>
      <c r="I13" s="215"/>
      <c r="J13" s="217"/>
      <c r="K13" s="263">
        <f>SUM(K8:K12)</f>
        <v>512717121</v>
      </c>
      <c r="L13" s="263">
        <f>SUM(L8:L12)</f>
        <v>512717121</v>
      </c>
      <c r="M13" s="263">
        <f>SUM(M8:M12)</f>
        <v>0</v>
      </c>
      <c r="O13" s="253"/>
    </row>
    <row r="14" spans="2:15" s="97" customFormat="1" ht="7.5" customHeight="1" x14ac:dyDescent="0.3">
      <c r="B14" s="101"/>
      <c r="C14" s="102"/>
      <c r="D14" s="102"/>
      <c r="E14" s="102"/>
      <c r="F14" s="323"/>
      <c r="G14" s="324"/>
      <c r="H14" s="196"/>
      <c r="I14" s="197"/>
      <c r="J14" s="199"/>
      <c r="K14" s="199"/>
      <c r="L14" s="199"/>
      <c r="M14" s="325"/>
      <c r="O14" s="253"/>
    </row>
    <row r="15" spans="2:15" s="22" customFormat="1" ht="31.2" x14ac:dyDescent="0.3">
      <c r="B15" s="1658" t="s">
        <v>151</v>
      </c>
      <c r="C15" s="1680" t="s">
        <v>152</v>
      </c>
      <c r="D15" s="1677">
        <v>0.03</v>
      </c>
      <c r="E15" s="1674">
        <f>D15*(26885400000-55400000)</f>
        <v>804900000</v>
      </c>
      <c r="F15" s="26">
        <v>201</v>
      </c>
      <c r="G15" s="6" t="s">
        <v>265</v>
      </c>
      <c r="H15" s="27" t="s">
        <v>188</v>
      </c>
      <c r="I15" s="28">
        <v>4.8000000000000001E-2</v>
      </c>
      <c r="J15" s="30">
        <f t="shared" ref="J15:J20" si="0">I15*$E$15</f>
        <v>38635200</v>
      </c>
      <c r="K15" s="260">
        <f>SUM('Detailed breakup'!N122:N125)</f>
        <v>38635200</v>
      </c>
      <c r="L15" s="260">
        <f>SUM('Detailed breakup'!P122:P125)</f>
        <v>38635200</v>
      </c>
      <c r="M15" s="260">
        <f>SUM('Detailed breakup'!R122:R125)</f>
        <v>0</v>
      </c>
      <c r="O15" s="265" t="s">
        <v>10373</v>
      </c>
    </row>
    <row r="16" spans="2:15" s="22" customFormat="1" ht="30.6" customHeight="1" x14ac:dyDescent="0.3">
      <c r="B16" s="1658"/>
      <c r="C16" s="1680"/>
      <c r="D16" s="1678"/>
      <c r="E16" s="1675"/>
      <c r="F16" s="14">
        <f>F15+1</f>
        <v>202</v>
      </c>
      <c r="G16" s="8" t="s">
        <v>271</v>
      </c>
      <c r="H16" s="15" t="s">
        <v>188</v>
      </c>
      <c r="I16" s="16">
        <v>9.8000000000000004E-2</v>
      </c>
      <c r="J16" s="18">
        <f t="shared" si="0"/>
        <v>78880200</v>
      </c>
      <c r="K16" s="261">
        <f>SUM('Detailed breakup'!N127:N134)</f>
        <v>78880200</v>
      </c>
      <c r="L16" s="261">
        <f>SUM('Detailed breakup'!P127:P134)</f>
        <v>78880200</v>
      </c>
      <c r="M16" s="261">
        <f>SUM('Detailed breakup'!R127:R134)</f>
        <v>0</v>
      </c>
      <c r="O16" s="265" t="s">
        <v>10373</v>
      </c>
    </row>
    <row r="17" spans="2:15" s="22" customFormat="1" ht="46.8" x14ac:dyDescent="0.3">
      <c r="B17" s="1658"/>
      <c r="C17" s="1680"/>
      <c r="D17" s="1678"/>
      <c r="E17" s="1675"/>
      <c r="F17" s="14">
        <f>F16+1</f>
        <v>203</v>
      </c>
      <c r="G17" s="8" t="s">
        <v>277</v>
      </c>
      <c r="H17" s="15" t="s">
        <v>188</v>
      </c>
      <c r="I17" s="16">
        <v>0.29399999999999998</v>
      </c>
      <c r="J17" s="18">
        <f t="shared" si="0"/>
        <v>236640600</v>
      </c>
      <c r="K17" s="261">
        <f>SUM('Detailed breakup'!N136:N193)</f>
        <v>229778023</v>
      </c>
      <c r="L17" s="261">
        <f>SUM('Detailed breakup'!P136:P193)</f>
        <v>229778023</v>
      </c>
      <c r="M17" s="261">
        <f>SUM('Detailed breakup'!R136:R193)</f>
        <v>0</v>
      </c>
      <c r="O17" s="265" t="s">
        <v>10373</v>
      </c>
    </row>
    <row r="18" spans="2:15" s="22" customFormat="1" ht="46.8" x14ac:dyDescent="0.3">
      <c r="B18" s="1658"/>
      <c r="C18" s="1680"/>
      <c r="D18" s="1678"/>
      <c r="E18" s="1675"/>
      <c r="F18" s="14">
        <f>F17+1</f>
        <v>204</v>
      </c>
      <c r="G18" s="8" t="s">
        <v>302</v>
      </c>
      <c r="H18" s="15" t="s">
        <v>188</v>
      </c>
      <c r="I18" s="16">
        <v>0.41</v>
      </c>
      <c r="J18" s="18">
        <f t="shared" si="0"/>
        <v>330009000</v>
      </c>
      <c r="K18" s="261">
        <f>SUM('Detailed breakup'!N195:N266)</f>
        <v>304016666</v>
      </c>
      <c r="L18" s="261">
        <f>SUM('Detailed breakup'!P195:P266)</f>
        <v>303191643</v>
      </c>
      <c r="M18" s="261">
        <f>SUM('Detailed breakup'!R195:R266)</f>
        <v>825023</v>
      </c>
      <c r="O18" s="265" t="s">
        <v>10373</v>
      </c>
    </row>
    <row r="19" spans="2:15" s="22" customFormat="1" ht="30.6" customHeight="1" x14ac:dyDescent="0.3">
      <c r="B19" s="1658"/>
      <c r="C19" s="1680"/>
      <c r="D19" s="1678"/>
      <c r="E19" s="1675"/>
      <c r="F19" s="14">
        <f>F18+1</f>
        <v>205</v>
      </c>
      <c r="G19" s="8" t="s">
        <v>328</v>
      </c>
      <c r="H19" s="15" t="s">
        <v>188</v>
      </c>
      <c r="I19" s="16">
        <v>0.1</v>
      </c>
      <c r="J19" s="18">
        <f t="shared" si="0"/>
        <v>80490000</v>
      </c>
      <c r="K19" s="261">
        <f>SUM('Detailed breakup'!N268:N270)</f>
        <v>80490000</v>
      </c>
      <c r="L19" s="261">
        <f>SUM('Detailed breakup'!P268:P270)</f>
        <v>80490000</v>
      </c>
      <c r="M19" s="261">
        <f>SUM('Detailed breakup'!R268:R270)</f>
        <v>0</v>
      </c>
      <c r="O19" s="265" t="s">
        <v>10373</v>
      </c>
    </row>
    <row r="20" spans="2:15" s="22" customFormat="1" ht="15.6" x14ac:dyDescent="0.3">
      <c r="B20" s="1658"/>
      <c r="C20" s="1680"/>
      <c r="D20" s="1678"/>
      <c r="E20" s="1675"/>
      <c r="F20" s="14">
        <f>F19+1</f>
        <v>206</v>
      </c>
      <c r="G20" s="8" t="s">
        <v>329</v>
      </c>
      <c r="H20" s="15" t="s">
        <v>188</v>
      </c>
      <c r="I20" s="16">
        <v>0.05</v>
      </c>
      <c r="J20" s="18">
        <f t="shared" si="0"/>
        <v>40245000</v>
      </c>
      <c r="K20" s="261">
        <f>SUM('Detailed breakup'!N272:N274)</f>
        <v>0</v>
      </c>
      <c r="L20" s="261">
        <f>SUM('Detailed breakup'!P272:P274)</f>
        <v>0</v>
      </c>
      <c r="M20" s="261">
        <f>SUM('Detailed breakup'!R272:R274)</f>
        <v>0</v>
      </c>
      <c r="O20" s="265" t="s">
        <v>10373</v>
      </c>
    </row>
    <row r="21" spans="2:15" s="97" customFormat="1" ht="15.6" x14ac:dyDescent="0.3">
      <c r="B21" s="211" t="s">
        <v>152</v>
      </c>
      <c r="C21" s="212"/>
      <c r="D21" s="212"/>
      <c r="E21" s="212"/>
      <c r="F21" s="213"/>
      <c r="G21" s="103"/>
      <c r="H21" s="214"/>
      <c r="I21" s="215"/>
      <c r="J21" s="217"/>
      <c r="K21" s="263">
        <f>SUM(K15:K20)</f>
        <v>731800089</v>
      </c>
      <c r="L21" s="263">
        <f>SUM(L15:L20)</f>
        <v>730975066</v>
      </c>
      <c r="M21" s="263">
        <f>SUM(M15:M20)</f>
        <v>825023</v>
      </c>
      <c r="O21" s="253"/>
    </row>
    <row r="22" spans="2:15" s="97" customFormat="1" ht="7.5" customHeight="1" x14ac:dyDescent="0.3">
      <c r="B22" s="101"/>
      <c r="C22" s="102"/>
      <c r="D22" s="102"/>
      <c r="E22" s="102"/>
      <c r="F22" s="323"/>
      <c r="G22" s="324"/>
      <c r="H22" s="196"/>
      <c r="I22" s="197"/>
      <c r="J22" s="199"/>
      <c r="K22" s="199"/>
      <c r="L22" s="199"/>
      <c r="M22" s="325"/>
      <c r="O22" s="253"/>
    </row>
    <row r="23" spans="2:15" s="22" customFormat="1" ht="31.2" x14ac:dyDescent="0.3">
      <c r="B23" s="1654" t="s">
        <v>153</v>
      </c>
      <c r="C23" s="1665" t="s">
        <v>154</v>
      </c>
      <c r="D23" s="1649">
        <v>4.4999999999999998E-2</v>
      </c>
      <c r="E23" s="1674">
        <f>D23*(26885400000-55400000)</f>
        <v>1207350000</v>
      </c>
      <c r="F23" s="26">
        <v>301</v>
      </c>
      <c r="G23" s="6" t="s">
        <v>331</v>
      </c>
      <c r="H23" s="27" t="s">
        <v>188</v>
      </c>
      <c r="I23" s="28">
        <v>0.17899999999999999</v>
      </c>
      <c r="J23" s="30">
        <f t="shared" ref="J23:J29" si="1">I23*$E$23</f>
        <v>216115650</v>
      </c>
      <c r="K23" s="260">
        <f>SUM('Detailed breakup'!N278:N279)</f>
        <v>216115650</v>
      </c>
      <c r="L23" s="260">
        <f>SUM('Detailed breakup'!P278:P279)</f>
        <v>216115650</v>
      </c>
      <c r="M23" s="260">
        <f>SUM('Detailed breakup'!R278:R279)</f>
        <v>0</v>
      </c>
      <c r="O23" s="265" t="s">
        <v>10373</v>
      </c>
    </row>
    <row r="24" spans="2:15" s="22" customFormat="1" ht="30.6" customHeight="1" x14ac:dyDescent="0.3">
      <c r="B24" s="1655"/>
      <c r="C24" s="1666"/>
      <c r="D24" s="1650"/>
      <c r="E24" s="1675"/>
      <c r="F24" s="14">
        <f t="shared" ref="F24:F29" si="2">F23+1</f>
        <v>302</v>
      </c>
      <c r="G24" s="8" t="s">
        <v>335</v>
      </c>
      <c r="H24" s="15" t="s">
        <v>188</v>
      </c>
      <c r="I24" s="16">
        <v>0.121</v>
      </c>
      <c r="J24" s="18">
        <f t="shared" si="1"/>
        <v>146089350</v>
      </c>
      <c r="K24" s="261">
        <f>SUM('Detailed breakup'!N281:N291)</f>
        <v>146089351</v>
      </c>
      <c r="L24" s="261">
        <f>SUM('Detailed breakup'!P281:P291)</f>
        <v>146089351</v>
      </c>
      <c r="M24" s="261">
        <f>SUM('Detailed breakup'!R281:R291)</f>
        <v>0</v>
      </c>
      <c r="O24" s="265" t="s">
        <v>10373</v>
      </c>
    </row>
    <row r="25" spans="2:15" s="22" customFormat="1" ht="31.2" x14ac:dyDescent="0.3">
      <c r="B25" s="1655"/>
      <c r="C25" s="1666"/>
      <c r="D25" s="1650"/>
      <c r="E25" s="1675"/>
      <c r="F25" s="14">
        <f t="shared" si="2"/>
        <v>303</v>
      </c>
      <c r="G25" s="8" t="s">
        <v>344</v>
      </c>
      <c r="H25" s="15" t="s">
        <v>188</v>
      </c>
      <c r="I25" s="16">
        <v>0.27900000000000003</v>
      </c>
      <c r="J25" s="18">
        <f t="shared" si="1"/>
        <v>336850650.00000006</v>
      </c>
      <c r="K25" s="261">
        <f>SUM('Detailed breakup'!N293:N298)</f>
        <v>336850651</v>
      </c>
      <c r="L25" s="261">
        <f>SUM('Detailed breakup'!P293:P298)</f>
        <v>336850651</v>
      </c>
      <c r="M25" s="261">
        <f>SUM('Detailed breakup'!R293:R298)</f>
        <v>0</v>
      </c>
      <c r="O25" s="265" t="s">
        <v>10373</v>
      </c>
    </row>
    <row r="26" spans="2:15" s="22" customFormat="1" ht="31.2" x14ac:dyDescent="0.3">
      <c r="B26" s="1655"/>
      <c r="C26" s="1666"/>
      <c r="D26" s="1650"/>
      <c r="E26" s="1675"/>
      <c r="F26" s="14">
        <f t="shared" si="2"/>
        <v>304</v>
      </c>
      <c r="G26" s="8" t="s">
        <v>352</v>
      </c>
      <c r="H26" s="15" t="s">
        <v>188</v>
      </c>
      <c r="I26" s="16">
        <v>0.17899999999999999</v>
      </c>
      <c r="J26" s="18">
        <f t="shared" si="1"/>
        <v>216115650</v>
      </c>
      <c r="K26" s="261">
        <f>SUM('Detailed breakup'!N300:N303)</f>
        <v>216115651</v>
      </c>
      <c r="L26" s="261">
        <f>SUM('Detailed breakup'!P300:P303)</f>
        <v>216115651</v>
      </c>
      <c r="M26" s="261">
        <f>SUM('Detailed breakup'!R300:R303)</f>
        <v>0</v>
      </c>
      <c r="O26" s="265" t="s">
        <v>10373</v>
      </c>
    </row>
    <row r="27" spans="2:15" s="22" customFormat="1" ht="31.2" x14ac:dyDescent="0.3">
      <c r="B27" s="1655"/>
      <c r="C27" s="1666"/>
      <c r="D27" s="1650"/>
      <c r="E27" s="1675"/>
      <c r="F27" s="14">
        <f t="shared" si="2"/>
        <v>305</v>
      </c>
      <c r="G27" s="8" t="s">
        <v>358</v>
      </c>
      <c r="H27" s="15" t="s">
        <v>188</v>
      </c>
      <c r="I27" s="16">
        <v>0.08</v>
      </c>
      <c r="J27" s="18">
        <f t="shared" si="1"/>
        <v>96588000</v>
      </c>
      <c r="K27" s="261">
        <f>SUM('Detailed breakup'!N305:N306)</f>
        <v>28976400</v>
      </c>
      <c r="L27" s="261">
        <f>SUM('Detailed breakup'!P305:P306)</f>
        <v>28976400</v>
      </c>
      <c r="M27" s="261">
        <f>SUM('Detailed breakup'!R305:R306)</f>
        <v>0</v>
      </c>
      <c r="O27" s="265" t="s">
        <v>10373</v>
      </c>
    </row>
    <row r="28" spans="2:15" s="22" customFormat="1" ht="31.2" x14ac:dyDescent="0.3">
      <c r="B28" s="1655"/>
      <c r="C28" s="1666"/>
      <c r="D28" s="1650"/>
      <c r="E28" s="1675"/>
      <c r="F28" s="14">
        <f t="shared" si="2"/>
        <v>306</v>
      </c>
      <c r="G28" s="8" t="s">
        <v>362</v>
      </c>
      <c r="H28" s="15" t="s">
        <v>188</v>
      </c>
      <c r="I28" s="16">
        <v>0.14000000000000001</v>
      </c>
      <c r="J28" s="18">
        <f t="shared" si="1"/>
        <v>169029000.00000003</v>
      </c>
      <c r="K28" s="261">
        <f>SUM('Detailed breakup'!N308:N309)</f>
        <v>169029000</v>
      </c>
      <c r="L28" s="261">
        <f>SUM('Detailed breakup'!P308:P309)</f>
        <v>169029000</v>
      </c>
      <c r="M28" s="261">
        <f>SUM('Detailed breakup'!R308:R309)</f>
        <v>0</v>
      </c>
      <c r="O28" s="265" t="s">
        <v>10373</v>
      </c>
    </row>
    <row r="29" spans="2:15" s="22" customFormat="1" ht="31.2" x14ac:dyDescent="0.3">
      <c r="B29" s="1655"/>
      <c r="C29" s="1666"/>
      <c r="D29" s="1650"/>
      <c r="E29" s="1675"/>
      <c r="F29" s="14">
        <f t="shared" si="2"/>
        <v>307</v>
      </c>
      <c r="G29" s="8" t="s">
        <v>365</v>
      </c>
      <c r="H29" s="15" t="s">
        <v>188</v>
      </c>
      <c r="I29" s="16">
        <v>2.1999999999999999E-2</v>
      </c>
      <c r="J29" s="18">
        <f t="shared" si="1"/>
        <v>26561700</v>
      </c>
      <c r="K29" s="261">
        <f>SUM('Detailed breakup'!N311:N312)</f>
        <v>0</v>
      </c>
      <c r="L29" s="261">
        <f>SUM('Detailed breakup'!P311:P312)</f>
        <v>0</v>
      </c>
      <c r="M29" s="261">
        <f>SUM('Detailed breakup'!R311:R312)</f>
        <v>0</v>
      </c>
      <c r="O29" s="265" t="s">
        <v>10373</v>
      </c>
    </row>
    <row r="30" spans="2:15" s="97" customFormat="1" ht="15.6" x14ac:dyDescent="0.3">
      <c r="B30" s="211" t="s">
        <v>154</v>
      </c>
      <c r="C30" s="212"/>
      <c r="D30" s="212"/>
      <c r="E30" s="212"/>
      <c r="F30" s="213"/>
      <c r="G30" s="103"/>
      <c r="H30" s="214"/>
      <c r="I30" s="215"/>
      <c r="J30" s="217"/>
      <c r="K30" s="263">
        <f>SUM(K23:K29)</f>
        <v>1113176703</v>
      </c>
      <c r="L30" s="263">
        <f>SUM(L23:L29)</f>
        <v>1113176703</v>
      </c>
      <c r="M30" s="263">
        <f>SUM(M23:M29)</f>
        <v>0</v>
      </c>
      <c r="O30" s="253"/>
    </row>
    <row r="31" spans="2:15" s="97" customFormat="1" ht="7.5" customHeight="1" x14ac:dyDescent="0.3">
      <c r="B31" s="101"/>
      <c r="C31" s="102"/>
      <c r="D31" s="102"/>
      <c r="E31" s="102"/>
      <c r="F31" s="323"/>
      <c r="G31" s="324"/>
      <c r="H31" s="196"/>
      <c r="I31" s="197"/>
      <c r="J31" s="199"/>
      <c r="K31" s="199"/>
      <c r="L31" s="199"/>
      <c r="M31" s="325"/>
      <c r="O31" s="253"/>
    </row>
    <row r="32" spans="2:15" s="22" customFormat="1" ht="46.8" x14ac:dyDescent="0.3">
      <c r="B32" s="1691" t="s">
        <v>155</v>
      </c>
      <c r="C32" s="1651" t="s">
        <v>156</v>
      </c>
      <c r="D32" s="1687">
        <v>0.67</v>
      </c>
      <c r="E32" s="1684">
        <f>D32*(26885400000-55400000)</f>
        <v>17976100000</v>
      </c>
      <c r="F32" s="219">
        <v>401</v>
      </c>
      <c r="G32" s="48" t="s">
        <v>367</v>
      </c>
      <c r="H32" s="27" t="s">
        <v>340</v>
      </c>
      <c r="I32" s="28">
        <v>4.0000000000000001E-3</v>
      </c>
      <c r="J32" s="30">
        <f t="shared" ref="J32:J46" si="3">I32*$E$32</f>
        <v>71904400</v>
      </c>
      <c r="K32" s="260">
        <f>SUM('Detailed breakup'!N316:N318)</f>
        <v>2765554</v>
      </c>
      <c r="L32" s="260">
        <f>SUM('Detailed breakup'!P316:P318)</f>
        <v>70245068</v>
      </c>
      <c r="M32" s="260">
        <f>SUM('Detailed breakup'!R316:R318)</f>
        <v>-67479514</v>
      </c>
      <c r="O32" s="265" t="s">
        <v>10373</v>
      </c>
    </row>
    <row r="33" spans="2:15" s="22" customFormat="1" ht="15.6" x14ac:dyDescent="0.3">
      <c r="B33" s="1692"/>
      <c r="C33" s="1652"/>
      <c r="D33" s="1688"/>
      <c r="E33" s="1685"/>
      <c r="F33" s="42">
        <v>402</v>
      </c>
      <c r="G33" s="39" t="s">
        <v>371</v>
      </c>
      <c r="H33" s="15" t="s">
        <v>188</v>
      </c>
      <c r="I33" s="16">
        <v>0.372</v>
      </c>
      <c r="J33" s="18">
        <f t="shared" si="3"/>
        <v>6687109200</v>
      </c>
      <c r="K33" s="261">
        <f>SUM('Detailed breakup'!N320:N322)</f>
        <v>132818227</v>
      </c>
      <c r="L33" s="261">
        <f>SUM('Detailed breakup'!P320:P322)</f>
        <v>5437692865</v>
      </c>
      <c r="M33" s="261">
        <f>SUM('Detailed breakup'!R320:R322)</f>
        <v>-5304874638</v>
      </c>
      <c r="O33" s="265" t="s">
        <v>10373</v>
      </c>
    </row>
    <row r="34" spans="2:15" s="22" customFormat="1" ht="14.4" customHeight="1" x14ac:dyDescent="0.3">
      <c r="B34" s="1692"/>
      <c r="C34" s="1652"/>
      <c r="D34" s="1688"/>
      <c r="E34" s="1685"/>
      <c r="F34" s="42">
        <v>403</v>
      </c>
      <c r="G34" s="39" t="s">
        <v>375</v>
      </c>
      <c r="H34" s="15" t="s">
        <v>320</v>
      </c>
      <c r="I34" s="16">
        <v>2.1000000000000001E-2</v>
      </c>
      <c r="J34" s="18">
        <f t="shared" si="3"/>
        <v>377498100</v>
      </c>
      <c r="K34" s="261">
        <f>'Detailed breakup'!N324</f>
        <v>1733376</v>
      </c>
      <c r="L34" s="261">
        <f>'Detailed breakup'!P324</f>
        <v>39500173</v>
      </c>
      <c r="M34" s="261">
        <f>'Detailed breakup'!R324</f>
        <v>-37766797</v>
      </c>
      <c r="O34" s="265" t="s">
        <v>10373</v>
      </c>
    </row>
    <row r="35" spans="2:15" s="22" customFormat="1" ht="15.6" x14ac:dyDescent="0.3">
      <c r="B35" s="1692"/>
      <c r="C35" s="1652"/>
      <c r="D35" s="1688"/>
      <c r="E35" s="1685"/>
      <c r="F35" s="42">
        <v>404</v>
      </c>
      <c r="G35" s="39" t="s">
        <v>377</v>
      </c>
      <c r="H35" s="15" t="s">
        <v>340</v>
      </c>
      <c r="I35" s="16">
        <v>1.4999999999999999E-2</v>
      </c>
      <c r="J35" s="18">
        <f t="shared" si="3"/>
        <v>269641500</v>
      </c>
      <c r="K35" s="261">
        <f>'Detailed breakup'!N326</f>
        <v>0</v>
      </c>
      <c r="L35" s="261">
        <f>'Detailed breakup'!P326</f>
        <v>0</v>
      </c>
      <c r="M35" s="261">
        <f>'Detailed breakup'!R326</f>
        <v>0</v>
      </c>
      <c r="O35" s="265" t="s">
        <v>10373</v>
      </c>
    </row>
    <row r="36" spans="2:15" s="22" customFormat="1" ht="15.6" x14ac:dyDescent="0.3">
      <c r="B36" s="1692"/>
      <c r="C36" s="1652"/>
      <c r="D36" s="1688"/>
      <c r="E36" s="1685"/>
      <c r="F36" s="42">
        <v>405</v>
      </c>
      <c r="G36" s="39" t="s">
        <v>378</v>
      </c>
      <c r="H36" s="15" t="s">
        <v>320</v>
      </c>
      <c r="I36" s="16">
        <v>1.0999999999999999E-2</v>
      </c>
      <c r="J36" s="18">
        <f t="shared" si="3"/>
        <v>197737100</v>
      </c>
      <c r="K36" s="261">
        <f>'Detailed breakup'!N328</f>
        <v>0</v>
      </c>
      <c r="L36" s="261">
        <f>'Detailed breakup'!P328</f>
        <v>0</v>
      </c>
      <c r="M36" s="261">
        <f>'Detailed breakup'!R328</f>
        <v>0</v>
      </c>
      <c r="O36" s="265" t="s">
        <v>10373</v>
      </c>
    </row>
    <row r="37" spans="2:15" s="22" customFormat="1" ht="15.6" x14ac:dyDescent="0.3">
      <c r="B37" s="1692"/>
      <c r="C37" s="1652"/>
      <c r="D37" s="1688"/>
      <c r="E37" s="1685"/>
      <c r="F37" s="42">
        <v>406</v>
      </c>
      <c r="G37" s="39" t="s">
        <v>379</v>
      </c>
      <c r="H37" s="15" t="s">
        <v>340</v>
      </c>
      <c r="I37" s="16">
        <v>0.188</v>
      </c>
      <c r="J37" s="18">
        <f t="shared" si="3"/>
        <v>3379506800</v>
      </c>
      <c r="K37" s="261">
        <f>SUM('Detailed breakup'!N330:N331)</f>
        <v>13121257658</v>
      </c>
      <c r="L37" s="261">
        <f>SUM('Detailed breakup'!P330:P331)</f>
        <v>1026570614</v>
      </c>
      <c r="M37" s="261">
        <f>SUM('Detailed breakup'!R330:R331)</f>
        <v>12094687044</v>
      </c>
      <c r="O37" s="265" t="s">
        <v>10373</v>
      </c>
    </row>
    <row r="38" spans="2:15" s="22" customFormat="1" ht="31.2" x14ac:dyDescent="0.3">
      <c r="B38" s="1692"/>
      <c r="C38" s="1652"/>
      <c r="D38" s="1688"/>
      <c r="E38" s="1685"/>
      <c r="F38" s="42">
        <v>407</v>
      </c>
      <c r="G38" s="39" t="s">
        <v>382</v>
      </c>
      <c r="H38" s="15" t="s">
        <v>188</v>
      </c>
      <c r="I38" s="16">
        <v>3.9E-2</v>
      </c>
      <c r="J38" s="18">
        <f t="shared" si="3"/>
        <v>701067900</v>
      </c>
      <c r="K38" s="261">
        <f>SUM('Detailed breakup'!N333:N337)</f>
        <v>725856807</v>
      </c>
      <c r="L38" s="261">
        <f>SUM('Detailed breakup'!P333:P337)</f>
        <v>56789013</v>
      </c>
      <c r="M38" s="261">
        <f>SUM('Detailed breakup'!R333:R337)</f>
        <v>669067794</v>
      </c>
      <c r="O38" s="265" t="s">
        <v>10373</v>
      </c>
    </row>
    <row r="39" spans="2:15" s="22" customFormat="1" ht="15.6" x14ac:dyDescent="0.3">
      <c r="B39" s="1692"/>
      <c r="C39" s="1652"/>
      <c r="D39" s="1688"/>
      <c r="E39" s="1685"/>
      <c r="F39" s="42">
        <v>408</v>
      </c>
      <c r="G39" s="39" t="s">
        <v>388</v>
      </c>
      <c r="H39" s="15" t="s">
        <v>188</v>
      </c>
      <c r="I39" s="16">
        <v>7.9000000000000001E-2</v>
      </c>
      <c r="J39" s="18">
        <f t="shared" si="3"/>
        <v>1420111900</v>
      </c>
      <c r="K39" s="261">
        <f>SUM('Detailed breakup'!N339:N342)</f>
        <v>246721183</v>
      </c>
      <c r="L39" s="261">
        <f>SUM('Detailed breakup'!P339:P342)</f>
        <v>365992198</v>
      </c>
      <c r="M39" s="261">
        <f>SUM('Detailed breakup'!R339:R342)</f>
        <v>-119271015</v>
      </c>
      <c r="O39" s="265" t="s">
        <v>10373</v>
      </c>
    </row>
    <row r="40" spans="2:15" s="22" customFormat="1" ht="31.35" customHeight="1" x14ac:dyDescent="0.3">
      <c r="B40" s="1692"/>
      <c r="C40" s="1652"/>
      <c r="D40" s="1688"/>
      <c r="E40" s="1685"/>
      <c r="F40" s="42">
        <v>409</v>
      </c>
      <c r="G40" s="39" t="s">
        <v>392</v>
      </c>
      <c r="H40" s="15" t="s">
        <v>340</v>
      </c>
      <c r="I40" s="16">
        <v>0.22800000000000001</v>
      </c>
      <c r="J40" s="18">
        <f t="shared" si="3"/>
        <v>4098550800</v>
      </c>
      <c r="K40" s="261">
        <f>SUM('Detailed breakup'!N344:N347)</f>
        <v>0</v>
      </c>
      <c r="L40" s="261">
        <f>SUM('Detailed breakup'!P344:P347)</f>
        <v>0</v>
      </c>
      <c r="M40" s="261">
        <f>SUM('Detailed breakup'!R344:R347)</f>
        <v>0</v>
      </c>
      <c r="O40" s="265" t="s">
        <v>10373</v>
      </c>
    </row>
    <row r="41" spans="2:15" s="22" customFormat="1" ht="31.2" x14ac:dyDescent="0.3">
      <c r="B41" s="1692"/>
      <c r="C41" s="1652"/>
      <c r="D41" s="1688"/>
      <c r="E41" s="1685"/>
      <c r="F41" s="42">
        <v>410</v>
      </c>
      <c r="G41" s="39" t="s">
        <v>398</v>
      </c>
      <c r="H41" s="15" t="s">
        <v>188</v>
      </c>
      <c r="I41" s="16">
        <v>6.0000000000000001E-3</v>
      </c>
      <c r="J41" s="18">
        <f t="shared" si="3"/>
        <v>107856600</v>
      </c>
      <c r="K41" s="261">
        <f>SUM('Detailed breakup'!N349:N355)</f>
        <v>0</v>
      </c>
      <c r="L41" s="261">
        <f>SUM('Detailed breakup'!P349:P355)</f>
        <v>0</v>
      </c>
      <c r="M41" s="261">
        <f>SUM('Detailed breakup'!R349:R355)</f>
        <v>0</v>
      </c>
      <c r="O41" s="265" t="s">
        <v>10373</v>
      </c>
    </row>
    <row r="42" spans="2:15" s="22" customFormat="1" ht="15.6" x14ac:dyDescent="0.3">
      <c r="B42" s="1692"/>
      <c r="C42" s="1652"/>
      <c r="D42" s="1688"/>
      <c r="E42" s="1685"/>
      <c r="F42" s="42">
        <v>411</v>
      </c>
      <c r="G42" s="39" t="s">
        <v>406</v>
      </c>
      <c r="H42" s="15" t="s">
        <v>188</v>
      </c>
      <c r="I42" s="16">
        <v>7.0000000000000001E-3</v>
      </c>
      <c r="J42" s="18">
        <f t="shared" si="3"/>
        <v>125832700</v>
      </c>
      <c r="K42" s="261">
        <f>SUM('Detailed breakup'!N357:N359)</f>
        <v>0</v>
      </c>
      <c r="L42" s="261">
        <f>SUM('Detailed breakup'!P357:P359)</f>
        <v>0</v>
      </c>
      <c r="M42" s="261">
        <f>SUM('Detailed breakup'!R357:R359)</f>
        <v>0</v>
      </c>
      <c r="O42" s="265" t="s">
        <v>10373</v>
      </c>
    </row>
    <row r="43" spans="2:15" s="22" customFormat="1" ht="15.6" x14ac:dyDescent="0.3">
      <c r="B43" s="1692"/>
      <c r="C43" s="1652"/>
      <c r="D43" s="1688"/>
      <c r="E43" s="1685"/>
      <c r="F43" s="42">
        <v>412</v>
      </c>
      <c r="G43" s="39" t="s">
        <v>410</v>
      </c>
      <c r="H43" s="15" t="s">
        <v>188</v>
      </c>
      <c r="I43" s="16">
        <v>4.0000000000000001E-3</v>
      </c>
      <c r="J43" s="18">
        <f t="shared" si="3"/>
        <v>71904400</v>
      </c>
      <c r="K43" s="261">
        <f>SUM('Detailed breakup'!N361:N363)</f>
        <v>0</v>
      </c>
      <c r="L43" s="261">
        <f>SUM('Detailed breakup'!P361:P363)</f>
        <v>0</v>
      </c>
      <c r="M43" s="261">
        <f>SUM('Detailed breakup'!R361:R363)</f>
        <v>0</v>
      </c>
      <c r="O43" s="265" t="s">
        <v>10374</v>
      </c>
    </row>
    <row r="44" spans="2:15" s="22" customFormat="1" ht="15.6" x14ac:dyDescent="0.3">
      <c r="B44" s="1692"/>
      <c r="C44" s="1652"/>
      <c r="D44" s="1688"/>
      <c r="E44" s="1685"/>
      <c r="F44" s="42">
        <v>413</v>
      </c>
      <c r="G44" s="39" t="s">
        <v>414</v>
      </c>
      <c r="H44" s="15" t="s">
        <v>324</v>
      </c>
      <c r="I44" s="16">
        <v>3.0000000000000001E-3</v>
      </c>
      <c r="J44" s="18">
        <f t="shared" si="3"/>
        <v>53928300</v>
      </c>
      <c r="K44" s="261">
        <f>SUM('Detailed breakup'!N365:N368)</f>
        <v>0</v>
      </c>
      <c r="L44" s="261">
        <f>SUM('Detailed breakup'!P365:P368)</f>
        <v>0</v>
      </c>
      <c r="M44" s="261">
        <f>SUM('Detailed breakup'!R365:R368)</f>
        <v>0</v>
      </c>
      <c r="O44" s="265" t="s">
        <v>10373</v>
      </c>
    </row>
    <row r="45" spans="2:15" s="22" customFormat="1" ht="31.2" x14ac:dyDescent="0.3">
      <c r="B45" s="1692"/>
      <c r="C45" s="1652"/>
      <c r="D45" s="1688"/>
      <c r="E45" s="1685"/>
      <c r="F45" s="42">
        <v>414</v>
      </c>
      <c r="G45" s="39" t="s">
        <v>418</v>
      </c>
      <c r="H45" s="15" t="s">
        <v>324</v>
      </c>
      <c r="I45" s="16">
        <v>6.0000000000000001E-3</v>
      </c>
      <c r="J45" s="18">
        <f t="shared" si="3"/>
        <v>107856600</v>
      </c>
      <c r="K45" s="261">
        <f>SUM('Detailed breakup'!N370:N372)</f>
        <v>0</v>
      </c>
      <c r="L45" s="261">
        <f>SUM('Detailed breakup'!P370:P372)</f>
        <v>0</v>
      </c>
      <c r="M45" s="261">
        <f>SUM('Detailed breakup'!R370:R372)</f>
        <v>0</v>
      </c>
      <c r="O45" s="265" t="s">
        <v>10373</v>
      </c>
    </row>
    <row r="46" spans="2:15" s="22" customFormat="1" ht="15.6" x14ac:dyDescent="0.3">
      <c r="B46" s="1692"/>
      <c r="C46" s="1652"/>
      <c r="D46" s="1688"/>
      <c r="E46" s="1685"/>
      <c r="F46" s="42">
        <v>415</v>
      </c>
      <c r="G46" s="39" t="s">
        <v>420</v>
      </c>
      <c r="H46" s="15" t="s">
        <v>324</v>
      </c>
      <c r="I46" s="16">
        <v>1.7000000000000001E-2</v>
      </c>
      <c r="J46" s="18">
        <f t="shared" si="3"/>
        <v>305593700</v>
      </c>
      <c r="K46" s="261">
        <f>SUM('Detailed breakup'!N374:N375)</f>
        <v>0</v>
      </c>
      <c r="L46" s="261">
        <f>SUM('Detailed breakup'!P374:P375)</f>
        <v>0</v>
      </c>
      <c r="M46" s="261">
        <f>SUM('Detailed breakup'!R374:R375)</f>
        <v>0</v>
      </c>
      <c r="O46" s="265" t="s">
        <v>10373</v>
      </c>
    </row>
    <row r="47" spans="2:15" s="97" customFormat="1" ht="15.6" x14ac:dyDescent="0.3">
      <c r="B47" s="211" t="s">
        <v>156</v>
      </c>
      <c r="C47" s="212"/>
      <c r="D47" s="212"/>
      <c r="E47" s="212"/>
      <c r="F47" s="213"/>
      <c r="G47" s="103"/>
      <c r="H47" s="214"/>
      <c r="I47" s="215"/>
      <c r="J47" s="217"/>
      <c r="K47" s="263">
        <f>SUM(K32:K46)</f>
        <v>14231152805</v>
      </c>
      <c r="L47" s="263">
        <f>SUM(L32:L46)</f>
        <v>6996789931</v>
      </c>
      <c r="M47" s="263">
        <f>SUM(M32:M46)</f>
        <v>7234362874</v>
      </c>
      <c r="O47" s="253"/>
    </row>
    <row r="48" spans="2:15" s="97" customFormat="1" ht="7.5" customHeight="1" x14ac:dyDescent="0.3">
      <c r="B48" s="101"/>
      <c r="C48" s="102"/>
      <c r="D48" s="102"/>
      <c r="E48" s="102"/>
      <c r="F48" s="323"/>
      <c r="G48" s="324"/>
      <c r="H48" s="196"/>
      <c r="I48" s="197"/>
      <c r="J48" s="199"/>
      <c r="K48" s="199"/>
      <c r="L48" s="199"/>
      <c r="M48" s="325"/>
      <c r="O48" s="253"/>
    </row>
    <row r="49" spans="2:15" s="22" customFormat="1" ht="15.6" x14ac:dyDescent="0.3">
      <c r="B49" s="1636" t="s">
        <v>157</v>
      </c>
      <c r="C49" s="1639" t="s">
        <v>158</v>
      </c>
      <c r="D49" s="1642">
        <v>0.14499999999999999</v>
      </c>
      <c r="E49" s="1644">
        <f>D49*(26885400000-55400000)</f>
        <v>3890349999.9999995</v>
      </c>
      <c r="F49" s="26">
        <v>501</v>
      </c>
      <c r="G49" s="6" t="s">
        <v>371</v>
      </c>
      <c r="H49" s="27" t="s">
        <v>188</v>
      </c>
      <c r="I49" s="28">
        <v>0.495</v>
      </c>
      <c r="J49" s="30">
        <f t="shared" ref="J49:J58" si="4">I49*$E$49</f>
        <v>1925723249.9999998</v>
      </c>
      <c r="K49" s="260">
        <f>SUM('Detailed breakup'!N379:N386)</f>
        <v>1898974828</v>
      </c>
      <c r="L49" s="260">
        <f>SUM('Detailed breakup'!P379:P386)</f>
        <v>1894955421</v>
      </c>
      <c r="M49" s="260">
        <f>SUM('Detailed breakup'!R379:R386)</f>
        <v>4019407</v>
      </c>
      <c r="O49" s="265" t="s">
        <v>10373</v>
      </c>
    </row>
    <row r="50" spans="2:15" s="22" customFormat="1" ht="31.2" x14ac:dyDescent="0.3">
      <c r="B50" s="1638"/>
      <c r="C50" s="1641"/>
      <c r="D50" s="1643"/>
      <c r="E50" s="1645"/>
      <c r="F50" s="220" t="s">
        <v>428</v>
      </c>
      <c r="G50" s="8" t="s">
        <v>429</v>
      </c>
      <c r="H50" s="15" t="s">
        <v>188</v>
      </c>
      <c r="I50" s="16">
        <f>6%+6.1%</f>
        <v>0.121</v>
      </c>
      <c r="J50" s="18">
        <f t="shared" si="4"/>
        <v>470732349.99999994</v>
      </c>
      <c r="K50" s="261">
        <f>SUM('Detailed breakup'!N388:N393)</f>
        <v>428251626</v>
      </c>
      <c r="L50" s="261">
        <f>SUM('Detailed breakup'!P388:P393)</f>
        <v>414474093</v>
      </c>
      <c r="M50" s="261">
        <f>SUM('Detailed breakup'!R388:R393)</f>
        <v>13777533</v>
      </c>
      <c r="O50" s="265" t="s">
        <v>10373</v>
      </c>
    </row>
    <row r="51" spans="2:15" s="22" customFormat="1" ht="15.6" x14ac:dyDescent="0.3">
      <c r="B51" s="1638"/>
      <c r="C51" s="1641"/>
      <c r="D51" s="1643"/>
      <c r="E51" s="1645"/>
      <c r="F51" s="14">
        <v>504</v>
      </c>
      <c r="G51" s="8" t="s">
        <v>432</v>
      </c>
      <c r="H51" s="15" t="s">
        <v>188</v>
      </c>
      <c r="I51" s="16">
        <v>0.153</v>
      </c>
      <c r="J51" s="18">
        <f t="shared" si="4"/>
        <v>595223549.99999988</v>
      </c>
      <c r="K51" s="261">
        <f>SUM('Detailed breakup'!N395:N400)</f>
        <v>334912451</v>
      </c>
      <c r="L51" s="261">
        <f>SUM('Detailed breakup'!P395:P400)</f>
        <v>296818144</v>
      </c>
      <c r="M51" s="261">
        <f>SUM('Detailed breakup'!R395:R400)</f>
        <v>38094307</v>
      </c>
      <c r="O51" s="265" t="s">
        <v>10373</v>
      </c>
    </row>
    <row r="52" spans="2:15" s="22" customFormat="1" ht="31.2" x14ac:dyDescent="0.3">
      <c r="B52" s="1638"/>
      <c r="C52" s="1641"/>
      <c r="D52" s="1643"/>
      <c r="E52" s="1645"/>
      <c r="F52" s="14">
        <v>505</v>
      </c>
      <c r="G52" s="8" t="s">
        <v>382</v>
      </c>
      <c r="H52" s="15" t="s">
        <v>188</v>
      </c>
      <c r="I52" s="16">
        <v>3.4000000000000002E-2</v>
      </c>
      <c r="J52" s="18">
        <f t="shared" si="4"/>
        <v>132271900</v>
      </c>
      <c r="K52" s="261">
        <f>SUM('Detailed breakup'!N402:N409)</f>
        <v>110809810</v>
      </c>
      <c r="L52" s="261">
        <f>SUM('Detailed breakup'!P402:P409)</f>
        <v>110016179</v>
      </c>
      <c r="M52" s="261">
        <f>SUM('Detailed breakup'!R402:R409)</f>
        <v>793631</v>
      </c>
      <c r="O52" s="265" t="s">
        <v>10373</v>
      </c>
    </row>
    <row r="53" spans="2:15" s="22" customFormat="1" ht="31.2" x14ac:dyDescent="0.3">
      <c r="B53" s="1638"/>
      <c r="C53" s="1641"/>
      <c r="D53" s="1643"/>
      <c r="E53" s="1645"/>
      <c r="F53" s="14">
        <v>506</v>
      </c>
      <c r="G53" s="8" t="s">
        <v>437</v>
      </c>
      <c r="H53" s="15" t="s">
        <v>188</v>
      </c>
      <c r="I53" s="16">
        <v>0.16200000000000003</v>
      </c>
      <c r="J53" s="18">
        <f t="shared" si="4"/>
        <v>630236700</v>
      </c>
      <c r="K53" s="261">
        <f>SUM('Detailed breakup'!N411:N418)</f>
        <v>152307204</v>
      </c>
      <c r="L53" s="261">
        <f>SUM('Detailed breakup'!P411:P418)</f>
        <v>115543395</v>
      </c>
      <c r="M53" s="261">
        <f>SUM('Detailed breakup'!R411:R418)</f>
        <v>36763809</v>
      </c>
      <c r="O53" s="265" t="s">
        <v>10373</v>
      </c>
    </row>
    <row r="54" spans="2:15" s="22" customFormat="1" ht="15.6" x14ac:dyDescent="0.3">
      <c r="B54" s="1638"/>
      <c r="C54" s="1641"/>
      <c r="D54" s="1643"/>
      <c r="E54" s="1645"/>
      <c r="F54" s="14">
        <v>507</v>
      </c>
      <c r="G54" s="8" t="s">
        <v>441</v>
      </c>
      <c r="H54" s="15" t="s">
        <v>188</v>
      </c>
      <c r="I54" s="16">
        <v>7.0000000000000001E-3</v>
      </c>
      <c r="J54" s="18">
        <f t="shared" si="4"/>
        <v>27232449.999999996</v>
      </c>
      <c r="K54" s="261">
        <f>SUM('Detailed breakup'!N420:N431)</f>
        <v>2893448</v>
      </c>
      <c r="L54" s="261">
        <f>SUM('Detailed breakup'!P420:P431)</f>
        <v>2841078</v>
      </c>
      <c r="M54" s="261">
        <f>SUM('Detailed breakup'!R420:R431)</f>
        <v>52370</v>
      </c>
      <c r="O54" s="265" t="s">
        <v>10373</v>
      </c>
    </row>
    <row r="55" spans="2:15" s="22" customFormat="1" ht="15.6" x14ac:dyDescent="0.3">
      <c r="B55" s="1638"/>
      <c r="C55" s="1641"/>
      <c r="D55" s="1643"/>
      <c r="E55" s="1645"/>
      <c r="F55" s="14">
        <v>508</v>
      </c>
      <c r="G55" s="8" t="s">
        <v>443</v>
      </c>
      <c r="H55" s="15" t="s">
        <v>188</v>
      </c>
      <c r="I55" s="16">
        <v>1.2E-2</v>
      </c>
      <c r="J55" s="18">
        <f t="shared" si="4"/>
        <v>46684199.999999993</v>
      </c>
      <c r="K55" s="261">
        <f>SUM('Detailed breakup'!N433:N438)</f>
        <v>0</v>
      </c>
      <c r="L55" s="261">
        <f>SUM('Detailed breakup'!P433:P438)</f>
        <v>0</v>
      </c>
      <c r="M55" s="261">
        <f>SUM('Detailed breakup'!R433:R438)</f>
        <v>0</v>
      </c>
      <c r="O55" s="265" t="s">
        <v>10373</v>
      </c>
    </row>
    <row r="56" spans="2:15" s="22" customFormat="1" ht="15.6" x14ac:dyDescent="0.3">
      <c r="B56" s="1638"/>
      <c r="C56" s="1641"/>
      <c r="D56" s="1643"/>
      <c r="E56" s="1645"/>
      <c r="F56" s="14">
        <v>509</v>
      </c>
      <c r="G56" s="8" t="s">
        <v>410</v>
      </c>
      <c r="H56" s="15" t="s">
        <v>188</v>
      </c>
      <c r="I56" s="16">
        <v>4.9999999999999992E-3</v>
      </c>
      <c r="J56" s="18">
        <f t="shared" si="4"/>
        <v>19451749.999999996</v>
      </c>
      <c r="K56" s="261">
        <f>SUM('Detailed breakup'!N440:N447)</f>
        <v>0</v>
      </c>
      <c r="L56" s="261">
        <f>SUM('Detailed breakup'!P440:P447)</f>
        <v>0</v>
      </c>
      <c r="M56" s="261">
        <f>SUM('Detailed breakup'!R440:R447)</f>
        <v>0</v>
      </c>
      <c r="O56" s="265" t="s">
        <v>10374</v>
      </c>
    </row>
    <row r="57" spans="2:15" s="22" customFormat="1" ht="15.6" x14ac:dyDescent="0.3">
      <c r="B57" s="1638"/>
      <c r="C57" s="1641"/>
      <c r="D57" s="1643"/>
      <c r="E57" s="1645"/>
      <c r="F57" s="14">
        <v>510</v>
      </c>
      <c r="G57" s="8" t="s">
        <v>414</v>
      </c>
      <c r="H57" s="15" t="s">
        <v>188</v>
      </c>
      <c r="I57" s="16">
        <v>6.0000000000000001E-3</v>
      </c>
      <c r="J57" s="18">
        <f t="shared" si="4"/>
        <v>23342099.999999996</v>
      </c>
      <c r="K57" s="261">
        <f>SUM('Detailed breakup'!N449:N456)</f>
        <v>0</v>
      </c>
      <c r="L57" s="261">
        <f>SUM('Detailed breakup'!P449:P456)</f>
        <v>0</v>
      </c>
      <c r="M57" s="261">
        <f>SUM('Detailed breakup'!R449:R456)</f>
        <v>0</v>
      </c>
      <c r="O57" s="265" t="s">
        <v>10373</v>
      </c>
    </row>
    <row r="58" spans="2:15" s="22" customFormat="1" ht="46.8" x14ac:dyDescent="0.3">
      <c r="B58" s="1638"/>
      <c r="C58" s="1641"/>
      <c r="D58" s="1643"/>
      <c r="E58" s="1645"/>
      <c r="F58" s="14">
        <v>511</v>
      </c>
      <c r="G58" s="8" t="s">
        <v>447</v>
      </c>
      <c r="H58" s="15" t="s">
        <v>188</v>
      </c>
      <c r="I58" s="16">
        <v>4.9999999999999992E-3</v>
      </c>
      <c r="J58" s="18">
        <f t="shared" si="4"/>
        <v>19451749.999999996</v>
      </c>
      <c r="K58" s="261">
        <f>SUM('Detailed breakup'!N458:N458)</f>
        <v>0</v>
      </c>
      <c r="L58" s="261">
        <f>SUM('Detailed breakup'!P458:P458)</f>
        <v>0</v>
      </c>
      <c r="M58" s="261">
        <f>SUM('Detailed breakup'!R458:R458)</f>
        <v>0</v>
      </c>
      <c r="O58" s="265" t="s">
        <v>10373</v>
      </c>
    </row>
    <row r="59" spans="2:15" s="97" customFormat="1" ht="15.6" x14ac:dyDescent="0.3">
      <c r="B59" s="211" t="s">
        <v>158</v>
      </c>
      <c r="C59" s="212"/>
      <c r="D59" s="212"/>
      <c r="E59" s="212"/>
      <c r="F59" s="213"/>
      <c r="G59" s="103"/>
      <c r="H59" s="214"/>
      <c r="I59" s="215"/>
      <c r="J59" s="217"/>
      <c r="K59" s="263">
        <f>SUM(K49:K58)</f>
        <v>2928149367</v>
      </c>
      <c r="L59" s="263">
        <f>SUM(L49:L58)</f>
        <v>2834648310</v>
      </c>
      <c r="M59" s="263">
        <f>SUM(M49:M58)</f>
        <v>93501057</v>
      </c>
      <c r="O59" s="253"/>
    </row>
    <row r="60" spans="2:15" s="97" customFormat="1" ht="7.5" customHeight="1" x14ac:dyDescent="0.3">
      <c r="B60" s="101"/>
      <c r="C60" s="102"/>
      <c r="D60" s="102"/>
      <c r="E60" s="102"/>
      <c r="F60" s="323"/>
      <c r="G60" s="324"/>
      <c r="H60" s="196"/>
      <c r="I60" s="197"/>
      <c r="J60" s="199"/>
      <c r="K60" s="199"/>
      <c r="L60" s="199"/>
      <c r="M60" s="325"/>
      <c r="O60" s="253"/>
    </row>
    <row r="61" spans="2:15" s="22" customFormat="1" ht="15.6" x14ac:dyDescent="0.3">
      <c r="B61" s="1691" t="s">
        <v>159</v>
      </c>
      <c r="C61" s="1651" t="s">
        <v>160</v>
      </c>
      <c r="D61" s="1687">
        <v>2.5000000000000001E-2</v>
      </c>
      <c r="E61" s="1674">
        <f>D61*(26885400000-55400000)</f>
        <v>670750000</v>
      </c>
      <c r="F61" s="26">
        <v>601</v>
      </c>
      <c r="G61" s="6" t="s">
        <v>448</v>
      </c>
      <c r="H61" s="27" t="s">
        <v>340</v>
      </c>
      <c r="I61" s="28">
        <v>0.01</v>
      </c>
      <c r="J61" s="30">
        <f t="shared" ref="J61:J68" si="5">I61*$E$61</f>
        <v>6707500</v>
      </c>
      <c r="K61" s="260">
        <f>SUM('Detailed breakup'!N462:N463)</f>
        <v>0</v>
      </c>
      <c r="L61" s="260">
        <f>SUM('Detailed breakup'!P462:P463)</f>
        <v>0</v>
      </c>
      <c r="M61" s="260">
        <f>SUM('Detailed breakup'!R462:R463)</f>
        <v>0</v>
      </c>
      <c r="O61" s="265" t="s">
        <v>10374</v>
      </c>
    </row>
    <row r="62" spans="2:15" s="22" customFormat="1" ht="15.6" x14ac:dyDescent="0.3">
      <c r="B62" s="1692"/>
      <c r="C62" s="1652"/>
      <c r="D62" s="1688"/>
      <c r="E62" s="1675"/>
      <c r="F62" s="14">
        <f t="shared" ref="F62:F68" si="6">F61+1</f>
        <v>602</v>
      </c>
      <c r="G62" s="8" t="s">
        <v>451</v>
      </c>
      <c r="H62" s="15" t="s">
        <v>340</v>
      </c>
      <c r="I62" s="16">
        <v>1E-3</v>
      </c>
      <c r="J62" s="18">
        <f t="shared" si="5"/>
        <v>670750</v>
      </c>
      <c r="K62" s="261">
        <f>SUM('Detailed breakup'!N465)</f>
        <v>0</v>
      </c>
      <c r="L62" s="261">
        <f>SUM('Detailed breakup'!P465)</f>
        <v>0</v>
      </c>
      <c r="M62" s="261">
        <f>SUM('Detailed breakup'!R465)</f>
        <v>0</v>
      </c>
      <c r="O62" s="265" t="s">
        <v>10374</v>
      </c>
    </row>
    <row r="63" spans="2:15" s="22" customFormat="1" ht="15.6" x14ac:dyDescent="0.3">
      <c r="B63" s="1692"/>
      <c r="C63" s="1652"/>
      <c r="D63" s="1688"/>
      <c r="E63" s="1675"/>
      <c r="F63" s="14">
        <f t="shared" si="6"/>
        <v>603</v>
      </c>
      <c r="G63" s="8" t="s">
        <v>371</v>
      </c>
      <c r="H63" s="15" t="s">
        <v>340</v>
      </c>
      <c r="I63" s="16">
        <v>0.49</v>
      </c>
      <c r="J63" s="18">
        <f t="shared" si="5"/>
        <v>328667500</v>
      </c>
      <c r="K63" s="261">
        <f>SUM('Detailed breakup'!N467:N469)</f>
        <v>328667500</v>
      </c>
      <c r="L63" s="261">
        <f>SUM('Detailed breakup'!P467:P469)</f>
        <v>328667500</v>
      </c>
      <c r="M63" s="261">
        <f>SUM('Detailed breakup'!R467:R469)</f>
        <v>0</v>
      </c>
      <c r="O63" s="265" t="s">
        <v>10373</v>
      </c>
    </row>
    <row r="64" spans="2:15" s="22" customFormat="1" ht="15.6" customHeight="1" x14ac:dyDescent="0.3">
      <c r="B64" s="1692"/>
      <c r="C64" s="1652"/>
      <c r="D64" s="1688"/>
      <c r="E64" s="1675"/>
      <c r="F64" s="14">
        <f t="shared" si="6"/>
        <v>604</v>
      </c>
      <c r="G64" s="8" t="s">
        <v>455</v>
      </c>
      <c r="H64" s="15" t="s">
        <v>188</v>
      </c>
      <c r="I64" s="16">
        <v>0.378</v>
      </c>
      <c r="J64" s="18">
        <f t="shared" si="5"/>
        <v>253543500</v>
      </c>
      <c r="K64" s="261">
        <f>SUM('Detailed breakup'!N471:N473)</f>
        <v>253543500</v>
      </c>
      <c r="L64" s="261">
        <f>SUM('Detailed breakup'!P471:P473)</f>
        <v>253543500</v>
      </c>
      <c r="M64" s="261">
        <f>SUM('Detailed breakup'!R471:R473)</f>
        <v>0</v>
      </c>
      <c r="O64" s="265" t="s">
        <v>10373</v>
      </c>
    </row>
    <row r="65" spans="2:15" s="22" customFormat="1" ht="31.2" x14ac:dyDescent="0.3">
      <c r="B65" s="1692"/>
      <c r="C65" s="1652"/>
      <c r="D65" s="1688"/>
      <c r="E65" s="1675"/>
      <c r="F65" s="14">
        <f t="shared" si="6"/>
        <v>605</v>
      </c>
      <c r="G65" s="8" t="s">
        <v>382</v>
      </c>
      <c r="H65" s="15" t="s">
        <v>188</v>
      </c>
      <c r="I65" s="16">
        <v>8.9999999999999993E-3</v>
      </c>
      <c r="J65" s="18">
        <f t="shared" si="5"/>
        <v>6036750</v>
      </c>
      <c r="K65" s="261">
        <f>SUM('Detailed breakup'!N475:N477)</f>
        <v>0</v>
      </c>
      <c r="L65" s="261">
        <f>SUM('Detailed breakup'!P475:P477)</f>
        <v>0</v>
      </c>
      <c r="M65" s="261">
        <f>SUM('Detailed breakup'!R475:R477)</f>
        <v>0</v>
      </c>
      <c r="O65" s="265" t="s">
        <v>10373</v>
      </c>
    </row>
    <row r="66" spans="2:15" s="22" customFormat="1" ht="15.6" x14ac:dyDescent="0.3">
      <c r="B66" s="1692"/>
      <c r="C66" s="1652"/>
      <c r="D66" s="1688"/>
      <c r="E66" s="1675"/>
      <c r="F66" s="14">
        <f t="shared" si="6"/>
        <v>606</v>
      </c>
      <c r="G66" s="8" t="s">
        <v>461</v>
      </c>
      <c r="H66" s="15" t="s">
        <v>340</v>
      </c>
      <c r="I66" s="16">
        <v>0.10100000000000001</v>
      </c>
      <c r="J66" s="18">
        <f t="shared" si="5"/>
        <v>67745750</v>
      </c>
      <c r="K66" s="261">
        <f>SUM('Detailed breakup'!N479:N482)</f>
        <v>10839320</v>
      </c>
      <c r="L66" s="261">
        <f>SUM('Detailed breakup'!P479:P482)</f>
        <v>10839320</v>
      </c>
      <c r="M66" s="261">
        <f>SUM('Detailed breakup'!R479:R482)</f>
        <v>0</v>
      </c>
      <c r="O66" s="265" t="s">
        <v>10373</v>
      </c>
    </row>
    <row r="67" spans="2:15" s="22" customFormat="1" ht="15.6" x14ac:dyDescent="0.3">
      <c r="B67" s="1692"/>
      <c r="C67" s="1652"/>
      <c r="D67" s="1688"/>
      <c r="E67" s="1675"/>
      <c r="F67" s="14">
        <f t="shared" si="6"/>
        <v>607</v>
      </c>
      <c r="G67" s="8" t="s">
        <v>441</v>
      </c>
      <c r="H67" s="15" t="s">
        <v>188</v>
      </c>
      <c r="I67" s="16">
        <v>7.0000000000000001E-3</v>
      </c>
      <c r="J67" s="18">
        <f t="shared" si="5"/>
        <v>4695250</v>
      </c>
      <c r="K67" s="261">
        <f>SUM('Detailed breakup'!N484:N487)</f>
        <v>0</v>
      </c>
      <c r="L67" s="261">
        <f>SUM('Detailed breakup'!P484:P487)</f>
        <v>0</v>
      </c>
      <c r="M67" s="261">
        <f>SUM('Detailed breakup'!R484:R487)</f>
        <v>0</v>
      </c>
      <c r="O67" s="265" t="s">
        <v>10373</v>
      </c>
    </row>
    <row r="68" spans="2:15" s="22" customFormat="1" ht="15.6" x14ac:dyDescent="0.3">
      <c r="B68" s="1692"/>
      <c r="C68" s="1652"/>
      <c r="D68" s="1688"/>
      <c r="E68" s="1675"/>
      <c r="F68" s="14">
        <f t="shared" si="6"/>
        <v>608</v>
      </c>
      <c r="G68" s="8" t="s">
        <v>466</v>
      </c>
      <c r="H68" s="15" t="s">
        <v>188</v>
      </c>
      <c r="I68" s="16">
        <v>4.0000000000000001E-3</v>
      </c>
      <c r="J68" s="18">
        <f t="shared" si="5"/>
        <v>2683000</v>
      </c>
      <c r="K68" s="261">
        <f>SUM('Detailed breakup'!N489:N490)</f>
        <v>0</v>
      </c>
      <c r="L68" s="261">
        <f>SUM('Detailed breakup'!P489:P490)</f>
        <v>0</v>
      </c>
      <c r="M68" s="261">
        <f>SUM('Detailed breakup'!R489:R490)</f>
        <v>0</v>
      </c>
      <c r="O68" s="265" t="s">
        <v>10373</v>
      </c>
    </row>
    <row r="69" spans="2:15" s="97" customFormat="1" ht="15.6" x14ac:dyDescent="0.3">
      <c r="B69" s="211" t="s">
        <v>160</v>
      </c>
      <c r="C69" s="212"/>
      <c r="D69" s="212"/>
      <c r="E69" s="212"/>
      <c r="F69" s="213"/>
      <c r="G69" s="103"/>
      <c r="H69" s="214"/>
      <c r="I69" s="215"/>
      <c r="J69" s="217"/>
      <c r="K69" s="263">
        <f>SUM(K61:K68)</f>
        <v>593050320</v>
      </c>
      <c r="L69" s="263">
        <f>SUM(L61:L68)</f>
        <v>593050320</v>
      </c>
      <c r="M69" s="263">
        <f>SUM(M61:M68)</f>
        <v>0</v>
      </c>
      <c r="O69" s="253"/>
    </row>
    <row r="70" spans="2:15" s="97" customFormat="1" ht="7.5" customHeight="1" x14ac:dyDescent="0.3">
      <c r="B70" s="101"/>
      <c r="C70" s="102"/>
      <c r="D70" s="102"/>
      <c r="E70" s="102"/>
      <c r="F70" s="323"/>
      <c r="G70" s="324"/>
      <c r="H70" s="196"/>
      <c r="I70" s="197"/>
      <c r="J70" s="199"/>
      <c r="K70" s="199"/>
      <c r="L70" s="199"/>
      <c r="M70" s="325"/>
      <c r="O70" s="253"/>
    </row>
    <row r="71" spans="2:15" s="22" customFormat="1" ht="15.6" x14ac:dyDescent="0.3">
      <c r="B71" s="1658" t="s">
        <v>161</v>
      </c>
      <c r="C71" s="1680" t="s">
        <v>162</v>
      </c>
      <c r="D71" s="1677">
        <v>0.06</v>
      </c>
      <c r="E71" s="1674">
        <f>D71*(26885400000-55400000)</f>
        <v>1609800000</v>
      </c>
      <c r="F71" s="219">
        <v>701</v>
      </c>
      <c r="G71" s="48" t="s">
        <v>467</v>
      </c>
      <c r="H71" s="27" t="s">
        <v>267</v>
      </c>
      <c r="I71" s="28">
        <v>0.24099999999999999</v>
      </c>
      <c r="J71" s="30">
        <f t="shared" ref="J71:J76" si="7">I71*$E$71</f>
        <v>387961800</v>
      </c>
      <c r="K71" s="260">
        <f>SUM('Detailed breakup'!N494:N495)</f>
        <v>162683303</v>
      </c>
      <c r="L71" s="260">
        <f>SUM('Detailed breakup'!P494:P495)</f>
        <v>162683303</v>
      </c>
      <c r="M71" s="260">
        <f>SUM('Detailed breakup'!R494:R495)</f>
        <v>0</v>
      </c>
      <c r="O71" s="265" t="s">
        <v>10374</v>
      </c>
    </row>
    <row r="72" spans="2:15" s="22" customFormat="1" ht="15.6" x14ac:dyDescent="0.3">
      <c r="B72" s="1658"/>
      <c r="C72" s="1680"/>
      <c r="D72" s="1678"/>
      <c r="E72" s="1675"/>
      <c r="F72" s="42">
        <f t="shared" ref="F72:F77" si="8">F71+1</f>
        <v>702</v>
      </c>
      <c r="G72" s="39" t="s">
        <v>470</v>
      </c>
      <c r="H72" s="15" t="s">
        <v>267</v>
      </c>
      <c r="I72" s="16">
        <v>7.6999999999999999E-2</v>
      </c>
      <c r="J72" s="18">
        <f t="shared" si="7"/>
        <v>123954600</v>
      </c>
      <c r="K72" s="261">
        <f>'Detailed breakup'!N497</f>
        <v>0</v>
      </c>
      <c r="L72" s="261">
        <f>'Detailed breakup'!P497</f>
        <v>0</v>
      </c>
      <c r="M72" s="261">
        <f>'Detailed breakup'!R497</f>
        <v>0</v>
      </c>
      <c r="O72" s="265" t="s">
        <v>10374</v>
      </c>
    </row>
    <row r="73" spans="2:15" s="22" customFormat="1" ht="15.6" x14ac:dyDescent="0.3">
      <c r="B73" s="1658"/>
      <c r="C73" s="1680"/>
      <c r="D73" s="1678"/>
      <c r="E73" s="1675"/>
      <c r="F73" s="42">
        <f t="shared" si="8"/>
        <v>703</v>
      </c>
      <c r="G73" s="39" t="s">
        <v>471</v>
      </c>
      <c r="H73" s="15" t="s">
        <v>267</v>
      </c>
      <c r="I73" s="16">
        <v>8.2000000000000003E-2</v>
      </c>
      <c r="J73" s="18">
        <f t="shared" si="7"/>
        <v>132003600</v>
      </c>
      <c r="K73" s="261">
        <f>SUM('Detailed breakup'!N499:N500)</f>
        <v>0</v>
      </c>
      <c r="L73" s="261">
        <f>SUM('Detailed breakup'!P499:P500)</f>
        <v>0</v>
      </c>
      <c r="M73" s="261">
        <f>SUM('Detailed breakup'!R499:R500)</f>
        <v>0</v>
      </c>
      <c r="O73" s="265" t="s">
        <v>10374</v>
      </c>
    </row>
    <row r="74" spans="2:15" s="22" customFormat="1" ht="15.6" x14ac:dyDescent="0.3">
      <c r="B74" s="1658"/>
      <c r="C74" s="1680"/>
      <c r="D74" s="1678"/>
      <c r="E74" s="1675"/>
      <c r="F74" s="42">
        <f t="shared" si="8"/>
        <v>704</v>
      </c>
      <c r="G74" s="39" t="s">
        <v>451</v>
      </c>
      <c r="H74" s="15" t="s">
        <v>267</v>
      </c>
      <c r="I74" s="16">
        <v>0.123</v>
      </c>
      <c r="J74" s="18">
        <f t="shared" si="7"/>
        <v>198005400</v>
      </c>
      <c r="K74" s="261">
        <f>SUM('Detailed breakup'!N502:N503)</f>
        <v>0</v>
      </c>
      <c r="L74" s="261">
        <f>SUM('Detailed breakup'!P502:P503)</f>
        <v>0</v>
      </c>
      <c r="M74" s="261">
        <f>SUM('Detailed breakup'!R502:R503)</f>
        <v>0</v>
      </c>
      <c r="O74" s="265" t="s">
        <v>10374</v>
      </c>
    </row>
    <row r="75" spans="2:15" s="22" customFormat="1" ht="15.6" x14ac:dyDescent="0.3">
      <c r="B75" s="1658"/>
      <c r="C75" s="1680"/>
      <c r="D75" s="1678"/>
      <c r="E75" s="1675"/>
      <c r="F75" s="42">
        <f t="shared" si="8"/>
        <v>705</v>
      </c>
      <c r="G75" s="39" t="s">
        <v>474</v>
      </c>
      <c r="H75" s="15" t="s">
        <v>267</v>
      </c>
      <c r="I75" s="16">
        <v>5.5E-2</v>
      </c>
      <c r="J75" s="18">
        <f t="shared" si="7"/>
        <v>88539000</v>
      </c>
      <c r="K75" s="261">
        <f>'Detailed breakup'!N505</f>
        <v>0</v>
      </c>
      <c r="L75" s="261">
        <f>'Detailed breakup'!P505</f>
        <v>0</v>
      </c>
      <c r="M75" s="261">
        <f>'Detailed breakup'!R505</f>
        <v>0</v>
      </c>
      <c r="O75" s="265" t="s">
        <v>10374</v>
      </c>
    </row>
    <row r="76" spans="2:15" s="22" customFormat="1" ht="31.2" x14ac:dyDescent="0.3">
      <c r="B76" s="1658"/>
      <c r="C76" s="1680"/>
      <c r="D76" s="1678"/>
      <c r="E76" s="1675"/>
      <c r="F76" s="42">
        <f t="shared" si="8"/>
        <v>706</v>
      </c>
      <c r="G76" s="39" t="s">
        <v>475</v>
      </c>
      <c r="H76" s="15" t="s">
        <v>188</v>
      </c>
      <c r="I76" s="16">
        <v>0.33800000000000002</v>
      </c>
      <c r="J76" s="18">
        <f t="shared" si="7"/>
        <v>544112400</v>
      </c>
      <c r="K76" s="261">
        <f>SUM('Detailed breakup'!N507:N511)</f>
        <v>54411240</v>
      </c>
      <c r="L76" s="261">
        <f>SUM('Detailed breakup'!P507:P511)</f>
        <v>51388393</v>
      </c>
      <c r="M76" s="261">
        <f>SUM('Detailed breakup'!R507:R511)</f>
        <v>3022847</v>
      </c>
      <c r="O76" s="265" t="s">
        <v>10374</v>
      </c>
    </row>
    <row r="77" spans="2:15" s="22" customFormat="1" ht="31.2" x14ac:dyDescent="0.3">
      <c r="B77" s="1658"/>
      <c r="C77" s="1680"/>
      <c r="D77" s="1678"/>
      <c r="E77" s="1675"/>
      <c r="F77" s="42">
        <f t="shared" si="8"/>
        <v>707</v>
      </c>
      <c r="G77" s="39" t="s">
        <v>481</v>
      </c>
      <c r="H77" s="15" t="s">
        <v>267</v>
      </c>
      <c r="I77" s="16">
        <v>8.4000000000000005E-2</v>
      </c>
      <c r="J77" s="18">
        <f>I77*$E$71</f>
        <v>135223200</v>
      </c>
      <c r="K77" s="261">
        <f>SUM('Detailed breakup'!N513:N516)</f>
        <v>0</v>
      </c>
      <c r="L77" s="261">
        <f>SUM('Detailed breakup'!P513:P516)</f>
        <v>0</v>
      </c>
      <c r="M77" s="261">
        <f>SUM('Detailed breakup'!R513:R516)</f>
        <v>0</v>
      </c>
      <c r="O77" s="265" t="s">
        <v>10374</v>
      </c>
    </row>
    <row r="78" spans="2:15" s="97" customFormat="1" ht="15.6" x14ac:dyDescent="0.3">
      <c r="B78" s="211" t="s">
        <v>162</v>
      </c>
      <c r="C78" s="212"/>
      <c r="D78" s="212"/>
      <c r="E78" s="212"/>
      <c r="F78" s="213"/>
      <c r="G78" s="103"/>
      <c r="H78" s="214"/>
      <c r="I78" s="215"/>
      <c r="J78" s="217"/>
      <c r="K78" s="263">
        <f>SUM(K71:K77)</f>
        <v>217094543</v>
      </c>
      <c r="L78" s="263">
        <f>SUM(L71:L77)</f>
        <v>214071696</v>
      </c>
      <c r="M78" s="263">
        <f>SUM(M71:M77)</f>
        <v>3022847</v>
      </c>
      <c r="O78" s="253"/>
    </row>
    <row r="79" spans="2:15" s="97" customFormat="1" ht="7.5" customHeight="1" x14ac:dyDescent="0.3">
      <c r="B79" s="101"/>
      <c r="C79" s="102"/>
      <c r="D79" s="102"/>
      <c r="E79" s="102"/>
      <c r="F79" s="323"/>
      <c r="G79" s="324"/>
      <c r="H79" s="196"/>
      <c r="I79" s="197"/>
      <c r="J79" s="199"/>
      <c r="K79" s="199"/>
      <c r="L79" s="199"/>
      <c r="M79" s="325"/>
      <c r="O79" s="253"/>
    </row>
    <row r="80" spans="2:15" s="22" customFormat="1" ht="48.6" customHeight="1" x14ac:dyDescent="0.3">
      <c r="B80" s="1658" t="s">
        <v>163</v>
      </c>
      <c r="C80" s="1680" t="s">
        <v>164</v>
      </c>
      <c r="D80" s="1649"/>
      <c r="E80" s="1674">
        <f>55400000</f>
        <v>55400000</v>
      </c>
      <c r="F80" s="221">
        <v>801</v>
      </c>
      <c r="G80" s="6" t="s">
        <v>484</v>
      </c>
      <c r="H80" s="222" t="s">
        <v>188</v>
      </c>
      <c r="I80" s="28">
        <v>1</v>
      </c>
      <c r="J80" s="30">
        <f>5.04*10^7</f>
        <v>50400000</v>
      </c>
      <c r="K80" s="260">
        <f>SUM('Detailed breakup'!N520:N526)</f>
        <v>0</v>
      </c>
      <c r="L80" s="260">
        <f>SUM('Detailed breakup'!P520:P526)</f>
        <v>0</v>
      </c>
      <c r="M80" s="260">
        <f>SUM('Detailed breakup'!R520:R526)</f>
        <v>0</v>
      </c>
      <c r="O80" s="265" t="s">
        <v>164</v>
      </c>
    </row>
    <row r="81" spans="2:15" s="22" customFormat="1" ht="21" customHeight="1" x14ac:dyDescent="0.3">
      <c r="B81" s="1658"/>
      <c r="C81" s="1680"/>
      <c r="D81" s="1650"/>
      <c r="E81" s="1675"/>
      <c r="F81" s="42">
        <f>F80+1</f>
        <v>802</v>
      </c>
      <c r="G81" s="39" t="s">
        <v>492</v>
      </c>
      <c r="H81" s="224" t="s">
        <v>188</v>
      </c>
      <c r="I81" s="16">
        <v>1</v>
      </c>
      <c r="J81" s="18">
        <f>0.5*10^7</f>
        <v>5000000</v>
      </c>
      <c r="K81" s="261">
        <f>'Detailed breakup'!N528</f>
        <v>1616348</v>
      </c>
      <c r="L81" s="261">
        <f>'Detailed breakup'!P528</f>
        <v>1616348</v>
      </c>
      <c r="M81" s="261">
        <f>'Detailed breakup'!R528</f>
        <v>0</v>
      </c>
      <c r="O81" s="265" t="s">
        <v>164</v>
      </c>
    </row>
    <row r="82" spans="2:15" s="97" customFormat="1" ht="15.6" x14ac:dyDescent="0.3">
      <c r="B82" s="211" t="s">
        <v>164</v>
      </c>
      <c r="C82" s="212"/>
      <c r="D82" s="212"/>
      <c r="E82" s="212"/>
      <c r="F82" s="213"/>
      <c r="G82" s="103"/>
      <c r="H82" s="214"/>
      <c r="I82" s="215"/>
      <c r="J82" s="217"/>
      <c r="K82" s="158">
        <f>SUM(K80:K81)</f>
        <v>1616348</v>
      </c>
      <c r="L82" s="263">
        <f>SUM(L80:L81)</f>
        <v>1616348</v>
      </c>
      <c r="M82" s="263">
        <f>SUM(M80:M81)</f>
        <v>0</v>
      </c>
      <c r="O82" s="253"/>
    </row>
    <row r="83" spans="2:15" s="97" customFormat="1" ht="7.5" customHeight="1" x14ac:dyDescent="0.3">
      <c r="B83" s="101"/>
      <c r="C83" s="102"/>
      <c r="D83" s="102"/>
      <c r="E83" s="102"/>
      <c r="F83" s="323"/>
      <c r="G83" s="324"/>
      <c r="H83" s="196"/>
      <c r="I83" s="197"/>
      <c r="J83" s="199"/>
      <c r="K83" s="199"/>
      <c r="L83" s="199"/>
      <c r="M83" s="325"/>
      <c r="O83" s="253"/>
    </row>
    <row r="84" spans="2:15" s="97" customFormat="1" ht="15.6" x14ac:dyDescent="0.3">
      <c r="B84" s="227" t="s">
        <v>494</v>
      </c>
      <c r="C84" s="228"/>
      <c r="D84" s="228"/>
      <c r="E84" s="228"/>
      <c r="F84" s="229"/>
      <c r="G84" s="159"/>
      <c r="H84" s="230"/>
      <c r="I84" s="231"/>
      <c r="J84" s="233"/>
      <c r="K84" s="162">
        <f>SUM(K13,K21,K30,K47,K59,K69,K78)</f>
        <v>20327140948</v>
      </c>
      <c r="L84" s="269">
        <f>SUM(L13,L21,L30,L47,L59,L69,L78)</f>
        <v>12995429147</v>
      </c>
      <c r="M84" s="269">
        <f>SUM(M13,M21,M30,M47,M59,M69,M78)</f>
        <v>7331711801</v>
      </c>
      <c r="O84" s="253"/>
    </row>
    <row r="85" spans="2:15" s="97" customFormat="1" ht="15.6" x14ac:dyDescent="0.3">
      <c r="B85" s="234" t="s">
        <v>495</v>
      </c>
      <c r="C85" s="235"/>
      <c r="D85" s="235"/>
      <c r="E85" s="235"/>
      <c r="F85" s="236"/>
      <c r="G85" s="160"/>
      <c r="H85" s="237"/>
      <c r="I85" s="238"/>
      <c r="J85" s="240"/>
      <c r="K85" s="163">
        <f>K82</f>
        <v>1616348</v>
      </c>
      <c r="L85" s="163">
        <f>L82</f>
        <v>1616348</v>
      </c>
      <c r="M85" s="163">
        <f>M82</f>
        <v>0</v>
      </c>
      <c r="O85" s="253"/>
    </row>
    <row r="86" spans="2:15" s="97" customFormat="1" ht="15.6" x14ac:dyDescent="0.3">
      <c r="B86" s="270" t="s">
        <v>496</v>
      </c>
      <c r="C86" s="271"/>
      <c r="D86" s="271"/>
      <c r="E86" s="271"/>
      <c r="F86" s="272"/>
      <c r="G86" s="273"/>
      <c r="H86" s="274"/>
      <c r="I86" s="275"/>
      <c r="J86" s="276"/>
      <c r="K86" s="336">
        <f>K84+K85</f>
        <v>20328757296</v>
      </c>
      <c r="L86" s="336">
        <f>L84+L85</f>
        <v>12997045495</v>
      </c>
      <c r="M86" s="336">
        <f>M84+M85</f>
        <v>7331711801</v>
      </c>
      <c r="O86" s="253"/>
    </row>
    <row r="87" spans="2:15" s="22" customFormat="1" ht="15.6" x14ac:dyDescent="0.3"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O87" s="104"/>
    </row>
    <row r="88" spans="2:15" s="376" customFormat="1" ht="31.2" x14ac:dyDescent="0.3">
      <c r="B88" s="374"/>
      <c r="C88" s="374"/>
      <c r="D88" s="374"/>
      <c r="E88" s="374"/>
      <c r="F88" s="374"/>
      <c r="G88" s="374"/>
      <c r="H88" s="374"/>
      <c r="I88" s="374"/>
      <c r="J88" s="375" t="s">
        <v>24</v>
      </c>
      <c r="K88" s="375" t="s">
        <v>27</v>
      </c>
      <c r="L88" s="375" t="s">
        <v>182</v>
      </c>
      <c r="M88" s="375" t="s">
        <v>29</v>
      </c>
      <c r="O88" s="374"/>
    </row>
    <row r="89" spans="2:15" s="22" customFormat="1" ht="15.6" x14ac:dyDescent="0.3">
      <c r="B89" s="104"/>
      <c r="C89" s="104"/>
      <c r="D89" s="104"/>
      <c r="E89" s="104"/>
      <c r="F89" s="104"/>
      <c r="H89" s="104"/>
      <c r="I89" s="104"/>
      <c r="J89" s="373" t="s">
        <v>10374</v>
      </c>
      <c r="K89" s="371">
        <f>SUMIFS($K$8:$K$81,$O$8:$O$81,$J$89)</f>
        <v>217094543</v>
      </c>
      <c r="L89" s="371">
        <f>SUMIFS($L$8:$L$81,$O$8:$O$81,$J$89)</f>
        <v>214071696</v>
      </c>
      <c r="M89" s="372">
        <f>SUMIFS($M$8:$M$81,$O$8:$O$81,J89)</f>
        <v>3022847</v>
      </c>
      <c r="O89" s="104"/>
    </row>
    <row r="90" spans="2:15" s="22" customFormat="1" ht="15.6" x14ac:dyDescent="0.3">
      <c r="B90" s="104"/>
      <c r="C90" s="104"/>
      <c r="D90" s="104"/>
      <c r="E90" s="104"/>
      <c r="F90" s="104"/>
      <c r="H90" s="104"/>
      <c r="I90" s="104"/>
      <c r="J90" s="373" t="s">
        <v>10373</v>
      </c>
      <c r="K90" s="371">
        <f>SUMIFS($K$8:$K$81,$O$8:$O$81,$J$90)</f>
        <v>20110046405</v>
      </c>
      <c r="L90" s="371">
        <f>SUMIFS($L$8:$L$81,$O$8:$O$81,$J$90)</f>
        <v>12781357451</v>
      </c>
      <c r="M90" s="372">
        <f>SUMIFS($M$8:$M$81,$O$8:$O$81,J90)</f>
        <v>7328688954</v>
      </c>
      <c r="O90" s="104"/>
    </row>
    <row r="91" spans="2:15" s="22" customFormat="1" ht="15.6" x14ac:dyDescent="0.3">
      <c r="B91" s="104"/>
      <c r="C91" s="104"/>
      <c r="D91" s="104"/>
      <c r="E91" s="104"/>
      <c r="F91" s="104"/>
      <c r="H91" s="104"/>
      <c r="I91" s="104"/>
      <c r="J91" s="373" t="s">
        <v>164</v>
      </c>
      <c r="K91" s="371">
        <f>SUMIFS($K$8:$K$81,$O$8:$O$81,$J$91)</f>
        <v>1616348</v>
      </c>
      <c r="L91" s="371">
        <f>SUMIFS($L$8:$L$81,$O$8:$O$81,$J$91)</f>
        <v>1616348</v>
      </c>
      <c r="M91" s="372">
        <f>SUMIFS($M$8:$M$81,$O$8:$O$81,J91)</f>
        <v>0</v>
      </c>
      <c r="O91" s="104"/>
    </row>
    <row r="92" spans="2:15" s="22" customFormat="1" ht="15.6" x14ac:dyDescent="0.3"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O92" s="104"/>
    </row>
    <row r="93" spans="2:15" x14ac:dyDescent="0.3">
      <c r="B93" s="241"/>
      <c r="C93" s="241"/>
      <c r="D93" s="241"/>
      <c r="E93" s="241"/>
      <c r="F93" s="241"/>
      <c r="G93" s="241"/>
      <c r="H93" s="241"/>
      <c r="I93" s="241"/>
      <c r="J93" s="241"/>
      <c r="K93" s="1179">
        <v>11691264986</v>
      </c>
      <c r="L93" s="241"/>
      <c r="M93" s="241"/>
    </row>
    <row r="95" spans="2:15" x14ac:dyDescent="0.3">
      <c r="K95" s="368">
        <f>K89+K90-K93</f>
        <v>8635875962</v>
      </c>
    </row>
  </sheetData>
  <autoFilter ref="A6:O82" xr:uid="{F141B5CC-1329-44C1-BCBB-E54289374FA2}"/>
  <mergeCells count="41">
    <mergeCell ref="B80:B81"/>
    <mergeCell ref="C80:C81"/>
    <mergeCell ref="D80:D81"/>
    <mergeCell ref="E80:E81"/>
    <mergeCell ref="O5:O6"/>
    <mergeCell ref="B61:B68"/>
    <mergeCell ref="C61:C68"/>
    <mergeCell ref="D61:D68"/>
    <mergeCell ref="E61:E68"/>
    <mergeCell ref="B71:B77"/>
    <mergeCell ref="C71:C77"/>
    <mergeCell ref="D71:D77"/>
    <mergeCell ref="E71:E77"/>
    <mergeCell ref="B32:B46"/>
    <mergeCell ref="C32:C46"/>
    <mergeCell ref="D32:D46"/>
    <mergeCell ref="E32:E46"/>
    <mergeCell ref="B49:B58"/>
    <mergeCell ref="C49:C58"/>
    <mergeCell ref="D49:D58"/>
    <mergeCell ref="E49:E58"/>
    <mergeCell ref="B15:B20"/>
    <mergeCell ref="C15:C20"/>
    <mergeCell ref="D15:D20"/>
    <mergeCell ref="E15:E20"/>
    <mergeCell ref="B23:B29"/>
    <mergeCell ref="C23:C29"/>
    <mergeCell ref="D23:D29"/>
    <mergeCell ref="E23:E29"/>
    <mergeCell ref="B8:B12"/>
    <mergeCell ref="C8:C12"/>
    <mergeCell ref="D8:D12"/>
    <mergeCell ref="E8:E12"/>
    <mergeCell ref="B5:B6"/>
    <mergeCell ref="C5:C6"/>
    <mergeCell ref="D5:E5"/>
    <mergeCell ref="F5:F6"/>
    <mergeCell ref="G5:G6"/>
    <mergeCell ref="H5:H6"/>
    <mergeCell ref="I5:I6"/>
    <mergeCell ref="J5:J6"/>
  </mergeCells>
  <printOptions horizontalCentered="1"/>
  <pageMargins left="0.39370078740157483" right="0.39370078740157483" top="0.55118110236220474" bottom="0.94488188976377963" header="0.31496062992125984" footer="0.31496062992125984"/>
  <pageSetup paperSize="9" scale="61" fitToHeight="0" orientation="landscape" r:id="rId1"/>
  <rowBreaks count="2" manualBreakCount="2">
    <brk id="31" min="1" max="14" man="1"/>
    <brk id="60" min="1" max="14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0783-EAE7-4E6A-8869-DA341363AAEE}">
  <sheetPr codeName="Sheet12">
    <pageSetUpPr fitToPage="1"/>
  </sheetPr>
  <dimension ref="B1:AC83"/>
  <sheetViews>
    <sheetView view="pageBreakPreview" zoomScale="80" zoomScaleNormal="80" zoomScaleSheetLayoutView="80" workbookViewId="0">
      <pane xSplit="6" ySplit="11" topLeftCell="G36" activePane="bottomRight" state="frozen"/>
      <selection pane="topRight" activeCell="M15" sqref="M15"/>
      <selection pane="bottomLeft" activeCell="M15" sqref="M15"/>
      <selection pane="bottomRight" activeCell="C40" sqref="C40"/>
    </sheetView>
  </sheetViews>
  <sheetFormatPr defaultColWidth="9.44140625" defaultRowHeight="15.6" x14ac:dyDescent="0.3"/>
  <cols>
    <col min="1" max="1" width="0.88671875" style="22" customWidth="1"/>
    <col min="2" max="2" width="6.5546875" style="104" customWidth="1"/>
    <col min="3" max="3" width="9.44140625" style="104" bestFit="1" customWidth="1"/>
    <col min="4" max="4" width="9.109375" style="104" customWidth="1"/>
    <col min="5" max="5" width="9.109375" style="22" customWidth="1"/>
    <col min="6" max="6" width="14.44140625" style="105" customWidth="1"/>
    <col min="7" max="7" width="8.88671875" style="106" customWidth="1"/>
    <col min="8" max="8" width="8.88671875" style="104" customWidth="1"/>
    <col min="9" max="9" width="8.88671875" style="106" customWidth="1"/>
    <col min="10" max="10" width="8.88671875" style="104" customWidth="1"/>
    <col min="11" max="11" width="8.88671875" style="106" customWidth="1"/>
    <col min="12" max="12" width="8.88671875" style="104" customWidth="1"/>
    <col min="13" max="13" width="8.88671875" style="106" customWidth="1"/>
    <col min="14" max="14" width="8.88671875" style="104" customWidth="1"/>
    <col min="15" max="15" width="8.88671875" style="106" customWidth="1"/>
    <col min="16" max="16" width="8.88671875" style="104" customWidth="1"/>
    <col min="17" max="17" width="8.88671875" style="106" customWidth="1"/>
    <col min="18" max="18" width="8.88671875" style="104" customWidth="1"/>
    <col min="19" max="19" width="8.88671875" style="106" customWidth="1"/>
    <col min="20" max="20" width="8.88671875" style="104" customWidth="1"/>
    <col min="21" max="21" width="10" style="22" customWidth="1"/>
    <col min="22" max="22" width="14.44140625" style="22" customWidth="1"/>
    <col min="23" max="23" width="16.88671875" style="22" bestFit="1" customWidth="1"/>
    <col min="24" max="24" width="13.44140625" style="598" bestFit="1" customWidth="1"/>
    <col min="25" max="26" width="9.5546875" style="22" bestFit="1" customWidth="1"/>
    <col min="27" max="29" width="9.44140625" style="22" bestFit="1" customWidth="1"/>
    <col min="30" max="16384" width="9.44140625" style="22"/>
  </cols>
  <sheetData>
    <row r="1" spans="2:24" ht="6" customHeight="1" x14ac:dyDescent="0.3">
      <c r="B1" s="1810"/>
      <c r="C1" s="1810"/>
      <c r="D1" s="1810"/>
      <c r="E1" s="1810"/>
      <c r="F1" s="1810"/>
      <c r="G1" s="1810"/>
      <c r="H1" s="1810"/>
      <c r="I1" s="1810"/>
      <c r="J1" s="1810"/>
      <c r="K1" s="1810"/>
      <c r="L1" s="1810"/>
      <c r="M1" s="1810"/>
      <c r="N1" s="1810"/>
      <c r="O1" s="1810"/>
      <c r="P1" s="1810"/>
      <c r="Q1" s="1810"/>
      <c r="R1" s="1810"/>
      <c r="S1" s="1810"/>
      <c r="T1" s="1810"/>
      <c r="U1" s="1810"/>
    </row>
    <row r="2" spans="2:24" s="1" customFormat="1" ht="52.5" customHeight="1" x14ac:dyDescent="0.3">
      <c r="B2" s="1811"/>
      <c r="C2" s="1812"/>
      <c r="D2" s="100" t="s">
        <v>141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813"/>
      <c r="U2" s="1814"/>
      <c r="V2" s="1815"/>
      <c r="X2" s="1331"/>
    </row>
    <row r="3" spans="2:24" s="1" customFormat="1" ht="21" x14ac:dyDescent="0.3">
      <c r="B3" s="99" t="s">
        <v>10375</v>
      </c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6"/>
      <c r="N3" s="286"/>
      <c r="O3" s="286"/>
      <c r="P3" s="286"/>
      <c r="Q3" s="286"/>
      <c r="R3" s="286"/>
      <c r="S3" s="286"/>
      <c r="T3" s="286"/>
      <c r="U3" s="285"/>
      <c r="V3" s="894"/>
      <c r="X3" s="1331"/>
    </row>
    <row r="4" spans="2:24" s="1211" customFormat="1" ht="12.6" x14ac:dyDescent="0.3">
      <c r="B4" s="1199"/>
      <c r="C4" s="1200"/>
      <c r="D4" s="1200"/>
      <c r="E4" s="1200"/>
      <c r="F4" s="1201"/>
      <c r="G4" s="1201"/>
      <c r="H4" s="1201"/>
      <c r="I4" s="1201"/>
      <c r="J4" s="1201"/>
      <c r="K4" s="1202"/>
      <c r="L4" s="1203"/>
      <c r="M4" s="1827" t="s">
        <v>10376</v>
      </c>
      <c r="N4" s="1828"/>
      <c r="O4" s="1204">
        <v>45261</v>
      </c>
      <c r="P4" s="1205" t="s">
        <v>10377</v>
      </c>
      <c r="Q4" s="1206"/>
      <c r="R4" s="1207">
        <v>0.15</v>
      </c>
      <c r="S4" s="1208" t="str">
        <f>'Price Adj. - Breakup'!K4</f>
        <v>Period of bill :</v>
      </c>
      <c r="T4" s="1209"/>
      <c r="U4" s="1209" t="str">
        <f>'Price Adj. - Breakup'!M4</f>
        <v>1st Jul'26 to 31st Jul'26</v>
      </c>
      <c r="V4" s="1210"/>
      <c r="X4" s="1332"/>
    </row>
    <row r="5" spans="2:24" s="1212" customFormat="1" ht="35.4" customHeight="1" x14ac:dyDescent="0.3">
      <c r="B5" s="1816" t="s">
        <v>23</v>
      </c>
      <c r="C5" s="1819" t="s">
        <v>505</v>
      </c>
      <c r="D5" s="1823" t="s">
        <v>10378</v>
      </c>
      <c r="E5" s="1823" t="s">
        <v>10379</v>
      </c>
      <c r="F5" s="1823" t="s">
        <v>10380</v>
      </c>
      <c r="G5" s="1801" t="s">
        <v>10381</v>
      </c>
      <c r="H5" s="1802"/>
      <c r="I5" s="1803" t="s">
        <v>10382</v>
      </c>
      <c r="J5" s="1804"/>
      <c r="K5" s="1801" t="s">
        <v>10383</v>
      </c>
      <c r="L5" s="1802"/>
      <c r="M5" s="1803" t="s">
        <v>10384</v>
      </c>
      <c r="N5" s="1804"/>
      <c r="O5" s="1803" t="s">
        <v>10385</v>
      </c>
      <c r="P5" s="1804"/>
      <c r="Q5" s="1803" t="s">
        <v>10386</v>
      </c>
      <c r="R5" s="1804"/>
      <c r="S5" s="1803" t="s">
        <v>10387</v>
      </c>
      <c r="T5" s="1804"/>
      <c r="U5" s="1823" t="s">
        <v>10388</v>
      </c>
      <c r="V5" s="1823" t="s">
        <v>10389</v>
      </c>
      <c r="X5" s="1333"/>
    </row>
    <row r="6" spans="2:24" s="1214" customFormat="1" ht="27.6" customHeight="1" x14ac:dyDescent="0.3">
      <c r="B6" s="1817"/>
      <c r="C6" s="1820"/>
      <c r="D6" s="1824"/>
      <c r="E6" s="1824"/>
      <c r="F6" s="1824"/>
      <c r="G6" s="1799" t="s">
        <v>10390</v>
      </c>
      <c r="H6" s="1797">
        <v>151.30000000000001</v>
      </c>
      <c r="I6" s="1799" t="s">
        <v>10391</v>
      </c>
      <c r="J6" s="1797">
        <v>139.69999999999999</v>
      </c>
      <c r="K6" s="1799" t="s">
        <v>10392</v>
      </c>
      <c r="L6" s="1797">
        <v>135.9</v>
      </c>
      <c r="M6" s="1799" t="s">
        <v>10393</v>
      </c>
      <c r="N6" s="1808">
        <v>46102</v>
      </c>
      <c r="O6" s="1421" t="s">
        <v>10394</v>
      </c>
      <c r="P6" s="1422">
        <v>90.33</v>
      </c>
      <c r="Q6" s="1799" t="s">
        <v>10395</v>
      </c>
      <c r="R6" s="1797">
        <v>151.80000000000001</v>
      </c>
      <c r="S6" s="1799" t="s">
        <v>10396</v>
      </c>
      <c r="T6" s="1797">
        <v>88.6</v>
      </c>
      <c r="U6" s="1824"/>
      <c r="V6" s="1824"/>
      <c r="X6" s="1334"/>
    </row>
    <row r="7" spans="2:24" s="1214" customFormat="1" ht="12.6" x14ac:dyDescent="0.3">
      <c r="B7" s="1817"/>
      <c r="C7" s="1821"/>
      <c r="D7" s="1825"/>
      <c r="E7" s="1825"/>
      <c r="F7" s="1825"/>
      <c r="G7" s="1800"/>
      <c r="H7" s="1798"/>
      <c r="I7" s="1800"/>
      <c r="J7" s="1798"/>
      <c r="K7" s="1800"/>
      <c r="L7" s="1798"/>
      <c r="M7" s="1800"/>
      <c r="N7" s="1809"/>
      <c r="O7" s="1213" t="s">
        <v>10397</v>
      </c>
      <c r="P7" s="1420">
        <v>90.54</v>
      </c>
      <c r="Q7" s="1800"/>
      <c r="R7" s="1798"/>
      <c r="S7" s="1800"/>
      <c r="T7" s="1798"/>
      <c r="U7" s="1825"/>
      <c r="V7" s="1825"/>
      <c r="X7" s="1334"/>
    </row>
    <row r="8" spans="2:24" s="1214" customFormat="1" ht="12.6" x14ac:dyDescent="0.3">
      <c r="B8" s="1817"/>
      <c r="C8" s="1821"/>
      <c r="D8" s="1825"/>
      <c r="E8" s="1825"/>
      <c r="F8" s="1825"/>
      <c r="G8" s="1215" t="s">
        <v>10398</v>
      </c>
      <c r="H8" s="1419"/>
      <c r="I8" s="1215"/>
      <c r="J8" s="1419"/>
      <c r="K8" s="1215"/>
      <c r="L8" s="1419"/>
      <c r="M8" s="1215"/>
      <c r="N8" s="1419"/>
      <c r="O8" s="1215"/>
      <c r="P8" s="1419"/>
      <c r="Q8" s="1215"/>
      <c r="R8" s="1419"/>
      <c r="S8" s="1215"/>
      <c r="T8" s="1419"/>
      <c r="U8" s="1825"/>
      <c r="V8" s="1825"/>
      <c r="X8" s="1334"/>
    </row>
    <row r="9" spans="2:24" s="1214" customFormat="1" ht="25.2" x14ac:dyDescent="0.3">
      <c r="B9" s="1817"/>
      <c r="C9" s="1821"/>
      <c r="D9" s="1825"/>
      <c r="E9" s="1825"/>
      <c r="F9" s="1825"/>
      <c r="G9" s="1216" t="s">
        <v>10399</v>
      </c>
      <c r="H9" s="1217">
        <v>0.1</v>
      </c>
      <c r="I9" s="1216" t="s">
        <v>10400</v>
      </c>
      <c r="J9" s="1217">
        <v>0.02</v>
      </c>
      <c r="K9" s="1216" t="s">
        <v>10401</v>
      </c>
      <c r="L9" s="1217">
        <v>0.08</v>
      </c>
      <c r="M9" s="1216" t="s">
        <v>10402</v>
      </c>
      <c r="N9" s="1217">
        <v>0.25</v>
      </c>
      <c r="O9" s="1216" t="s">
        <v>10403</v>
      </c>
      <c r="P9" s="1217">
        <v>0.15</v>
      </c>
      <c r="Q9" s="1216" t="s">
        <v>10404</v>
      </c>
      <c r="R9" s="1217">
        <v>0.15</v>
      </c>
      <c r="S9" s="1216" t="s">
        <v>10405</v>
      </c>
      <c r="T9" s="1217">
        <v>0.1</v>
      </c>
      <c r="U9" s="1825"/>
      <c r="V9" s="1825"/>
      <c r="X9" s="1334"/>
    </row>
    <row r="10" spans="2:24" s="1214" customFormat="1" ht="25.2" x14ac:dyDescent="0.3">
      <c r="B10" s="1817"/>
      <c r="C10" s="1821"/>
      <c r="D10" s="1825"/>
      <c r="E10" s="1825"/>
      <c r="F10" s="1825"/>
      <c r="G10" s="1218" t="s">
        <v>10406</v>
      </c>
      <c r="H10" s="1219">
        <v>0.1</v>
      </c>
      <c r="I10" s="1218" t="s">
        <v>10407</v>
      </c>
      <c r="J10" s="1219">
        <v>0.23</v>
      </c>
      <c r="K10" s="1218" t="s">
        <v>10408</v>
      </c>
      <c r="L10" s="1219">
        <v>0.15</v>
      </c>
      <c r="M10" s="1218" t="s">
        <v>10409</v>
      </c>
      <c r="N10" s="1219">
        <v>0</v>
      </c>
      <c r="O10" s="1218" t="s">
        <v>10410</v>
      </c>
      <c r="P10" s="1219">
        <v>0.12</v>
      </c>
      <c r="Q10" s="1218" t="s">
        <v>10411</v>
      </c>
      <c r="R10" s="1219">
        <v>0.15</v>
      </c>
      <c r="S10" s="1218" t="s">
        <v>10412</v>
      </c>
      <c r="T10" s="1219">
        <v>0.1</v>
      </c>
      <c r="U10" s="1825"/>
      <c r="V10" s="1825"/>
      <c r="X10" s="1334"/>
    </row>
    <row r="11" spans="2:24" s="1214" customFormat="1" ht="61.35" customHeight="1" x14ac:dyDescent="0.3">
      <c r="B11" s="1818"/>
      <c r="C11" s="1822"/>
      <c r="D11" s="1826"/>
      <c r="E11" s="1826"/>
      <c r="F11" s="1826"/>
      <c r="G11" s="1220" t="s">
        <v>10413</v>
      </c>
      <c r="H11" s="1221" t="s">
        <v>10414</v>
      </c>
      <c r="I11" s="1220" t="s">
        <v>10415</v>
      </c>
      <c r="J11" s="1221" t="s">
        <v>10416</v>
      </c>
      <c r="K11" s="1220" t="s">
        <v>10417</v>
      </c>
      <c r="L11" s="1221" t="s">
        <v>10418</v>
      </c>
      <c r="M11" s="1220" t="s">
        <v>10419</v>
      </c>
      <c r="N11" s="1221" t="s">
        <v>10420</v>
      </c>
      <c r="O11" s="1220" t="s">
        <v>10421</v>
      </c>
      <c r="P11" s="1221" t="s">
        <v>10422</v>
      </c>
      <c r="Q11" s="1220" t="s">
        <v>10423</v>
      </c>
      <c r="R11" s="1221" t="s">
        <v>10424</v>
      </c>
      <c r="S11" s="1220" t="s">
        <v>10425</v>
      </c>
      <c r="T11" s="1221" t="s">
        <v>10426</v>
      </c>
      <c r="U11" s="1826"/>
      <c r="V11" s="1826"/>
      <c r="X11" s="1334"/>
    </row>
    <row r="12" spans="2:24" s="1429" customFormat="1" ht="7.5" customHeight="1" x14ac:dyDescent="0.3">
      <c r="B12" s="1431"/>
      <c r="C12" s="1432"/>
      <c r="D12" s="1433"/>
      <c r="E12" s="1433"/>
      <c r="F12" s="1433"/>
      <c r="G12" s="1434"/>
      <c r="H12" s="1433"/>
      <c r="I12" s="1434"/>
      <c r="J12" s="1433"/>
      <c r="K12" s="1434"/>
      <c r="L12" s="1433"/>
      <c r="M12" s="1434"/>
      <c r="N12" s="1433"/>
      <c r="O12" s="1434"/>
      <c r="P12" s="1433"/>
      <c r="Q12" s="1434"/>
      <c r="R12" s="1433"/>
      <c r="S12" s="1434"/>
      <c r="T12" s="1433"/>
      <c r="U12" s="1433"/>
      <c r="V12" s="1435"/>
      <c r="X12" s="1430"/>
    </row>
    <row r="13" spans="2:24" s="185" customFormat="1" ht="13.8" x14ac:dyDescent="0.3">
      <c r="B13" s="1436" t="s">
        <v>10374</v>
      </c>
      <c r="C13" s="1437"/>
      <c r="D13" s="1437"/>
      <c r="E13" s="1437"/>
      <c r="F13" s="1438"/>
      <c r="G13" s="1439"/>
      <c r="H13" s="1437"/>
      <c r="I13" s="1439"/>
      <c r="J13" s="1437"/>
      <c r="K13" s="1439"/>
      <c r="L13" s="1437"/>
      <c r="M13" s="1439"/>
      <c r="N13" s="1437"/>
      <c r="O13" s="1439"/>
      <c r="P13" s="1437"/>
      <c r="Q13" s="1439"/>
      <c r="R13" s="1437"/>
      <c r="S13" s="1439"/>
      <c r="T13" s="1437"/>
      <c r="U13" s="1437"/>
      <c r="V13" s="1440"/>
      <c r="X13" s="697"/>
    </row>
    <row r="14" spans="2:24" s="185" customFormat="1" ht="13.8" x14ac:dyDescent="0.3">
      <c r="B14" s="1441">
        <v>1</v>
      </c>
      <c r="C14" s="1441" t="s">
        <v>767</v>
      </c>
      <c r="D14" s="1442">
        <v>45473</v>
      </c>
      <c r="E14" s="1442">
        <f t="shared" ref="E14:E36" si="0">D14-49</f>
        <v>45424</v>
      </c>
      <c r="F14" s="1443">
        <v>0</v>
      </c>
      <c r="G14" s="1444">
        <v>151.6</v>
      </c>
      <c r="H14" s="1445">
        <f t="shared" ref="H14:H39" si="1">+$G14/H$6*$H$9</f>
        <v>0.10019828155981492</v>
      </c>
      <c r="I14" s="1444">
        <v>144.5</v>
      </c>
      <c r="J14" s="1445">
        <f t="shared" ref="J14:J39" si="2">+$I14/J$6*J$9</f>
        <v>2.0687186828919117E-2</v>
      </c>
      <c r="K14" s="1444">
        <v>129.30000000000001</v>
      </c>
      <c r="L14" s="1445">
        <f t="shared" ref="L14:L39" si="3">+$K14/L$6*L$9</f>
        <v>7.6114790286975723E-2</v>
      </c>
      <c r="M14" s="1446">
        <v>43782</v>
      </c>
      <c r="N14" s="1445">
        <f t="shared" ref="N14:N39" si="4">+$M14/N$6*N$9</f>
        <v>0.23741920090234697</v>
      </c>
      <c r="O14" s="1444">
        <v>88.38</v>
      </c>
      <c r="P14" s="1445">
        <f t="shared" ref="P14:P35" si="5">+$O14/P$6*P$9</f>
        <v>0.14676187313184988</v>
      </c>
      <c r="Q14" s="1444">
        <v>153.5</v>
      </c>
      <c r="R14" s="1445">
        <f t="shared" ref="R14:R39" si="6">+$Q14/R$6*R$9</f>
        <v>0.15167984189723319</v>
      </c>
      <c r="S14" s="1444">
        <v>89.7</v>
      </c>
      <c r="T14" s="1445">
        <f t="shared" ref="T14:T39" si="7">+$S14/T$6*T$9</f>
        <v>0.10124153498871334</v>
      </c>
      <c r="U14" s="1447">
        <f t="shared" ref="U14:U37" si="8">+H14+J14+L14+N14+P14+R14+T14+$R$4</f>
        <v>0.98410270959585311</v>
      </c>
      <c r="V14" s="1448">
        <f t="shared" ref="V14:V37" si="9">ROUND(U14*F14,0)</f>
        <v>0</v>
      </c>
      <c r="W14" s="1449">
        <f t="shared" ref="W14:W39" si="10">V14-F14</f>
        <v>0</v>
      </c>
      <c r="X14" s="697"/>
    </row>
    <row r="15" spans="2:24" s="185" customFormat="1" ht="13.8" x14ac:dyDescent="0.3">
      <c r="B15" s="1450">
        <v>2</v>
      </c>
      <c r="C15" s="1450" t="s">
        <v>778</v>
      </c>
      <c r="D15" s="1442">
        <v>45504</v>
      </c>
      <c r="E15" s="1442">
        <f t="shared" si="0"/>
        <v>45455</v>
      </c>
      <c r="F15" s="1451">
        <v>0</v>
      </c>
      <c r="G15" s="1452">
        <v>152.19999999999999</v>
      </c>
      <c r="H15" s="1453">
        <f t="shared" si="1"/>
        <v>0.10059484467944479</v>
      </c>
      <c r="I15" s="1452">
        <v>143.6</v>
      </c>
      <c r="J15" s="1453">
        <f t="shared" si="2"/>
        <v>2.0558339298496781E-2</v>
      </c>
      <c r="K15" s="1452">
        <v>126.8</v>
      </c>
      <c r="L15" s="1453">
        <f t="shared" si="3"/>
        <v>7.4643119941133179E-2</v>
      </c>
      <c r="M15" s="1454">
        <v>42922</v>
      </c>
      <c r="N15" s="1453">
        <f t="shared" si="4"/>
        <v>0.23275562882304454</v>
      </c>
      <c r="O15" s="1452">
        <v>89.25</v>
      </c>
      <c r="P15" s="1453">
        <f t="shared" si="5"/>
        <v>0.14820657588840916</v>
      </c>
      <c r="Q15" s="1452">
        <v>154</v>
      </c>
      <c r="R15" s="1453">
        <f t="shared" si="6"/>
        <v>0.15217391304347824</v>
      </c>
      <c r="S15" s="1452">
        <v>89.4</v>
      </c>
      <c r="T15" s="1453">
        <f t="shared" si="7"/>
        <v>0.10090293453724607</v>
      </c>
      <c r="U15" s="1455">
        <f t="shared" si="8"/>
        <v>0.97983535621125284</v>
      </c>
      <c r="V15" s="1456">
        <f t="shared" si="9"/>
        <v>0</v>
      </c>
      <c r="W15" s="1449">
        <f t="shared" si="10"/>
        <v>0</v>
      </c>
      <c r="X15" s="697"/>
    </row>
    <row r="16" spans="2:24" s="185" customFormat="1" ht="13.8" x14ac:dyDescent="0.3">
      <c r="B16" s="1457">
        <v>3</v>
      </c>
      <c r="C16" s="1457" t="s">
        <v>795</v>
      </c>
      <c r="D16" s="1442">
        <v>45535</v>
      </c>
      <c r="E16" s="1442">
        <f t="shared" si="0"/>
        <v>45486</v>
      </c>
      <c r="F16" s="1451">
        <v>0</v>
      </c>
      <c r="G16" s="1452">
        <v>154.5</v>
      </c>
      <c r="H16" s="1453">
        <f t="shared" si="1"/>
        <v>0.10211500330469266</v>
      </c>
      <c r="I16" s="1452">
        <v>139.69999999999999</v>
      </c>
      <c r="J16" s="1453">
        <f t="shared" si="2"/>
        <v>0.02</v>
      </c>
      <c r="K16" s="1452">
        <v>124</v>
      </c>
      <c r="L16" s="1453">
        <f t="shared" si="3"/>
        <v>7.2994849153789551E-2</v>
      </c>
      <c r="M16" s="1454">
        <v>43532</v>
      </c>
      <c r="N16" s="1453">
        <f t="shared" si="4"/>
        <v>0.23606351134441023</v>
      </c>
      <c r="O16" s="1452">
        <v>89.38</v>
      </c>
      <c r="P16" s="1453">
        <f t="shared" si="5"/>
        <v>0.14842245101295251</v>
      </c>
      <c r="Q16" s="1452">
        <v>155.30000000000001</v>
      </c>
      <c r="R16" s="1453">
        <f t="shared" si="6"/>
        <v>0.15345849802371539</v>
      </c>
      <c r="S16" s="1452">
        <v>89</v>
      </c>
      <c r="T16" s="1453">
        <f t="shared" si="7"/>
        <v>0.10045146726862304</v>
      </c>
      <c r="U16" s="1455">
        <f t="shared" si="8"/>
        <v>0.98350578010818346</v>
      </c>
      <c r="V16" s="1456">
        <f t="shared" si="9"/>
        <v>0</v>
      </c>
      <c r="W16" s="1449">
        <f t="shared" si="10"/>
        <v>0</v>
      </c>
      <c r="X16" s="697"/>
    </row>
    <row r="17" spans="2:29" s="185" customFormat="1" ht="13.8" x14ac:dyDescent="0.3">
      <c r="B17" s="1457">
        <v>4</v>
      </c>
      <c r="C17" s="1457" t="s">
        <v>797</v>
      </c>
      <c r="D17" s="1442">
        <v>45565</v>
      </c>
      <c r="E17" s="1442">
        <f t="shared" si="0"/>
        <v>45516</v>
      </c>
      <c r="F17" s="1451">
        <v>0</v>
      </c>
      <c r="G17" s="1452">
        <v>155.5</v>
      </c>
      <c r="H17" s="1453">
        <f t="shared" si="1"/>
        <v>0.10277594183740912</v>
      </c>
      <c r="I17" s="1452">
        <v>138.6</v>
      </c>
      <c r="J17" s="1453">
        <f t="shared" si="2"/>
        <v>1.9842519685039372E-2</v>
      </c>
      <c r="K17" s="1452">
        <v>122.6</v>
      </c>
      <c r="L17" s="1453">
        <f t="shared" si="3"/>
        <v>7.217071376011773E-2</v>
      </c>
      <c r="M17" s="1454">
        <v>46062</v>
      </c>
      <c r="N17" s="1453">
        <f t="shared" si="4"/>
        <v>0.24978308967073012</v>
      </c>
      <c r="O17" s="1452">
        <v>89.38</v>
      </c>
      <c r="P17" s="1453">
        <f t="shared" si="5"/>
        <v>0.14842245101295251</v>
      </c>
      <c r="Q17" s="1452">
        <v>154.4</v>
      </c>
      <c r="R17" s="1453">
        <f t="shared" si="6"/>
        <v>0.15256916996047429</v>
      </c>
      <c r="S17" s="1452">
        <v>88.8</v>
      </c>
      <c r="T17" s="1453">
        <f t="shared" si="7"/>
        <v>0.10022573363431152</v>
      </c>
      <c r="U17" s="1455">
        <f t="shared" si="8"/>
        <v>0.99578961956103473</v>
      </c>
      <c r="V17" s="1456">
        <f t="shared" si="9"/>
        <v>0</v>
      </c>
      <c r="W17" s="1449">
        <f t="shared" si="10"/>
        <v>0</v>
      </c>
      <c r="X17" s="697"/>
    </row>
    <row r="18" spans="2:29" s="185" customFormat="1" ht="13.8" x14ac:dyDescent="0.3">
      <c r="B18" s="1457">
        <v>5</v>
      </c>
      <c r="C18" s="1457" t="s">
        <v>871</v>
      </c>
      <c r="D18" s="1442">
        <v>45596</v>
      </c>
      <c r="E18" s="1442">
        <f t="shared" si="0"/>
        <v>45547</v>
      </c>
      <c r="F18" s="1451">
        <v>0</v>
      </c>
      <c r="G18" s="1452">
        <v>156</v>
      </c>
      <c r="H18" s="1453">
        <f t="shared" si="1"/>
        <v>0.10310641110376735</v>
      </c>
      <c r="I18" s="1452">
        <v>138.9</v>
      </c>
      <c r="J18" s="1458">
        <f t="shared" si="2"/>
        <v>1.9885468861846819E-2</v>
      </c>
      <c r="K18" s="1452">
        <v>125</v>
      </c>
      <c r="L18" s="1458">
        <f t="shared" si="3"/>
        <v>7.358351729212656E-2</v>
      </c>
      <c r="M18" s="1454">
        <v>45432</v>
      </c>
      <c r="N18" s="1453">
        <f t="shared" si="4"/>
        <v>0.24636675198472952</v>
      </c>
      <c r="O18" s="1452">
        <v>89.38</v>
      </c>
      <c r="P18" s="1453">
        <f t="shared" si="5"/>
        <v>0.14842245101295251</v>
      </c>
      <c r="Q18" s="1452">
        <v>154.69999999999999</v>
      </c>
      <c r="R18" s="1453">
        <f t="shared" si="6"/>
        <v>0.15286561264822129</v>
      </c>
      <c r="S18" s="1452">
        <v>88.8</v>
      </c>
      <c r="T18" s="1453">
        <f t="shared" si="7"/>
        <v>0.10022573363431152</v>
      </c>
      <c r="U18" s="1455">
        <f t="shared" si="8"/>
        <v>0.99445594653795555</v>
      </c>
      <c r="V18" s="1456">
        <f t="shared" si="9"/>
        <v>0</v>
      </c>
      <c r="W18" s="1449">
        <f t="shared" si="10"/>
        <v>0</v>
      </c>
      <c r="X18" s="697"/>
    </row>
    <row r="19" spans="2:29" s="185" customFormat="1" ht="13.8" x14ac:dyDescent="0.3">
      <c r="B19" s="1457">
        <v>6</v>
      </c>
      <c r="C19" s="1457" t="s">
        <v>898</v>
      </c>
      <c r="D19" s="1442">
        <v>45626</v>
      </c>
      <c r="E19" s="1442">
        <f t="shared" si="0"/>
        <v>45577</v>
      </c>
      <c r="F19" s="1459">
        <v>0</v>
      </c>
      <c r="G19" s="1452">
        <v>157.69999999999999</v>
      </c>
      <c r="H19" s="1453">
        <f t="shared" si="1"/>
        <v>0.10423000660938531</v>
      </c>
      <c r="I19" s="1452">
        <v>140</v>
      </c>
      <c r="J19" s="1458">
        <f t="shared" si="2"/>
        <v>2.0042949176807445E-2</v>
      </c>
      <c r="K19" s="1452">
        <v>124.6</v>
      </c>
      <c r="L19" s="1458">
        <f t="shared" si="3"/>
        <v>7.3348050036791762E-2</v>
      </c>
      <c r="M19" s="1454">
        <v>43092</v>
      </c>
      <c r="N19" s="1453">
        <f t="shared" si="4"/>
        <v>0.23367749772244154</v>
      </c>
      <c r="O19" s="1452">
        <v>89.38</v>
      </c>
      <c r="P19" s="1453">
        <f t="shared" si="5"/>
        <v>0.14842245101295251</v>
      </c>
      <c r="Q19" s="1452">
        <v>156.69999999999999</v>
      </c>
      <c r="R19" s="1453">
        <f t="shared" si="6"/>
        <v>0.15484189723320155</v>
      </c>
      <c r="S19" s="1452">
        <v>89.2</v>
      </c>
      <c r="T19" s="1453">
        <f t="shared" si="7"/>
        <v>0.10067720090293455</v>
      </c>
      <c r="U19" s="1455">
        <f t="shared" si="8"/>
        <v>0.98524005269451465</v>
      </c>
      <c r="V19" s="1456">
        <f t="shared" si="9"/>
        <v>0</v>
      </c>
      <c r="W19" s="1449">
        <f t="shared" si="10"/>
        <v>0</v>
      </c>
      <c r="X19" s="697"/>
    </row>
    <row r="20" spans="2:29" s="185" customFormat="1" ht="13.8" x14ac:dyDescent="0.3">
      <c r="B20" s="1457">
        <v>7</v>
      </c>
      <c r="C20" s="1457" t="s">
        <v>931</v>
      </c>
      <c r="D20" s="1442">
        <v>45657</v>
      </c>
      <c r="E20" s="1442">
        <f t="shared" si="0"/>
        <v>45608</v>
      </c>
      <c r="F20" s="1459">
        <v>0</v>
      </c>
      <c r="G20" s="1452">
        <v>157.69999999999999</v>
      </c>
      <c r="H20" s="1453">
        <f t="shared" si="1"/>
        <v>0.10423000660938531</v>
      </c>
      <c r="I20" s="1452">
        <v>140.19999999999999</v>
      </c>
      <c r="J20" s="1458">
        <f t="shared" si="2"/>
        <v>2.0071581961345741E-2</v>
      </c>
      <c r="K20" s="1452">
        <v>125.3</v>
      </c>
      <c r="L20" s="1458">
        <f t="shared" si="3"/>
        <v>7.3760117733627659E-2</v>
      </c>
      <c r="M20" s="1454">
        <v>47332</v>
      </c>
      <c r="N20" s="1453">
        <f t="shared" si="4"/>
        <v>0.2566699926250488</v>
      </c>
      <c r="O20" s="1452">
        <v>89.42</v>
      </c>
      <c r="P20" s="1453">
        <f t="shared" si="5"/>
        <v>0.14848887412819661</v>
      </c>
      <c r="Q20" s="1452">
        <v>156.4</v>
      </c>
      <c r="R20" s="1453">
        <f t="shared" si="6"/>
        <v>0.15454545454545454</v>
      </c>
      <c r="S20" s="1452">
        <v>89.5</v>
      </c>
      <c r="T20" s="1453">
        <f t="shared" si="7"/>
        <v>0.1010158013544018</v>
      </c>
      <c r="U20" s="1455">
        <f t="shared" si="8"/>
        <v>1.0087818289574604</v>
      </c>
      <c r="V20" s="1456">
        <f t="shared" si="9"/>
        <v>0</v>
      </c>
      <c r="W20" s="1449">
        <f t="shared" si="10"/>
        <v>0</v>
      </c>
      <c r="X20" s="697"/>
    </row>
    <row r="21" spans="2:29" s="185" customFormat="1" ht="13.8" x14ac:dyDescent="0.3">
      <c r="B21" s="1457">
        <v>8</v>
      </c>
      <c r="C21" s="1457" t="s">
        <v>1326</v>
      </c>
      <c r="D21" s="1442">
        <v>45688</v>
      </c>
      <c r="E21" s="1442">
        <f t="shared" si="0"/>
        <v>45639</v>
      </c>
      <c r="F21" s="1459">
        <v>0</v>
      </c>
      <c r="G21" s="1452">
        <v>156.19999999999999</v>
      </c>
      <c r="H21" s="1453">
        <f t="shared" si="1"/>
        <v>0.10323859881031064</v>
      </c>
      <c r="I21" s="1452">
        <v>139.5</v>
      </c>
      <c r="J21" s="1458">
        <f t="shared" si="2"/>
        <v>1.9971367215461708E-2</v>
      </c>
      <c r="K21" s="1452">
        <v>127.9</v>
      </c>
      <c r="L21" s="1458">
        <f t="shared" si="3"/>
        <v>7.5290654893303902E-2</v>
      </c>
      <c r="M21" s="1454">
        <v>49122</v>
      </c>
      <c r="N21" s="1453">
        <f t="shared" si="4"/>
        <v>0.26637672985987593</v>
      </c>
      <c r="O21" s="1452">
        <v>89.42</v>
      </c>
      <c r="P21" s="1453">
        <f t="shared" si="5"/>
        <v>0.14848887412819661</v>
      </c>
      <c r="Q21" s="1452">
        <v>155.69999999999999</v>
      </c>
      <c r="R21" s="1453">
        <f t="shared" si="6"/>
        <v>0.15385375494071143</v>
      </c>
      <c r="S21" s="1452">
        <v>90</v>
      </c>
      <c r="T21" s="1453">
        <f t="shared" si="7"/>
        <v>0.10158013544018059</v>
      </c>
      <c r="U21" s="1455">
        <f t="shared" si="8"/>
        <v>1.0188001152880408</v>
      </c>
      <c r="V21" s="1456">
        <f t="shared" si="9"/>
        <v>0</v>
      </c>
      <c r="W21" s="1449">
        <f t="shared" si="10"/>
        <v>0</v>
      </c>
      <c r="X21" s="697"/>
    </row>
    <row r="22" spans="2:29" s="185" customFormat="1" ht="13.8" x14ac:dyDescent="0.3">
      <c r="B22" s="1457">
        <v>9</v>
      </c>
      <c r="C22" s="1457" t="s">
        <v>1250</v>
      </c>
      <c r="D22" s="1442">
        <v>45716</v>
      </c>
      <c r="E22" s="1442">
        <f t="shared" si="0"/>
        <v>45667</v>
      </c>
      <c r="F22" s="1459">
        <v>64200199</v>
      </c>
      <c r="G22" s="1452">
        <v>157.9</v>
      </c>
      <c r="H22" s="1453">
        <f t="shared" si="1"/>
        <v>0.10436219431592862</v>
      </c>
      <c r="I22" s="1452">
        <v>138.5</v>
      </c>
      <c r="J22" s="1458">
        <f t="shared" si="2"/>
        <v>1.9828203292770224E-2</v>
      </c>
      <c r="K22" s="1452">
        <v>128.19999999999999</v>
      </c>
      <c r="L22" s="1458">
        <f t="shared" si="3"/>
        <v>7.5467255334805E-2</v>
      </c>
      <c r="M22" s="1454">
        <v>51602</v>
      </c>
      <c r="N22" s="1453">
        <f t="shared" si="4"/>
        <v>0.27982517027460846</v>
      </c>
      <c r="O22" s="1452">
        <v>89.42</v>
      </c>
      <c r="P22" s="1453">
        <f t="shared" si="5"/>
        <v>0.14848887412819661</v>
      </c>
      <c r="Q22" s="1452">
        <v>155</v>
      </c>
      <c r="R22" s="1453">
        <f t="shared" si="6"/>
        <v>0.15316205533596836</v>
      </c>
      <c r="S22" s="1452">
        <v>91</v>
      </c>
      <c r="T22" s="1453">
        <f t="shared" si="7"/>
        <v>0.10270880361173816</v>
      </c>
      <c r="U22" s="1455">
        <f t="shared" si="8"/>
        <v>1.0338425562940154</v>
      </c>
      <c r="V22" s="1456">
        <f t="shared" si="9"/>
        <v>66372898</v>
      </c>
      <c r="W22" s="1449">
        <f t="shared" si="10"/>
        <v>2172699</v>
      </c>
      <c r="X22" s="697"/>
    </row>
    <row r="23" spans="2:29" s="185" customFormat="1" ht="13.8" x14ac:dyDescent="0.3">
      <c r="B23" s="1457">
        <v>10</v>
      </c>
      <c r="C23" s="1457" t="s">
        <v>934</v>
      </c>
      <c r="D23" s="1442">
        <v>45747</v>
      </c>
      <c r="E23" s="1442">
        <f t="shared" si="0"/>
        <v>45698</v>
      </c>
      <c r="F23" s="1459">
        <v>22917238</v>
      </c>
      <c r="G23" s="1452">
        <v>155.4</v>
      </c>
      <c r="H23" s="1453">
        <f t="shared" si="1"/>
        <v>0.10270984798413747</v>
      </c>
      <c r="I23" s="1452">
        <v>138.69999999999999</v>
      </c>
      <c r="J23" s="1458">
        <f t="shared" si="2"/>
        <v>1.9856836077308516E-2</v>
      </c>
      <c r="K23" s="1452">
        <v>128.9</v>
      </c>
      <c r="L23" s="1458">
        <f t="shared" si="3"/>
        <v>7.5879323031640911E-2</v>
      </c>
      <c r="M23" s="1454">
        <v>51152</v>
      </c>
      <c r="N23" s="1453">
        <f t="shared" si="4"/>
        <v>0.27738492907032231</v>
      </c>
      <c r="O23" s="1452">
        <v>89.42</v>
      </c>
      <c r="P23" s="1453">
        <f t="shared" si="5"/>
        <v>0.14848887412819661</v>
      </c>
      <c r="Q23" s="1452">
        <v>154.9</v>
      </c>
      <c r="R23" s="1453">
        <f t="shared" si="6"/>
        <v>0.15306324110671937</v>
      </c>
      <c r="S23" s="1452">
        <v>91.4</v>
      </c>
      <c r="T23" s="1453">
        <f t="shared" si="7"/>
        <v>0.1031602708803612</v>
      </c>
      <c r="U23" s="1455">
        <f t="shared" si="8"/>
        <v>1.0305433222786864</v>
      </c>
      <c r="V23" s="1456">
        <f t="shared" si="9"/>
        <v>23617207</v>
      </c>
      <c r="W23" s="1449">
        <f t="shared" si="10"/>
        <v>699969</v>
      </c>
      <c r="X23" s="697"/>
    </row>
    <row r="24" spans="2:29" s="185" customFormat="1" ht="13.8" x14ac:dyDescent="0.3">
      <c r="B24" s="1457">
        <v>11</v>
      </c>
      <c r="C24" s="1457" t="s">
        <v>1302</v>
      </c>
      <c r="D24" s="1442">
        <v>45777</v>
      </c>
      <c r="E24" s="1442">
        <f t="shared" si="0"/>
        <v>45728</v>
      </c>
      <c r="F24" s="1459">
        <v>8182495</v>
      </c>
      <c r="G24" s="1452">
        <v>154.69999999999999</v>
      </c>
      <c r="H24" s="1453">
        <f t="shared" si="1"/>
        <v>0.10224719101123594</v>
      </c>
      <c r="I24" s="1452">
        <v>140</v>
      </c>
      <c r="J24" s="1458">
        <f t="shared" si="2"/>
        <v>2.0042949176807445E-2</v>
      </c>
      <c r="K24" s="1452">
        <v>129.30000000000001</v>
      </c>
      <c r="L24" s="1458">
        <f t="shared" si="3"/>
        <v>7.6114790286975723E-2</v>
      </c>
      <c r="M24" s="1454">
        <v>50882</v>
      </c>
      <c r="N24" s="1453">
        <f t="shared" si="4"/>
        <v>0.27592078434775064</v>
      </c>
      <c r="O24" s="1452">
        <v>89.5</v>
      </c>
      <c r="P24" s="1453">
        <f t="shared" si="5"/>
        <v>0.14862172035868482</v>
      </c>
      <c r="Q24" s="1452">
        <v>154.80000000000001</v>
      </c>
      <c r="R24" s="1453">
        <f t="shared" si="6"/>
        <v>0.15296442687747036</v>
      </c>
      <c r="S24" s="1452">
        <v>91.6</v>
      </c>
      <c r="T24" s="1453">
        <f t="shared" si="7"/>
        <v>0.10338600451467268</v>
      </c>
      <c r="U24" s="1455">
        <f t="shared" si="8"/>
        <v>1.0292978665735977</v>
      </c>
      <c r="V24" s="1456">
        <f t="shared" si="9"/>
        <v>8422225</v>
      </c>
      <c r="W24" s="1449">
        <f t="shared" si="10"/>
        <v>239730</v>
      </c>
      <c r="X24" s="697"/>
    </row>
    <row r="25" spans="2:29" s="185" customFormat="1" ht="13.8" x14ac:dyDescent="0.3">
      <c r="B25" s="1457">
        <v>12</v>
      </c>
      <c r="C25" s="1457" t="s">
        <v>97</v>
      </c>
      <c r="D25" s="1442">
        <v>45808</v>
      </c>
      <c r="E25" s="1442">
        <f t="shared" si="0"/>
        <v>45759</v>
      </c>
      <c r="F25" s="1459">
        <v>3022846</v>
      </c>
      <c r="G25" s="1452">
        <v>153.80000000000001</v>
      </c>
      <c r="H25" s="1453">
        <f t="shared" si="1"/>
        <v>0.10165234633179115</v>
      </c>
      <c r="I25" s="1452">
        <v>140.80000000000001</v>
      </c>
      <c r="J25" s="1458">
        <f t="shared" si="2"/>
        <v>2.0157480314960636E-2</v>
      </c>
      <c r="K25" s="1452">
        <v>127.6</v>
      </c>
      <c r="L25" s="1458">
        <f t="shared" si="3"/>
        <v>7.5114054451802789E-2</v>
      </c>
      <c r="M25" s="1454">
        <v>52422</v>
      </c>
      <c r="N25" s="1453">
        <f t="shared" si="4"/>
        <v>0.28427183202464101</v>
      </c>
      <c r="O25" s="1452">
        <v>89.5</v>
      </c>
      <c r="P25" s="1453">
        <f t="shared" si="5"/>
        <v>0.14862172035868482</v>
      </c>
      <c r="Q25" s="1452">
        <v>154.19999999999999</v>
      </c>
      <c r="R25" s="1453">
        <f t="shared" si="6"/>
        <v>0.15237154150197627</v>
      </c>
      <c r="S25" s="1452">
        <v>92.3</v>
      </c>
      <c r="T25" s="1453">
        <f t="shared" si="7"/>
        <v>0.10417607223476298</v>
      </c>
      <c r="U25" s="1455">
        <f t="shared" si="8"/>
        <v>1.0363650472186197</v>
      </c>
      <c r="V25" s="1456">
        <f t="shared" si="9"/>
        <v>3132772</v>
      </c>
      <c r="W25" s="1449">
        <f t="shared" si="10"/>
        <v>109926</v>
      </c>
      <c r="X25" s="697"/>
    </row>
    <row r="26" spans="2:29" s="185" customFormat="1" ht="13.8" x14ac:dyDescent="0.3">
      <c r="B26" s="1457">
        <v>13</v>
      </c>
      <c r="C26" s="1457" t="s">
        <v>937</v>
      </c>
      <c r="D26" s="1442">
        <v>45838</v>
      </c>
      <c r="E26" s="1442">
        <f t="shared" si="0"/>
        <v>45789</v>
      </c>
      <c r="F26" s="1459">
        <v>6045694</v>
      </c>
      <c r="G26" s="1452">
        <v>152.6</v>
      </c>
      <c r="H26" s="1453">
        <f t="shared" si="1"/>
        <v>0.1008592200925314</v>
      </c>
      <c r="I26" s="1452">
        <v>138.69999999999999</v>
      </c>
      <c r="J26" s="1458">
        <f t="shared" si="2"/>
        <v>1.9856836077308516E-2</v>
      </c>
      <c r="K26" s="1452">
        <v>131</v>
      </c>
      <c r="L26" s="1458">
        <f t="shared" si="3"/>
        <v>7.7115526122148642E-2</v>
      </c>
      <c r="M26" s="1454">
        <v>51912</v>
      </c>
      <c r="N26" s="1453">
        <f t="shared" si="4"/>
        <v>0.28150622532645003</v>
      </c>
      <c r="O26" s="1452">
        <v>89.53</v>
      </c>
      <c r="P26" s="1453">
        <f t="shared" si="5"/>
        <v>0.1486715376951179</v>
      </c>
      <c r="Q26" s="1452">
        <v>153.69999999999999</v>
      </c>
      <c r="R26" s="1453">
        <f t="shared" si="6"/>
        <v>0.15187747035573121</v>
      </c>
      <c r="S26" s="1452">
        <v>92.5</v>
      </c>
      <c r="T26" s="1453">
        <f t="shared" si="7"/>
        <v>0.10440180586907451</v>
      </c>
      <c r="U26" s="1455">
        <f t="shared" si="8"/>
        <v>1.0342886215383622</v>
      </c>
      <c r="V26" s="1456">
        <f t="shared" si="9"/>
        <v>6252993</v>
      </c>
      <c r="W26" s="1449">
        <f t="shared" si="10"/>
        <v>207299</v>
      </c>
      <c r="X26" s="697"/>
    </row>
    <row r="27" spans="2:29" s="185" customFormat="1" ht="13.8" x14ac:dyDescent="0.3">
      <c r="B27" s="1457">
        <v>14</v>
      </c>
      <c r="C27" s="1457" t="s">
        <v>1262</v>
      </c>
      <c r="D27" s="1442">
        <v>45869</v>
      </c>
      <c r="E27" s="1442">
        <f t="shared" si="0"/>
        <v>45820</v>
      </c>
      <c r="F27" s="1459">
        <v>0</v>
      </c>
      <c r="G27" s="1452">
        <v>151.19999999999999</v>
      </c>
      <c r="H27" s="1453">
        <f t="shared" si="1"/>
        <v>9.9933906146728341E-2</v>
      </c>
      <c r="I27" s="1452">
        <v>137.19999999999999</v>
      </c>
      <c r="J27" s="1458">
        <f t="shared" si="2"/>
        <v>1.9642090193271296E-2</v>
      </c>
      <c r="K27" s="1452">
        <v>131.30000000000001</v>
      </c>
      <c r="L27" s="1458">
        <f t="shared" si="3"/>
        <v>7.7292126563649741E-2</v>
      </c>
      <c r="M27" s="1454">
        <v>52152</v>
      </c>
      <c r="N27" s="1453">
        <f t="shared" si="4"/>
        <v>0.28280768730206934</v>
      </c>
      <c r="O27" s="1452">
        <v>89.53</v>
      </c>
      <c r="P27" s="1453">
        <f t="shared" si="5"/>
        <v>0.1486715376951179</v>
      </c>
      <c r="Q27" s="1452">
        <v>153.69999999999999</v>
      </c>
      <c r="R27" s="1453">
        <f t="shared" si="6"/>
        <v>0.15187747035573121</v>
      </c>
      <c r="S27" s="1452">
        <v>92.7</v>
      </c>
      <c r="T27" s="1453">
        <f t="shared" si="7"/>
        <v>0.10462753950338602</v>
      </c>
      <c r="U27" s="1455">
        <f t="shared" si="8"/>
        <v>1.0348523577599538</v>
      </c>
      <c r="V27" s="1456">
        <f t="shared" si="9"/>
        <v>0</v>
      </c>
      <c r="W27" s="1449">
        <f t="shared" si="10"/>
        <v>0</v>
      </c>
      <c r="X27" s="697"/>
    </row>
    <row r="28" spans="2:29" s="185" customFormat="1" ht="13.8" x14ac:dyDescent="0.3">
      <c r="B28" s="1457">
        <v>15</v>
      </c>
      <c r="C28" s="1457" t="s">
        <v>1509</v>
      </c>
      <c r="D28" s="1442">
        <v>45900</v>
      </c>
      <c r="E28" s="1442">
        <f t="shared" si="0"/>
        <v>45851</v>
      </c>
      <c r="F28" s="1459">
        <v>0</v>
      </c>
      <c r="G28" s="1452">
        <v>153.4</v>
      </c>
      <c r="H28" s="1453">
        <f t="shared" si="1"/>
        <v>0.10138797091870455</v>
      </c>
      <c r="I28" s="1452">
        <v>135.30000000000001</v>
      </c>
      <c r="J28" s="1458">
        <f t="shared" si="2"/>
        <v>1.9370078740157483E-2</v>
      </c>
      <c r="K28" s="1452">
        <v>130.69999999999999</v>
      </c>
      <c r="L28" s="1458">
        <f t="shared" si="3"/>
        <v>7.693892568064753E-2</v>
      </c>
      <c r="M28" s="1454">
        <v>50832</v>
      </c>
      <c r="N28" s="1453">
        <f t="shared" si="4"/>
        <v>0.2756496464361633</v>
      </c>
      <c r="O28" s="1452">
        <v>89.53</v>
      </c>
      <c r="P28" s="1453">
        <f t="shared" si="5"/>
        <v>0.1486715376951179</v>
      </c>
      <c r="Q28" s="1452">
        <v>154.4</v>
      </c>
      <c r="R28" s="1453">
        <f t="shared" si="6"/>
        <v>0.15256916996047429</v>
      </c>
      <c r="S28" s="1452">
        <v>93.1</v>
      </c>
      <c r="T28" s="1453">
        <f t="shared" si="7"/>
        <v>0.10507900677200904</v>
      </c>
      <c r="U28" s="1455">
        <f t="shared" si="8"/>
        <v>1.0296663362032741</v>
      </c>
      <c r="V28" s="1456">
        <f t="shared" si="9"/>
        <v>0</v>
      </c>
      <c r="W28" s="1449">
        <f t="shared" si="10"/>
        <v>0</v>
      </c>
      <c r="X28" s="697"/>
    </row>
    <row r="29" spans="2:29" s="185" customFormat="1" ht="13.8" x14ac:dyDescent="0.3">
      <c r="B29" s="1457">
        <v>16</v>
      </c>
      <c r="C29" s="1457" t="s">
        <v>940</v>
      </c>
      <c r="D29" s="1442">
        <v>45930</v>
      </c>
      <c r="E29" s="1442">
        <f t="shared" si="0"/>
        <v>45881</v>
      </c>
      <c r="F29" s="1459">
        <v>0</v>
      </c>
      <c r="G29" s="1452">
        <v>154.4</v>
      </c>
      <c r="H29" s="1453">
        <f t="shared" si="1"/>
        <v>0.10204890945142103</v>
      </c>
      <c r="I29" s="1452">
        <v>135.19999999999999</v>
      </c>
      <c r="J29" s="1458">
        <f t="shared" si="2"/>
        <v>1.9355762347888331E-2</v>
      </c>
      <c r="K29" s="1452">
        <v>130.69999999999999</v>
      </c>
      <c r="L29" s="1458">
        <f t="shared" si="3"/>
        <v>7.693892568064753E-2</v>
      </c>
      <c r="M29" s="1454">
        <v>50102</v>
      </c>
      <c r="N29" s="1453">
        <f t="shared" si="4"/>
        <v>0.27169103292698799</v>
      </c>
      <c r="O29" s="1452">
        <f>(89.53+89.42)/2</f>
        <v>89.474999999999994</v>
      </c>
      <c r="P29" s="1453">
        <f t="shared" si="5"/>
        <v>0.14858020591165724</v>
      </c>
      <c r="Q29" s="1452">
        <v>155.19999999999999</v>
      </c>
      <c r="R29" s="1453">
        <f t="shared" si="6"/>
        <v>0.15335968379446638</v>
      </c>
      <c r="S29" s="1452">
        <v>92.9</v>
      </c>
      <c r="T29" s="1453">
        <f t="shared" si="7"/>
        <v>0.10485327313769753</v>
      </c>
      <c r="U29" s="1455">
        <f t="shared" si="8"/>
        <v>1.0268277932507661</v>
      </c>
      <c r="V29" s="1456">
        <f t="shared" si="9"/>
        <v>0</v>
      </c>
      <c r="W29" s="1449">
        <f t="shared" si="10"/>
        <v>0</v>
      </c>
      <c r="X29" s="697"/>
    </row>
    <row r="30" spans="2:29" s="185" customFormat="1" ht="13.8" x14ac:dyDescent="0.3">
      <c r="B30" s="1457">
        <v>17</v>
      </c>
      <c r="C30" s="1457" t="s">
        <v>1026</v>
      </c>
      <c r="D30" s="1442">
        <v>45961</v>
      </c>
      <c r="E30" s="1442">
        <f t="shared" si="0"/>
        <v>45912</v>
      </c>
      <c r="F30" s="1459">
        <v>6045693</v>
      </c>
      <c r="G30" s="1452">
        <v>155.9</v>
      </c>
      <c r="H30" s="1453">
        <f t="shared" si="1"/>
        <v>0.1030403172504957</v>
      </c>
      <c r="I30" s="1452">
        <v>135.6</v>
      </c>
      <c r="J30" s="1458">
        <f t="shared" si="2"/>
        <v>1.9413027916964927E-2</v>
      </c>
      <c r="K30" s="1452">
        <v>128.4</v>
      </c>
      <c r="L30" s="1458">
        <f t="shared" si="3"/>
        <v>7.5584988962472413E-2</v>
      </c>
      <c r="M30" s="1454">
        <v>49012</v>
      </c>
      <c r="N30" s="1453">
        <f t="shared" si="4"/>
        <v>0.26578022645438376</v>
      </c>
      <c r="O30" s="1452">
        <v>89.42</v>
      </c>
      <c r="P30" s="1453">
        <f t="shared" si="5"/>
        <v>0.14848887412819661</v>
      </c>
      <c r="Q30" s="1452">
        <v>155</v>
      </c>
      <c r="R30" s="1453">
        <f t="shared" si="6"/>
        <v>0.15316205533596836</v>
      </c>
      <c r="S30" s="1452">
        <v>92.9</v>
      </c>
      <c r="T30" s="1453">
        <f t="shared" si="7"/>
        <v>0.10485327313769753</v>
      </c>
      <c r="U30" s="1455">
        <f t="shared" si="8"/>
        <v>1.0203227631861793</v>
      </c>
      <c r="V30" s="1456">
        <f t="shared" si="9"/>
        <v>6168558</v>
      </c>
      <c r="W30" s="1449">
        <f t="shared" si="10"/>
        <v>122865</v>
      </c>
      <c r="X30" s="697"/>
    </row>
    <row r="31" spans="2:29" s="185" customFormat="1" ht="13.8" x14ac:dyDescent="0.3">
      <c r="B31" s="1457">
        <v>18</v>
      </c>
      <c r="C31" s="1457" t="s">
        <v>1282</v>
      </c>
      <c r="D31" s="1442">
        <v>45991</v>
      </c>
      <c r="E31" s="1442">
        <f t="shared" si="0"/>
        <v>45942</v>
      </c>
      <c r="F31" s="1459">
        <v>0</v>
      </c>
      <c r="G31" s="1452">
        <v>156.69999999999999</v>
      </c>
      <c r="H31" s="1453">
        <f t="shared" si="1"/>
        <v>0.10356906807666887</v>
      </c>
      <c r="I31" s="1452">
        <v>133.80000000000001</v>
      </c>
      <c r="J31" s="1458">
        <f t="shared" si="2"/>
        <v>1.9155332856120262E-2</v>
      </c>
      <c r="K31" s="1452">
        <v>126.7</v>
      </c>
      <c r="L31" s="1458">
        <f t="shared" si="3"/>
        <v>7.4584253127299494E-2</v>
      </c>
      <c r="M31" s="1454">
        <v>49012</v>
      </c>
      <c r="N31" s="1453">
        <f t="shared" si="4"/>
        <v>0.26578022645438376</v>
      </c>
      <c r="O31" s="1452">
        <v>89.42</v>
      </c>
      <c r="P31" s="1453">
        <f t="shared" si="5"/>
        <v>0.14848887412819661</v>
      </c>
      <c r="Q31" s="1452">
        <v>155.1</v>
      </c>
      <c r="R31" s="1453">
        <f t="shared" si="6"/>
        <v>0.15326086956521737</v>
      </c>
      <c r="S31" s="1452">
        <v>93</v>
      </c>
      <c r="T31" s="1453">
        <f t="shared" si="7"/>
        <v>0.10496613995485329</v>
      </c>
      <c r="U31" s="1455">
        <f t="shared" si="8"/>
        <v>1.0198047641627397</v>
      </c>
      <c r="V31" s="1456">
        <f t="shared" si="9"/>
        <v>0</v>
      </c>
      <c r="W31" s="1449">
        <f t="shared" si="10"/>
        <v>0</v>
      </c>
      <c r="X31" s="697"/>
      <c r="Y31" s="1460" t="s">
        <v>10427</v>
      </c>
      <c r="Z31" s="1460" t="s">
        <v>10428</v>
      </c>
      <c r="AA31" s="1460" t="s">
        <v>10429</v>
      </c>
      <c r="AB31" s="1460" t="s">
        <v>10339</v>
      </c>
      <c r="AC31" s="1460" t="s">
        <v>10430</v>
      </c>
    </row>
    <row r="32" spans="2:29" s="185" customFormat="1" ht="13.8" x14ac:dyDescent="0.3">
      <c r="B32" s="1457">
        <v>19</v>
      </c>
      <c r="C32" s="1457" t="s">
        <v>943</v>
      </c>
      <c r="D32" s="1442">
        <v>46022</v>
      </c>
      <c r="E32" s="1442">
        <f t="shared" si="0"/>
        <v>45973</v>
      </c>
      <c r="F32" s="1459">
        <v>0</v>
      </c>
      <c r="G32" s="1452">
        <v>155.4</v>
      </c>
      <c r="H32" s="1453">
        <f t="shared" si="1"/>
        <v>0.10270984798413747</v>
      </c>
      <c r="I32" s="1452">
        <v>133.30000000000001</v>
      </c>
      <c r="J32" s="1458">
        <f t="shared" si="2"/>
        <v>1.9083750894774522E-2</v>
      </c>
      <c r="K32" s="1452">
        <v>126.7</v>
      </c>
      <c r="L32" s="1458">
        <f t="shared" si="3"/>
        <v>7.4584253127299494E-2</v>
      </c>
      <c r="M32" s="1454">
        <v>44152</v>
      </c>
      <c r="N32" s="1453">
        <f t="shared" si="4"/>
        <v>0.23942562144809335</v>
      </c>
      <c r="O32" s="1452">
        <v>89.42</v>
      </c>
      <c r="P32" s="1453">
        <f t="shared" si="5"/>
        <v>0.14848887412819661</v>
      </c>
      <c r="Q32" s="1452">
        <v>156.19999999999999</v>
      </c>
      <c r="R32" s="1453">
        <f t="shared" si="6"/>
        <v>0.15434782608695649</v>
      </c>
      <c r="S32" s="1452">
        <v>93.3</v>
      </c>
      <c r="T32" s="1453">
        <f t="shared" si="7"/>
        <v>0.10530474040632054</v>
      </c>
      <c r="U32" s="1455">
        <f t="shared" si="8"/>
        <v>0.99394491407577856</v>
      </c>
      <c r="V32" s="1456">
        <f t="shared" si="9"/>
        <v>0</v>
      </c>
      <c r="W32" s="1449">
        <f t="shared" si="10"/>
        <v>0</v>
      </c>
      <c r="X32" s="697"/>
      <c r="Y32" s="1461">
        <v>46082</v>
      </c>
      <c r="Z32" s="1461">
        <v>46106</v>
      </c>
      <c r="AA32" s="1462">
        <f>ABS(Y32-Z32)+1</f>
        <v>25</v>
      </c>
      <c r="AB32" s="1463">
        <f>89.42</f>
        <v>89.42</v>
      </c>
      <c r="AC32" s="1805">
        <f>ROUNDUP((AA32*AB32+AA33*AB33)/(AA32+AA33),2)</f>
        <v>94.29</v>
      </c>
    </row>
    <row r="33" spans="2:29" s="185" customFormat="1" ht="13.8" x14ac:dyDescent="0.3">
      <c r="B33" s="1457">
        <v>20</v>
      </c>
      <c r="C33" s="1457" t="s">
        <v>1417</v>
      </c>
      <c r="D33" s="1442">
        <v>46053</v>
      </c>
      <c r="E33" s="1442">
        <f t="shared" si="0"/>
        <v>46004</v>
      </c>
      <c r="F33" s="1459">
        <v>9068540</v>
      </c>
      <c r="G33" s="1452">
        <v>155.4</v>
      </c>
      <c r="H33" s="1453">
        <f t="shared" si="1"/>
        <v>0.10270984798413747</v>
      </c>
      <c r="I33" s="1452">
        <v>133.19999999999999</v>
      </c>
      <c r="J33" s="1458">
        <f t="shared" si="2"/>
        <v>1.906943450250537E-2</v>
      </c>
      <c r="K33" s="1452">
        <v>127.5</v>
      </c>
      <c r="L33" s="1458">
        <f t="shared" si="3"/>
        <v>7.505518763796909E-2</v>
      </c>
      <c r="M33" s="1454">
        <v>46622</v>
      </c>
      <c r="N33" s="1453">
        <f t="shared" si="4"/>
        <v>0.25281983428050842</v>
      </c>
      <c r="O33" s="1452">
        <v>89.42</v>
      </c>
      <c r="P33" s="1453">
        <f t="shared" si="5"/>
        <v>0.14848887412819661</v>
      </c>
      <c r="Q33" s="1452">
        <v>157.19999999999999</v>
      </c>
      <c r="R33" s="1453">
        <f t="shared" si="6"/>
        <v>0.1553359683794466</v>
      </c>
      <c r="S33" s="1452">
        <v>93.1</v>
      </c>
      <c r="T33" s="1453">
        <f t="shared" si="7"/>
        <v>0.10507900677200904</v>
      </c>
      <c r="U33" s="1455">
        <f t="shared" si="8"/>
        <v>1.0085581536847725</v>
      </c>
      <c r="V33" s="1456">
        <f t="shared" si="9"/>
        <v>9146150</v>
      </c>
      <c r="W33" s="1449">
        <f t="shared" si="10"/>
        <v>77610</v>
      </c>
      <c r="X33" s="697"/>
      <c r="Y33" s="1464">
        <v>46107</v>
      </c>
      <c r="Z33" s="1464">
        <v>46112</v>
      </c>
      <c r="AA33" s="1465">
        <f>ABS(Y33-Z33)+1</f>
        <v>6</v>
      </c>
      <c r="AB33" s="1466">
        <v>114.55</v>
      </c>
      <c r="AC33" s="1806"/>
    </row>
    <row r="34" spans="2:29" s="185" customFormat="1" ht="13.8" x14ac:dyDescent="0.3">
      <c r="B34" s="1457">
        <v>21</v>
      </c>
      <c r="C34" s="1457" t="s">
        <v>1315</v>
      </c>
      <c r="D34" s="1442">
        <v>46081</v>
      </c>
      <c r="E34" s="1442">
        <f t="shared" si="0"/>
        <v>46032</v>
      </c>
      <c r="F34" s="1459">
        <v>82497605</v>
      </c>
      <c r="G34" s="1452">
        <v>156.69999999999999</v>
      </c>
      <c r="H34" s="1453">
        <f t="shared" si="1"/>
        <v>0.10356906807666887</v>
      </c>
      <c r="I34" s="1452">
        <v>137.6</v>
      </c>
      <c r="J34" s="1458">
        <f t="shared" si="2"/>
        <v>1.9699355762347891E-2</v>
      </c>
      <c r="K34" s="1452">
        <v>130.1</v>
      </c>
      <c r="L34" s="1458">
        <f t="shared" si="3"/>
        <v>7.6585724797645333E-2</v>
      </c>
      <c r="M34" s="1454">
        <v>50292</v>
      </c>
      <c r="N34" s="1453">
        <f t="shared" si="4"/>
        <v>0.2727213569910199</v>
      </c>
      <c r="O34" s="1452">
        <v>89.42</v>
      </c>
      <c r="P34" s="1453">
        <f t="shared" si="5"/>
        <v>0.14848887412819661</v>
      </c>
      <c r="Q34" s="1452">
        <v>157.6</v>
      </c>
      <c r="R34" s="1453">
        <f t="shared" si="6"/>
        <v>0.15573122529644268</v>
      </c>
      <c r="S34" s="1452">
        <v>93.5</v>
      </c>
      <c r="T34" s="1453">
        <f t="shared" si="7"/>
        <v>0.10553047404063208</v>
      </c>
      <c r="U34" s="1455">
        <f t="shared" si="8"/>
        <v>1.0323260790929534</v>
      </c>
      <c r="V34" s="1456">
        <f t="shared" si="9"/>
        <v>85164429</v>
      </c>
      <c r="W34" s="1449">
        <f t="shared" si="10"/>
        <v>2666824</v>
      </c>
      <c r="X34" s="697"/>
      <c r="Y34" s="1464">
        <v>46113</v>
      </c>
      <c r="Z34" s="1464">
        <v>46119</v>
      </c>
      <c r="AA34" s="1465">
        <f t="shared" ref="AA34:AA40" si="11">ABS(Y34-Z34)+1</f>
        <v>7</v>
      </c>
      <c r="AB34" s="1467">
        <f>AB33</f>
        <v>114.55</v>
      </c>
      <c r="AC34" s="1805">
        <f>ROUNDUP((AA34*AB34+AA36*AB36+AA35*AB35)/(AA34+AA36+AA35),2)</f>
        <v>136.54</v>
      </c>
    </row>
    <row r="35" spans="2:29" s="185" customFormat="1" ht="13.8" x14ac:dyDescent="0.3">
      <c r="B35" s="1457">
        <v>22</v>
      </c>
      <c r="C35" s="1457" t="s">
        <v>946</v>
      </c>
      <c r="D35" s="1442">
        <v>46112</v>
      </c>
      <c r="E35" s="1442">
        <f t="shared" si="0"/>
        <v>46063</v>
      </c>
      <c r="F35" s="1459">
        <v>9068540</v>
      </c>
      <c r="G35" s="1452">
        <v>158.19999999999999</v>
      </c>
      <c r="H35" s="1453">
        <f t="shared" si="1"/>
        <v>0.10456047587574353</v>
      </c>
      <c r="I35" s="1452">
        <v>140.80000000000001</v>
      </c>
      <c r="J35" s="1458">
        <f t="shared" si="2"/>
        <v>2.0157480314960636E-2</v>
      </c>
      <c r="K35" s="1452">
        <v>131.30000000000001</v>
      </c>
      <c r="L35" s="1458">
        <f t="shared" si="3"/>
        <v>7.7292126563649741E-2</v>
      </c>
      <c r="M35" s="1454">
        <v>49892</v>
      </c>
      <c r="N35" s="1453">
        <f t="shared" si="4"/>
        <v>0.27055225369832109</v>
      </c>
      <c r="O35" s="1452">
        <v>89.42</v>
      </c>
      <c r="P35" s="1453">
        <f t="shared" si="5"/>
        <v>0.14848887412819661</v>
      </c>
      <c r="Q35" s="1452">
        <v>158.4</v>
      </c>
      <c r="R35" s="1453">
        <f t="shared" si="6"/>
        <v>0.15652173913043477</v>
      </c>
      <c r="S35" s="1452">
        <v>93.5</v>
      </c>
      <c r="T35" s="1453">
        <f t="shared" si="7"/>
        <v>0.10553047404063208</v>
      </c>
      <c r="U35" s="1455">
        <f t="shared" si="8"/>
        <v>1.0331034237519385</v>
      </c>
      <c r="V35" s="1456">
        <f t="shared" si="9"/>
        <v>9368740</v>
      </c>
      <c r="W35" s="1449">
        <f t="shared" si="10"/>
        <v>300200</v>
      </c>
      <c r="X35" s="697"/>
      <c r="Y35" s="1464">
        <v>46120</v>
      </c>
      <c r="Z35" s="1464">
        <v>46133</v>
      </c>
      <c r="AA35" s="1465">
        <f t="shared" si="11"/>
        <v>14</v>
      </c>
      <c r="AB35" s="1467">
        <v>143.22999999999999</v>
      </c>
      <c r="AC35" s="1807"/>
    </row>
    <row r="36" spans="2:29" s="185" customFormat="1" ht="13.8" x14ac:dyDescent="0.3">
      <c r="B36" s="1457">
        <v>23</v>
      </c>
      <c r="C36" s="1457" t="s">
        <v>10431</v>
      </c>
      <c r="D36" s="1442">
        <v>46142</v>
      </c>
      <c r="E36" s="1442">
        <f t="shared" si="0"/>
        <v>46093</v>
      </c>
      <c r="F36" s="1459">
        <v>3022846</v>
      </c>
      <c r="G36" s="1452">
        <v>158.4</v>
      </c>
      <c r="H36" s="1453">
        <f t="shared" si="1"/>
        <v>0.10469266358228685</v>
      </c>
      <c r="I36" s="1452">
        <v>141.80000000000001</v>
      </c>
      <c r="J36" s="1458">
        <f t="shared" si="2"/>
        <v>2.0300644237652116E-2</v>
      </c>
      <c r="K36" s="1452">
        <v>132.1</v>
      </c>
      <c r="L36" s="1458">
        <f t="shared" si="3"/>
        <v>7.7763061074319351E-2</v>
      </c>
      <c r="M36" s="1454">
        <v>50102</v>
      </c>
      <c r="N36" s="1453">
        <f t="shared" si="4"/>
        <v>0.27169103292698799</v>
      </c>
      <c r="O36" s="1452">
        <f>AC32</f>
        <v>94.29</v>
      </c>
      <c r="P36" s="1453">
        <f>+$O36/P$7*P$9</f>
        <v>0.15621272365805167</v>
      </c>
      <c r="Q36" s="1452">
        <v>161.19999999999999</v>
      </c>
      <c r="R36" s="1453">
        <f t="shared" si="6"/>
        <v>0.15928853754940708</v>
      </c>
      <c r="S36" s="1452">
        <v>93.6</v>
      </c>
      <c r="T36" s="1453">
        <f t="shared" si="7"/>
        <v>0.10564334085778782</v>
      </c>
      <c r="U36" s="1455">
        <f t="shared" si="8"/>
        <v>1.0455920038864928</v>
      </c>
      <c r="V36" s="1456">
        <f t="shared" si="9"/>
        <v>3160664</v>
      </c>
      <c r="W36" s="1449">
        <f t="shared" si="10"/>
        <v>137818</v>
      </c>
      <c r="X36" s="697"/>
      <c r="Y36" s="1464">
        <v>46134</v>
      </c>
      <c r="Z36" s="1464">
        <v>46142</v>
      </c>
      <c r="AA36" s="1465">
        <f t="shared" si="11"/>
        <v>9</v>
      </c>
      <c r="AB36" s="1467">
        <v>143.22999999999999</v>
      </c>
      <c r="AC36" s="1806"/>
    </row>
    <row r="37" spans="2:29" s="185" customFormat="1" ht="13.8" x14ac:dyDescent="0.3">
      <c r="B37" s="1457">
        <v>24</v>
      </c>
      <c r="C37" s="1457" t="s">
        <v>10432</v>
      </c>
      <c r="D37" s="1442">
        <v>46173</v>
      </c>
      <c r="E37" s="1442">
        <f t="shared" ref="E37" si="12">D37-49</f>
        <v>46124</v>
      </c>
      <c r="F37" s="1459">
        <v>0</v>
      </c>
      <c r="G37" s="1452">
        <v>159.69999999999999</v>
      </c>
      <c r="H37" s="1453">
        <f t="shared" si="1"/>
        <v>0.10555188367481823</v>
      </c>
      <c r="I37" s="1452">
        <v>144.4</v>
      </c>
      <c r="J37" s="1458">
        <f t="shared" si="2"/>
        <v>2.0672870436649969E-2</v>
      </c>
      <c r="K37" s="1452">
        <v>133</v>
      </c>
      <c r="L37" s="1458">
        <f t="shared" si="3"/>
        <v>7.829286239882266E-2</v>
      </c>
      <c r="M37" s="1454">
        <v>70862</v>
      </c>
      <c r="N37" s="1453">
        <f t="shared" si="4"/>
        <v>0.38426749381805564</v>
      </c>
      <c r="O37" s="1452">
        <f>AC34</f>
        <v>136.54</v>
      </c>
      <c r="P37" s="1453">
        <f>+$O37/P$7*P$9</f>
        <v>0.22620941020543403</v>
      </c>
      <c r="Q37" s="1452">
        <v>167</v>
      </c>
      <c r="R37" s="1453">
        <f t="shared" si="6"/>
        <v>0.16501976284584979</v>
      </c>
      <c r="S37" s="1452">
        <v>93.4</v>
      </c>
      <c r="T37" s="1453">
        <f t="shared" si="7"/>
        <v>0.10541760722347632</v>
      </c>
      <c r="U37" s="1455">
        <f t="shared" si="8"/>
        <v>1.2354318906031065</v>
      </c>
      <c r="V37" s="1456">
        <f t="shared" si="9"/>
        <v>0</v>
      </c>
      <c r="W37" s="1449">
        <f t="shared" si="10"/>
        <v>0</v>
      </c>
      <c r="X37" s="697"/>
      <c r="Y37" s="1464">
        <v>46143</v>
      </c>
      <c r="Z37" s="1464">
        <v>46159</v>
      </c>
      <c r="AA37" s="1465">
        <f t="shared" si="11"/>
        <v>17</v>
      </c>
      <c r="AB37" s="1467">
        <v>143.22999999999999</v>
      </c>
      <c r="AC37" s="1805">
        <f>ROUNDUP((AA37*AB37+AA38*AB38)/(AA37+AA38),2)</f>
        <v>141.85</v>
      </c>
    </row>
    <row r="38" spans="2:29" s="185" customFormat="1" ht="13.8" x14ac:dyDescent="0.3">
      <c r="B38" s="1457">
        <v>25</v>
      </c>
      <c r="C38" s="1457" t="s">
        <v>10433</v>
      </c>
      <c r="D38" s="1442">
        <v>46203</v>
      </c>
      <c r="E38" s="1442">
        <f t="shared" ref="E38:E39" si="13">D38-49</f>
        <v>46154</v>
      </c>
      <c r="F38" s="1459">
        <v>0</v>
      </c>
      <c r="G38" s="1452">
        <v>160</v>
      </c>
      <c r="H38" s="1453">
        <f t="shared" si="1"/>
        <v>0.10575016523463317</v>
      </c>
      <c r="I38" s="1452">
        <f>'Indices Cal.'!$E18</f>
        <v>147.108</v>
      </c>
      <c r="J38" s="1458">
        <f t="shared" si="2"/>
        <v>2.1060558339298503E-2</v>
      </c>
      <c r="K38" s="1452">
        <f>'Indices Cal.'!$J18</f>
        <v>130.46800000000002</v>
      </c>
      <c r="L38" s="1458">
        <f t="shared" si="3"/>
        <v>7.680235467255335E-2</v>
      </c>
      <c r="M38" s="1454">
        <v>87122</v>
      </c>
      <c r="N38" s="1453">
        <f t="shared" si="4"/>
        <v>0.47244154266626176</v>
      </c>
      <c r="O38" s="1452">
        <f>AC37</f>
        <v>141.85</v>
      </c>
      <c r="P38" s="1453">
        <f>+$O38/P$7*P$9</f>
        <v>0.23500662690523522</v>
      </c>
      <c r="Q38" s="1452">
        <f>'Indices Cal.'!$O18</f>
        <v>169.3338</v>
      </c>
      <c r="R38" s="1453">
        <f t="shared" si="6"/>
        <v>0.16732588932806322</v>
      </c>
      <c r="S38" s="1452">
        <f>'Indices Cal.'!$T18</f>
        <v>94.176000000000002</v>
      </c>
      <c r="T38" s="1453">
        <f t="shared" si="7"/>
        <v>0.10629345372460497</v>
      </c>
      <c r="U38" s="1455">
        <f t="shared" ref="U38" si="14">+H38+J38+L38+N38+P38+R38+T38+$R$4</f>
        <v>1.3346805908706501</v>
      </c>
      <c r="V38" s="1456">
        <f t="shared" ref="V38" si="15">ROUND(U38*F38,0)</f>
        <v>0</v>
      </c>
      <c r="W38" s="1449">
        <f t="shared" si="10"/>
        <v>0</v>
      </c>
      <c r="X38" s="697"/>
      <c r="Y38" s="1464">
        <v>46160</v>
      </c>
      <c r="Z38" s="1464">
        <v>46173</v>
      </c>
      <c r="AA38" s="1465">
        <f t="shared" si="11"/>
        <v>14</v>
      </c>
      <c r="AB38" s="1467">
        <v>140.16</v>
      </c>
      <c r="AC38" s="1806"/>
    </row>
    <row r="39" spans="2:29" s="185" customFormat="1" ht="13.8" x14ac:dyDescent="0.3">
      <c r="B39" s="1457">
        <v>26</v>
      </c>
      <c r="C39" s="1457" t="s">
        <v>119</v>
      </c>
      <c r="D39" s="1442">
        <v>46234</v>
      </c>
      <c r="E39" s="1442">
        <f t="shared" si="13"/>
        <v>46185</v>
      </c>
      <c r="F39" s="1459">
        <f>'Price Adj. - Breakup'!$M$89</f>
        <v>3022847</v>
      </c>
      <c r="G39" s="1452">
        <v>160.80000000000001</v>
      </c>
      <c r="H39" s="1453">
        <f t="shared" si="1"/>
        <v>0.10627891606080636</v>
      </c>
      <c r="I39" s="1452">
        <f>'Indices Cal.'!$E19</f>
        <v>144.81199999999998</v>
      </c>
      <c r="J39" s="1458">
        <f t="shared" si="2"/>
        <v>2.0731853972798857E-2</v>
      </c>
      <c r="K39" s="1452">
        <f>'Indices Cal.'!$J19</f>
        <v>130.46800000000002</v>
      </c>
      <c r="L39" s="1458">
        <f t="shared" si="3"/>
        <v>7.680235467255335E-2</v>
      </c>
      <c r="M39" s="1454">
        <v>80552</v>
      </c>
      <c r="N39" s="1453">
        <f t="shared" si="4"/>
        <v>0.436814021083684</v>
      </c>
      <c r="O39" s="1452">
        <v>97.23</v>
      </c>
      <c r="P39" s="1453">
        <f>+$O39/P$6*P$9</f>
        <v>0.16145798737960812</v>
      </c>
      <c r="Q39" s="1452">
        <f>'Indices Cal.'!$O19</f>
        <v>169.48760000000001</v>
      </c>
      <c r="R39" s="1453">
        <f t="shared" si="6"/>
        <v>0.16747786561264821</v>
      </c>
      <c r="S39" s="1452">
        <f>'Indices Cal.'!$T19</f>
        <v>93.827199999999991</v>
      </c>
      <c r="T39" s="1453">
        <f t="shared" si="7"/>
        <v>0.10589977426636568</v>
      </c>
      <c r="U39" s="1455">
        <f t="shared" ref="U39" si="16">+H39+J39+L39+N39+P39+R39+T39+$R$4</f>
        <v>1.2254627730484646</v>
      </c>
      <c r="V39" s="1456">
        <f t="shared" ref="V39" si="17">ROUND(U39*F39,0)</f>
        <v>3704386</v>
      </c>
      <c r="W39" s="1449">
        <f t="shared" si="10"/>
        <v>681539</v>
      </c>
      <c r="X39" s="697"/>
      <c r="Y39" s="1464">
        <v>46174</v>
      </c>
      <c r="Z39" s="1464">
        <v>46188</v>
      </c>
      <c r="AA39" s="1465">
        <f t="shared" si="11"/>
        <v>15</v>
      </c>
      <c r="AB39" s="1467">
        <f>1688896/12000</f>
        <v>140.74133333333333</v>
      </c>
      <c r="AC39" s="1805">
        <f>ROUNDUP((AA39*AB39+AA40*AB40)/(AA39+AA40),2)</f>
        <v>133.41</v>
      </c>
    </row>
    <row r="40" spans="2:29" s="185" customFormat="1" ht="13.8" x14ac:dyDescent="0.3">
      <c r="B40" s="1457"/>
      <c r="C40" s="1457"/>
      <c r="D40" s="1468"/>
      <c r="E40" s="1468"/>
      <c r="F40" s="1469"/>
      <c r="G40" s="1470"/>
      <c r="H40" s="1458"/>
      <c r="I40" s="1470"/>
      <c r="J40" s="1458"/>
      <c r="K40" s="1452"/>
      <c r="L40" s="1458"/>
      <c r="M40" s="1471"/>
      <c r="N40" s="1458"/>
      <c r="O40" s="1470"/>
      <c r="P40" s="1458"/>
      <c r="Q40" s="1470"/>
      <c r="R40" s="1458"/>
      <c r="S40" s="1470"/>
      <c r="T40" s="1458"/>
      <c r="U40" s="1472"/>
      <c r="V40" s="1473"/>
      <c r="X40" s="697"/>
      <c r="Y40" s="1464">
        <f>Z39+1</f>
        <v>46189</v>
      </c>
      <c r="Z40" s="1464">
        <v>46203</v>
      </c>
      <c r="AA40" s="1465">
        <f t="shared" si="11"/>
        <v>15</v>
      </c>
      <c r="AB40" s="1467">
        <f>126077/1000</f>
        <v>126.077</v>
      </c>
      <c r="AC40" s="1806"/>
    </row>
    <row r="41" spans="2:29" s="185" customFormat="1" ht="13.8" x14ac:dyDescent="0.3">
      <c r="B41" s="1474" t="s">
        <v>10434</v>
      </c>
      <c r="C41" s="1475"/>
      <c r="D41" s="1476"/>
      <c r="E41" s="1476"/>
      <c r="F41" s="1477">
        <f>SUM(F14:F40)</f>
        <v>217094543</v>
      </c>
      <c r="G41" s="1478"/>
      <c r="H41" s="1479"/>
      <c r="I41" s="1478"/>
      <c r="J41" s="1479"/>
      <c r="K41" s="1478"/>
      <c r="L41" s="1479"/>
      <c r="M41" s="1478"/>
      <c r="N41" s="1479"/>
      <c r="O41" s="1478"/>
      <c r="P41" s="1479"/>
      <c r="Q41" s="1478"/>
      <c r="R41" s="1479"/>
      <c r="S41" s="1478"/>
      <c r="T41" s="1479"/>
      <c r="U41" s="1480"/>
      <c r="V41" s="1477">
        <f>SUM(V14:V40)</f>
        <v>224511022</v>
      </c>
      <c r="W41" s="697"/>
      <c r="X41" s="697"/>
      <c r="Y41" s="1429"/>
      <c r="Z41" s="1429"/>
      <c r="AA41" s="1429"/>
      <c r="AB41" s="1429"/>
      <c r="AC41" s="1429"/>
    </row>
    <row r="42" spans="2:29" s="1429" customFormat="1" ht="7.5" customHeight="1" x14ac:dyDescent="0.3">
      <c r="B42" s="1431"/>
      <c r="C42" s="1432"/>
      <c r="D42" s="1433"/>
      <c r="E42" s="1433"/>
      <c r="F42" s="1433"/>
      <c r="G42" s="1434"/>
      <c r="H42" s="1433"/>
      <c r="I42" s="1434"/>
      <c r="J42" s="1433"/>
      <c r="K42" s="1434"/>
      <c r="L42" s="1433"/>
      <c r="M42" s="1434"/>
      <c r="N42" s="1433"/>
      <c r="O42" s="1434"/>
      <c r="P42" s="1433"/>
      <c r="Q42" s="1434"/>
      <c r="R42" s="1433"/>
      <c r="S42" s="1434"/>
      <c r="T42" s="1433"/>
      <c r="U42" s="1481"/>
      <c r="V42" s="1435"/>
      <c r="X42" s="1430"/>
      <c r="Y42" s="185"/>
      <c r="Z42" s="185"/>
      <c r="AA42" s="185"/>
      <c r="AB42" s="185"/>
      <c r="AC42" s="185"/>
    </row>
    <row r="43" spans="2:29" s="185" customFormat="1" ht="13.8" x14ac:dyDescent="0.3">
      <c r="B43" s="1482" t="s">
        <v>10435</v>
      </c>
      <c r="C43" s="1483"/>
      <c r="D43" s="1483"/>
      <c r="E43" s="1483"/>
      <c r="F43" s="1484"/>
      <c r="G43" s="1485"/>
      <c r="H43" s="1483"/>
      <c r="I43" s="1485"/>
      <c r="J43" s="1483"/>
      <c r="K43" s="1485"/>
      <c r="L43" s="1483"/>
      <c r="M43" s="1485"/>
      <c r="N43" s="1483"/>
      <c r="O43" s="1485"/>
      <c r="P43" s="1483"/>
      <c r="Q43" s="1485"/>
      <c r="R43" s="1483"/>
      <c r="S43" s="1485"/>
      <c r="T43" s="1483"/>
      <c r="U43" s="1486"/>
      <c r="V43" s="1487"/>
      <c r="X43" s="697"/>
    </row>
    <row r="44" spans="2:29" s="185" customFormat="1" ht="13.8" x14ac:dyDescent="0.3">
      <c r="B44" s="1450">
        <v>1</v>
      </c>
      <c r="C44" s="1450" t="str">
        <f>C14</f>
        <v>IPC - 02</v>
      </c>
      <c r="D44" s="1488">
        <f>D14</f>
        <v>45473</v>
      </c>
      <c r="E44" s="1488">
        <f>E14</f>
        <v>45424</v>
      </c>
      <c r="F44" s="1489">
        <v>470736501</v>
      </c>
      <c r="G44" s="1490">
        <f>+G14</f>
        <v>151.6</v>
      </c>
      <c r="H44" s="1453">
        <f t="shared" ref="H44:H69" si="18">+$G44/H$6*H$10</f>
        <v>0.10019828155981492</v>
      </c>
      <c r="I44" s="1490">
        <f>+I14</f>
        <v>144.5</v>
      </c>
      <c r="J44" s="1453">
        <f t="shared" ref="J44:J69" si="19">+$I44/J$6*J$10</f>
        <v>0.23790264853256984</v>
      </c>
      <c r="K44" s="1490">
        <f t="shared" ref="K44:K69" si="20">K14</f>
        <v>129.30000000000001</v>
      </c>
      <c r="L44" s="1453">
        <f t="shared" ref="L44:L69" si="21">+$K44/L$6*L$10</f>
        <v>0.14271523178807949</v>
      </c>
      <c r="M44" s="1491">
        <f t="shared" ref="M44:M69" si="22">M14</f>
        <v>43782</v>
      </c>
      <c r="N44" s="1453">
        <f t="shared" ref="N44:N69" si="23">+$M44/N$6*N$10</f>
        <v>0</v>
      </c>
      <c r="O44" s="1490">
        <f t="shared" ref="O44:O69" si="24">O14</f>
        <v>88.38</v>
      </c>
      <c r="P44" s="1453">
        <f t="shared" ref="P44:P65" si="25">+$O44/P$6*P$10</f>
        <v>0.11740949850547991</v>
      </c>
      <c r="Q44" s="1490">
        <f>+Q14</f>
        <v>153.5</v>
      </c>
      <c r="R44" s="1453">
        <f t="shared" ref="R44:R69" si="26">+$Q44/R$6*R$10</f>
        <v>0.15167984189723319</v>
      </c>
      <c r="S44" s="1490">
        <f>+S14</f>
        <v>89.7</v>
      </c>
      <c r="T44" s="1453">
        <f t="shared" ref="T44:T69" si="27">+$S44/T$6*T$10</f>
        <v>0.10124153498871334</v>
      </c>
      <c r="U44" s="1455">
        <f t="shared" ref="U44:U67" si="28">+H44+J44+L44+N44+P44+R44+T44+$R$4</f>
        <v>1.0011470372718907</v>
      </c>
      <c r="V44" s="1456">
        <f t="shared" ref="V44:V67" si="29">ROUND(U44*F44,0)</f>
        <v>471276453</v>
      </c>
      <c r="W44" s="1449">
        <f t="shared" ref="W44:W68" si="30">V44-F44</f>
        <v>539952</v>
      </c>
      <c r="X44" s="697"/>
    </row>
    <row r="45" spans="2:29" s="185" customFormat="1" ht="13.8" x14ac:dyDescent="0.3">
      <c r="B45" s="1450">
        <v>2</v>
      </c>
      <c r="C45" s="1450" t="str">
        <f t="shared" ref="C45:E45" si="31">C15</f>
        <v>IPC - 03</v>
      </c>
      <c r="D45" s="1442">
        <f t="shared" si="31"/>
        <v>45504</v>
      </c>
      <c r="E45" s="1442">
        <f t="shared" si="31"/>
        <v>45455</v>
      </c>
      <c r="F45" s="1451">
        <v>203129138</v>
      </c>
      <c r="G45" s="1452">
        <f t="shared" ref="G45:G69" si="32">G15</f>
        <v>152.19999999999999</v>
      </c>
      <c r="H45" s="1453">
        <f t="shared" si="18"/>
        <v>0.10059484467944479</v>
      </c>
      <c r="I45" s="1452">
        <f t="shared" ref="I45:I69" si="33">I15</f>
        <v>143.6</v>
      </c>
      <c r="J45" s="1453">
        <f t="shared" si="19"/>
        <v>0.23642090193271298</v>
      </c>
      <c r="K45" s="1452">
        <f t="shared" si="20"/>
        <v>126.8</v>
      </c>
      <c r="L45" s="1453">
        <f t="shared" si="21"/>
        <v>0.1399558498896247</v>
      </c>
      <c r="M45" s="1454">
        <f t="shared" si="22"/>
        <v>42922</v>
      </c>
      <c r="N45" s="1453">
        <f t="shared" si="23"/>
        <v>0</v>
      </c>
      <c r="O45" s="1452">
        <f t="shared" si="24"/>
        <v>89.25</v>
      </c>
      <c r="P45" s="1453">
        <f t="shared" si="25"/>
        <v>0.11856526071072733</v>
      </c>
      <c r="Q45" s="1452">
        <f t="shared" ref="Q45:Q69" si="34">Q15</f>
        <v>154</v>
      </c>
      <c r="R45" s="1453">
        <f t="shared" si="26"/>
        <v>0.15217391304347824</v>
      </c>
      <c r="S45" s="1452">
        <f t="shared" ref="S45:S69" si="35">S15</f>
        <v>89.4</v>
      </c>
      <c r="T45" s="1453">
        <f t="shared" si="27"/>
        <v>0.10090293453724607</v>
      </c>
      <c r="U45" s="1455">
        <f t="shared" si="28"/>
        <v>0.99861370479323419</v>
      </c>
      <c r="V45" s="1456">
        <f t="shared" si="29"/>
        <v>202847541</v>
      </c>
      <c r="W45" s="1449">
        <f t="shared" si="30"/>
        <v>-281597</v>
      </c>
      <c r="X45" s="697"/>
    </row>
    <row r="46" spans="2:29" s="185" customFormat="1" ht="13.8" x14ac:dyDescent="0.3">
      <c r="B46" s="1457">
        <v>3</v>
      </c>
      <c r="C46" s="1457" t="str">
        <f t="shared" ref="C46:E46" si="36">C16</f>
        <v>IPC - 04</v>
      </c>
      <c r="D46" s="1442">
        <f t="shared" si="36"/>
        <v>45535</v>
      </c>
      <c r="E46" s="1442">
        <f t="shared" si="36"/>
        <v>45486</v>
      </c>
      <c r="F46" s="1459">
        <v>201867989</v>
      </c>
      <c r="G46" s="1452">
        <f t="shared" si="32"/>
        <v>154.5</v>
      </c>
      <c r="H46" s="1453">
        <f t="shared" si="18"/>
        <v>0.10211500330469266</v>
      </c>
      <c r="I46" s="1452">
        <f t="shared" si="33"/>
        <v>139.69999999999999</v>
      </c>
      <c r="J46" s="1453">
        <f t="shared" si="19"/>
        <v>0.23</v>
      </c>
      <c r="K46" s="1452">
        <f t="shared" si="20"/>
        <v>124</v>
      </c>
      <c r="L46" s="1453">
        <f t="shared" si="21"/>
        <v>0.13686534216335539</v>
      </c>
      <c r="M46" s="1454">
        <f t="shared" si="22"/>
        <v>43532</v>
      </c>
      <c r="N46" s="1453">
        <f t="shared" si="23"/>
        <v>0</v>
      </c>
      <c r="O46" s="1452">
        <f t="shared" si="24"/>
        <v>89.38</v>
      </c>
      <c r="P46" s="1453">
        <f t="shared" si="25"/>
        <v>0.118737960810362</v>
      </c>
      <c r="Q46" s="1452">
        <f t="shared" si="34"/>
        <v>155.30000000000001</v>
      </c>
      <c r="R46" s="1453">
        <f t="shared" si="26"/>
        <v>0.15345849802371539</v>
      </c>
      <c r="S46" s="1452">
        <f t="shared" si="35"/>
        <v>89</v>
      </c>
      <c r="T46" s="1453">
        <f t="shared" si="27"/>
        <v>0.10045146726862304</v>
      </c>
      <c r="U46" s="1455">
        <f t="shared" si="28"/>
        <v>0.99162827157074851</v>
      </c>
      <c r="V46" s="1456">
        <f t="shared" si="29"/>
        <v>200178005</v>
      </c>
      <c r="W46" s="1449">
        <f t="shared" si="30"/>
        <v>-1689984</v>
      </c>
      <c r="X46" s="697"/>
    </row>
    <row r="47" spans="2:29" s="185" customFormat="1" ht="13.8" x14ac:dyDescent="0.3">
      <c r="B47" s="1457">
        <v>4</v>
      </c>
      <c r="C47" s="1457" t="str">
        <f t="shared" ref="C47:E47" si="37">C17</f>
        <v>IPC - 05</v>
      </c>
      <c r="D47" s="1442">
        <f t="shared" si="37"/>
        <v>45565</v>
      </c>
      <c r="E47" s="1442">
        <f t="shared" si="37"/>
        <v>45516</v>
      </c>
      <c r="F47" s="1459">
        <v>208660127</v>
      </c>
      <c r="G47" s="1452">
        <f t="shared" si="32"/>
        <v>155.5</v>
      </c>
      <c r="H47" s="1453">
        <f t="shared" si="18"/>
        <v>0.10277594183740912</v>
      </c>
      <c r="I47" s="1452">
        <f t="shared" si="33"/>
        <v>138.6</v>
      </c>
      <c r="J47" s="1453">
        <f t="shared" si="19"/>
        <v>0.22818897637795277</v>
      </c>
      <c r="K47" s="1452">
        <f t="shared" si="20"/>
        <v>122.6</v>
      </c>
      <c r="L47" s="1453">
        <f t="shared" si="21"/>
        <v>0.13532008830022074</v>
      </c>
      <c r="M47" s="1454">
        <f t="shared" si="22"/>
        <v>46062</v>
      </c>
      <c r="N47" s="1453">
        <f t="shared" si="23"/>
        <v>0</v>
      </c>
      <c r="O47" s="1452">
        <f t="shared" si="24"/>
        <v>89.38</v>
      </c>
      <c r="P47" s="1453">
        <f t="shared" si="25"/>
        <v>0.118737960810362</v>
      </c>
      <c r="Q47" s="1452">
        <f t="shared" si="34"/>
        <v>154.4</v>
      </c>
      <c r="R47" s="1453">
        <f t="shared" si="26"/>
        <v>0.15256916996047429</v>
      </c>
      <c r="S47" s="1452">
        <f t="shared" si="35"/>
        <v>88.8</v>
      </c>
      <c r="T47" s="1453">
        <f t="shared" si="27"/>
        <v>0.10022573363431152</v>
      </c>
      <c r="U47" s="1455">
        <f t="shared" si="28"/>
        <v>0.98781787092073048</v>
      </c>
      <c r="V47" s="1456">
        <f t="shared" si="29"/>
        <v>206118202</v>
      </c>
      <c r="W47" s="1449">
        <f t="shared" si="30"/>
        <v>-2541925</v>
      </c>
      <c r="X47" s="697"/>
    </row>
    <row r="48" spans="2:29" s="185" customFormat="1" ht="13.8" x14ac:dyDescent="0.3">
      <c r="B48" s="1457">
        <v>5</v>
      </c>
      <c r="C48" s="1457" t="str">
        <f t="shared" ref="C48:E48" si="38">C18</f>
        <v>IPC - 07</v>
      </c>
      <c r="D48" s="1442">
        <f t="shared" si="38"/>
        <v>45596</v>
      </c>
      <c r="E48" s="1442">
        <f t="shared" si="38"/>
        <v>45547</v>
      </c>
      <c r="F48" s="1459">
        <v>255093701</v>
      </c>
      <c r="G48" s="1452">
        <f t="shared" si="32"/>
        <v>156</v>
      </c>
      <c r="H48" s="1453">
        <f t="shared" si="18"/>
        <v>0.10310641110376735</v>
      </c>
      <c r="I48" s="1452">
        <f t="shared" si="33"/>
        <v>138.9</v>
      </c>
      <c r="J48" s="1453">
        <f t="shared" si="19"/>
        <v>0.22868289191123842</v>
      </c>
      <c r="K48" s="1452">
        <f t="shared" si="20"/>
        <v>125</v>
      </c>
      <c r="L48" s="1453">
        <f t="shared" si="21"/>
        <v>0.13796909492273729</v>
      </c>
      <c r="M48" s="1454">
        <f t="shared" si="22"/>
        <v>45432</v>
      </c>
      <c r="N48" s="1453">
        <f t="shared" si="23"/>
        <v>0</v>
      </c>
      <c r="O48" s="1452">
        <f t="shared" si="24"/>
        <v>89.38</v>
      </c>
      <c r="P48" s="1453">
        <f t="shared" si="25"/>
        <v>0.118737960810362</v>
      </c>
      <c r="Q48" s="1452">
        <f t="shared" si="34"/>
        <v>154.69999999999999</v>
      </c>
      <c r="R48" s="1453">
        <f t="shared" si="26"/>
        <v>0.15286561264822129</v>
      </c>
      <c r="S48" s="1452">
        <f t="shared" si="35"/>
        <v>88.8</v>
      </c>
      <c r="T48" s="1453">
        <f t="shared" si="27"/>
        <v>0.10022573363431152</v>
      </c>
      <c r="U48" s="1455">
        <f t="shared" si="28"/>
        <v>0.99158770503063787</v>
      </c>
      <c r="V48" s="1456">
        <f t="shared" si="29"/>
        <v>252947778</v>
      </c>
      <c r="W48" s="1449">
        <f t="shared" si="30"/>
        <v>-2145923</v>
      </c>
      <c r="X48" s="697"/>
    </row>
    <row r="49" spans="2:24" s="185" customFormat="1" ht="13.8" x14ac:dyDescent="0.3">
      <c r="B49" s="1457">
        <v>6</v>
      </c>
      <c r="C49" s="1457" t="str">
        <f t="shared" ref="C49:E49" si="39">C19</f>
        <v>IPC - 08</v>
      </c>
      <c r="D49" s="1442">
        <f t="shared" si="39"/>
        <v>45626</v>
      </c>
      <c r="E49" s="1442">
        <f t="shared" si="39"/>
        <v>45577</v>
      </c>
      <c r="F49" s="1459">
        <v>433437094</v>
      </c>
      <c r="G49" s="1452">
        <f t="shared" si="32"/>
        <v>157.69999999999999</v>
      </c>
      <c r="H49" s="1453">
        <f t="shared" si="18"/>
        <v>0.10423000660938531</v>
      </c>
      <c r="I49" s="1452">
        <f t="shared" si="33"/>
        <v>140</v>
      </c>
      <c r="J49" s="1453">
        <f t="shared" si="19"/>
        <v>0.23049391553328563</v>
      </c>
      <c r="K49" s="1452">
        <f t="shared" si="20"/>
        <v>124.6</v>
      </c>
      <c r="L49" s="1453">
        <f t="shared" si="21"/>
        <v>0.13752759381898452</v>
      </c>
      <c r="M49" s="1454">
        <f t="shared" si="22"/>
        <v>43092</v>
      </c>
      <c r="N49" s="1453">
        <f t="shared" si="23"/>
        <v>0</v>
      </c>
      <c r="O49" s="1452">
        <f t="shared" si="24"/>
        <v>89.38</v>
      </c>
      <c r="P49" s="1453">
        <f t="shared" si="25"/>
        <v>0.118737960810362</v>
      </c>
      <c r="Q49" s="1452">
        <f t="shared" si="34"/>
        <v>156.69999999999999</v>
      </c>
      <c r="R49" s="1453">
        <f t="shared" si="26"/>
        <v>0.15484189723320155</v>
      </c>
      <c r="S49" s="1452">
        <f t="shared" si="35"/>
        <v>89.2</v>
      </c>
      <c r="T49" s="1453">
        <f t="shared" si="27"/>
        <v>0.10067720090293455</v>
      </c>
      <c r="U49" s="1455">
        <f t="shared" si="28"/>
        <v>0.99650857490815359</v>
      </c>
      <c r="V49" s="1456">
        <f t="shared" si="29"/>
        <v>431923781</v>
      </c>
      <c r="W49" s="1449">
        <f t="shared" si="30"/>
        <v>-1513313</v>
      </c>
      <c r="X49" s="697"/>
    </row>
    <row r="50" spans="2:24" s="185" customFormat="1" ht="13.8" x14ac:dyDescent="0.3">
      <c r="B50" s="1457">
        <v>7</v>
      </c>
      <c r="C50" s="1457" t="str">
        <f t="shared" ref="C50:E50" si="40">C20</f>
        <v>IPC - 09</v>
      </c>
      <c r="D50" s="1442">
        <f t="shared" si="40"/>
        <v>45657</v>
      </c>
      <c r="E50" s="1442">
        <f t="shared" si="40"/>
        <v>45608</v>
      </c>
      <c r="F50" s="1459">
        <v>513652087</v>
      </c>
      <c r="G50" s="1452">
        <f t="shared" si="32"/>
        <v>157.69999999999999</v>
      </c>
      <c r="H50" s="1453">
        <f t="shared" si="18"/>
        <v>0.10423000660938531</v>
      </c>
      <c r="I50" s="1452">
        <f t="shared" si="33"/>
        <v>140.19999999999999</v>
      </c>
      <c r="J50" s="1453">
        <f t="shared" si="19"/>
        <v>0.23082319255547601</v>
      </c>
      <c r="K50" s="1452">
        <f t="shared" si="20"/>
        <v>125.3</v>
      </c>
      <c r="L50" s="1453">
        <f t="shared" si="21"/>
        <v>0.13830022075055184</v>
      </c>
      <c r="M50" s="1454">
        <f t="shared" si="22"/>
        <v>47332</v>
      </c>
      <c r="N50" s="1453">
        <f t="shared" si="23"/>
        <v>0</v>
      </c>
      <c r="O50" s="1452">
        <f t="shared" si="24"/>
        <v>89.42</v>
      </c>
      <c r="P50" s="1453">
        <f t="shared" si="25"/>
        <v>0.11879109930255728</v>
      </c>
      <c r="Q50" s="1452">
        <f t="shared" si="34"/>
        <v>156.4</v>
      </c>
      <c r="R50" s="1453">
        <f t="shared" si="26"/>
        <v>0.15454545454545454</v>
      </c>
      <c r="S50" s="1452">
        <f t="shared" si="35"/>
        <v>89.5</v>
      </c>
      <c r="T50" s="1453">
        <f t="shared" si="27"/>
        <v>0.1010158013544018</v>
      </c>
      <c r="U50" s="1455">
        <f t="shared" si="28"/>
        <v>0.99770577511782677</v>
      </c>
      <c r="V50" s="1456">
        <f t="shared" si="29"/>
        <v>512473654</v>
      </c>
      <c r="W50" s="1449">
        <f t="shared" si="30"/>
        <v>-1178433</v>
      </c>
      <c r="X50" s="697"/>
    </row>
    <row r="51" spans="2:24" s="185" customFormat="1" ht="13.8" x14ac:dyDescent="0.3">
      <c r="B51" s="1457">
        <v>8</v>
      </c>
      <c r="C51" s="1457" t="str">
        <f t="shared" ref="C51:E51" si="41">C21</f>
        <v>IPC - 10</v>
      </c>
      <c r="D51" s="1442">
        <f t="shared" si="41"/>
        <v>45688</v>
      </c>
      <c r="E51" s="1442">
        <f t="shared" si="41"/>
        <v>45639</v>
      </c>
      <c r="F51" s="1459">
        <v>657308943</v>
      </c>
      <c r="G51" s="1452">
        <f t="shared" si="32"/>
        <v>156.19999999999999</v>
      </c>
      <c r="H51" s="1453">
        <f t="shared" si="18"/>
        <v>0.10323859881031064</v>
      </c>
      <c r="I51" s="1452">
        <f t="shared" si="33"/>
        <v>139.5</v>
      </c>
      <c r="J51" s="1453">
        <f t="shared" si="19"/>
        <v>0.22967072297780963</v>
      </c>
      <c r="K51" s="1452">
        <f t="shared" si="20"/>
        <v>127.9</v>
      </c>
      <c r="L51" s="1453">
        <f t="shared" si="21"/>
        <v>0.14116997792494479</v>
      </c>
      <c r="M51" s="1454">
        <f t="shared" si="22"/>
        <v>49122</v>
      </c>
      <c r="N51" s="1453">
        <f t="shared" si="23"/>
        <v>0</v>
      </c>
      <c r="O51" s="1452">
        <f t="shared" si="24"/>
        <v>89.42</v>
      </c>
      <c r="P51" s="1453">
        <f t="shared" si="25"/>
        <v>0.11879109930255728</v>
      </c>
      <c r="Q51" s="1452">
        <f t="shared" si="34"/>
        <v>155.69999999999999</v>
      </c>
      <c r="R51" s="1453">
        <f t="shared" si="26"/>
        <v>0.15385375494071143</v>
      </c>
      <c r="S51" s="1452">
        <f t="shared" si="35"/>
        <v>90</v>
      </c>
      <c r="T51" s="1453">
        <f t="shared" si="27"/>
        <v>0.10158013544018059</v>
      </c>
      <c r="U51" s="1455">
        <f t="shared" si="28"/>
        <v>0.99830428939651439</v>
      </c>
      <c r="V51" s="1456">
        <f t="shared" si="29"/>
        <v>656194337</v>
      </c>
      <c r="W51" s="1449">
        <f t="shared" si="30"/>
        <v>-1114606</v>
      </c>
      <c r="X51" s="697"/>
    </row>
    <row r="52" spans="2:24" s="185" customFormat="1" ht="13.8" x14ac:dyDescent="0.3">
      <c r="B52" s="1457">
        <v>9</v>
      </c>
      <c r="C52" s="1457" t="str">
        <f t="shared" ref="C52:E52" si="42">C22</f>
        <v>IPC - 11</v>
      </c>
      <c r="D52" s="1442">
        <f t="shared" si="42"/>
        <v>45716</v>
      </c>
      <c r="E52" s="1442">
        <f t="shared" si="42"/>
        <v>45667</v>
      </c>
      <c r="F52" s="1459">
        <v>790952363</v>
      </c>
      <c r="G52" s="1452">
        <f t="shared" si="32"/>
        <v>157.9</v>
      </c>
      <c r="H52" s="1453">
        <f t="shared" si="18"/>
        <v>0.10436219431592862</v>
      </c>
      <c r="I52" s="1452">
        <f t="shared" si="33"/>
        <v>138.5</v>
      </c>
      <c r="J52" s="1453">
        <f t="shared" si="19"/>
        <v>0.22802433786685758</v>
      </c>
      <c r="K52" s="1452">
        <f t="shared" si="20"/>
        <v>128.19999999999999</v>
      </c>
      <c r="L52" s="1453">
        <f t="shared" si="21"/>
        <v>0.14150110375275934</v>
      </c>
      <c r="M52" s="1454">
        <f t="shared" si="22"/>
        <v>51602</v>
      </c>
      <c r="N52" s="1453">
        <f t="shared" si="23"/>
        <v>0</v>
      </c>
      <c r="O52" s="1452">
        <f t="shared" si="24"/>
        <v>89.42</v>
      </c>
      <c r="P52" s="1453">
        <f t="shared" si="25"/>
        <v>0.11879109930255728</v>
      </c>
      <c r="Q52" s="1452">
        <f t="shared" si="34"/>
        <v>155</v>
      </c>
      <c r="R52" s="1453">
        <f t="shared" si="26"/>
        <v>0.15316205533596836</v>
      </c>
      <c r="S52" s="1452">
        <f t="shared" si="35"/>
        <v>91</v>
      </c>
      <c r="T52" s="1453">
        <f t="shared" si="27"/>
        <v>0.10270880361173816</v>
      </c>
      <c r="U52" s="1455">
        <f t="shared" si="28"/>
        <v>0.99854959418580935</v>
      </c>
      <c r="V52" s="1456">
        <f t="shared" si="29"/>
        <v>789805161</v>
      </c>
      <c r="W52" s="1449">
        <f t="shared" si="30"/>
        <v>-1147202</v>
      </c>
      <c r="X52" s="697"/>
    </row>
    <row r="53" spans="2:24" s="185" customFormat="1" ht="13.8" x14ac:dyDescent="0.3">
      <c r="B53" s="1457">
        <v>10</v>
      </c>
      <c r="C53" s="1457" t="str">
        <f t="shared" ref="C53:E53" si="43">C23</f>
        <v>IPC - 13</v>
      </c>
      <c r="D53" s="1442">
        <f t="shared" si="43"/>
        <v>45747</v>
      </c>
      <c r="E53" s="1442">
        <f t="shared" si="43"/>
        <v>45698</v>
      </c>
      <c r="F53" s="1459">
        <v>821743742</v>
      </c>
      <c r="G53" s="1452">
        <f t="shared" si="32"/>
        <v>155.4</v>
      </c>
      <c r="H53" s="1453">
        <f t="shared" si="18"/>
        <v>0.10270984798413747</v>
      </c>
      <c r="I53" s="1452">
        <f t="shared" si="33"/>
        <v>138.69999999999999</v>
      </c>
      <c r="J53" s="1453">
        <f t="shared" si="19"/>
        <v>0.22835361488904796</v>
      </c>
      <c r="K53" s="1452">
        <f t="shared" si="20"/>
        <v>128.9</v>
      </c>
      <c r="L53" s="1453">
        <f t="shared" si="21"/>
        <v>0.14227373068432672</v>
      </c>
      <c r="M53" s="1454">
        <f t="shared" si="22"/>
        <v>51152</v>
      </c>
      <c r="N53" s="1453">
        <f t="shared" si="23"/>
        <v>0</v>
      </c>
      <c r="O53" s="1452">
        <f t="shared" si="24"/>
        <v>89.42</v>
      </c>
      <c r="P53" s="1453">
        <f t="shared" si="25"/>
        <v>0.11879109930255728</v>
      </c>
      <c r="Q53" s="1452">
        <f t="shared" si="34"/>
        <v>154.9</v>
      </c>
      <c r="R53" s="1453">
        <f t="shared" si="26"/>
        <v>0.15306324110671937</v>
      </c>
      <c r="S53" s="1452">
        <f t="shared" si="35"/>
        <v>91.4</v>
      </c>
      <c r="T53" s="1453">
        <f t="shared" si="27"/>
        <v>0.1031602708803612</v>
      </c>
      <c r="U53" s="1455">
        <f t="shared" si="28"/>
        <v>0.99835180484714992</v>
      </c>
      <c r="V53" s="1456">
        <f t="shared" si="29"/>
        <v>820389348</v>
      </c>
      <c r="W53" s="1449">
        <f t="shared" si="30"/>
        <v>-1354394</v>
      </c>
      <c r="X53" s="697"/>
    </row>
    <row r="54" spans="2:24" s="185" customFormat="1" ht="13.8" x14ac:dyDescent="0.3">
      <c r="B54" s="1457">
        <v>11</v>
      </c>
      <c r="C54" s="1457" t="str">
        <f t="shared" ref="C54:E54" si="44">C24</f>
        <v>IPC - 14</v>
      </c>
      <c r="D54" s="1442">
        <f t="shared" si="44"/>
        <v>45777</v>
      </c>
      <c r="E54" s="1442">
        <f t="shared" si="44"/>
        <v>45728</v>
      </c>
      <c r="F54" s="1459">
        <v>789550802</v>
      </c>
      <c r="G54" s="1452">
        <f t="shared" si="32"/>
        <v>154.69999999999999</v>
      </c>
      <c r="H54" s="1453">
        <f t="shared" si="18"/>
        <v>0.10224719101123594</v>
      </c>
      <c r="I54" s="1452">
        <f t="shared" si="33"/>
        <v>140</v>
      </c>
      <c r="J54" s="1453">
        <f t="shared" si="19"/>
        <v>0.23049391553328563</v>
      </c>
      <c r="K54" s="1452">
        <f t="shared" si="20"/>
        <v>129.30000000000001</v>
      </c>
      <c r="L54" s="1453">
        <f t="shared" si="21"/>
        <v>0.14271523178807949</v>
      </c>
      <c r="M54" s="1454">
        <f t="shared" si="22"/>
        <v>50882</v>
      </c>
      <c r="N54" s="1453">
        <f t="shared" si="23"/>
        <v>0</v>
      </c>
      <c r="O54" s="1452">
        <f t="shared" si="24"/>
        <v>89.5</v>
      </c>
      <c r="P54" s="1453">
        <f t="shared" si="25"/>
        <v>0.11889737628694785</v>
      </c>
      <c r="Q54" s="1452">
        <f t="shared" si="34"/>
        <v>154.80000000000001</v>
      </c>
      <c r="R54" s="1453">
        <f t="shared" si="26"/>
        <v>0.15296442687747036</v>
      </c>
      <c r="S54" s="1452">
        <f t="shared" si="35"/>
        <v>91.6</v>
      </c>
      <c r="T54" s="1453">
        <f t="shared" si="27"/>
        <v>0.10338600451467268</v>
      </c>
      <c r="U54" s="1455">
        <f t="shared" si="28"/>
        <v>1.0007041460116921</v>
      </c>
      <c r="V54" s="1456">
        <f t="shared" si="29"/>
        <v>790106761</v>
      </c>
      <c r="W54" s="1449">
        <f t="shared" si="30"/>
        <v>555959</v>
      </c>
      <c r="X54" s="697"/>
    </row>
    <row r="55" spans="2:24" s="185" customFormat="1" ht="13.8" x14ac:dyDescent="0.3">
      <c r="B55" s="1457">
        <v>12</v>
      </c>
      <c r="C55" s="1457" t="str">
        <f t="shared" ref="C55:E55" si="45">C25</f>
        <v>IPC - 15</v>
      </c>
      <c r="D55" s="1442">
        <f t="shared" si="45"/>
        <v>45808</v>
      </c>
      <c r="E55" s="1442">
        <f t="shared" si="45"/>
        <v>45759</v>
      </c>
      <c r="F55" s="1459">
        <v>544357066</v>
      </c>
      <c r="G55" s="1452">
        <f t="shared" si="32"/>
        <v>153.80000000000001</v>
      </c>
      <c r="H55" s="1453">
        <f t="shared" si="18"/>
        <v>0.10165234633179115</v>
      </c>
      <c r="I55" s="1452">
        <f t="shared" si="33"/>
        <v>140.80000000000001</v>
      </c>
      <c r="J55" s="1453">
        <f t="shared" si="19"/>
        <v>0.23181102362204731</v>
      </c>
      <c r="K55" s="1452">
        <f t="shared" si="20"/>
        <v>127.6</v>
      </c>
      <c r="L55" s="1453">
        <f t="shared" si="21"/>
        <v>0.14083885209713023</v>
      </c>
      <c r="M55" s="1454">
        <f t="shared" si="22"/>
        <v>52422</v>
      </c>
      <c r="N55" s="1453">
        <f t="shared" si="23"/>
        <v>0</v>
      </c>
      <c r="O55" s="1452">
        <f t="shared" si="24"/>
        <v>89.5</v>
      </c>
      <c r="P55" s="1453">
        <f t="shared" si="25"/>
        <v>0.11889737628694785</v>
      </c>
      <c r="Q55" s="1452">
        <f t="shared" si="34"/>
        <v>154.19999999999999</v>
      </c>
      <c r="R55" s="1453">
        <f t="shared" si="26"/>
        <v>0.15237154150197627</v>
      </c>
      <c r="S55" s="1452">
        <f t="shared" si="35"/>
        <v>92.3</v>
      </c>
      <c r="T55" s="1453">
        <f t="shared" si="27"/>
        <v>0.10417607223476298</v>
      </c>
      <c r="U55" s="1455">
        <f t="shared" si="28"/>
        <v>0.99974721207465589</v>
      </c>
      <c r="V55" s="1456">
        <f t="shared" si="29"/>
        <v>544219459</v>
      </c>
      <c r="W55" s="1449">
        <f t="shared" si="30"/>
        <v>-137607</v>
      </c>
      <c r="X55" s="697"/>
    </row>
    <row r="56" spans="2:24" s="185" customFormat="1" ht="13.8" x14ac:dyDescent="0.3">
      <c r="B56" s="1457">
        <v>13</v>
      </c>
      <c r="C56" s="1457" t="str">
        <f t="shared" ref="C56:E56" si="46">C26</f>
        <v>IPC - 16</v>
      </c>
      <c r="D56" s="1442">
        <f t="shared" si="46"/>
        <v>45838</v>
      </c>
      <c r="E56" s="1442">
        <f t="shared" si="46"/>
        <v>45789</v>
      </c>
      <c r="F56" s="1459">
        <v>378928137</v>
      </c>
      <c r="G56" s="1452">
        <f t="shared" si="32"/>
        <v>152.6</v>
      </c>
      <c r="H56" s="1453">
        <f t="shared" si="18"/>
        <v>0.1008592200925314</v>
      </c>
      <c r="I56" s="1452">
        <f t="shared" si="33"/>
        <v>138.69999999999999</v>
      </c>
      <c r="J56" s="1453">
        <f t="shared" si="19"/>
        <v>0.22835361488904796</v>
      </c>
      <c r="K56" s="1452">
        <f t="shared" si="20"/>
        <v>131</v>
      </c>
      <c r="L56" s="1453">
        <f t="shared" si="21"/>
        <v>0.14459161147902869</v>
      </c>
      <c r="M56" s="1454">
        <f t="shared" si="22"/>
        <v>51912</v>
      </c>
      <c r="N56" s="1453">
        <f t="shared" si="23"/>
        <v>0</v>
      </c>
      <c r="O56" s="1452">
        <f t="shared" si="24"/>
        <v>89.53</v>
      </c>
      <c r="P56" s="1453">
        <f t="shared" si="25"/>
        <v>0.11893723015609431</v>
      </c>
      <c r="Q56" s="1452">
        <f t="shared" si="34"/>
        <v>153.69999999999999</v>
      </c>
      <c r="R56" s="1453">
        <f t="shared" si="26"/>
        <v>0.15187747035573121</v>
      </c>
      <c r="S56" s="1452">
        <f t="shared" si="35"/>
        <v>92.5</v>
      </c>
      <c r="T56" s="1453">
        <f t="shared" si="27"/>
        <v>0.10440180586907451</v>
      </c>
      <c r="U56" s="1455">
        <f t="shared" si="28"/>
        <v>0.99902095284150816</v>
      </c>
      <c r="V56" s="1456">
        <f t="shared" si="29"/>
        <v>378557148</v>
      </c>
      <c r="W56" s="1449">
        <f t="shared" si="30"/>
        <v>-370989</v>
      </c>
      <c r="X56" s="697"/>
    </row>
    <row r="57" spans="2:24" s="185" customFormat="1" ht="13.8" x14ac:dyDescent="0.3">
      <c r="B57" s="1457">
        <v>14</v>
      </c>
      <c r="C57" s="1457" t="str">
        <f t="shared" ref="C57:E57" si="47">C27</f>
        <v>IPC - 18</v>
      </c>
      <c r="D57" s="1442">
        <f t="shared" si="47"/>
        <v>45869</v>
      </c>
      <c r="E57" s="1442">
        <f t="shared" si="47"/>
        <v>45820</v>
      </c>
      <c r="F57" s="1459">
        <v>472419452</v>
      </c>
      <c r="G57" s="1452">
        <f t="shared" si="32"/>
        <v>151.19999999999999</v>
      </c>
      <c r="H57" s="1453">
        <f t="shared" si="18"/>
        <v>9.9933906146728341E-2</v>
      </c>
      <c r="I57" s="1452">
        <f t="shared" si="33"/>
        <v>137.19999999999999</v>
      </c>
      <c r="J57" s="1453">
        <f t="shared" si="19"/>
        <v>0.2258840372226199</v>
      </c>
      <c r="K57" s="1452">
        <f t="shared" si="20"/>
        <v>131.30000000000001</v>
      </c>
      <c r="L57" s="1453">
        <f t="shared" si="21"/>
        <v>0.14492273730684327</v>
      </c>
      <c r="M57" s="1454">
        <f t="shared" si="22"/>
        <v>52152</v>
      </c>
      <c r="N57" s="1453">
        <f t="shared" si="23"/>
        <v>0</v>
      </c>
      <c r="O57" s="1452">
        <f t="shared" si="24"/>
        <v>89.53</v>
      </c>
      <c r="P57" s="1453">
        <f t="shared" si="25"/>
        <v>0.11893723015609431</v>
      </c>
      <c r="Q57" s="1452">
        <f t="shared" si="34"/>
        <v>153.69999999999999</v>
      </c>
      <c r="R57" s="1453">
        <f t="shared" si="26"/>
        <v>0.15187747035573121</v>
      </c>
      <c r="S57" s="1452">
        <f t="shared" si="35"/>
        <v>92.7</v>
      </c>
      <c r="T57" s="1453">
        <f t="shared" si="27"/>
        <v>0.10462753950338602</v>
      </c>
      <c r="U57" s="1455">
        <f t="shared" si="28"/>
        <v>0.99618292069140302</v>
      </c>
      <c r="V57" s="1456">
        <f t="shared" si="29"/>
        <v>470616189</v>
      </c>
      <c r="W57" s="1449">
        <f t="shared" si="30"/>
        <v>-1803263</v>
      </c>
      <c r="X57" s="697"/>
    </row>
    <row r="58" spans="2:24" s="185" customFormat="1" ht="13.8" x14ac:dyDescent="0.3">
      <c r="B58" s="1457">
        <v>15</v>
      </c>
      <c r="C58" s="1457" t="str">
        <f t="shared" ref="C58:E58" si="48">C28</f>
        <v>IPC - 19</v>
      </c>
      <c r="D58" s="1442">
        <f t="shared" si="48"/>
        <v>45900</v>
      </c>
      <c r="E58" s="1442">
        <f t="shared" si="48"/>
        <v>45851</v>
      </c>
      <c r="F58" s="1459">
        <v>407791059</v>
      </c>
      <c r="G58" s="1452">
        <f t="shared" si="32"/>
        <v>153.4</v>
      </c>
      <c r="H58" s="1453">
        <f t="shared" si="18"/>
        <v>0.10138797091870455</v>
      </c>
      <c r="I58" s="1452">
        <f t="shared" si="33"/>
        <v>135.30000000000001</v>
      </c>
      <c r="J58" s="1453">
        <f t="shared" si="19"/>
        <v>0.22275590551181107</v>
      </c>
      <c r="K58" s="1452">
        <f t="shared" si="20"/>
        <v>130.69999999999999</v>
      </c>
      <c r="L58" s="1453">
        <f t="shared" si="21"/>
        <v>0.1442604856512141</v>
      </c>
      <c r="M58" s="1454">
        <f t="shared" si="22"/>
        <v>50832</v>
      </c>
      <c r="N58" s="1453">
        <f t="shared" si="23"/>
        <v>0</v>
      </c>
      <c r="O58" s="1452">
        <f t="shared" si="24"/>
        <v>89.53</v>
      </c>
      <c r="P58" s="1453">
        <f t="shared" si="25"/>
        <v>0.11893723015609431</v>
      </c>
      <c r="Q58" s="1452">
        <f t="shared" si="34"/>
        <v>154.4</v>
      </c>
      <c r="R58" s="1453">
        <f t="shared" si="26"/>
        <v>0.15256916996047429</v>
      </c>
      <c r="S58" s="1452">
        <f t="shared" si="35"/>
        <v>93.1</v>
      </c>
      <c r="T58" s="1453">
        <f t="shared" si="27"/>
        <v>0.10507900677200904</v>
      </c>
      <c r="U58" s="1455">
        <f t="shared" si="28"/>
        <v>0.99498976897030744</v>
      </c>
      <c r="V58" s="1456">
        <f t="shared" si="29"/>
        <v>405747932</v>
      </c>
      <c r="W58" s="1449">
        <f t="shared" si="30"/>
        <v>-2043127</v>
      </c>
      <c r="X58" s="697"/>
    </row>
    <row r="59" spans="2:24" s="185" customFormat="1" ht="13.8" x14ac:dyDescent="0.3">
      <c r="B59" s="1457">
        <v>16</v>
      </c>
      <c r="C59" s="1457" t="str">
        <f t="shared" ref="C59:E59" si="49">C29</f>
        <v>IPC - 20</v>
      </c>
      <c r="D59" s="1442">
        <f t="shared" si="49"/>
        <v>45930</v>
      </c>
      <c r="E59" s="1442">
        <f t="shared" si="49"/>
        <v>45881</v>
      </c>
      <c r="F59" s="1459">
        <v>488824208</v>
      </c>
      <c r="G59" s="1452">
        <f t="shared" si="32"/>
        <v>154.4</v>
      </c>
      <c r="H59" s="1453">
        <f t="shared" si="18"/>
        <v>0.10204890945142103</v>
      </c>
      <c r="I59" s="1452">
        <f t="shared" si="33"/>
        <v>135.19999999999999</v>
      </c>
      <c r="J59" s="1453">
        <f t="shared" si="19"/>
        <v>0.22259126700071583</v>
      </c>
      <c r="K59" s="1452">
        <f t="shared" si="20"/>
        <v>130.69999999999999</v>
      </c>
      <c r="L59" s="1453">
        <f t="shared" si="21"/>
        <v>0.1442604856512141</v>
      </c>
      <c r="M59" s="1454">
        <f t="shared" si="22"/>
        <v>50102</v>
      </c>
      <c r="N59" s="1453">
        <f t="shared" si="23"/>
        <v>0</v>
      </c>
      <c r="O59" s="1452">
        <f t="shared" si="24"/>
        <v>89.474999999999994</v>
      </c>
      <c r="P59" s="1453">
        <f t="shared" si="25"/>
        <v>0.11886416472932579</v>
      </c>
      <c r="Q59" s="1452">
        <f t="shared" si="34"/>
        <v>155.19999999999999</v>
      </c>
      <c r="R59" s="1453">
        <f t="shared" si="26"/>
        <v>0.15335968379446638</v>
      </c>
      <c r="S59" s="1452">
        <f t="shared" si="35"/>
        <v>92.9</v>
      </c>
      <c r="T59" s="1453">
        <f t="shared" si="27"/>
        <v>0.10485327313769753</v>
      </c>
      <c r="U59" s="1455">
        <f t="shared" si="28"/>
        <v>0.9959777837648407</v>
      </c>
      <c r="V59" s="1456">
        <f t="shared" si="29"/>
        <v>486858051</v>
      </c>
      <c r="W59" s="1449">
        <f t="shared" si="30"/>
        <v>-1966157</v>
      </c>
      <c r="X59" s="697"/>
    </row>
    <row r="60" spans="2:24" s="185" customFormat="1" ht="13.8" x14ac:dyDescent="0.3">
      <c r="B60" s="1457">
        <v>17</v>
      </c>
      <c r="C60" s="1457" t="str">
        <f t="shared" ref="C60:E60" si="50">C30</f>
        <v>IPC - 22</v>
      </c>
      <c r="D60" s="1442">
        <f t="shared" si="50"/>
        <v>45961</v>
      </c>
      <c r="E60" s="1442">
        <f t="shared" si="50"/>
        <v>45912</v>
      </c>
      <c r="F60" s="1459">
        <f>546512613-826297/2</f>
        <v>546099464.5</v>
      </c>
      <c r="G60" s="1452">
        <f t="shared" si="32"/>
        <v>155.9</v>
      </c>
      <c r="H60" s="1453">
        <f t="shared" si="18"/>
        <v>0.1030403172504957</v>
      </c>
      <c r="I60" s="1452">
        <f t="shared" si="33"/>
        <v>135.6</v>
      </c>
      <c r="J60" s="1453">
        <f t="shared" si="19"/>
        <v>0.22324982104509666</v>
      </c>
      <c r="K60" s="1452">
        <f t="shared" si="20"/>
        <v>128.4</v>
      </c>
      <c r="L60" s="1453">
        <f t="shared" si="21"/>
        <v>0.14172185430463577</v>
      </c>
      <c r="M60" s="1454">
        <f t="shared" si="22"/>
        <v>49012</v>
      </c>
      <c r="N60" s="1453">
        <f t="shared" si="23"/>
        <v>0</v>
      </c>
      <c r="O60" s="1452">
        <f t="shared" si="24"/>
        <v>89.42</v>
      </c>
      <c r="P60" s="1453">
        <f t="shared" si="25"/>
        <v>0.11879109930255728</v>
      </c>
      <c r="Q60" s="1452">
        <f t="shared" si="34"/>
        <v>155</v>
      </c>
      <c r="R60" s="1453">
        <f t="shared" si="26"/>
        <v>0.15316205533596836</v>
      </c>
      <c r="S60" s="1452">
        <f t="shared" si="35"/>
        <v>92.9</v>
      </c>
      <c r="T60" s="1453">
        <f t="shared" si="27"/>
        <v>0.10485327313769753</v>
      </c>
      <c r="U60" s="1455">
        <f t="shared" si="28"/>
        <v>0.99481842037645141</v>
      </c>
      <c r="V60" s="1456">
        <f t="shared" si="29"/>
        <v>543269807</v>
      </c>
      <c r="W60" s="1449">
        <f t="shared" si="30"/>
        <v>-2829657.5</v>
      </c>
      <c r="X60" s="697"/>
    </row>
    <row r="61" spans="2:24" s="185" customFormat="1" ht="13.8" x14ac:dyDescent="0.3">
      <c r="B61" s="1457">
        <v>18</v>
      </c>
      <c r="C61" s="1457" t="str">
        <f t="shared" ref="C61:E61" si="51">C31</f>
        <v>IPC - 23</v>
      </c>
      <c r="D61" s="1442">
        <f t="shared" si="51"/>
        <v>45991</v>
      </c>
      <c r="E61" s="1442">
        <f t="shared" si="51"/>
        <v>45942</v>
      </c>
      <c r="F61" s="1459">
        <v>581366059</v>
      </c>
      <c r="G61" s="1452">
        <f t="shared" si="32"/>
        <v>156.69999999999999</v>
      </c>
      <c r="H61" s="1453">
        <f t="shared" si="18"/>
        <v>0.10356906807666887</v>
      </c>
      <c r="I61" s="1452">
        <f t="shared" si="33"/>
        <v>133.80000000000001</v>
      </c>
      <c r="J61" s="1453">
        <f t="shared" si="19"/>
        <v>0.22028632784538302</v>
      </c>
      <c r="K61" s="1452">
        <f t="shared" si="20"/>
        <v>126.7</v>
      </c>
      <c r="L61" s="1453">
        <f t="shared" si="21"/>
        <v>0.13984547461368654</v>
      </c>
      <c r="M61" s="1454">
        <f t="shared" si="22"/>
        <v>49012</v>
      </c>
      <c r="N61" s="1453">
        <f t="shared" si="23"/>
        <v>0</v>
      </c>
      <c r="O61" s="1452">
        <f t="shared" si="24"/>
        <v>89.42</v>
      </c>
      <c r="P61" s="1453">
        <f t="shared" si="25"/>
        <v>0.11879109930255728</v>
      </c>
      <c r="Q61" s="1452">
        <f t="shared" si="34"/>
        <v>155.1</v>
      </c>
      <c r="R61" s="1453">
        <f t="shared" si="26"/>
        <v>0.15326086956521737</v>
      </c>
      <c r="S61" s="1452">
        <f t="shared" si="35"/>
        <v>93</v>
      </c>
      <c r="T61" s="1453">
        <f t="shared" si="27"/>
        <v>0.10496613995485329</v>
      </c>
      <c r="U61" s="1455">
        <f t="shared" si="28"/>
        <v>0.99071897935836628</v>
      </c>
      <c r="V61" s="1456">
        <f t="shared" si="29"/>
        <v>575970389</v>
      </c>
      <c r="W61" s="1449">
        <f t="shared" si="30"/>
        <v>-5395670</v>
      </c>
      <c r="X61" s="697"/>
    </row>
    <row r="62" spans="2:24" s="185" customFormat="1" ht="13.8" x14ac:dyDescent="0.3">
      <c r="B62" s="1457">
        <v>19</v>
      </c>
      <c r="C62" s="1457" t="str">
        <f t="shared" ref="C62:E62" si="52">C32</f>
        <v>IPC - 25</v>
      </c>
      <c r="D62" s="1442">
        <f t="shared" si="52"/>
        <v>46022</v>
      </c>
      <c r="E62" s="1442">
        <f t="shared" si="52"/>
        <v>45973</v>
      </c>
      <c r="F62" s="1459">
        <f>873632591-918162/2</f>
        <v>873173510</v>
      </c>
      <c r="G62" s="1452">
        <f t="shared" si="32"/>
        <v>155.4</v>
      </c>
      <c r="H62" s="1453">
        <f t="shared" si="18"/>
        <v>0.10270984798413747</v>
      </c>
      <c r="I62" s="1452">
        <f t="shared" si="33"/>
        <v>133.30000000000001</v>
      </c>
      <c r="J62" s="1453">
        <f t="shared" si="19"/>
        <v>0.21946313528990699</v>
      </c>
      <c r="K62" s="1452">
        <f t="shared" si="20"/>
        <v>126.7</v>
      </c>
      <c r="L62" s="1453">
        <f t="shared" si="21"/>
        <v>0.13984547461368654</v>
      </c>
      <c r="M62" s="1454">
        <f t="shared" si="22"/>
        <v>44152</v>
      </c>
      <c r="N62" s="1453">
        <f t="shared" si="23"/>
        <v>0</v>
      </c>
      <c r="O62" s="1452">
        <f t="shared" si="24"/>
        <v>89.42</v>
      </c>
      <c r="P62" s="1453">
        <f t="shared" si="25"/>
        <v>0.11879109930255728</v>
      </c>
      <c r="Q62" s="1452">
        <f t="shared" si="34"/>
        <v>156.19999999999999</v>
      </c>
      <c r="R62" s="1453">
        <f t="shared" si="26"/>
        <v>0.15434782608695649</v>
      </c>
      <c r="S62" s="1452">
        <f t="shared" si="35"/>
        <v>93.3</v>
      </c>
      <c r="T62" s="1453">
        <f t="shared" si="27"/>
        <v>0.10530474040632054</v>
      </c>
      <c r="U62" s="1455">
        <f t="shared" si="28"/>
        <v>0.99046212368356534</v>
      </c>
      <c r="V62" s="1456">
        <f t="shared" si="29"/>
        <v>864845289</v>
      </c>
      <c r="W62" s="1449">
        <f t="shared" si="30"/>
        <v>-8328221</v>
      </c>
      <c r="X62" s="697"/>
    </row>
    <row r="63" spans="2:24" s="185" customFormat="1" ht="13.8" x14ac:dyDescent="0.3">
      <c r="B63" s="1457">
        <v>20</v>
      </c>
      <c r="C63" s="1457" t="str">
        <f t="shared" ref="C63:E63" si="53">C33</f>
        <v>IPC - 26</v>
      </c>
      <c r="D63" s="1442">
        <f t="shared" si="53"/>
        <v>46053</v>
      </c>
      <c r="E63" s="1442">
        <f t="shared" si="53"/>
        <v>46004</v>
      </c>
      <c r="F63" s="1459">
        <v>601725386</v>
      </c>
      <c r="G63" s="1452">
        <f t="shared" si="32"/>
        <v>155.4</v>
      </c>
      <c r="H63" s="1453">
        <f t="shared" si="18"/>
        <v>0.10270984798413747</v>
      </c>
      <c r="I63" s="1452">
        <f t="shared" si="33"/>
        <v>133.19999999999999</v>
      </c>
      <c r="J63" s="1453">
        <f t="shared" si="19"/>
        <v>0.21929849677881175</v>
      </c>
      <c r="K63" s="1452">
        <f t="shared" si="20"/>
        <v>127.5</v>
      </c>
      <c r="L63" s="1453">
        <f t="shared" si="21"/>
        <v>0.14072847682119202</v>
      </c>
      <c r="M63" s="1454">
        <f t="shared" si="22"/>
        <v>46622</v>
      </c>
      <c r="N63" s="1453">
        <f t="shared" si="23"/>
        <v>0</v>
      </c>
      <c r="O63" s="1452">
        <f t="shared" si="24"/>
        <v>89.42</v>
      </c>
      <c r="P63" s="1453">
        <f t="shared" si="25"/>
        <v>0.11879109930255728</v>
      </c>
      <c r="Q63" s="1452">
        <f t="shared" si="34"/>
        <v>157.19999999999999</v>
      </c>
      <c r="R63" s="1453">
        <f t="shared" si="26"/>
        <v>0.1553359683794466</v>
      </c>
      <c r="S63" s="1452">
        <f t="shared" si="35"/>
        <v>93.1</v>
      </c>
      <c r="T63" s="1453">
        <f t="shared" si="27"/>
        <v>0.10507900677200904</v>
      </c>
      <c r="U63" s="1455">
        <f t="shared" si="28"/>
        <v>0.99194289603815411</v>
      </c>
      <c r="V63" s="1456">
        <f t="shared" si="29"/>
        <v>596877222</v>
      </c>
      <c r="W63" s="1449">
        <f t="shared" si="30"/>
        <v>-4848164</v>
      </c>
      <c r="X63" s="697"/>
    </row>
    <row r="64" spans="2:24" s="185" customFormat="1" ht="13.8" x14ac:dyDescent="0.3">
      <c r="B64" s="1457">
        <v>21</v>
      </c>
      <c r="C64" s="1457" t="str">
        <f t="shared" ref="C64:E64" si="54">C34</f>
        <v>IPC - 27</v>
      </c>
      <c r="D64" s="1442">
        <f t="shared" si="54"/>
        <v>46081</v>
      </c>
      <c r="E64" s="1442">
        <f t="shared" si="54"/>
        <v>46032</v>
      </c>
      <c r="F64" s="1459">
        <v>608913185</v>
      </c>
      <c r="G64" s="1452">
        <f t="shared" si="32"/>
        <v>156.69999999999999</v>
      </c>
      <c r="H64" s="1453">
        <f t="shared" si="18"/>
        <v>0.10356906807666887</v>
      </c>
      <c r="I64" s="1452">
        <f t="shared" si="33"/>
        <v>137.6</v>
      </c>
      <c r="J64" s="1453">
        <f t="shared" si="19"/>
        <v>0.22654259126700074</v>
      </c>
      <c r="K64" s="1452">
        <f t="shared" si="20"/>
        <v>130.1</v>
      </c>
      <c r="L64" s="1453">
        <f t="shared" si="21"/>
        <v>0.14359823399558497</v>
      </c>
      <c r="M64" s="1454">
        <f t="shared" si="22"/>
        <v>50292</v>
      </c>
      <c r="N64" s="1453">
        <f t="shared" si="23"/>
        <v>0</v>
      </c>
      <c r="O64" s="1452">
        <f t="shared" si="24"/>
        <v>89.42</v>
      </c>
      <c r="P64" s="1453">
        <f t="shared" si="25"/>
        <v>0.11879109930255728</v>
      </c>
      <c r="Q64" s="1452">
        <f t="shared" si="34"/>
        <v>157.6</v>
      </c>
      <c r="R64" s="1453">
        <f t="shared" si="26"/>
        <v>0.15573122529644268</v>
      </c>
      <c r="S64" s="1452">
        <f t="shared" si="35"/>
        <v>93.5</v>
      </c>
      <c r="T64" s="1453">
        <f t="shared" si="27"/>
        <v>0.10553047404063208</v>
      </c>
      <c r="U64" s="1455">
        <f t="shared" si="28"/>
        <v>1.0037626919788867</v>
      </c>
      <c r="V64" s="1456">
        <f t="shared" si="29"/>
        <v>611204338</v>
      </c>
      <c r="W64" s="1449">
        <f t="shared" si="30"/>
        <v>2291153</v>
      </c>
      <c r="X64" s="697"/>
    </row>
    <row r="65" spans="2:29" s="185" customFormat="1" ht="13.8" x14ac:dyDescent="0.3">
      <c r="B65" s="1457">
        <v>22</v>
      </c>
      <c r="C65" s="1457" t="str">
        <f t="shared" ref="C65:E65" si="55">C35</f>
        <v>IPC - 29</v>
      </c>
      <c r="D65" s="1442">
        <f t="shared" si="55"/>
        <v>46112</v>
      </c>
      <c r="E65" s="1442">
        <f t="shared" si="55"/>
        <v>46063</v>
      </c>
      <c r="F65" s="1459">
        <f>629613893-744051/2</f>
        <v>629241867.5</v>
      </c>
      <c r="G65" s="1452">
        <f t="shared" si="32"/>
        <v>158.19999999999999</v>
      </c>
      <c r="H65" s="1453">
        <f t="shared" si="18"/>
        <v>0.10456047587574353</v>
      </c>
      <c r="I65" s="1452">
        <f t="shared" si="33"/>
        <v>140.80000000000001</v>
      </c>
      <c r="J65" s="1453">
        <f t="shared" si="19"/>
        <v>0.23181102362204731</v>
      </c>
      <c r="K65" s="1452">
        <f t="shared" si="20"/>
        <v>131.30000000000001</v>
      </c>
      <c r="L65" s="1453">
        <f t="shared" si="21"/>
        <v>0.14492273730684327</v>
      </c>
      <c r="M65" s="1454">
        <f t="shared" si="22"/>
        <v>49892</v>
      </c>
      <c r="N65" s="1453">
        <f t="shared" si="23"/>
        <v>0</v>
      </c>
      <c r="O65" s="1452">
        <f t="shared" si="24"/>
        <v>89.42</v>
      </c>
      <c r="P65" s="1453">
        <f t="shared" si="25"/>
        <v>0.11879109930255728</v>
      </c>
      <c r="Q65" s="1452">
        <f t="shared" si="34"/>
        <v>158.4</v>
      </c>
      <c r="R65" s="1453">
        <f t="shared" si="26"/>
        <v>0.15652173913043477</v>
      </c>
      <c r="S65" s="1452">
        <f t="shared" si="35"/>
        <v>93.5</v>
      </c>
      <c r="T65" s="1453">
        <f t="shared" si="27"/>
        <v>0.10553047404063208</v>
      </c>
      <c r="U65" s="1455">
        <f t="shared" si="28"/>
        <v>1.0121375492782583</v>
      </c>
      <c r="V65" s="1456">
        <f t="shared" si="29"/>
        <v>636879322</v>
      </c>
      <c r="W65" s="1449">
        <f t="shared" si="30"/>
        <v>7637454.5</v>
      </c>
      <c r="X65" s="697"/>
    </row>
    <row r="66" spans="2:29" s="185" customFormat="1" ht="13.8" x14ac:dyDescent="0.3">
      <c r="B66" s="1457">
        <v>23</v>
      </c>
      <c r="C66" s="1457" t="str">
        <f t="shared" ref="C66:E66" si="56">C36</f>
        <v>IPC - 30 (B)</v>
      </c>
      <c r="D66" s="1442">
        <f t="shared" si="56"/>
        <v>46142</v>
      </c>
      <c r="E66" s="1442">
        <f t="shared" si="56"/>
        <v>46093</v>
      </c>
      <c r="F66" s="1459">
        <v>441675199</v>
      </c>
      <c r="G66" s="1452">
        <f t="shared" si="32"/>
        <v>158.4</v>
      </c>
      <c r="H66" s="1453">
        <f t="shared" si="18"/>
        <v>0.10469266358228685</v>
      </c>
      <c r="I66" s="1452">
        <f t="shared" si="33"/>
        <v>141.80000000000001</v>
      </c>
      <c r="J66" s="1453">
        <f t="shared" si="19"/>
        <v>0.23345740873299936</v>
      </c>
      <c r="K66" s="1452">
        <f t="shared" si="20"/>
        <v>132.1</v>
      </c>
      <c r="L66" s="1453">
        <f t="shared" si="21"/>
        <v>0.14580573951434878</v>
      </c>
      <c r="M66" s="1454">
        <f t="shared" si="22"/>
        <v>50102</v>
      </c>
      <c r="N66" s="1453">
        <f t="shared" si="23"/>
        <v>0</v>
      </c>
      <c r="O66" s="1452">
        <f t="shared" si="24"/>
        <v>94.29</v>
      </c>
      <c r="P66" s="1453">
        <f>+$O66/P$7*P$10</f>
        <v>0.12497017892644134</v>
      </c>
      <c r="Q66" s="1452">
        <f t="shared" si="34"/>
        <v>161.19999999999999</v>
      </c>
      <c r="R66" s="1453">
        <f t="shared" si="26"/>
        <v>0.15928853754940708</v>
      </c>
      <c r="S66" s="1452">
        <f t="shared" si="35"/>
        <v>93.6</v>
      </c>
      <c r="T66" s="1453">
        <f t="shared" si="27"/>
        <v>0.10564334085778782</v>
      </c>
      <c r="U66" s="1455">
        <f t="shared" si="28"/>
        <v>1.0238578691632712</v>
      </c>
      <c r="V66" s="1456">
        <f t="shared" si="29"/>
        <v>452212628</v>
      </c>
      <c r="W66" s="1449">
        <f t="shared" si="30"/>
        <v>10537429</v>
      </c>
      <c r="X66" s="697"/>
    </row>
    <row r="67" spans="2:29" s="185" customFormat="1" ht="13.8" x14ac:dyDescent="0.3">
      <c r="B67" s="1457">
        <v>24</v>
      </c>
      <c r="C67" s="1457" t="str">
        <f t="shared" ref="C67:E67" si="57">C37</f>
        <v>IPC - 31 (B)</v>
      </c>
      <c r="D67" s="1442">
        <f t="shared" si="57"/>
        <v>46173</v>
      </c>
      <c r="E67" s="1442">
        <f t="shared" si="57"/>
        <v>46124</v>
      </c>
      <c r="F67" s="1459">
        <v>497100394</v>
      </c>
      <c r="G67" s="1452">
        <f t="shared" si="32"/>
        <v>159.69999999999999</v>
      </c>
      <c r="H67" s="1453">
        <f t="shared" si="18"/>
        <v>0.10555188367481823</v>
      </c>
      <c r="I67" s="1452">
        <f t="shared" si="33"/>
        <v>144.4</v>
      </c>
      <c r="J67" s="1453">
        <f t="shared" si="19"/>
        <v>0.23773801002147465</v>
      </c>
      <c r="K67" s="1452">
        <f t="shared" si="20"/>
        <v>133</v>
      </c>
      <c r="L67" s="1453">
        <f t="shared" si="21"/>
        <v>0.14679911699779247</v>
      </c>
      <c r="M67" s="1454">
        <f t="shared" si="22"/>
        <v>70862</v>
      </c>
      <c r="N67" s="1453">
        <f t="shared" si="23"/>
        <v>0</v>
      </c>
      <c r="O67" s="1452">
        <f t="shared" si="24"/>
        <v>136.54</v>
      </c>
      <c r="P67" s="1453">
        <f>+$O67/P$7*P$10</f>
        <v>0.18096752816434722</v>
      </c>
      <c r="Q67" s="1452">
        <f t="shared" si="34"/>
        <v>167</v>
      </c>
      <c r="R67" s="1453">
        <f t="shared" si="26"/>
        <v>0.16501976284584979</v>
      </c>
      <c r="S67" s="1452">
        <f t="shared" si="35"/>
        <v>93.4</v>
      </c>
      <c r="T67" s="1453">
        <f t="shared" si="27"/>
        <v>0.10541760722347632</v>
      </c>
      <c r="U67" s="1455">
        <f t="shared" si="28"/>
        <v>1.0914939089277584</v>
      </c>
      <c r="V67" s="1456">
        <f t="shared" si="29"/>
        <v>542582052</v>
      </c>
      <c r="W67" s="1449">
        <f t="shared" si="30"/>
        <v>45481658</v>
      </c>
      <c r="X67" s="697"/>
    </row>
    <row r="68" spans="2:29" s="185" customFormat="1" ht="13.8" x14ac:dyDescent="0.3">
      <c r="B68" s="1457">
        <v>25</v>
      </c>
      <c r="C68" s="1457" t="str">
        <f t="shared" ref="C68:E69" si="58">C38</f>
        <v>IPC - 33 (B)</v>
      </c>
      <c r="D68" s="1442">
        <f t="shared" si="58"/>
        <v>46203</v>
      </c>
      <c r="E68" s="1442">
        <f t="shared" si="58"/>
        <v>46154</v>
      </c>
      <c r="F68" s="1459">
        <v>363609977</v>
      </c>
      <c r="G68" s="1452">
        <f t="shared" si="32"/>
        <v>160</v>
      </c>
      <c r="H68" s="1453">
        <f t="shared" si="18"/>
        <v>0.10575016523463317</v>
      </c>
      <c r="I68" s="1452">
        <f t="shared" si="33"/>
        <v>147.108</v>
      </c>
      <c r="J68" s="1453">
        <f t="shared" si="19"/>
        <v>0.24219642090193277</v>
      </c>
      <c r="K68" s="1452">
        <f t="shared" si="20"/>
        <v>130.46800000000002</v>
      </c>
      <c r="L68" s="1453">
        <f t="shared" si="21"/>
        <v>0.14400441501103753</v>
      </c>
      <c r="M68" s="1454">
        <f t="shared" si="22"/>
        <v>87122</v>
      </c>
      <c r="N68" s="1453">
        <f t="shared" si="23"/>
        <v>0</v>
      </c>
      <c r="O68" s="1452">
        <f t="shared" si="24"/>
        <v>141.85</v>
      </c>
      <c r="P68" s="1453">
        <f>+$O68/P$7*P$10</f>
        <v>0.18800530152418818</v>
      </c>
      <c r="Q68" s="1452">
        <f t="shared" si="34"/>
        <v>169.3338</v>
      </c>
      <c r="R68" s="1453">
        <f t="shared" si="26"/>
        <v>0.16732588932806322</v>
      </c>
      <c r="S68" s="1452">
        <f t="shared" si="35"/>
        <v>94.176000000000002</v>
      </c>
      <c r="T68" s="1453">
        <f t="shared" si="27"/>
        <v>0.10629345372460497</v>
      </c>
      <c r="U68" s="1455">
        <f t="shared" ref="U68" si="59">+H68+J68+L68+N68+P68+R68+T68+$R$4</f>
        <v>1.1035756457244599</v>
      </c>
      <c r="V68" s="1456">
        <f t="shared" ref="V68" si="60">ROUND(U68*F68,0)</f>
        <v>401271115</v>
      </c>
      <c r="W68" s="1449">
        <f t="shared" si="30"/>
        <v>37661138</v>
      </c>
      <c r="X68" s="697"/>
    </row>
    <row r="69" spans="2:29" s="185" customFormat="1" ht="13.8" x14ac:dyDescent="0.3">
      <c r="B69" s="1457">
        <v>26</v>
      </c>
      <c r="C69" s="1457" t="str">
        <f t="shared" si="58"/>
        <v>IPC - 34</v>
      </c>
      <c r="D69" s="1442">
        <f t="shared" si="58"/>
        <v>46234</v>
      </c>
      <c r="E69" s="1442">
        <f t="shared" si="58"/>
        <v>46185</v>
      </c>
      <c r="F69" s="1459">
        <f>'Price Adj. - Breakup'!$M$90</f>
        <v>7328688954</v>
      </c>
      <c r="G69" s="1452">
        <f t="shared" si="32"/>
        <v>160.80000000000001</v>
      </c>
      <c r="H69" s="1453">
        <f t="shared" si="18"/>
        <v>0.10627891606080636</v>
      </c>
      <c r="I69" s="1452">
        <f t="shared" si="33"/>
        <v>144.81199999999998</v>
      </c>
      <c r="J69" s="1453">
        <f t="shared" si="19"/>
        <v>0.23841632068718685</v>
      </c>
      <c r="K69" s="1452">
        <f t="shared" si="20"/>
        <v>130.46800000000002</v>
      </c>
      <c r="L69" s="1453">
        <f t="shared" si="21"/>
        <v>0.14400441501103753</v>
      </c>
      <c r="M69" s="1454">
        <f t="shared" si="22"/>
        <v>80552</v>
      </c>
      <c r="N69" s="1453">
        <f t="shared" si="23"/>
        <v>0</v>
      </c>
      <c r="O69" s="1452">
        <f t="shared" si="24"/>
        <v>97.23</v>
      </c>
      <c r="P69" s="1453">
        <f>+$O69/P$6*P$10</f>
        <v>0.12916638990368651</v>
      </c>
      <c r="Q69" s="1452">
        <f t="shared" si="34"/>
        <v>169.48760000000001</v>
      </c>
      <c r="R69" s="1453">
        <f t="shared" si="26"/>
        <v>0.16747786561264821</v>
      </c>
      <c r="S69" s="1452">
        <f t="shared" si="35"/>
        <v>93.827199999999991</v>
      </c>
      <c r="T69" s="1453">
        <f t="shared" si="27"/>
        <v>0.10589977426636568</v>
      </c>
      <c r="U69" s="1455">
        <f t="shared" ref="U69" si="61">+H69+J69+L69+N69+P69+R69+T69+$R$4</f>
        <v>1.0412436815417312</v>
      </c>
      <c r="V69" s="1456">
        <f t="shared" ref="V69" si="62">ROUND(U69*F69,0)</f>
        <v>7630951067</v>
      </c>
      <c r="W69" s="1449">
        <f t="shared" ref="W69" si="63">V69-F69</f>
        <v>302262113</v>
      </c>
      <c r="X69" s="697"/>
    </row>
    <row r="70" spans="2:29" s="185" customFormat="1" ht="13.8" x14ac:dyDescent="0.3">
      <c r="B70" s="1457"/>
      <c r="C70" s="1457"/>
      <c r="D70" s="1468"/>
      <c r="E70" s="1468"/>
      <c r="F70" s="1469"/>
      <c r="G70" s="1470"/>
      <c r="H70" s="1453"/>
      <c r="I70" s="1470"/>
      <c r="J70" s="1453"/>
      <c r="K70" s="1470"/>
      <c r="L70" s="1453"/>
      <c r="M70" s="1471"/>
      <c r="N70" s="1453"/>
      <c r="O70" s="1452"/>
      <c r="P70" s="1453"/>
      <c r="Q70" s="1470"/>
      <c r="R70" s="1453"/>
      <c r="S70" s="1470"/>
      <c r="T70" s="1453"/>
      <c r="U70" s="1492"/>
      <c r="V70" s="1456"/>
      <c r="W70" s="368"/>
      <c r="X70" s="697"/>
    </row>
    <row r="71" spans="2:29" s="185" customFormat="1" ht="13.8" x14ac:dyDescent="0.3">
      <c r="B71" s="1474" t="s">
        <v>10436</v>
      </c>
      <c r="C71" s="1475"/>
      <c r="D71" s="1476"/>
      <c r="E71" s="1476"/>
      <c r="F71" s="1477">
        <f>SUM(F44:F70)</f>
        <v>20110046405</v>
      </c>
      <c r="G71" s="1478"/>
      <c r="H71" s="1479"/>
      <c r="I71" s="1478"/>
      <c r="J71" s="1479"/>
      <c r="K71" s="1478"/>
      <c r="L71" s="1479"/>
      <c r="M71" s="1478"/>
      <c r="N71" s="1479"/>
      <c r="O71" s="1478"/>
      <c r="P71" s="1479"/>
      <c r="Q71" s="1478"/>
      <c r="R71" s="1479"/>
      <c r="S71" s="1478"/>
      <c r="T71" s="1479"/>
      <c r="U71" s="1493"/>
      <c r="V71" s="1477">
        <f>SUM(V44:V70)</f>
        <v>20476323029</v>
      </c>
      <c r="W71" s="697"/>
      <c r="X71" s="697"/>
      <c r="Y71" s="1429"/>
      <c r="Z71" s="1429"/>
      <c r="AA71" s="1429"/>
      <c r="AB71" s="1429"/>
      <c r="AC71" s="1429"/>
    </row>
    <row r="72" spans="2:29" s="1429" customFormat="1" ht="7.5" customHeight="1" x14ac:dyDescent="0.3">
      <c r="B72" s="1431"/>
      <c r="C72" s="1432"/>
      <c r="D72" s="1433"/>
      <c r="E72" s="1433"/>
      <c r="F72" s="1433"/>
      <c r="G72" s="1434"/>
      <c r="H72" s="1433"/>
      <c r="I72" s="1434"/>
      <c r="J72" s="1433"/>
      <c r="K72" s="1434"/>
      <c r="L72" s="1433"/>
      <c r="M72" s="1434"/>
      <c r="N72" s="1433"/>
      <c r="O72" s="1434"/>
      <c r="P72" s="1433"/>
      <c r="Q72" s="1434"/>
      <c r="R72" s="1433"/>
      <c r="S72" s="1434"/>
      <c r="T72" s="1433"/>
      <c r="U72" s="1433"/>
      <c r="V72" s="1435"/>
      <c r="X72" s="1430"/>
      <c r="Y72" s="185"/>
      <c r="Z72" s="185"/>
      <c r="AA72" s="185"/>
      <c r="AB72" s="185"/>
      <c r="AC72" s="185"/>
    </row>
    <row r="73" spans="2:29" s="185" customFormat="1" ht="13.8" x14ac:dyDescent="0.3">
      <c r="B73" s="1474" t="s">
        <v>496</v>
      </c>
      <c r="C73" s="1475"/>
      <c r="D73" s="1476"/>
      <c r="E73" s="1476"/>
      <c r="F73" s="1477">
        <f>F71+F41</f>
        <v>20327140948</v>
      </c>
      <c r="G73" s="1478"/>
      <c r="H73" s="1479"/>
      <c r="I73" s="1478"/>
      <c r="J73" s="1479"/>
      <c r="K73" s="1478"/>
      <c r="L73" s="1479"/>
      <c r="M73" s="1478"/>
      <c r="N73" s="1479"/>
      <c r="O73" s="1478"/>
      <c r="P73" s="1479"/>
      <c r="Q73" s="1478"/>
      <c r="R73" s="1479"/>
      <c r="S73" s="1478"/>
      <c r="T73" s="1479"/>
      <c r="U73" s="1493"/>
      <c r="V73" s="1477">
        <f>V71+V41</f>
        <v>20700834051</v>
      </c>
      <c r="W73" s="368"/>
      <c r="X73" s="697"/>
      <c r="Y73" s="1429"/>
      <c r="Z73" s="1429"/>
      <c r="AA73" s="1429"/>
      <c r="AB73" s="1429"/>
      <c r="AC73" s="1429"/>
    </row>
    <row r="74" spans="2:29" s="1429" customFormat="1" ht="7.5" customHeight="1" x14ac:dyDescent="0.3">
      <c r="B74" s="1431"/>
      <c r="C74" s="1432"/>
      <c r="D74" s="1433"/>
      <c r="E74" s="1433"/>
      <c r="F74" s="1433"/>
      <c r="G74" s="1434"/>
      <c r="H74" s="1433"/>
      <c r="I74" s="1434"/>
      <c r="J74" s="1433"/>
      <c r="K74" s="1434"/>
      <c r="L74" s="1433"/>
      <c r="M74" s="1434"/>
      <c r="N74" s="1433"/>
      <c r="O74" s="1434"/>
      <c r="P74" s="1433"/>
      <c r="Q74" s="1434"/>
      <c r="R74" s="1433"/>
      <c r="S74" s="1434"/>
      <c r="T74" s="1433"/>
      <c r="U74" s="1433"/>
      <c r="V74" s="1435"/>
      <c r="X74" s="1430"/>
    </row>
    <row r="75" spans="2:29" s="1429" customFormat="1" ht="12.6" customHeight="1" x14ac:dyDescent="0.3">
      <c r="B75" s="1494" t="s">
        <v>10437</v>
      </c>
      <c r="C75" s="1495"/>
      <c r="D75" s="1496"/>
      <c r="E75" s="1496"/>
      <c r="F75" s="1497"/>
      <c r="G75" s="1498"/>
      <c r="H75" s="1499"/>
      <c r="I75" s="1498"/>
      <c r="J75" s="1499"/>
      <c r="K75" s="1498"/>
      <c r="L75" s="1499"/>
      <c r="M75" s="1498"/>
      <c r="N75" s="1499"/>
      <c r="O75" s="1498"/>
      <c r="P75" s="1499"/>
      <c r="Q75" s="1498"/>
      <c r="R75" s="1499"/>
      <c r="S75" s="1498"/>
      <c r="T75" s="1500"/>
      <c r="U75" s="1501"/>
      <c r="V75" s="1502">
        <f>V73-F73</f>
        <v>373693103</v>
      </c>
      <c r="W75" s="736"/>
      <c r="X75" s="1430"/>
    </row>
    <row r="76" spans="2:29" s="1429" customFormat="1" ht="12.6" customHeight="1" x14ac:dyDescent="0.3">
      <c r="B76" s="1503" t="s">
        <v>10438</v>
      </c>
      <c r="C76" s="1504"/>
      <c r="D76" s="1505"/>
      <c r="E76" s="1505"/>
      <c r="F76" s="1506"/>
      <c r="G76" s="1507"/>
      <c r="H76" s="1508"/>
      <c r="I76" s="1507"/>
      <c r="J76" s="1508"/>
      <c r="K76" s="1507"/>
      <c r="L76" s="1508"/>
      <c r="M76" s="1507"/>
      <c r="N76" s="1508"/>
      <c r="O76" s="1507"/>
      <c r="P76" s="1508"/>
      <c r="Q76" s="1507"/>
      <c r="R76" s="1508"/>
      <c r="S76" s="1507"/>
      <c r="T76" s="1509"/>
      <c r="U76" s="1510"/>
      <c r="V76" s="1502">
        <v>71027937</v>
      </c>
      <c r="X76" s="1430"/>
    </row>
    <row r="77" spans="2:29" s="1429" customFormat="1" ht="12.6" customHeight="1" x14ac:dyDescent="0.3">
      <c r="B77" s="1511" t="s">
        <v>10439</v>
      </c>
      <c r="C77" s="1512"/>
      <c r="D77" s="1513"/>
      <c r="E77" s="1513"/>
      <c r="F77" s="1514"/>
      <c r="G77" s="1515"/>
      <c r="H77" s="1516"/>
      <c r="I77" s="1515"/>
      <c r="J77" s="1516"/>
      <c r="K77" s="1515"/>
      <c r="L77" s="1516"/>
      <c r="M77" s="1515"/>
      <c r="N77" s="1516"/>
      <c r="O77" s="1515"/>
      <c r="P77" s="1516"/>
      <c r="Q77" s="1515"/>
      <c r="R77" s="1516"/>
      <c r="S77" s="1515"/>
      <c r="T77" s="1517"/>
      <c r="U77" s="1518"/>
      <c r="V77" s="1519">
        <f>V75-V76</f>
        <v>302665166</v>
      </c>
      <c r="X77" s="1430"/>
      <c r="Y77" s="185"/>
      <c r="Z77" s="185"/>
      <c r="AA77" s="185"/>
      <c r="AB77" s="185"/>
      <c r="AC77" s="185"/>
    </row>
    <row r="79" spans="2:29" x14ac:dyDescent="0.3">
      <c r="V79" s="598">
        <v>71027937</v>
      </c>
    </row>
    <row r="80" spans="2:29" x14ac:dyDescent="0.3">
      <c r="F80" s="1149">
        <f>F65+F35</f>
        <v>638310407.5</v>
      </c>
    </row>
    <row r="81" spans="21:22" x14ac:dyDescent="0.3">
      <c r="U81" s="414"/>
      <c r="V81" s="394">
        <f>V77-V79</f>
        <v>231637229</v>
      </c>
    </row>
    <row r="83" spans="21:22" x14ac:dyDescent="0.3">
      <c r="V83" s="394"/>
    </row>
  </sheetData>
  <mergeCells count="34">
    <mergeCell ref="AC39:AC40"/>
    <mergeCell ref="B1:U1"/>
    <mergeCell ref="B2:C2"/>
    <mergeCell ref="T2:V2"/>
    <mergeCell ref="B5:B11"/>
    <mergeCell ref="C5:C11"/>
    <mergeCell ref="D5:D11"/>
    <mergeCell ref="E5:E11"/>
    <mergeCell ref="F5:F11"/>
    <mergeCell ref="U5:U11"/>
    <mergeCell ref="V5:V11"/>
    <mergeCell ref="O5:P5"/>
    <mergeCell ref="Q5:R5"/>
    <mergeCell ref="S5:T5"/>
    <mergeCell ref="M4:N4"/>
    <mergeCell ref="M5:N5"/>
    <mergeCell ref="AC37:AC38"/>
    <mergeCell ref="AC32:AC33"/>
    <mergeCell ref="AC34:AC36"/>
    <mergeCell ref="L6:L7"/>
    <mergeCell ref="M6:M7"/>
    <mergeCell ref="N6:N7"/>
    <mergeCell ref="Q6:Q7"/>
    <mergeCell ref="R6:R7"/>
    <mergeCell ref="S6:S7"/>
    <mergeCell ref="T6:T7"/>
    <mergeCell ref="J6:J7"/>
    <mergeCell ref="K6:K7"/>
    <mergeCell ref="G5:H5"/>
    <mergeCell ref="I5:J5"/>
    <mergeCell ref="K5:L5"/>
    <mergeCell ref="G6:G7"/>
    <mergeCell ref="H6:H7"/>
    <mergeCell ref="I6:I7"/>
  </mergeCells>
  <printOptions horizontalCentered="1"/>
  <pageMargins left="0.31496062992125984" right="0.11811023622047245" top="0.15748031496062992" bottom="0.74803149606299213" header="0.31496062992125984" footer="0.31496062992125984"/>
  <pageSetup paperSize="9" scale="50" fitToHeight="0" orientation="portrait" r:id="rId1"/>
  <ignoredErrors>
    <ignoredError sqref="H44:R65 H66:N67 Q66:R66 H68:N68 Q68:U68 F60:F67 Q67:R67 P66:P68 F69:O69 P69:R69" formula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B363-75E0-44D8-8E89-30BCBE016144}">
  <dimension ref="A1:T20"/>
  <sheetViews>
    <sheetView view="pageBreakPreview" zoomScale="70" zoomScaleNormal="70" zoomScaleSheetLayoutView="7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R19" sqref="R19"/>
    </sheetView>
  </sheetViews>
  <sheetFormatPr defaultColWidth="8.88671875" defaultRowHeight="15.6" x14ac:dyDescent="0.3"/>
  <cols>
    <col min="1" max="1" width="11.109375" style="602" bestFit="1" customWidth="1"/>
    <col min="2" max="5" width="14.109375" style="602" customWidth="1"/>
    <col min="6" max="6" width="2.5546875" style="602" customWidth="1"/>
    <col min="7" max="10" width="14.109375" style="602" customWidth="1"/>
    <col min="11" max="11" width="2.5546875" style="602" customWidth="1"/>
    <col min="12" max="15" width="14.109375" style="602" customWidth="1"/>
    <col min="16" max="16" width="2.5546875" style="602" customWidth="1"/>
    <col min="17" max="20" width="14.109375" style="602" customWidth="1"/>
    <col min="21" max="16384" width="8.88671875" style="602"/>
  </cols>
  <sheetData>
    <row r="1" spans="1:20" ht="21" x14ac:dyDescent="0.3">
      <c r="A1" s="1829" t="s">
        <v>10440</v>
      </c>
      <c r="B1" s="1829"/>
      <c r="C1" s="1829"/>
      <c r="D1" s="1829"/>
      <c r="E1" s="1829"/>
      <c r="F1" s="1829"/>
      <c r="G1" s="1829"/>
      <c r="H1" s="1829"/>
      <c r="I1" s="1829"/>
      <c r="J1" s="1829"/>
      <c r="K1" s="1829"/>
      <c r="L1" s="1829"/>
      <c r="M1" s="1829"/>
      <c r="N1" s="1829"/>
      <c r="O1" s="1829"/>
      <c r="P1" s="1829"/>
      <c r="Q1" s="1829"/>
      <c r="R1" s="1829"/>
      <c r="S1" s="1829"/>
      <c r="T1" s="1829"/>
    </row>
    <row r="2" spans="1:20" s="1315" customFormat="1" ht="31.65" customHeight="1" x14ac:dyDescent="0.3">
      <c r="A2" s="1830" t="s">
        <v>6796</v>
      </c>
      <c r="B2" s="1831" t="s">
        <v>10441</v>
      </c>
      <c r="C2" s="1832"/>
      <c r="D2" s="1832"/>
      <c r="E2" s="1833"/>
      <c r="F2" s="1314"/>
      <c r="G2" s="1831" t="s">
        <v>10442</v>
      </c>
      <c r="H2" s="1832"/>
      <c r="I2" s="1832"/>
      <c r="J2" s="1833"/>
      <c r="K2" s="1314"/>
      <c r="L2" s="1831" t="s">
        <v>10443</v>
      </c>
      <c r="M2" s="1832"/>
      <c r="N2" s="1832"/>
      <c r="O2" s="1833"/>
      <c r="P2" s="1314"/>
      <c r="Q2" s="1831" t="s">
        <v>10444</v>
      </c>
      <c r="R2" s="1832"/>
      <c r="S2" s="1832"/>
      <c r="T2" s="1833"/>
    </row>
    <row r="3" spans="1:20" s="1319" customFormat="1" ht="31.65" customHeight="1" x14ac:dyDescent="0.3">
      <c r="A3" s="1830"/>
      <c r="B3" s="1316" t="s">
        <v>10445</v>
      </c>
      <c r="C3" s="1316" t="s">
        <v>10446</v>
      </c>
      <c r="D3" s="1313" t="s">
        <v>10447</v>
      </c>
      <c r="E3" s="1317" t="s">
        <v>10448</v>
      </c>
      <c r="F3" s="1318"/>
      <c r="G3" s="1316" t="s">
        <v>10445</v>
      </c>
      <c r="H3" s="1316" t="s">
        <v>10446</v>
      </c>
      <c r="I3" s="1313" t="s">
        <v>10447</v>
      </c>
      <c r="J3" s="1317" t="s">
        <v>10448</v>
      </c>
      <c r="K3" s="1318"/>
      <c r="L3" s="1316" t="s">
        <v>10445</v>
      </c>
      <c r="M3" s="1316" t="s">
        <v>10446</v>
      </c>
      <c r="N3" s="1313" t="s">
        <v>10447</v>
      </c>
      <c r="O3" s="1317" t="s">
        <v>10448</v>
      </c>
      <c r="P3" s="1318"/>
      <c r="Q3" s="1316" t="s">
        <v>10445</v>
      </c>
      <c r="R3" s="1316" t="s">
        <v>10446</v>
      </c>
      <c r="S3" s="1313" t="s">
        <v>10447</v>
      </c>
      <c r="T3" s="1317" t="s">
        <v>10448</v>
      </c>
    </row>
    <row r="4" spans="1:20" s="1324" customFormat="1" ht="15" x14ac:dyDescent="0.3">
      <c r="A4" s="1313" t="s">
        <v>10449</v>
      </c>
      <c r="B4" s="1320">
        <f>AVERAGE(B6:B17)</f>
        <v>137.31666666666666</v>
      </c>
      <c r="C4" s="1320">
        <f>AVERAGE(C6:C17)</f>
        <v>83.75</v>
      </c>
      <c r="D4" s="1321">
        <f>ROUND(B4/C4,3)</f>
        <v>1.64</v>
      </c>
      <c r="E4" s="1322"/>
      <c r="F4" s="1323"/>
      <c r="G4" s="1320">
        <f>AVERAGE(G6:G17)</f>
        <v>129.95833333333331</v>
      </c>
      <c r="H4" s="1320">
        <f>AVERAGE(H6:H17)</f>
        <v>96.158333333333317</v>
      </c>
      <c r="I4" s="1321">
        <f>ROUND(G4/H4,3)</f>
        <v>1.3520000000000001</v>
      </c>
      <c r="J4" s="1322"/>
      <c r="K4" s="1323"/>
      <c r="L4" s="1320">
        <f>AVERAGE(L6:L17)</f>
        <v>157.05833333333334</v>
      </c>
      <c r="M4" s="1320">
        <f>AVERAGE(M6:M17)</f>
        <v>102.14166666666667</v>
      </c>
      <c r="N4" s="1321">
        <f>ROUND(L4/M4,3)</f>
        <v>1.538</v>
      </c>
      <c r="O4" s="1322"/>
      <c r="P4" s="1323"/>
      <c r="Q4" s="1320">
        <f>AVERAGE(Q6:Q17)</f>
        <v>93.125</v>
      </c>
      <c r="R4" s="1320">
        <f>AVERAGE(R6:R17)</f>
        <v>106.75833333333334</v>
      </c>
      <c r="S4" s="1321">
        <f>ROUND(Q4/R4,3)</f>
        <v>0.872</v>
      </c>
      <c r="T4" s="1322"/>
    </row>
    <row r="5" spans="1:20" s="1324" customFormat="1" ht="15" x14ac:dyDescent="0.3">
      <c r="A5" s="1325"/>
      <c r="B5" s="1325"/>
      <c r="C5" s="1325"/>
      <c r="D5" s="1325"/>
      <c r="E5" s="1323"/>
      <c r="F5" s="1323"/>
      <c r="G5" s="1325"/>
      <c r="H5" s="1325"/>
      <c r="I5" s="1325"/>
      <c r="J5" s="1323"/>
      <c r="K5" s="1323"/>
      <c r="L5" s="1325"/>
      <c r="M5" s="1325"/>
      <c r="N5" s="1325"/>
      <c r="O5" s="1323"/>
      <c r="P5" s="1323"/>
      <c r="Q5" s="1325"/>
      <c r="R5" s="1325"/>
      <c r="S5" s="1325"/>
      <c r="T5" s="1323"/>
    </row>
    <row r="6" spans="1:20" s="1324" customFormat="1" ht="15" x14ac:dyDescent="0.3">
      <c r="A6" s="1326">
        <v>45778</v>
      </c>
      <c r="B6" s="1327">
        <v>138.69999999999999</v>
      </c>
      <c r="C6" s="1327">
        <v>87.4</v>
      </c>
      <c r="D6" s="1327"/>
      <c r="E6" s="1327"/>
      <c r="F6" s="1323"/>
      <c r="G6" s="1327">
        <v>131</v>
      </c>
      <c r="H6" s="1327">
        <v>98.3</v>
      </c>
      <c r="I6" s="1327"/>
      <c r="J6" s="1327"/>
      <c r="K6" s="1323"/>
      <c r="L6" s="1327">
        <v>153.69999999999999</v>
      </c>
      <c r="M6" s="1327">
        <v>100.2</v>
      </c>
      <c r="N6" s="1327"/>
      <c r="O6" s="1327"/>
      <c r="P6" s="1323"/>
      <c r="Q6" s="1327">
        <v>92.5</v>
      </c>
      <c r="R6" s="1327">
        <v>106.2</v>
      </c>
      <c r="S6" s="1327"/>
      <c r="T6" s="1327"/>
    </row>
    <row r="7" spans="1:20" s="1324" customFormat="1" ht="15" x14ac:dyDescent="0.3">
      <c r="A7" s="1326">
        <v>45809</v>
      </c>
      <c r="B7" s="1327">
        <v>137.19999999999999</v>
      </c>
      <c r="C7" s="1327">
        <v>85.4</v>
      </c>
      <c r="D7" s="1327"/>
      <c r="E7" s="1327"/>
      <c r="F7" s="1323"/>
      <c r="G7" s="1327">
        <v>131.30000000000001</v>
      </c>
      <c r="H7" s="1327">
        <v>98.1</v>
      </c>
      <c r="I7" s="1327"/>
      <c r="J7" s="1327"/>
      <c r="K7" s="1323"/>
      <c r="L7" s="1327">
        <v>153.69999999999999</v>
      </c>
      <c r="M7" s="1327">
        <v>100.3</v>
      </c>
      <c r="N7" s="1327"/>
      <c r="O7" s="1327"/>
      <c r="P7" s="1323"/>
      <c r="Q7" s="1327">
        <v>92.7</v>
      </c>
      <c r="R7" s="1327">
        <v>106.2</v>
      </c>
      <c r="S7" s="1327"/>
      <c r="T7" s="1327"/>
    </row>
    <row r="8" spans="1:20" s="1324" customFormat="1" ht="15" x14ac:dyDescent="0.3">
      <c r="A8" s="1326">
        <v>45839</v>
      </c>
      <c r="B8" s="1327">
        <v>135.30000000000001</v>
      </c>
      <c r="C8" s="1327">
        <v>82.3</v>
      </c>
      <c r="D8" s="1327"/>
      <c r="E8" s="1327"/>
      <c r="F8" s="1323"/>
      <c r="G8" s="1327">
        <v>130.69999999999999</v>
      </c>
      <c r="H8" s="1327">
        <v>97.4</v>
      </c>
      <c r="I8" s="1327"/>
      <c r="J8" s="1327"/>
      <c r="K8" s="1323"/>
      <c r="L8" s="1327">
        <v>154.4</v>
      </c>
      <c r="M8" s="1327">
        <v>100.2</v>
      </c>
      <c r="N8" s="1327"/>
      <c r="O8" s="1327"/>
      <c r="P8" s="1323"/>
      <c r="Q8" s="1327">
        <v>93.1</v>
      </c>
      <c r="R8" s="1327">
        <v>107.2</v>
      </c>
      <c r="S8" s="1327"/>
      <c r="T8" s="1327"/>
    </row>
    <row r="9" spans="1:20" s="1324" customFormat="1" ht="15" x14ac:dyDescent="0.3">
      <c r="A9" s="1326">
        <v>45870</v>
      </c>
      <c r="B9" s="1327">
        <v>135.19999999999999</v>
      </c>
      <c r="C9" s="1327">
        <v>81.5</v>
      </c>
      <c r="D9" s="1327"/>
      <c r="E9" s="1327"/>
      <c r="F9" s="1323"/>
      <c r="G9" s="1327">
        <v>130.69999999999999</v>
      </c>
      <c r="H9" s="1327">
        <v>96.6</v>
      </c>
      <c r="I9" s="1327"/>
      <c r="J9" s="1327"/>
      <c r="K9" s="1323"/>
      <c r="L9" s="1327">
        <v>155.19999999999999</v>
      </c>
      <c r="M9" s="1327">
        <v>100.8</v>
      </c>
      <c r="N9" s="1327"/>
      <c r="O9" s="1327"/>
      <c r="P9" s="1323"/>
      <c r="Q9" s="1327">
        <v>92.9</v>
      </c>
      <c r="R9" s="1327">
        <v>106.6</v>
      </c>
      <c r="S9" s="1327"/>
      <c r="T9" s="1327"/>
    </row>
    <row r="10" spans="1:20" s="1324" customFormat="1" ht="15" x14ac:dyDescent="0.3">
      <c r="A10" s="1326">
        <v>45901</v>
      </c>
      <c r="B10" s="1327">
        <v>135.6</v>
      </c>
      <c r="C10" s="1327">
        <v>80.5</v>
      </c>
      <c r="D10" s="1327"/>
      <c r="E10" s="1327"/>
      <c r="F10" s="1323"/>
      <c r="G10" s="1327">
        <v>128.4</v>
      </c>
      <c r="H10" s="1327">
        <v>95.8</v>
      </c>
      <c r="I10" s="1327"/>
      <c r="J10" s="1327"/>
      <c r="K10" s="1323"/>
      <c r="L10" s="1327">
        <v>155</v>
      </c>
      <c r="M10" s="1327">
        <v>101</v>
      </c>
      <c r="N10" s="1327"/>
      <c r="O10" s="1327"/>
      <c r="P10" s="1323"/>
      <c r="Q10" s="1327">
        <v>92.9</v>
      </c>
      <c r="R10" s="1327">
        <v>106.5</v>
      </c>
      <c r="S10" s="1327"/>
      <c r="T10" s="1327"/>
    </row>
    <row r="11" spans="1:20" s="1324" customFormat="1" ht="15" x14ac:dyDescent="0.3">
      <c r="A11" s="1326">
        <v>45931</v>
      </c>
      <c r="B11" s="1327">
        <v>133.80000000000001</v>
      </c>
      <c r="C11" s="1327">
        <v>79.3</v>
      </c>
      <c r="D11" s="1327"/>
      <c r="E11" s="1327"/>
      <c r="F11" s="1323"/>
      <c r="G11" s="1327">
        <v>126.7</v>
      </c>
      <c r="H11" s="1327">
        <v>95</v>
      </c>
      <c r="I11" s="1327"/>
      <c r="J11" s="1327"/>
      <c r="K11" s="1323"/>
      <c r="L11" s="1327">
        <v>155.1</v>
      </c>
      <c r="M11" s="1327">
        <v>100.9</v>
      </c>
      <c r="N11" s="1327"/>
      <c r="O11" s="1327"/>
      <c r="P11" s="1323"/>
      <c r="Q11" s="1327">
        <v>93</v>
      </c>
      <c r="R11" s="1327">
        <v>106.2</v>
      </c>
      <c r="S11" s="1327"/>
      <c r="T11" s="1327"/>
    </row>
    <row r="12" spans="1:20" s="1324" customFormat="1" ht="15" x14ac:dyDescent="0.3">
      <c r="A12" s="1326">
        <v>45962</v>
      </c>
      <c r="B12" s="1327">
        <v>133.30000000000001</v>
      </c>
      <c r="C12" s="1327">
        <v>78.599999999999994</v>
      </c>
      <c r="D12" s="1327"/>
      <c r="E12" s="1327"/>
      <c r="F12" s="1323"/>
      <c r="G12" s="1327">
        <v>126.7</v>
      </c>
      <c r="H12" s="1327">
        <v>95.2</v>
      </c>
      <c r="I12" s="1327"/>
      <c r="J12" s="1327"/>
      <c r="K12" s="1323"/>
      <c r="L12" s="1327">
        <v>156.19999999999999</v>
      </c>
      <c r="M12" s="1327">
        <v>101.5</v>
      </c>
      <c r="N12" s="1327"/>
      <c r="O12" s="1327"/>
      <c r="P12" s="1323"/>
      <c r="Q12" s="1327">
        <v>93.3</v>
      </c>
      <c r="R12" s="1327">
        <v>106.5</v>
      </c>
      <c r="S12" s="1327"/>
      <c r="T12" s="1327"/>
    </row>
    <row r="13" spans="1:20" s="1324" customFormat="1" ht="15" x14ac:dyDescent="0.3">
      <c r="A13" s="1326">
        <v>45992</v>
      </c>
      <c r="B13" s="1327">
        <v>133.19999999999999</v>
      </c>
      <c r="C13" s="1327">
        <v>79.8</v>
      </c>
      <c r="D13" s="1327"/>
      <c r="E13" s="1327"/>
      <c r="F13" s="1323"/>
      <c r="G13" s="1327">
        <v>127.5</v>
      </c>
      <c r="H13" s="1327">
        <v>94.8</v>
      </c>
      <c r="I13" s="1327"/>
      <c r="J13" s="1327"/>
      <c r="K13" s="1323"/>
      <c r="L13" s="1327">
        <v>157.19999999999999</v>
      </c>
      <c r="M13" s="1327">
        <v>101.9</v>
      </c>
      <c r="N13" s="1327"/>
      <c r="O13" s="1327"/>
      <c r="P13" s="1323"/>
      <c r="Q13" s="1327">
        <v>93.1</v>
      </c>
      <c r="R13" s="1327">
        <v>106.9</v>
      </c>
      <c r="S13" s="1327"/>
      <c r="T13" s="1327"/>
    </row>
    <row r="14" spans="1:20" s="1324" customFormat="1" ht="15" x14ac:dyDescent="0.3">
      <c r="A14" s="1326">
        <v>46023</v>
      </c>
      <c r="B14" s="1327">
        <v>137.6</v>
      </c>
      <c r="C14" s="1327">
        <v>84.4</v>
      </c>
      <c r="D14" s="1327"/>
      <c r="E14" s="1327"/>
      <c r="F14" s="1323"/>
      <c r="G14" s="1327">
        <v>130.1</v>
      </c>
      <c r="H14" s="1327">
        <v>94.8</v>
      </c>
      <c r="I14" s="1327"/>
      <c r="J14" s="1327"/>
      <c r="K14" s="1323"/>
      <c r="L14" s="1327">
        <v>157.6</v>
      </c>
      <c r="M14" s="1327">
        <v>102.3</v>
      </c>
      <c r="N14" s="1327"/>
      <c r="O14" s="1327"/>
      <c r="P14" s="1323"/>
      <c r="Q14" s="1327">
        <v>93.5</v>
      </c>
      <c r="R14" s="1327">
        <v>106.9</v>
      </c>
      <c r="S14" s="1327"/>
      <c r="T14" s="1327"/>
    </row>
    <row r="15" spans="1:20" s="1324" customFormat="1" ht="15" x14ac:dyDescent="0.3">
      <c r="A15" s="1326">
        <v>46054</v>
      </c>
      <c r="B15" s="1327">
        <v>140.80000000000001</v>
      </c>
      <c r="C15" s="1327">
        <v>86.9</v>
      </c>
      <c r="D15" s="1327"/>
      <c r="E15" s="1327"/>
      <c r="F15" s="1323"/>
      <c r="G15" s="1327">
        <v>131.30000000000001</v>
      </c>
      <c r="H15" s="1327">
        <v>95</v>
      </c>
      <c r="I15" s="1327"/>
      <c r="J15" s="1327"/>
      <c r="K15" s="1323"/>
      <c r="L15" s="1327">
        <v>158.4</v>
      </c>
      <c r="M15" s="1327">
        <v>103.1</v>
      </c>
      <c r="N15" s="1327"/>
      <c r="O15" s="1327"/>
      <c r="P15" s="1323"/>
      <c r="Q15" s="1327">
        <v>93.5</v>
      </c>
      <c r="R15" s="1327">
        <v>107.2</v>
      </c>
      <c r="S15" s="1327"/>
      <c r="T15" s="1327"/>
    </row>
    <row r="16" spans="1:20" s="1324" customFormat="1" ht="15" x14ac:dyDescent="0.3">
      <c r="A16" s="1326">
        <v>46082</v>
      </c>
      <c r="B16" s="1327">
        <v>142.69999999999999</v>
      </c>
      <c r="C16" s="1327">
        <v>88.7</v>
      </c>
      <c r="D16" s="1327"/>
      <c r="E16" s="1327"/>
      <c r="F16" s="1323"/>
      <c r="G16" s="1327">
        <v>132.1</v>
      </c>
      <c r="H16" s="1327">
        <v>95.8</v>
      </c>
      <c r="I16" s="1327"/>
      <c r="J16" s="1327"/>
      <c r="K16" s="1323"/>
      <c r="L16" s="1327">
        <v>161.19999999999999</v>
      </c>
      <c r="M16" s="1327">
        <v>104.6</v>
      </c>
      <c r="N16" s="1327"/>
      <c r="O16" s="1327"/>
      <c r="P16" s="1323"/>
      <c r="Q16" s="1327">
        <v>93.6</v>
      </c>
      <c r="R16" s="1327">
        <v>107.4</v>
      </c>
      <c r="S16" s="1327"/>
      <c r="T16" s="1327"/>
    </row>
    <row r="17" spans="1:20" s="1324" customFormat="1" ht="15" x14ac:dyDescent="0.3">
      <c r="A17" s="1326">
        <v>46113</v>
      </c>
      <c r="B17" s="1327">
        <v>144.4</v>
      </c>
      <c r="C17" s="1327">
        <v>90.2</v>
      </c>
      <c r="D17" s="1327"/>
      <c r="E17" s="1327"/>
      <c r="F17" s="1323"/>
      <c r="G17" s="1327">
        <v>133</v>
      </c>
      <c r="H17" s="1327">
        <v>97.1</v>
      </c>
      <c r="I17" s="1327"/>
      <c r="J17" s="1327"/>
      <c r="K17" s="1323"/>
      <c r="L17" s="1327">
        <v>167</v>
      </c>
      <c r="M17" s="1327">
        <v>108.9</v>
      </c>
      <c r="N17" s="1327"/>
      <c r="O17" s="1327"/>
      <c r="P17" s="1323"/>
      <c r="Q17" s="1327">
        <v>93.4</v>
      </c>
      <c r="R17" s="1327">
        <v>107.3</v>
      </c>
      <c r="S17" s="1327"/>
      <c r="T17" s="1327"/>
    </row>
    <row r="18" spans="1:20" s="1324" customFormat="1" ht="15" x14ac:dyDescent="0.3">
      <c r="A18" s="1326">
        <v>46143</v>
      </c>
      <c r="B18" s="1325"/>
      <c r="C18" s="1327">
        <v>89.7</v>
      </c>
      <c r="D18" s="1327">
        <f>$D$4</f>
        <v>1.64</v>
      </c>
      <c r="E18" s="1327">
        <f>C18*D18</f>
        <v>147.108</v>
      </c>
      <c r="F18" s="1323"/>
      <c r="G18" s="1325"/>
      <c r="H18" s="1327">
        <v>96.5</v>
      </c>
      <c r="I18" s="1327">
        <f>$I$4</f>
        <v>1.3520000000000001</v>
      </c>
      <c r="J18" s="1327">
        <f>H18*I18</f>
        <v>130.46800000000002</v>
      </c>
      <c r="K18" s="1323"/>
      <c r="L18" s="1325"/>
      <c r="M18" s="1327">
        <v>110.1</v>
      </c>
      <c r="N18" s="1327">
        <f>$N$4</f>
        <v>1.538</v>
      </c>
      <c r="O18" s="1328">
        <f>M18*N18</f>
        <v>169.3338</v>
      </c>
      <c r="P18" s="1323"/>
      <c r="Q18" s="1325"/>
      <c r="R18" s="1327">
        <v>108</v>
      </c>
      <c r="S18" s="1327">
        <f>$S$4</f>
        <v>0.872</v>
      </c>
      <c r="T18" s="1328">
        <f>R18*S18</f>
        <v>94.176000000000002</v>
      </c>
    </row>
    <row r="19" spans="1:20" s="1324" customFormat="1" ht="15" x14ac:dyDescent="0.3">
      <c r="A19" s="1326">
        <v>46174</v>
      </c>
      <c r="B19" s="1325"/>
      <c r="C19" s="1327">
        <v>88.3</v>
      </c>
      <c r="D19" s="1327">
        <f>$D$4</f>
        <v>1.64</v>
      </c>
      <c r="E19" s="1327">
        <f>C19*D19</f>
        <v>144.81199999999998</v>
      </c>
      <c r="F19" s="1323"/>
      <c r="G19" s="1325"/>
      <c r="H19" s="1327">
        <v>96.5</v>
      </c>
      <c r="I19" s="1327">
        <f>$I$4</f>
        <v>1.3520000000000001</v>
      </c>
      <c r="J19" s="1327">
        <f>H19*I19</f>
        <v>130.46800000000002</v>
      </c>
      <c r="K19" s="1323"/>
      <c r="L19" s="1325"/>
      <c r="M19" s="1327">
        <v>110.2</v>
      </c>
      <c r="N19" s="1327">
        <f>$N$4</f>
        <v>1.538</v>
      </c>
      <c r="O19" s="1328">
        <f>M19*N19</f>
        <v>169.48760000000001</v>
      </c>
      <c r="P19" s="1323"/>
      <c r="Q19" s="1325"/>
      <c r="R19" s="1327">
        <v>107.6</v>
      </c>
      <c r="S19" s="1327">
        <f>$S$4</f>
        <v>0.872</v>
      </c>
      <c r="T19" s="1328">
        <f>R19*S19</f>
        <v>93.827199999999991</v>
      </c>
    </row>
    <row r="20" spans="1:20" s="1324" customFormat="1" ht="15" x14ac:dyDescent="0.3">
      <c r="A20" s="1325"/>
      <c r="B20" s="1325"/>
      <c r="C20" s="1325"/>
      <c r="D20" s="1325"/>
      <c r="E20" s="1329"/>
      <c r="F20" s="1329"/>
      <c r="G20" s="1325"/>
      <c r="H20" s="1325"/>
      <c r="I20" s="1325"/>
      <c r="J20" s="1329"/>
      <c r="K20" s="1329"/>
      <c r="L20" s="1325"/>
      <c r="M20" s="1325"/>
      <c r="N20" s="1325"/>
      <c r="O20" s="1329"/>
      <c r="P20" s="1329"/>
      <c r="Q20" s="1325"/>
      <c r="R20" s="1325"/>
      <c r="S20" s="1325"/>
      <c r="T20" s="1329"/>
    </row>
  </sheetData>
  <mergeCells count="6">
    <mergeCell ref="A1:T1"/>
    <mergeCell ref="A2:A3"/>
    <mergeCell ref="B2:E2"/>
    <mergeCell ref="G2:J2"/>
    <mergeCell ref="L2:O2"/>
    <mergeCell ref="Q2:T2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50" orientation="landscape" r:id="rId1"/>
  <ignoredErrors>
    <ignoredError sqref="P4:S4 M4:N4 C4 H4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1BB4-D855-4633-A12A-8782C5BDA328}">
  <sheetPr codeName="Sheet13"/>
  <dimension ref="A1:U55"/>
  <sheetViews>
    <sheetView view="pageBreakPreview" zoomScale="80" zoomScaleNormal="80" zoomScaleSheetLayoutView="80" workbookViewId="0">
      <pane ySplit="5" topLeftCell="A20" activePane="bottomLeft" state="frozen"/>
      <selection activeCell="G3" sqref="G3:G4"/>
      <selection pane="bottomLeft" activeCell="N24" sqref="N24:N25"/>
    </sheetView>
  </sheetViews>
  <sheetFormatPr defaultColWidth="8.88671875" defaultRowHeight="15.6" x14ac:dyDescent="0.3"/>
  <cols>
    <col min="1" max="1" width="4.88671875" style="602" bestFit="1" customWidth="1"/>
    <col min="2" max="2" width="10.109375" style="602" hidden="1" customWidth="1"/>
    <col min="3" max="3" width="21.88671875" style="602" hidden="1" customWidth="1"/>
    <col min="4" max="4" width="7.5546875" style="602" bestFit="1" customWidth="1"/>
    <col min="5" max="5" width="22.88671875" style="602" customWidth="1"/>
    <col min="6" max="6" width="4.88671875" style="602" bestFit="1" customWidth="1"/>
    <col min="7" max="7" width="11.88671875" style="602" customWidth="1"/>
    <col min="8" max="8" width="8.109375" style="602" customWidth="1"/>
    <col min="9" max="9" width="11.88671875" style="602" customWidth="1"/>
    <col min="10" max="12" width="6.88671875" style="602" customWidth="1"/>
    <col min="13" max="13" width="11.5546875" style="602" customWidth="1"/>
    <col min="14" max="14" width="18.88671875" style="602" customWidth="1"/>
    <col min="15" max="17" width="6.88671875" style="602" customWidth="1"/>
    <col min="18" max="18" width="11.5546875" style="602" customWidth="1"/>
    <col min="19" max="19" width="15.88671875" style="602" customWidth="1"/>
    <col min="20" max="20" width="6.88671875" style="602" customWidth="1"/>
    <col min="21" max="21" width="11.44140625" style="602" customWidth="1"/>
    <col min="22" max="16384" width="8.88671875" style="602"/>
  </cols>
  <sheetData>
    <row r="1" spans="1:21" ht="18" x14ac:dyDescent="0.3">
      <c r="A1" s="600" t="s">
        <v>10450</v>
      </c>
      <c r="B1" s="905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</row>
    <row r="2" spans="1:21" ht="1.35" customHeight="1" x14ac:dyDescent="0.3"/>
    <row r="3" spans="1:21" s="1211" customFormat="1" ht="15.6" customHeight="1" x14ac:dyDescent="0.3">
      <c r="A3" s="1851" t="s">
        <v>23</v>
      </c>
      <c r="B3" s="1851" t="s">
        <v>10451</v>
      </c>
      <c r="C3" s="1851" t="s">
        <v>24</v>
      </c>
      <c r="D3" s="1851" t="s">
        <v>498</v>
      </c>
      <c r="E3" s="1851" t="s">
        <v>176</v>
      </c>
      <c r="F3" s="1851" t="s">
        <v>177</v>
      </c>
      <c r="G3" s="1851" t="s">
        <v>10452</v>
      </c>
      <c r="H3" s="1851" t="s">
        <v>10453</v>
      </c>
      <c r="I3" s="1851" t="s">
        <v>10454</v>
      </c>
      <c r="J3" s="1853" t="s">
        <v>107</v>
      </c>
      <c r="K3" s="1854"/>
      <c r="L3" s="1854"/>
      <c r="M3" s="1854"/>
      <c r="N3" s="1855"/>
      <c r="O3" s="1853" t="s">
        <v>10455</v>
      </c>
      <c r="P3" s="1854"/>
      <c r="Q3" s="1854"/>
      <c r="R3" s="1854"/>
      <c r="S3" s="1855"/>
      <c r="T3" s="1856" t="s">
        <v>6108</v>
      </c>
      <c r="U3" s="1857"/>
    </row>
    <row r="4" spans="1:21" s="1337" customFormat="1" ht="12.6" customHeight="1" x14ac:dyDescent="0.3">
      <c r="A4" s="1852"/>
      <c r="B4" s="1852"/>
      <c r="C4" s="1852"/>
      <c r="D4" s="1852"/>
      <c r="E4" s="1852"/>
      <c r="F4" s="1852"/>
      <c r="G4" s="1852"/>
      <c r="H4" s="1852"/>
      <c r="I4" s="1852"/>
      <c r="J4" s="1336" t="s">
        <v>505</v>
      </c>
      <c r="K4" s="1336" t="s">
        <v>10456</v>
      </c>
      <c r="L4" s="1336" t="s">
        <v>184</v>
      </c>
      <c r="M4" s="1336" t="s">
        <v>26</v>
      </c>
      <c r="N4" s="1336" t="s">
        <v>507</v>
      </c>
      <c r="O4" s="1336" t="s">
        <v>505</v>
      </c>
      <c r="P4" s="1336" t="s">
        <v>10456</v>
      </c>
      <c r="Q4" s="1336" t="s">
        <v>184</v>
      </c>
      <c r="R4" s="1336" t="s">
        <v>26</v>
      </c>
      <c r="S4" s="1336" t="s">
        <v>507</v>
      </c>
      <c r="T4" s="1336" t="s">
        <v>184</v>
      </c>
      <c r="U4" s="1336" t="s">
        <v>26</v>
      </c>
    </row>
    <row r="5" spans="1:21" s="1337" customFormat="1" ht="7.35" customHeight="1" x14ac:dyDescent="0.3">
      <c r="A5" s="1338"/>
      <c r="B5" s="1339"/>
      <c r="C5" s="1339"/>
      <c r="D5" s="1339"/>
      <c r="E5" s="1339"/>
      <c r="F5" s="1339"/>
      <c r="G5" s="1339"/>
      <c r="H5" s="1339"/>
      <c r="I5" s="1339"/>
      <c r="J5" s="1339"/>
      <c r="K5" s="1339"/>
      <c r="L5" s="1340"/>
      <c r="M5" s="1339"/>
      <c r="N5" s="1339"/>
      <c r="O5" s="1339"/>
      <c r="P5" s="1339"/>
      <c r="Q5" s="1340"/>
      <c r="R5" s="1339"/>
      <c r="S5" s="1339"/>
      <c r="T5" s="1339"/>
      <c r="U5" s="1341"/>
    </row>
    <row r="6" spans="1:21" s="1211" customFormat="1" ht="25.2" x14ac:dyDescent="0.3">
      <c r="A6" s="1342">
        <v>1</v>
      </c>
      <c r="B6" s="1343" t="s">
        <v>157</v>
      </c>
      <c r="C6" s="1344" t="s">
        <v>158</v>
      </c>
      <c r="D6" s="1342" t="s">
        <v>7743</v>
      </c>
      <c r="E6" s="1344" t="s">
        <v>10457</v>
      </c>
      <c r="F6" s="1342" t="s">
        <v>190</v>
      </c>
      <c r="G6" s="1345">
        <v>5106084.3749999991</v>
      </c>
      <c r="H6" s="1342">
        <v>21</v>
      </c>
      <c r="I6" s="1346">
        <f>G6*H6</f>
        <v>107227771.87499999</v>
      </c>
      <c r="J6" s="1342">
        <v>7</v>
      </c>
      <c r="K6" s="1347">
        <v>0.35</v>
      </c>
      <c r="L6" s="1342">
        <f>H6</f>
        <v>21</v>
      </c>
      <c r="M6" s="1345">
        <f>I6*K6</f>
        <v>37529720.156249993</v>
      </c>
      <c r="N6" s="1344" t="s">
        <v>10458</v>
      </c>
      <c r="O6" s="1342">
        <v>22</v>
      </c>
      <c r="P6" s="1347">
        <v>0.35</v>
      </c>
      <c r="Q6" s="1342">
        <v>21</v>
      </c>
      <c r="R6" s="1345">
        <f>Q6*G6*P6</f>
        <v>37529720.156249993</v>
      </c>
      <c r="S6" s="1344" t="s">
        <v>10459</v>
      </c>
      <c r="T6" s="1348">
        <f>L6-Q6</f>
        <v>0</v>
      </c>
      <c r="U6" s="1349">
        <f>M6-R6</f>
        <v>0</v>
      </c>
    </row>
    <row r="7" spans="1:21" s="1337" customFormat="1" ht="7.35" customHeight="1" x14ac:dyDescent="0.3">
      <c r="A7" s="1338"/>
      <c r="B7" s="1339"/>
      <c r="C7" s="1339"/>
      <c r="D7" s="1339"/>
      <c r="E7" s="1339"/>
      <c r="F7" s="1339"/>
      <c r="G7" s="1339"/>
      <c r="H7" s="1339"/>
      <c r="I7" s="1339"/>
      <c r="J7" s="1339"/>
      <c r="K7" s="1339"/>
      <c r="L7" s="1339"/>
      <c r="M7" s="1339"/>
      <c r="N7" s="1339"/>
      <c r="O7" s="1339"/>
      <c r="P7" s="1339"/>
      <c r="Q7" s="1339"/>
      <c r="R7" s="1339"/>
      <c r="S7" s="1339"/>
      <c r="T7" s="1340"/>
      <c r="U7" s="1341"/>
    </row>
    <row r="8" spans="1:21" s="1211" customFormat="1" ht="25.2" x14ac:dyDescent="0.3">
      <c r="A8" s="1350">
        <v>2</v>
      </c>
      <c r="B8" s="1351" t="s">
        <v>157</v>
      </c>
      <c r="C8" s="1352" t="s">
        <v>158</v>
      </c>
      <c r="D8" s="1350" t="s">
        <v>7743</v>
      </c>
      <c r="E8" s="1352" t="s">
        <v>10457</v>
      </c>
      <c r="F8" s="1350" t="s">
        <v>190</v>
      </c>
      <c r="G8" s="1353">
        <v>5106084.3749999991</v>
      </c>
      <c r="H8" s="1350">
        <v>51</v>
      </c>
      <c r="I8" s="1354">
        <f>G8*H8</f>
        <v>260410303.12499994</v>
      </c>
      <c r="J8" s="1350">
        <v>8</v>
      </c>
      <c r="K8" s="1355">
        <v>0.35</v>
      </c>
      <c r="L8" s="1350">
        <f>H8</f>
        <v>51</v>
      </c>
      <c r="M8" s="1353">
        <f>I8*K8</f>
        <v>91143606.09374997</v>
      </c>
      <c r="N8" s="1352" t="s">
        <v>10458</v>
      </c>
      <c r="O8" s="1350">
        <v>22</v>
      </c>
      <c r="P8" s="1355">
        <v>0.35</v>
      </c>
      <c r="Q8" s="1350">
        <v>51</v>
      </c>
      <c r="R8" s="1353">
        <f>Q8*G8*P8</f>
        <v>91143606.09374997</v>
      </c>
      <c r="S8" s="1352" t="s">
        <v>10459</v>
      </c>
      <c r="T8" s="1348">
        <f>L8-Q8</f>
        <v>0</v>
      </c>
      <c r="U8" s="1349">
        <f>M8-R8</f>
        <v>0</v>
      </c>
    </row>
    <row r="9" spans="1:21" s="1337" customFormat="1" ht="7.35" customHeight="1" x14ac:dyDescent="0.3">
      <c r="A9" s="1338"/>
      <c r="B9" s="1339"/>
      <c r="C9" s="1339"/>
      <c r="D9" s="1339"/>
      <c r="E9" s="1339"/>
      <c r="F9" s="1339"/>
      <c r="G9" s="1339"/>
      <c r="H9" s="1339"/>
      <c r="I9" s="1339"/>
      <c r="J9" s="1339"/>
      <c r="K9" s="1339"/>
      <c r="L9" s="1339"/>
      <c r="M9" s="1339"/>
      <c r="N9" s="1339"/>
      <c r="O9" s="1339"/>
      <c r="P9" s="1339"/>
      <c r="Q9" s="1339"/>
      <c r="R9" s="1339"/>
      <c r="S9" s="1339"/>
      <c r="T9" s="1340"/>
      <c r="U9" s="1341"/>
    </row>
    <row r="10" spans="1:21" s="1211" customFormat="1" ht="25.2" x14ac:dyDescent="0.3">
      <c r="A10" s="1342">
        <v>3</v>
      </c>
      <c r="B10" s="1343" t="s">
        <v>157</v>
      </c>
      <c r="C10" s="1344" t="s">
        <v>158</v>
      </c>
      <c r="D10" s="1342" t="s">
        <v>6800</v>
      </c>
      <c r="E10" s="1344" t="s">
        <v>10460</v>
      </c>
      <c r="F10" s="1342" t="s">
        <v>190</v>
      </c>
      <c r="G10" s="1345">
        <v>2641998.3612804874</v>
      </c>
      <c r="H10" s="1342">
        <v>18</v>
      </c>
      <c r="I10" s="1346">
        <f>G10*H10</f>
        <v>47555970.50304877</v>
      </c>
      <c r="J10" s="1342">
        <v>9</v>
      </c>
      <c r="K10" s="1347">
        <v>0.35</v>
      </c>
      <c r="L10" s="1342">
        <f>H10</f>
        <v>18</v>
      </c>
      <c r="M10" s="1345">
        <f>I10*K10</f>
        <v>16644589.676067069</v>
      </c>
      <c r="N10" s="1344" t="s">
        <v>10458</v>
      </c>
      <c r="O10" s="1342">
        <v>14</v>
      </c>
      <c r="P10" s="1347">
        <v>0.35</v>
      </c>
      <c r="Q10" s="1342">
        <f>H10</f>
        <v>18</v>
      </c>
      <c r="R10" s="1345">
        <f>I10/H10*Q10*P10</f>
        <v>16644589.676067069</v>
      </c>
      <c r="S10" s="1344" t="s">
        <v>10459</v>
      </c>
      <c r="T10" s="1348">
        <f>L10-Q10</f>
        <v>0</v>
      </c>
      <c r="U10" s="1349">
        <f>M10-R10</f>
        <v>0</v>
      </c>
    </row>
    <row r="11" spans="1:21" s="1211" customFormat="1" ht="25.2" x14ac:dyDescent="0.3">
      <c r="A11" s="1356">
        <v>4</v>
      </c>
      <c r="B11" s="1357" t="s">
        <v>157</v>
      </c>
      <c r="C11" s="1358" t="s">
        <v>158</v>
      </c>
      <c r="D11" s="1356" t="s">
        <v>7743</v>
      </c>
      <c r="E11" s="1358" t="s">
        <v>10457</v>
      </c>
      <c r="F11" s="1356" t="s">
        <v>190</v>
      </c>
      <c r="G11" s="1359">
        <v>5106084.3749999991</v>
      </c>
      <c r="H11" s="1356">
        <v>9</v>
      </c>
      <c r="I11" s="1360">
        <f>G11*H11</f>
        <v>45954759.374999993</v>
      </c>
      <c r="J11" s="1356">
        <v>9</v>
      </c>
      <c r="K11" s="1361">
        <v>0.35</v>
      </c>
      <c r="L11" s="1356">
        <f>H11</f>
        <v>9</v>
      </c>
      <c r="M11" s="1359">
        <f>I11*K11</f>
        <v>16084165.781249996</v>
      </c>
      <c r="N11" s="1358" t="s">
        <v>10458</v>
      </c>
      <c r="O11" s="1356">
        <v>22</v>
      </c>
      <c r="P11" s="1361">
        <v>0.35</v>
      </c>
      <c r="Q11" s="1356">
        <v>9</v>
      </c>
      <c r="R11" s="1359">
        <f>Q11*G11*P11</f>
        <v>16084165.781249996</v>
      </c>
      <c r="S11" s="1358" t="s">
        <v>10459</v>
      </c>
      <c r="T11" s="1362">
        <f>L11-Q11</f>
        <v>0</v>
      </c>
      <c r="U11" s="1363">
        <f>M11-R11</f>
        <v>0</v>
      </c>
    </row>
    <row r="12" spans="1:21" s="1337" customFormat="1" ht="7.35" customHeight="1" x14ac:dyDescent="0.3">
      <c r="A12" s="1338"/>
      <c r="B12" s="1339"/>
      <c r="C12" s="1339"/>
      <c r="D12" s="1339"/>
      <c r="E12" s="1339"/>
      <c r="F12" s="1339"/>
      <c r="G12" s="1339"/>
      <c r="H12" s="1339"/>
      <c r="I12" s="1339"/>
      <c r="J12" s="1339"/>
      <c r="K12" s="1339"/>
      <c r="L12" s="1339"/>
      <c r="M12" s="1339"/>
      <c r="N12" s="1339"/>
      <c r="O12" s="1339"/>
      <c r="P12" s="1339"/>
      <c r="Q12" s="1339"/>
      <c r="R12" s="1339"/>
      <c r="S12" s="1339"/>
      <c r="T12" s="1340"/>
      <c r="U12" s="1341"/>
    </row>
    <row r="13" spans="1:21" s="1211" customFormat="1" ht="25.2" x14ac:dyDescent="0.3">
      <c r="A13" s="1342">
        <v>5</v>
      </c>
      <c r="B13" s="1343" t="s">
        <v>157</v>
      </c>
      <c r="C13" s="1344" t="s">
        <v>158</v>
      </c>
      <c r="D13" s="1342" t="s">
        <v>6800</v>
      </c>
      <c r="E13" s="1344" t="s">
        <v>10460</v>
      </c>
      <c r="F13" s="1342" t="s">
        <v>190</v>
      </c>
      <c r="G13" s="1345">
        <v>2641998.3612804874</v>
      </c>
      <c r="H13" s="1342">
        <v>48</v>
      </c>
      <c r="I13" s="1346">
        <f>G13*H13</f>
        <v>126815921.34146339</v>
      </c>
      <c r="J13" s="1342">
        <v>10</v>
      </c>
      <c r="K13" s="1347">
        <v>0.35</v>
      </c>
      <c r="L13" s="1342">
        <f>H13</f>
        <v>48</v>
      </c>
      <c r="M13" s="1345">
        <f>I13*K13</f>
        <v>44385572.469512179</v>
      </c>
      <c r="N13" s="1344" t="s">
        <v>10458</v>
      </c>
      <c r="O13" s="1342">
        <v>14</v>
      </c>
      <c r="P13" s="1347">
        <v>0.35</v>
      </c>
      <c r="Q13" s="1342">
        <f>H13</f>
        <v>48</v>
      </c>
      <c r="R13" s="1345">
        <f>I13/H13*Q13*P13</f>
        <v>44385572.469512179</v>
      </c>
      <c r="S13" s="1344" t="s">
        <v>10459</v>
      </c>
      <c r="T13" s="1348">
        <f>L13-Q13</f>
        <v>0</v>
      </c>
      <c r="U13" s="1349">
        <f>M13-R13</f>
        <v>0</v>
      </c>
    </row>
    <row r="14" spans="1:21" s="1211" customFormat="1" ht="25.2" x14ac:dyDescent="0.3">
      <c r="A14" s="1356">
        <v>6</v>
      </c>
      <c r="B14" s="1357" t="s">
        <v>157</v>
      </c>
      <c r="C14" s="1358" t="s">
        <v>158</v>
      </c>
      <c r="D14" s="1356" t="s">
        <v>7743</v>
      </c>
      <c r="E14" s="1358" t="s">
        <v>10457</v>
      </c>
      <c r="F14" s="1356" t="s">
        <v>190</v>
      </c>
      <c r="G14" s="1359">
        <v>5106084.3749999991</v>
      </c>
      <c r="H14" s="1356">
        <v>2</v>
      </c>
      <c r="I14" s="1360">
        <f>G14*H14</f>
        <v>10212168.749999998</v>
      </c>
      <c r="J14" s="1356">
        <v>10</v>
      </c>
      <c r="K14" s="1361">
        <v>0.35</v>
      </c>
      <c r="L14" s="1356">
        <f>H14</f>
        <v>2</v>
      </c>
      <c r="M14" s="1359">
        <f>I14*K14</f>
        <v>3574259.0624999991</v>
      </c>
      <c r="N14" s="1358" t="s">
        <v>10458</v>
      </c>
      <c r="O14" s="1356">
        <v>22</v>
      </c>
      <c r="P14" s="1361">
        <v>0.35</v>
      </c>
      <c r="Q14" s="1356">
        <v>2</v>
      </c>
      <c r="R14" s="1359">
        <f>Q14*G14*P14</f>
        <v>3574259.0624999991</v>
      </c>
      <c r="S14" s="1358" t="s">
        <v>10459</v>
      </c>
      <c r="T14" s="1362">
        <f>L14-Q14</f>
        <v>0</v>
      </c>
      <c r="U14" s="1363">
        <f>M14-R14</f>
        <v>0</v>
      </c>
    </row>
    <row r="15" spans="1:21" s="1337" customFormat="1" ht="7.35" customHeight="1" x14ac:dyDescent="0.3">
      <c r="A15" s="1338"/>
      <c r="B15" s="1339"/>
      <c r="C15" s="1339"/>
      <c r="D15" s="1339"/>
      <c r="E15" s="1339"/>
      <c r="F15" s="1339"/>
      <c r="G15" s="1339"/>
      <c r="H15" s="1339"/>
      <c r="I15" s="1339"/>
      <c r="J15" s="1339"/>
      <c r="K15" s="1339"/>
      <c r="L15" s="1339"/>
      <c r="M15" s="1339"/>
      <c r="N15" s="1339"/>
      <c r="O15" s="1339"/>
      <c r="P15" s="1339"/>
      <c r="Q15" s="1339"/>
      <c r="R15" s="1339"/>
      <c r="S15" s="1339"/>
      <c r="T15" s="1340"/>
      <c r="U15" s="1341"/>
    </row>
    <row r="16" spans="1:21" s="1211" customFormat="1" ht="13.65" customHeight="1" x14ac:dyDescent="0.3">
      <c r="A16" s="1834">
        <v>7</v>
      </c>
      <c r="B16" s="1840" t="s">
        <v>157</v>
      </c>
      <c r="C16" s="1836" t="s">
        <v>158</v>
      </c>
      <c r="D16" s="1834" t="s">
        <v>6800</v>
      </c>
      <c r="E16" s="1836" t="s">
        <v>10460</v>
      </c>
      <c r="F16" s="1834" t="s">
        <v>190</v>
      </c>
      <c r="G16" s="1842">
        <v>3671929.9258474573</v>
      </c>
      <c r="H16" s="1834">
        <v>40</v>
      </c>
      <c r="I16" s="1846">
        <v>214852680</v>
      </c>
      <c r="J16" s="1834">
        <v>11</v>
      </c>
      <c r="K16" s="1844">
        <v>0.35</v>
      </c>
      <c r="L16" s="1834">
        <f>H16</f>
        <v>40</v>
      </c>
      <c r="M16" s="1842">
        <f>I16*K16</f>
        <v>75198438</v>
      </c>
      <c r="N16" s="1836" t="s">
        <v>10458</v>
      </c>
      <c r="O16" s="1370">
        <v>14</v>
      </c>
      <c r="P16" s="1416">
        <v>0.35</v>
      </c>
      <c r="Q16" s="1370">
        <f>H16-7</f>
        <v>33</v>
      </c>
      <c r="R16" s="1394">
        <f>I16/H16*Q16*P16</f>
        <v>62038711.349999994</v>
      </c>
      <c r="S16" s="1417" t="s">
        <v>10459</v>
      </c>
      <c r="T16" s="1858">
        <f>L16-SUM(Q16:Q17)</f>
        <v>0</v>
      </c>
      <c r="U16" s="1842">
        <f>M16-SUM(R16:R17)</f>
        <v>0</v>
      </c>
    </row>
    <row r="17" spans="1:21" s="1211" customFormat="1" ht="12.6" x14ac:dyDescent="0.3">
      <c r="A17" s="1838"/>
      <c r="B17" s="1841"/>
      <c r="C17" s="1839"/>
      <c r="D17" s="1838"/>
      <c r="E17" s="1839"/>
      <c r="F17" s="1838"/>
      <c r="G17" s="1850"/>
      <c r="H17" s="1838"/>
      <c r="I17" s="1849"/>
      <c r="J17" s="1838"/>
      <c r="K17" s="1867"/>
      <c r="L17" s="1838"/>
      <c r="M17" s="1850"/>
      <c r="N17" s="1839"/>
      <c r="O17" s="1365">
        <v>15</v>
      </c>
      <c r="P17" s="1368">
        <v>0.35</v>
      </c>
      <c r="Q17" s="1365">
        <v>7</v>
      </c>
      <c r="R17" s="1367">
        <f>I16/H16*Q17*P17</f>
        <v>13159726.649999999</v>
      </c>
      <c r="S17" s="1366" t="s">
        <v>10459</v>
      </c>
      <c r="T17" s="1859"/>
      <c r="U17" s="1850"/>
    </row>
    <row r="18" spans="1:21" s="1337" customFormat="1" ht="7.35" customHeight="1" x14ac:dyDescent="0.3">
      <c r="A18" s="1338"/>
      <c r="B18" s="1339"/>
      <c r="C18" s="1339"/>
      <c r="D18" s="1339"/>
      <c r="E18" s="1339"/>
      <c r="F18" s="1339"/>
      <c r="G18" s="1339"/>
      <c r="H18" s="1339"/>
      <c r="I18" s="1339"/>
      <c r="J18" s="1339"/>
      <c r="K18" s="1339"/>
      <c r="L18" s="1339"/>
      <c r="M18" s="1339"/>
      <c r="N18" s="1339"/>
      <c r="O18" s="1339"/>
      <c r="P18" s="1339"/>
      <c r="Q18" s="1339"/>
      <c r="R18" s="1339"/>
      <c r="S18" s="1339"/>
      <c r="T18" s="1340"/>
      <c r="U18" s="1341"/>
    </row>
    <row r="19" spans="1:21" s="1211" customFormat="1" ht="13.65" customHeight="1" x14ac:dyDescent="0.3">
      <c r="A19" s="1834">
        <v>8</v>
      </c>
      <c r="B19" s="1840" t="s">
        <v>157</v>
      </c>
      <c r="C19" s="1836" t="s">
        <v>158</v>
      </c>
      <c r="D19" s="1834" t="s">
        <v>6800</v>
      </c>
      <c r="E19" s="1836" t="s">
        <v>10460</v>
      </c>
      <c r="F19" s="1834" t="s">
        <v>190</v>
      </c>
      <c r="G19" s="1842">
        <v>3671929.9258474573</v>
      </c>
      <c r="H19" s="1834">
        <v>43</v>
      </c>
      <c r="I19" s="1846">
        <f>G19*H19</f>
        <v>157892986.81144068</v>
      </c>
      <c r="J19" s="1834">
        <v>13</v>
      </c>
      <c r="K19" s="1844">
        <v>0.35</v>
      </c>
      <c r="L19" s="1834">
        <f>H19</f>
        <v>43</v>
      </c>
      <c r="M19" s="1842">
        <f>I19*K19</f>
        <v>55262545.384004235</v>
      </c>
      <c r="N19" s="1836" t="s">
        <v>10458</v>
      </c>
      <c r="O19" s="1370">
        <v>14</v>
      </c>
      <c r="P19" s="1416">
        <v>0.35</v>
      </c>
      <c r="Q19" s="1370">
        <f>H19-5</f>
        <v>38</v>
      </c>
      <c r="R19" s="1394">
        <f>I19/H19*Q19*P19</f>
        <v>48836668.013771184</v>
      </c>
      <c r="S19" s="1417" t="s">
        <v>10459</v>
      </c>
      <c r="T19" s="1858">
        <f>L19-SUM(Q19:Q20)</f>
        <v>0</v>
      </c>
      <c r="U19" s="1842">
        <f>M19-SUM(R19:R20)</f>
        <v>0</v>
      </c>
    </row>
    <row r="20" spans="1:21" s="1211" customFormat="1" ht="12.6" x14ac:dyDescent="0.3">
      <c r="A20" s="1835"/>
      <c r="B20" s="1848"/>
      <c r="C20" s="1837"/>
      <c r="D20" s="1835"/>
      <c r="E20" s="1837"/>
      <c r="F20" s="1835"/>
      <c r="G20" s="1843"/>
      <c r="H20" s="1835"/>
      <c r="I20" s="1847"/>
      <c r="J20" s="1835"/>
      <c r="K20" s="1845"/>
      <c r="L20" s="1835"/>
      <c r="M20" s="1843"/>
      <c r="N20" s="1837"/>
      <c r="O20" s="1412">
        <v>15</v>
      </c>
      <c r="P20" s="1413">
        <v>0.35</v>
      </c>
      <c r="Q20" s="1412">
        <v>5</v>
      </c>
      <c r="R20" s="1414">
        <f>I19/H19*Q20*P20</f>
        <v>6425877.3702330496</v>
      </c>
      <c r="S20" s="1415" t="s">
        <v>10459</v>
      </c>
      <c r="T20" s="1860"/>
      <c r="U20" s="1843"/>
    </row>
    <row r="21" spans="1:21" s="1211" customFormat="1" ht="25.2" x14ac:dyDescent="0.3">
      <c r="A21" s="1356">
        <v>9</v>
      </c>
      <c r="B21" s="1357" t="s">
        <v>157</v>
      </c>
      <c r="C21" s="1358" t="s">
        <v>158</v>
      </c>
      <c r="D21" s="1356" t="s">
        <v>7548</v>
      </c>
      <c r="E21" s="1358" t="s">
        <v>424</v>
      </c>
      <c r="F21" s="1356" t="s">
        <v>190</v>
      </c>
      <c r="G21" s="1359">
        <v>1851656.9711538462</v>
      </c>
      <c r="H21" s="1356">
        <v>3</v>
      </c>
      <c r="I21" s="1360">
        <f>G21*H21</f>
        <v>5554970.913461539</v>
      </c>
      <c r="J21" s="1356">
        <v>13</v>
      </c>
      <c r="K21" s="1361">
        <v>0.35</v>
      </c>
      <c r="L21" s="1356">
        <f>H21</f>
        <v>3</v>
      </c>
      <c r="M21" s="1359">
        <f>I21*K21</f>
        <v>1944239.8197115385</v>
      </c>
      <c r="N21" s="1358" t="s">
        <v>10458</v>
      </c>
      <c r="O21" s="1356">
        <v>14</v>
      </c>
      <c r="P21" s="1361">
        <v>0.35</v>
      </c>
      <c r="Q21" s="1356">
        <f>H21</f>
        <v>3</v>
      </c>
      <c r="R21" s="1359">
        <f>I21/H21*Q21*P21</f>
        <v>1944239.8197115385</v>
      </c>
      <c r="S21" s="1358" t="s">
        <v>10459</v>
      </c>
      <c r="T21" s="1362">
        <f>L21-Q21</f>
        <v>0</v>
      </c>
      <c r="U21" s="1363">
        <f>M21-R21</f>
        <v>0</v>
      </c>
    </row>
    <row r="22" spans="1:21" s="1337" customFormat="1" ht="7.35" customHeight="1" x14ac:dyDescent="0.3">
      <c r="A22" s="1338"/>
      <c r="B22" s="1339"/>
      <c r="C22" s="1339"/>
      <c r="D22" s="1339"/>
      <c r="E22" s="1339"/>
      <c r="F22" s="1339"/>
      <c r="G22" s="1339"/>
      <c r="H22" s="1339"/>
      <c r="I22" s="1339"/>
      <c r="J22" s="1339"/>
      <c r="K22" s="1339"/>
      <c r="L22" s="1339"/>
      <c r="M22" s="1339"/>
      <c r="N22" s="1339"/>
      <c r="O22" s="1339"/>
      <c r="P22" s="1339"/>
      <c r="Q22" s="1339"/>
      <c r="R22" s="1339"/>
      <c r="S22" s="1339"/>
      <c r="T22" s="1340"/>
      <c r="U22" s="1341"/>
    </row>
    <row r="23" spans="1:21" s="1211" customFormat="1" ht="25.2" x14ac:dyDescent="0.3">
      <c r="A23" s="1370">
        <v>10</v>
      </c>
      <c r="B23" s="1343" t="s">
        <v>153</v>
      </c>
      <c r="C23" s="1344" t="s">
        <v>154</v>
      </c>
      <c r="D23" s="1342" t="s">
        <v>1880</v>
      </c>
      <c r="E23" s="1344" t="s">
        <v>10461</v>
      </c>
      <c r="F23" s="1342" t="s">
        <v>190</v>
      </c>
      <c r="G23" s="1345">
        <v>10805782.5</v>
      </c>
      <c r="H23" s="1371">
        <v>2.2176957352005093</v>
      </c>
      <c r="I23" s="1372">
        <f>G23*H23</f>
        <v>23963937.765754297</v>
      </c>
      <c r="J23" s="1342">
        <v>14</v>
      </c>
      <c r="K23" s="1347">
        <v>0.05</v>
      </c>
      <c r="L23" s="1371">
        <v>4</v>
      </c>
      <c r="M23" s="1345">
        <f>G23*K23*L23</f>
        <v>2161156.5</v>
      </c>
      <c r="N23" s="1344" t="s">
        <v>10462</v>
      </c>
      <c r="O23" s="1342">
        <v>16</v>
      </c>
      <c r="P23" s="1347">
        <v>0.05</v>
      </c>
      <c r="Q23" s="1371">
        <v>4</v>
      </c>
      <c r="R23" s="1345">
        <f>I23/H23*Q23*P23</f>
        <v>2161156.5</v>
      </c>
      <c r="S23" s="1344" t="s">
        <v>10463</v>
      </c>
      <c r="T23" s="1348">
        <f>L23-Q23</f>
        <v>0</v>
      </c>
      <c r="U23" s="1349">
        <f>M23-R23</f>
        <v>0</v>
      </c>
    </row>
    <row r="24" spans="1:21" s="1211" customFormat="1" ht="13.65" customHeight="1" x14ac:dyDescent="0.3">
      <c r="A24" s="1861">
        <v>11</v>
      </c>
      <c r="B24" s="1862" t="s">
        <v>157</v>
      </c>
      <c r="C24" s="1863" t="s">
        <v>158</v>
      </c>
      <c r="D24" s="1861" t="s">
        <v>6800</v>
      </c>
      <c r="E24" s="1863" t="s">
        <v>10460</v>
      </c>
      <c r="F24" s="1861" t="s">
        <v>190</v>
      </c>
      <c r="G24" s="1864">
        <v>3671929.9258474573</v>
      </c>
      <c r="H24" s="1861">
        <v>39</v>
      </c>
      <c r="I24" s="1865">
        <f>G24*H24</f>
        <v>143205267.10805082</v>
      </c>
      <c r="J24" s="1861">
        <v>14</v>
      </c>
      <c r="K24" s="1866">
        <v>0.35</v>
      </c>
      <c r="L24" s="1861">
        <f>9+6</f>
        <v>15</v>
      </c>
      <c r="M24" s="1864">
        <f>G24*K24*L24</f>
        <v>19277632.110699151</v>
      </c>
      <c r="N24" s="1863" t="s">
        <v>10458</v>
      </c>
      <c r="O24" s="1377">
        <v>15</v>
      </c>
      <c r="P24" s="1382">
        <v>0.35</v>
      </c>
      <c r="Q24" s="1377">
        <v>9</v>
      </c>
      <c r="R24" s="1384">
        <f>I24/H24*Q24*P24</f>
        <v>11566579.266419487</v>
      </c>
      <c r="S24" s="1418" t="s">
        <v>10459</v>
      </c>
      <c r="T24" s="1868">
        <f>L24-SUM(Q24:Q25)</f>
        <v>0</v>
      </c>
      <c r="U24" s="1864">
        <f>M24-SUM(R24:R25)</f>
        <v>0</v>
      </c>
    </row>
    <row r="25" spans="1:21" s="1211" customFormat="1" ht="12.6" x14ac:dyDescent="0.3">
      <c r="A25" s="1838"/>
      <c r="B25" s="1841"/>
      <c r="C25" s="1839"/>
      <c r="D25" s="1838"/>
      <c r="E25" s="1839"/>
      <c r="F25" s="1838"/>
      <c r="G25" s="1850"/>
      <c r="H25" s="1838"/>
      <c r="I25" s="1849"/>
      <c r="J25" s="1838"/>
      <c r="K25" s="1867"/>
      <c r="L25" s="1838"/>
      <c r="M25" s="1850"/>
      <c r="N25" s="1839"/>
      <c r="O25" s="1365">
        <v>16</v>
      </c>
      <c r="P25" s="1368">
        <v>0.35</v>
      </c>
      <c r="Q25" s="1365">
        <v>6</v>
      </c>
      <c r="R25" s="1367">
        <f>I24/H24*Q25*P25</f>
        <v>7711052.844279659</v>
      </c>
      <c r="S25" s="1366" t="s">
        <v>10459</v>
      </c>
      <c r="T25" s="1859"/>
      <c r="U25" s="1850"/>
    </row>
    <row r="26" spans="1:21" s="1337" customFormat="1" ht="7.35" customHeight="1" x14ac:dyDescent="0.3">
      <c r="A26" s="1338"/>
      <c r="B26" s="1339"/>
      <c r="C26" s="1339"/>
      <c r="D26" s="1339"/>
      <c r="E26" s="1339"/>
      <c r="F26" s="1339"/>
      <c r="G26" s="1339"/>
      <c r="H26" s="1339"/>
      <c r="I26" s="1339"/>
      <c r="J26" s="1339"/>
      <c r="K26" s="1339"/>
      <c r="L26" s="1339"/>
      <c r="M26" s="1339"/>
      <c r="N26" s="1339"/>
      <c r="O26" s="1339"/>
      <c r="P26" s="1339"/>
      <c r="Q26" s="1339"/>
      <c r="R26" s="1339"/>
      <c r="S26" s="1339"/>
      <c r="T26" s="1340"/>
      <c r="U26" s="1341"/>
    </row>
    <row r="27" spans="1:21" s="1211" customFormat="1" ht="25.2" x14ac:dyDescent="0.3">
      <c r="A27" s="1342">
        <v>12</v>
      </c>
      <c r="B27" s="1343" t="s">
        <v>157</v>
      </c>
      <c r="C27" s="1344" t="s">
        <v>158</v>
      </c>
      <c r="D27" s="1342" t="s">
        <v>6800</v>
      </c>
      <c r="E27" s="1344" t="s">
        <v>10460</v>
      </c>
      <c r="F27" s="1342" t="s">
        <v>190</v>
      </c>
      <c r="G27" s="1345">
        <v>3671929.9258474573</v>
      </c>
      <c r="H27" s="1342">
        <v>25</v>
      </c>
      <c r="I27" s="1346">
        <v>91798248</v>
      </c>
      <c r="J27" s="1342">
        <v>15</v>
      </c>
      <c r="K27" s="1347">
        <v>0.35</v>
      </c>
      <c r="L27" s="1342">
        <v>21</v>
      </c>
      <c r="M27" s="1345">
        <f>G27*K27*L27</f>
        <v>26988684.954978812</v>
      </c>
      <c r="N27" s="1344" t="s">
        <v>10458</v>
      </c>
      <c r="O27" s="1342">
        <v>16</v>
      </c>
      <c r="P27" s="1347">
        <v>0.35</v>
      </c>
      <c r="Q27" s="1342">
        <v>21</v>
      </c>
      <c r="R27" s="1345">
        <f>M27</f>
        <v>26988684.954978812</v>
      </c>
      <c r="S27" s="1344" t="s">
        <v>10459</v>
      </c>
      <c r="T27" s="1348">
        <f>L27-Q27</f>
        <v>0</v>
      </c>
      <c r="U27" s="1349">
        <f>M27-R27</f>
        <v>0</v>
      </c>
    </row>
    <row r="28" spans="1:21" s="1337" customFormat="1" ht="7.35" customHeight="1" x14ac:dyDescent="0.3">
      <c r="A28" s="1338"/>
      <c r="B28" s="1339"/>
      <c r="C28" s="1339"/>
      <c r="D28" s="1339"/>
      <c r="E28" s="1339"/>
      <c r="F28" s="1339"/>
      <c r="G28" s="1339"/>
      <c r="H28" s="1339"/>
      <c r="I28" s="1339"/>
      <c r="J28" s="1339"/>
      <c r="K28" s="1339"/>
      <c r="L28" s="1339"/>
      <c r="M28" s="1339"/>
      <c r="N28" s="1339"/>
      <c r="O28" s="1339"/>
      <c r="P28" s="1339"/>
      <c r="Q28" s="1339"/>
      <c r="R28" s="1339"/>
      <c r="S28" s="1339"/>
      <c r="T28" s="1340"/>
      <c r="U28" s="1341"/>
    </row>
    <row r="29" spans="1:21" s="1211" customFormat="1" ht="37.799999999999997" x14ac:dyDescent="0.3">
      <c r="A29" s="1342">
        <v>13</v>
      </c>
      <c r="B29" s="1343" t="s">
        <v>153</v>
      </c>
      <c r="C29" s="1344" t="s">
        <v>154</v>
      </c>
      <c r="D29" s="1342" t="s">
        <v>1874</v>
      </c>
      <c r="E29" s="1344" t="s">
        <v>1875</v>
      </c>
      <c r="F29" s="1342" t="s">
        <v>190</v>
      </c>
      <c r="G29" s="1345">
        <v>42106331.250000007</v>
      </c>
      <c r="H29" s="1342">
        <v>2</v>
      </c>
      <c r="I29" s="1346">
        <f>G29*H29</f>
        <v>84212662.500000015</v>
      </c>
      <c r="J29" s="1342">
        <v>16</v>
      </c>
      <c r="K29" s="1375">
        <v>0.125</v>
      </c>
      <c r="L29" s="1342">
        <v>2</v>
      </c>
      <c r="M29" s="1345">
        <f>G29*K29*L29</f>
        <v>10526582.812500002</v>
      </c>
      <c r="N29" s="1344" t="s">
        <v>10464</v>
      </c>
      <c r="O29" s="1342">
        <v>18</v>
      </c>
      <c r="P29" s="1375">
        <f>K29</f>
        <v>0.125</v>
      </c>
      <c r="Q29" s="1342">
        <v>2</v>
      </c>
      <c r="R29" s="1345">
        <f>M29</f>
        <v>10526582.812500002</v>
      </c>
      <c r="S29" s="1344" t="s">
        <v>10463</v>
      </c>
      <c r="T29" s="1362">
        <f>L29-Q29</f>
        <v>0</v>
      </c>
      <c r="U29" s="1363">
        <f>M29-R29</f>
        <v>0</v>
      </c>
    </row>
    <row r="30" spans="1:21" s="1337" customFormat="1" ht="7.35" customHeight="1" x14ac:dyDescent="0.3">
      <c r="A30" s="1338"/>
      <c r="B30" s="1339"/>
      <c r="C30" s="1339"/>
      <c r="D30" s="1339"/>
      <c r="E30" s="1339"/>
      <c r="F30" s="1339"/>
      <c r="G30" s="1339"/>
      <c r="H30" s="1339"/>
      <c r="I30" s="1339"/>
      <c r="J30" s="1339"/>
      <c r="K30" s="1339"/>
      <c r="L30" s="1339"/>
      <c r="M30" s="1339"/>
      <c r="N30" s="1339"/>
      <c r="O30" s="1339"/>
      <c r="P30" s="1339"/>
      <c r="Q30" s="1339"/>
      <c r="R30" s="1339"/>
      <c r="S30" s="1339"/>
      <c r="T30" s="1340"/>
      <c r="U30" s="1341"/>
    </row>
    <row r="31" spans="1:21" s="1211" customFormat="1" ht="25.2" x14ac:dyDescent="0.3">
      <c r="A31" s="1342">
        <v>14</v>
      </c>
      <c r="B31" s="1343" t="s">
        <v>157</v>
      </c>
      <c r="C31" s="1344" t="s">
        <v>158</v>
      </c>
      <c r="D31" s="1342" t="s">
        <v>7743</v>
      </c>
      <c r="E31" s="1344" t="s">
        <v>10457</v>
      </c>
      <c r="F31" s="1342" t="s">
        <v>190</v>
      </c>
      <c r="G31" s="1345">
        <v>5106084.3749999991</v>
      </c>
      <c r="H31" s="1342">
        <v>37</v>
      </c>
      <c r="I31" s="1346">
        <f>G31*H31</f>
        <v>188925121.87499997</v>
      </c>
      <c r="J31" s="1342">
        <v>18</v>
      </c>
      <c r="K31" s="1347">
        <v>0.35</v>
      </c>
      <c r="L31" s="1342">
        <v>37</v>
      </c>
      <c r="M31" s="1345">
        <f>G31*K31*L31</f>
        <v>66123792.656249985</v>
      </c>
      <c r="N31" s="1376" t="s">
        <v>10458</v>
      </c>
      <c r="O31" s="1342">
        <v>22</v>
      </c>
      <c r="P31" s="1347">
        <v>0.35</v>
      </c>
      <c r="Q31" s="1342">
        <v>37</v>
      </c>
      <c r="R31" s="1345">
        <f>Q31*G31*P31</f>
        <v>66123792.656249985</v>
      </c>
      <c r="S31" s="1376" t="s">
        <v>10459</v>
      </c>
      <c r="T31" s="1374">
        <f t="shared" ref="T31:U33" si="0">L31-Q31</f>
        <v>0</v>
      </c>
      <c r="U31" s="1373">
        <f t="shared" si="0"/>
        <v>0</v>
      </c>
    </row>
    <row r="32" spans="1:21" s="1211" customFormat="1" ht="25.2" x14ac:dyDescent="0.3">
      <c r="A32" s="1377">
        <v>15</v>
      </c>
      <c r="B32" s="1378" t="s">
        <v>157</v>
      </c>
      <c r="C32" s="1379" t="s">
        <v>158</v>
      </c>
      <c r="D32" s="1377" t="s">
        <v>566</v>
      </c>
      <c r="E32" s="1379" t="s">
        <v>10465</v>
      </c>
      <c r="F32" s="1377" t="s">
        <v>320</v>
      </c>
      <c r="G32" s="1380">
        <v>2048641.7553191488</v>
      </c>
      <c r="H32" s="1377">
        <v>8.9600000000000009</v>
      </c>
      <c r="I32" s="1381">
        <f>G32*H32</f>
        <v>18355830.127659574</v>
      </c>
      <c r="J32" s="1377">
        <v>18</v>
      </c>
      <c r="K32" s="1382">
        <v>0.35</v>
      </c>
      <c r="L32" s="1377">
        <f>H32</f>
        <v>8.9600000000000009</v>
      </c>
      <c r="M32" s="1380">
        <f>G32*K32*L32</f>
        <v>6424540.5446808506</v>
      </c>
      <c r="N32" s="1379" t="s">
        <v>10458</v>
      </c>
      <c r="O32" s="1377">
        <v>19</v>
      </c>
      <c r="P32" s="1382">
        <v>0.35</v>
      </c>
      <c r="Q32" s="1377">
        <f>L32</f>
        <v>8.9600000000000009</v>
      </c>
      <c r="R32" s="1380">
        <f>M32</f>
        <v>6424540.5446808506</v>
      </c>
      <c r="S32" s="1379" t="s">
        <v>10459</v>
      </c>
      <c r="T32" s="1383">
        <f t="shared" si="0"/>
        <v>0</v>
      </c>
      <c r="U32" s="1384">
        <f t="shared" si="0"/>
        <v>0</v>
      </c>
    </row>
    <row r="33" spans="1:21" s="1211" customFormat="1" ht="27.6" customHeight="1" x14ac:dyDescent="0.3">
      <c r="A33" s="1377">
        <v>16</v>
      </c>
      <c r="B33" s="1378" t="s">
        <v>157</v>
      </c>
      <c r="C33" s="1379" t="s">
        <v>158</v>
      </c>
      <c r="D33" s="1377" t="s">
        <v>551</v>
      </c>
      <c r="E33" s="1379" t="s">
        <v>10466</v>
      </c>
      <c r="F33" s="1377" t="s">
        <v>190</v>
      </c>
      <c r="G33" s="1380">
        <v>1587262.7999999998</v>
      </c>
      <c r="H33" s="1377">
        <v>7</v>
      </c>
      <c r="I33" s="1381">
        <f>G33*H33</f>
        <v>11110839.599999998</v>
      </c>
      <c r="J33" s="1377">
        <v>18</v>
      </c>
      <c r="K33" s="1382">
        <v>0.5</v>
      </c>
      <c r="L33" s="1377">
        <v>1</v>
      </c>
      <c r="M33" s="1380">
        <f>G33*K33*L33</f>
        <v>793631.39999999991</v>
      </c>
      <c r="N33" s="1379" t="s">
        <v>10467</v>
      </c>
      <c r="O33" s="1377">
        <v>31</v>
      </c>
      <c r="P33" s="1382">
        <v>0.5</v>
      </c>
      <c r="Q33" s="1377">
        <f>L33</f>
        <v>1</v>
      </c>
      <c r="R33" s="1380">
        <f>IFERROR(Q33*G33*P33,0)</f>
        <v>793631.39999999991</v>
      </c>
      <c r="S33" s="1379" t="s">
        <v>10459</v>
      </c>
      <c r="T33" s="1385">
        <f>IFERROR(L33-Q33,0)</f>
        <v>0</v>
      </c>
      <c r="U33" s="1384">
        <f t="shared" si="0"/>
        <v>0</v>
      </c>
    </row>
    <row r="34" spans="1:21" s="1337" customFormat="1" ht="7.35" customHeight="1" x14ac:dyDescent="0.3">
      <c r="A34" s="1338"/>
      <c r="B34" s="1339"/>
      <c r="C34" s="1339"/>
      <c r="D34" s="1339"/>
      <c r="E34" s="1339"/>
      <c r="F34" s="1339"/>
      <c r="G34" s="1339"/>
      <c r="H34" s="1339"/>
      <c r="I34" s="1339"/>
      <c r="J34" s="1339"/>
      <c r="K34" s="1339"/>
      <c r="L34" s="1339"/>
      <c r="M34" s="1339"/>
      <c r="N34" s="1339"/>
      <c r="O34" s="1339"/>
      <c r="P34" s="1339"/>
      <c r="Q34" s="1339"/>
      <c r="R34" s="1339"/>
      <c r="S34" s="1339"/>
      <c r="T34" s="1340"/>
      <c r="U34" s="1341"/>
    </row>
    <row r="35" spans="1:21" s="1211" customFormat="1" ht="25.2" x14ac:dyDescent="0.3">
      <c r="A35" s="1342">
        <v>17</v>
      </c>
      <c r="B35" s="1343" t="s">
        <v>157</v>
      </c>
      <c r="C35" s="1344" t="s">
        <v>158</v>
      </c>
      <c r="D35" s="1342" t="s">
        <v>7743</v>
      </c>
      <c r="E35" s="1344" t="s">
        <v>10457</v>
      </c>
      <c r="F35" s="1342" t="s">
        <v>190</v>
      </c>
      <c r="G35" s="1345">
        <v>5106084.3749999991</v>
      </c>
      <c r="H35" s="1342">
        <v>12</v>
      </c>
      <c r="I35" s="1346">
        <f>G35*H35</f>
        <v>61273012.499999985</v>
      </c>
      <c r="J35" s="1342">
        <v>19</v>
      </c>
      <c r="K35" s="1347">
        <v>0.35</v>
      </c>
      <c r="L35" s="1342">
        <v>9</v>
      </c>
      <c r="M35" s="1345">
        <f>G35*K35*L35</f>
        <v>16084165.781249996</v>
      </c>
      <c r="N35" s="1376" t="s">
        <v>10458</v>
      </c>
      <c r="O35" s="1342">
        <v>22</v>
      </c>
      <c r="P35" s="1347">
        <v>0.35</v>
      </c>
      <c r="Q35" s="1342">
        <f>L35</f>
        <v>9</v>
      </c>
      <c r="R35" s="1345">
        <f>Q35*G35*P35</f>
        <v>16084165.781249996</v>
      </c>
      <c r="S35" s="1376" t="s">
        <v>10459</v>
      </c>
      <c r="T35" s="1374">
        <f t="shared" ref="T35" si="1">L35-Q35</f>
        <v>0</v>
      </c>
      <c r="U35" s="1373">
        <f t="shared" ref="U35" si="2">M35-R35</f>
        <v>0</v>
      </c>
    </row>
    <row r="36" spans="1:21" s="1389" customFormat="1" ht="7.35" customHeight="1" x14ac:dyDescent="0.3">
      <c r="A36" s="1386"/>
      <c r="B36" s="1387"/>
      <c r="C36" s="1387"/>
      <c r="D36" s="1387"/>
      <c r="E36" s="1387"/>
      <c r="F36" s="1387"/>
      <c r="G36" s="1387"/>
      <c r="H36" s="1387"/>
      <c r="I36" s="1387"/>
      <c r="J36" s="1387"/>
      <c r="K36" s="1387"/>
      <c r="L36" s="1387"/>
      <c r="M36" s="1387"/>
      <c r="N36" s="1387"/>
      <c r="O36" s="1387"/>
      <c r="P36" s="1387"/>
      <c r="Q36" s="1387"/>
      <c r="R36" s="1387"/>
      <c r="S36" s="1387"/>
      <c r="T36" s="1387"/>
      <c r="U36" s="1388"/>
    </row>
    <row r="37" spans="1:21" s="1211" customFormat="1" ht="37.799999999999997" x14ac:dyDescent="0.3">
      <c r="A37" s="1342">
        <v>18</v>
      </c>
      <c r="B37" s="1343" t="s">
        <v>161</v>
      </c>
      <c r="C37" s="1344" t="s">
        <v>10468</v>
      </c>
      <c r="D37" s="1342" t="s">
        <v>598</v>
      </c>
      <c r="E37" s="1344" t="s">
        <v>476</v>
      </c>
      <c r="F37" s="1342" t="s">
        <v>190</v>
      </c>
      <c r="G37" s="1345">
        <v>6045693.333333333</v>
      </c>
      <c r="H37" s="1342">
        <v>1</v>
      </c>
      <c r="I37" s="1346">
        <f>G37*H37</f>
        <v>6045693.333333333</v>
      </c>
      <c r="J37" s="1342">
        <v>22</v>
      </c>
      <c r="K37" s="1347">
        <v>0.1</v>
      </c>
      <c r="L37" s="1342">
        <v>1</v>
      </c>
      <c r="M37" s="1345">
        <f>G37*K37*L37</f>
        <v>604569.33333333337</v>
      </c>
      <c r="N37" s="1376" t="s">
        <v>10469</v>
      </c>
      <c r="O37" s="1342">
        <v>26</v>
      </c>
      <c r="P37" s="1347">
        <v>0.1</v>
      </c>
      <c r="Q37" s="1342">
        <f>L37</f>
        <v>1</v>
      </c>
      <c r="R37" s="1345">
        <f>Q37*G37*P37</f>
        <v>604569.33333333337</v>
      </c>
      <c r="S37" s="1376" t="s">
        <v>10459</v>
      </c>
      <c r="T37" s="1374">
        <f t="shared" ref="T37" si="3">L37-Q37</f>
        <v>0</v>
      </c>
      <c r="U37" s="1373">
        <f t="shared" ref="U37" si="4">M37-R37</f>
        <v>0</v>
      </c>
    </row>
    <row r="38" spans="1:21" s="1389" customFormat="1" ht="7.35" customHeight="1" x14ac:dyDescent="0.3">
      <c r="A38" s="1386"/>
      <c r="B38" s="1387"/>
      <c r="C38" s="1387"/>
      <c r="D38" s="1387"/>
      <c r="E38" s="1387"/>
      <c r="F38" s="1387"/>
      <c r="G38" s="1387"/>
      <c r="H38" s="1387"/>
      <c r="I38" s="1387"/>
      <c r="J38" s="1387"/>
      <c r="K38" s="1387"/>
      <c r="L38" s="1387"/>
      <c r="M38" s="1387"/>
      <c r="N38" s="1390"/>
      <c r="O38" s="1387"/>
      <c r="P38" s="1387"/>
      <c r="Q38" s="1387"/>
      <c r="R38" s="1387"/>
      <c r="S38" s="1390"/>
      <c r="T38" s="1390"/>
      <c r="U38" s="1391"/>
    </row>
    <row r="39" spans="1:21" s="1211" customFormat="1" ht="25.2" x14ac:dyDescent="0.3">
      <c r="A39" s="1370">
        <v>19</v>
      </c>
      <c r="B39" s="1378" t="s">
        <v>155</v>
      </c>
      <c r="C39" s="1379" t="s">
        <v>156</v>
      </c>
      <c r="D39" s="1377" t="s">
        <v>3116</v>
      </c>
      <c r="E39" s="1379" t="s">
        <v>372</v>
      </c>
      <c r="F39" s="1377" t="s">
        <v>320</v>
      </c>
      <c r="G39" s="1380">
        <v>4029137.5334212021</v>
      </c>
      <c r="H39" s="1377">
        <v>43.909999999999854</v>
      </c>
      <c r="I39" s="1381">
        <f t="shared" ref="I39" si="5">G39*H39</f>
        <v>176919429.09252441</v>
      </c>
      <c r="J39" s="1369">
        <v>26</v>
      </c>
      <c r="K39" s="1382">
        <v>0.05</v>
      </c>
      <c r="L39" s="1377">
        <v>19.48</v>
      </c>
      <c r="M39" s="1380">
        <f t="shared" ref="M39" si="6">G39*K39*L39</f>
        <v>3924379.9575522509</v>
      </c>
      <c r="N39" s="1392" t="s">
        <v>10470</v>
      </c>
      <c r="O39" s="1369">
        <v>30</v>
      </c>
      <c r="P39" s="1382">
        <v>0.05</v>
      </c>
      <c r="Q39" s="1377">
        <f>L39</f>
        <v>19.48</v>
      </c>
      <c r="R39" s="1380">
        <f>IFERROR(Q39*G39*P39,0)</f>
        <v>3924379.9575522514</v>
      </c>
      <c r="S39" s="1392" t="s">
        <v>10459</v>
      </c>
      <c r="T39" s="1393">
        <f>IFERROR(L39-Q39,0)</f>
        <v>0</v>
      </c>
      <c r="U39" s="1394">
        <f t="shared" ref="U39" si="7">M39-R39</f>
        <v>0</v>
      </c>
    </row>
    <row r="40" spans="1:21" s="1211" customFormat="1" ht="37.799999999999997" x14ac:dyDescent="0.3">
      <c r="A40" s="1377">
        <v>20</v>
      </c>
      <c r="B40" s="1378" t="s">
        <v>161</v>
      </c>
      <c r="C40" s="1379" t="s">
        <v>10468</v>
      </c>
      <c r="D40" s="1377" t="s">
        <v>598</v>
      </c>
      <c r="E40" s="1379" t="s">
        <v>476</v>
      </c>
      <c r="F40" s="1377" t="s">
        <v>190</v>
      </c>
      <c r="G40" s="1380">
        <v>6045693.333333333</v>
      </c>
      <c r="H40" s="1377">
        <v>1.5</v>
      </c>
      <c r="I40" s="1381">
        <f>G40*H40</f>
        <v>9068540</v>
      </c>
      <c r="J40" s="1377">
        <v>26</v>
      </c>
      <c r="K40" s="1382">
        <v>0.1</v>
      </c>
      <c r="L40" s="1377">
        <v>1</v>
      </c>
      <c r="M40" s="1380">
        <f>G40*K40*L40</f>
        <v>604569.33333333337</v>
      </c>
      <c r="N40" s="1379" t="s">
        <v>10471</v>
      </c>
      <c r="O40" s="1377">
        <v>31</v>
      </c>
      <c r="P40" s="1382">
        <v>0.1</v>
      </c>
      <c r="Q40" s="1377">
        <f>L40</f>
        <v>1</v>
      </c>
      <c r="R40" s="1380">
        <f>IFERROR(Q40*G40*P40,0)</f>
        <v>604569.33333333337</v>
      </c>
      <c r="S40" s="1379" t="s">
        <v>10459</v>
      </c>
      <c r="T40" s="1385">
        <f>IFERROR(L40-Q40,0)</f>
        <v>0</v>
      </c>
      <c r="U40" s="1384">
        <f t="shared" ref="U40" si="8">M40-R40</f>
        <v>0</v>
      </c>
    </row>
    <row r="41" spans="1:21" s="1389" customFormat="1" ht="7.35" customHeight="1" x14ac:dyDescent="0.3">
      <c r="A41" s="1386"/>
      <c r="B41" s="1387"/>
      <c r="C41" s="1387"/>
      <c r="D41" s="1387"/>
      <c r="E41" s="1387"/>
      <c r="F41" s="1387"/>
      <c r="G41" s="1387"/>
      <c r="H41" s="1387"/>
      <c r="I41" s="1387"/>
      <c r="J41" s="1387"/>
      <c r="K41" s="1387"/>
      <c r="L41" s="1387"/>
      <c r="M41" s="1387"/>
      <c r="N41" s="1390"/>
      <c r="O41" s="1387"/>
      <c r="P41" s="1387"/>
      <c r="Q41" s="1387"/>
      <c r="R41" s="1387"/>
      <c r="S41" s="1390"/>
      <c r="T41" s="1390"/>
      <c r="U41" s="1391"/>
    </row>
    <row r="42" spans="1:21" s="1211" customFormat="1" ht="25.2" x14ac:dyDescent="0.3">
      <c r="A42" s="1370">
        <v>21</v>
      </c>
      <c r="B42" s="1378" t="s">
        <v>155</v>
      </c>
      <c r="C42" s="1379" t="s">
        <v>156</v>
      </c>
      <c r="D42" s="1377" t="s">
        <v>3116</v>
      </c>
      <c r="E42" s="1379" t="s">
        <v>372</v>
      </c>
      <c r="F42" s="1377" t="s">
        <v>320</v>
      </c>
      <c r="G42" s="1380">
        <v>4029137.5334212021</v>
      </c>
      <c r="H42" s="1377">
        <v>52.77</v>
      </c>
      <c r="I42" s="1381">
        <v>176919429.09252441</v>
      </c>
      <c r="J42" s="1369">
        <v>27</v>
      </c>
      <c r="K42" s="1382">
        <v>0.05</v>
      </c>
      <c r="L42" s="1350">
        <v>5.82</v>
      </c>
      <c r="M42" s="1380">
        <f>G42*K42*L42</f>
        <v>1172479.0222255699</v>
      </c>
      <c r="N42" s="1392" t="s">
        <v>10470</v>
      </c>
      <c r="O42" s="1369">
        <v>30</v>
      </c>
      <c r="P42" s="1382">
        <v>0.05</v>
      </c>
      <c r="Q42" s="1350">
        <f>L42</f>
        <v>5.82</v>
      </c>
      <c r="R42" s="1380">
        <f>IFERROR(Q42*G42*P42,0)</f>
        <v>1172479.0222255699</v>
      </c>
      <c r="S42" s="1392" t="s">
        <v>10459</v>
      </c>
      <c r="T42" s="1393">
        <f>IFERROR(Q42-#REF!,0)</f>
        <v>0</v>
      </c>
      <c r="U42" s="1394">
        <f t="shared" ref="U42" si="9">M42-R42</f>
        <v>0</v>
      </c>
    </row>
    <row r="43" spans="1:21" s="1389" customFormat="1" ht="7.35" customHeight="1" x14ac:dyDescent="0.3">
      <c r="A43" s="1386"/>
      <c r="B43" s="1387"/>
      <c r="C43" s="1387"/>
      <c r="D43" s="1387"/>
      <c r="E43" s="1387"/>
      <c r="F43" s="1387"/>
      <c r="G43" s="1387"/>
      <c r="H43" s="1387"/>
      <c r="I43" s="1387"/>
      <c r="J43" s="1387"/>
      <c r="K43" s="1387"/>
      <c r="L43" s="1387"/>
      <c r="M43" s="1387"/>
      <c r="N43" s="1390"/>
      <c r="O43" s="1387"/>
      <c r="P43" s="1387"/>
      <c r="Q43" s="1387"/>
      <c r="R43" s="1387"/>
      <c r="S43" s="1390"/>
      <c r="T43" s="1390"/>
      <c r="U43" s="1391"/>
    </row>
    <row r="44" spans="1:21" s="1211" customFormat="1" ht="25.2" x14ac:dyDescent="0.3">
      <c r="A44" s="1370">
        <v>22</v>
      </c>
      <c r="B44" s="1378" t="s">
        <v>155</v>
      </c>
      <c r="C44" s="1379" t="s">
        <v>156</v>
      </c>
      <c r="D44" s="1377" t="s">
        <v>3116</v>
      </c>
      <c r="E44" s="1379" t="s">
        <v>372</v>
      </c>
      <c r="F44" s="1377" t="s">
        <v>320</v>
      </c>
      <c r="G44" s="1380">
        <v>4029137.5334212021</v>
      </c>
      <c r="H44" s="1377">
        <v>30.15</v>
      </c>
      <c r="I44" s="1381">
        <v>121478496</v>
      </c>
      <c r="J44" s="1369">
        <v>29</v>
      </c>
      <c r="K44" s="1382">
        <v>0.05</v>
      </c>
      <c r="L44" s="1350">
        <v>7.5</v>
      </c>
      <c r="M44" s="1380">
        <f>G44*K44*L44</f>
        <v>1510926.5750329508</v>
      </c>
      <c r="N44" s="1392" t="s">
        <v>10470</v>
      </c>
      <c r="O44" s="1369">
        <v>30</v>
      </c>
      <c r="P44" s="1382">
        <v>0.05</v>
      </c>
      <c r="Q44" s="1350">
        <f>L44</f>
        <v>7.5</v>
      </c>
      <c r="R44" s="1380">
        <f>IFERROR(Q44*G44*P44,0)</f>
        <v>1510926.5750329508</v>
      </c>
      <c r="S44" s="1392" t="s">
        <v>10459</v>
      </c>
      <c r="T44" s="1395">
        <f>IFERROR(L44-Q44,0)</f>
        <v>0</v>
      </c>
      <c r="U44" s="1364">
        <f t="shared" ref="U44" si="10">M44-R44</f>
        <v>0</v>
      </c>
    </row>
    <row r="45" spans="1:21" s="1389" customFormat="1" ht="7.35" customHeight="1" x14ac:dyDescent="0.3">
      <c r="A45" s="1386"/>
      <c r="B45" s="1390"/>
      <c r="C45" s="1390"/>
      <c r="D45" s="1390"/>
      <c r="E45" s="1390"/>
      <c r="F45" s="1390"/>
      <c r="G45" s="1390"/>
      <c r="H45" s="1390"/>
      <c r="I45" s="1390"/>
      <c r="J45" s="1390"/>
      <c r="K45" s="1390"/>
      <c r="L45" s="1390"/>
      <c r="M45" s="1390"/>
      <c r="N45" s="1390"/>
      <c r="O45" s="1390"/>
      <c r="P45" s="1390"/>
      <c r="Q45" s="1390"/>
      <c r="R45" s="1390"/>
      <c r="S45" s="1390"/>
      <c r="T45" s="1390"/>
      <c r="U45" s="1391"/>
    </row>
    <row r="46" spans="1:21" s="1401" customFormat="1" ht="12.6" x14ac:dyDescent="0.3">
      <c r="A46" s="1396"/>
      <c r="B46" s="1397"/>
      <c r="C46" s="1397"/>
      <c r="D46" s="1397"/>
      <c r="E46" s="1397"/>
      <c r="F46" s="1397"/>
      <c r="G46" s="1397"/>
      <c r="H46" s="1398" t="s">
        <v>10472</v>
      </c>
      <c r="I46" s="1399"/>
      <c r="J46" s="1399"/>
      <c r="K46" s="1399"/>
      <c r="L46" s="1399"/>
      <c r="M46" s="1400">
        <f>ROUND(SUM(M6:M45),0)</f>
        <v>497964247</v>
      </c>
      <c r="N46" s="1400"/>
      <c r="O46" s="1399"/>
      <c r="P46" s="1399"/>
      <c r="Q46" s="1399"/>
      <c r="R46" s="1400">
        <f>ROUND(SUM(R6:R45),0)</f>
        <v>497964247</v>
      </c>
      <c r="S46" s="1400"/>
      <c r="T46" s="1400"/>
      <c r="U46" s="1400">
        <f>SUM(U6:U45)</f>
        <v>0</v>
      </c>
    </row>
    <row r="47" spans="1:21" s="1401" customFormat="1" ht="12.6" x14ac:dyDescent="0.3">
      <c r="A47" s="1402"/>
      <c r="B47" s="1403"/>
      <c r="C47" s="1403"/>
      <c r="D47" s="1403"/>
      <c r="E47" s="1403"/>
      <c r="F47" s="1403"/>
      <c r="G47" s="1403"/>
      <c r="H47" s="1404" t="s">
        <v>28</v>
      </c>
      <c r="I47" s="1405"/>
      <c r="J47" s="1405"/>
      <c r="K47" s="1405"/>
      <c r="L47" s="1405"/>
      <c r="M47" s="1406">
        <v>497964247</v>
      </c>
      <c r="N47" s="1406"/>
      <c r="O47" s="1405"/>
      <c r="P47" s="1405"/>
      <c r="Q47" s="1405"/>
      <c r="R47" s="1406">
        <v>497964247</v>
      </c>
      <c r="S47" s="1406"/>
      <c r="T47" s="1406"/>
      <c r="U47" s="1406"/>
    </row>
    <row r="48" spans="1:21" s="1401" customFormat="1" ht="12.6" x14ac:dyDescent="0.3">
      <c r="A48" s="1407"/>
      <c r="B48" s="1408"/>
      <c r="C48" s="1408"/>
      <c r="D48" s="1408"/>
      <c r="E48" s="1408"/>
      <c r="F48" s="1408"/>
      <c r="G48" s="1408"/>
      <c r="H48" s="1409" t="s">
        <v>29</v>
      </c>
      <c r="I48" s="1410"/>
      <c r="J48" s="1410"/>
      <c r="K48" s="1410"/>
      <c r="L48" s="1410"/>
      <c r="M48" s="1411">
        <f>M46-M47</f>
        <v>0</v>
      </c>
      <c r="N48" s="1411"/>
      <c r="O48" s="1410"/>
      <c r="P48" s="1410"/>
      <c r="Q48" s="1410"/>
      <c r="R48" s="1411">
        <f>R46-R47</f>
        <v>0</v>
      </c>
      <c r="S48" s="1411"/>
      <c r="T48" s="1411"/>
      <c r="U48" s="1411"/>
    </row>
    <row r="51" spans="7:19" x14ac:dyDescent="0.3">
      <c r="I51" s="682"/>
    </row>
    <row r="52" spans="7:19" x14ac:dyDescent="0.3">
      <c r="N52" s="903"/>
      <c r="S52" s="903"/>
    </row>
    <row r="54" spans="7:19" x14ac:dyDescent="0.3">
      <c r="N54" s="903"/>
      <c r="S54" s="903"/>
    </row>
    <row r="55" spans="7:19" x14ac:dyDescent="0.3">
      <c r="G55" s="629"/>
    </row>
  </sheetData>
  <autoFilter ref="A4:U48" xr:uid="{1FFB1BB4-D855-4633-A12A-8782C5BDA328}"/>
  <mergeCells count="60">
    <mergeCell ref="N16:N17"/>
    <mergeCell ref="U24:U25"/>
    <mergeCell ref="K24:K25"/>
    <mergeCell ref="L24:L25"/>
    <mergeCell ref="M24:M25"/>
    <mergeCell ref="N24:N25"/>
    <mergeCell ref="T24:T25"/>
    <mergeCell ref="M16:M17"/>
    <mergeCell ref="L16:L17"/>
    <mergeCell ref="K16:K17"/>
    <mergeCell ref="F24:F25"/>
    <mergeCell ref="G24:G25"/>
    <mergeCell ref="H24:H25"/>
    <mergeCell ref="I24:I25"/>
    <mergeCell ref="J24:J25"/>
    <mergeCell ref="A24:A25"/>
    <mergeCell ref="B24:B25"/>
    <mergeCell ref="C24:C25"/>
    <mergeCell ref="D24:D25"/>
    <mergeCell ref="E24:E25"/>
    <mergeCell ref="T3:U3"/>
    <mergeCell ref="T16:T17"/>
    <mergeCell ref="T19:T20"/>
    <mergeCell ref="U16:U17"/>
    <mergeCell ref="U19:U20"/>
    <mergeCell ref="F3:F4"/>
    <mergeCell ref="A3:A4"/>
    <mergeCell ref="B3:B4"/>
    <mergeCell ref="C3:C4"/>
    <mergeCell ref="D3:D4"/>
    <mergeCell ref="E3:E4"/>
    <mergeCell ref="G3:G4"/>
    <mergeCell ref="H3:H4"/>
    <mergeCell ref="I3:I4"/>
    <mergeCell ref="J3:N3"/>
    <mergeCell ref="O3:S3"/>
    <mergeCell ref="J16:J17"/>
    <mergeCell ref="C19:C20"/>
    <mergeCell ref="B19:B20"/>
    <mergeCell ref="I16:I17"/>
    <mergeCell ref="H16:H17"/>
    <mergeCell ref="G16:G17"/>
    <mergeCell ref="F16:F17"/>
    <mergeCell ref="E16:E17"/>
    <mergeCell ref="A19:A20"/>
    <mergeCell ref="N19:N20"/>
    <mergeCell ref="D16:D17"/>
    <mergeCell ref="C16:C17"/>
    <mergeCell ref="B16:B17"/>
    <mergeCell ref="A16:A17"/>
    <mergeCell ref="M19:M20"/>
    <mergeCell ref="L19:L20"/>
    <mergeCell ref="K19:K20"/>
    <mergeCell ref="J19:J20"/>
    <mergeCell ref="I19:I20"/>
    <mergeCell ref="H19:H20"/>
    <mergeCell ref="G19:G20"/>
    <mergeCell ref="F19:F20"/>
    <mergeCell ref="E19:E20"/>
    <mergeCell ref="D19:D20"/>
  </mergeCells>
  <printOptions horizontalCentered="1"/>
  <pageMargins left="0.11811023622047245" right="0.11811023622047245" top="0.15748031496062992" bottom="0.74803149606299213" header="0.31496062992125984" footer="0.31496062992125984"/>
  <pageSetup paperSize="9" scale="53" orientation="portrait" r:id="rId1"/>
  <ignoredErrors>
    <ignoredError sqref="T24" formulaRange="1"/>
    <ignoredError sqref="R20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621F-61E1-4F38-8773-A90FA4C97A25}">
  <sheetPr codeName="Sheet25"/>
  <dimension ref="A1:AD216"/>
  <sheetViews>
    <sheetView view="pageBreakPreview" zoomScale="70" zoomScaleNormal="80" zoomScaleSheetLayoutView="70" workbookViewId="0">
      <selection activeCell="N54" sqref="N54"/>
    </sheetView>
  </sheetViews>
  <sheetFormatPr defaultColWidth="8.88671875" defaultRowHeight="14.4" x14ac:dyDescent="0.3"/>
  <cols>
    <col min="1" max="1" width="5.5546875" style="132" bestFit="1" customWidth="1"/>
    <col min="2" max="2" width="19.5546875" style="132" bestFit="1" customWidth="1"/>
    <col min="3" max="7" width="8.88671875" style="132" customWidth="1"/>
    <col min="8" max="8" width="8.88671875" style="132"/>
    <col min="9" max="10" width="8.88671875" style="132" customWidth="1"/>
    <col min="11" max="11" width="4.109375" style="132" customWidth="1"/>
    <col min="12" max="12" width="8.88671875" style="132"/>
    <col min="13" max="13" width="4.109375" style="132" customWidth="1"/>
    <col min="14" max="16" width="8.88671875" style="132"/>
    <col min="17" max="17" width="4.109375" style="132" customWidth="1"/>
    <col min="18" max="18" width="8.88671875" style="132"/>
    <col min="19" max="19" width="4.109375" style="132" customWidth="1"/>
    <col min="20" max="22" width="8.88671875" style="132"/>
    <col min="23" max="23" width="15.109375" style="132" customWidth="1"/>
    <col min="24" max="24" width="15.109375" style="425" customWidth="1"/>
    <col min="25" max="25" width="18" style="132" bestFit="1" customWidth="1"/>
    <col min="26" max="27" width="8.88671875" style="132"/>
    <col min="28" max="28" width="15.109375" style="132" customWidth="1"/>
    <col min="29" max="29" width="15.109375" style="425" customWidth="1"/>
    <col min="30" max="30" width="18" style="132" bestFit="1" customWidth="1"/>
    <col min="31" max="16384" width="8.88671875" style="132"/>
  </cols>
  <sheetData>
    <row r="1" spans="1:30" x14ac:dyDescent="0.3">
      <c r="A1" s="882" t="s">
        <v>10473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</row>
    <row r="2" spans="1:30" x14ac:dyDescent="0.3">
      <c r="A2" s="1871" t="s">
        <v>23</v>
      </c>
      <c r="B2" s="1878" t="s">
        <v>176</v>
      </c>
      <c r="C2" s="1873" t="s">
        <v>501</v>
      </c>
      <c r="D2" s="1878" t="s">
        <v>6106</v>
      </c>
      <c r="E2" s="1875" t="s">
        <v>10474</v>
      </c>
      <c r="F2" s="1876"/>
      <c r="G2" s="1876"/>
      <c r="H2" s="1876"/>
      <c r="I2" s="1876"/>
      <c r="J2" s="1876"/>
      <c r="K2" s="1876"/>
      <c r="L2" s="1877"/>
      <c r="N2" s="1871" t="s">
        <v>10475</v>
      </c>
      <c r="O2" s="1873"/>
      <c r="P2" s="1873"/>
      <c r="Q2" s="1873"/>
      <c r="R2" s="1874"/>
      <c r="T2" s="1869" t="s">
        <v>6108</v>
      </c>
      <c r="V2" s="845" t="s">
        <v>10476</v>
      </c>
      <c r="W2" s="845" t="s">
        <v>10477</v>
      </c>
      <c r="X2" s="845" t="s">
        <v>10478</v>
      </c>
      <c r="Y2" s="844" t="s">
        <v>501</v>
      </c>
      <c r="AA2" s="845" t="s">
        <v>10476</v>
      </c>
      <c r="AB2" s="845" t="s">
        <v>10477</v>
      </c>
      <c r="AC2" s="845" t="s">
        <v>10478</v>
      </c>
      <c r="AD2" s="844" t="s">
        <v>501</v>
      </c>
    </row>
    <row r="3" spans="1:30" s="844" customFormat="1" x14ac:dyDescent="0.3">
      <c r="A3" s="1872"/>
      <c r="B3" s="1879"/>
      <c r="C3" s="1880"/>
      <c r="D3" s="1879"/>
      <c r="E3" s="871" t="s">
        <v>931</v>
      </c>
      <c r="F3" s="872" t="s">
        <v>1326</v>
      </c>
      <c r="G3" s="872" t="s">
        <v>1250</v>
      </c>
      <c r="H3" s="872" t="s">
        <v>934</v>
      </c>
      <c r="I3" s="872" t="s">
        <v>1302</v>
      </c>
      <c r="J3" s="872" t="s">
        <v>97</v>
      </c>
      <c r="K3" s="872"/>
      <c r="L3" s="873" t="s">
        <v>165</v>
      </c>
      <c r="N3" s="871" t="s">
        <v>1302</v>
      </c>
      <c r="O3" s="872" t="s">
        <v>97</v>
      </c>
      <c r="P3" s="872" t="s">
        <v>937</v>
      </c>
      <c r="Q3" s="872"/>
      <c r="R3" s="873" t="s">
        <v>165</v>
      </c>
      <c r="T3" s="1870"/>
      <c r="V3" s="846" t="s">
        <v>931</v>
      </c>
      <c r="W3" s="846" t="s">
        <v>6804</v>
      </c>
      <c r="X3" s="847" t="s">
        <v>2511</v>
      </c>
      <c r="Y3" s="132" t="s">
        <v>10479</v>
      </c>
      <c r="Z3" s="132"/>
      <c r="AA3" s="846" t="s">
        <v>871</v>
      </c>
      <c r="AB3" s="846" t="s">
        <v>7747</v>
      </c>
      <c r="AC3" s="847" t="s">
        <v>1587</v>
      </c>
      <c r="AD3" s="425" t="s">
        <v>10480</v>
      </c>
    </row>
    <row r="4" spans="1:30" x14ac:dyDescent="0.3">
      <c r="A4" s="853">
        <v>1</v>
      </c>
      <c r="B4" s="755" t="s">
        <v>10479</v>
      </c>
      <c r="C4" s="856" t="s">
        <v>1525</v>
      </c>
      <c r="D4" s="859">
        <v>12</v>
      </c>
      <c r="E4" s="862">
        <f t="shared" ref="E4:J13" si="0">COUNTIFS($V:$V,E$3,$Y:$Y,$B4,$X:$X,$C4)</f>
        <v>0</v>
      </c>
      <c r="F4" s="850">
        <f t="shared" si="0"/>
        <v>0</v>
      </c>
      <c r="G4" s="850">
        <f t="shared" si="0"/>
        <v>0</v>
      </c>
      <c r="H4" s="850">
        <f t="shared" si="0"/>
        <v>0</v>
      </c>
      <c r="I4" s="850">
        <f t="shared" si="0"/>
        <v>9</v>
      </c>
      <c r="J4" s="850">
        <f t="shared" si="0"/>
        <v>0</v>
      </c>
      <c r="K4" s="850"/>
      <c r="L4" s="851">
        <f t="shared" ref="L4:L25" si="1">SUM(E4:K4)</f>
        <v>9</v>
      </c>
      <c r="M4" s="782"/>
      <c r="N4" s="863">
        <f t="shared" ref="N4:N24" si="2">SUM(E4:H4)</f>
        <v>0</v>
      </c>
      <c r="O4" s="891">
        <f>SUM(E4:I4)</f>
        <v>9</v>
      </c>
      <c r="P4" s="891">
        <v>0</v>
      </c>
      <c r="Q4" s="850"/>
      <c r="R4" s="851">
        <f>SUM(N4:Q4)</f>
        <v>9</v>
      </c>
      <c r="S4" s="782"/>
      <c r="T4" s="861">
        <f>L4-R4</f>
        <v>0</v>
      </c>
      <c r="V4" s="846" t="s">
        <v>931</v>
      </c>
      <c r="W4" s="846" t="s">
        <v>6808</v>
      </c>
      <c r="X4" s="847" t="s">
        <v>2511</v>
      </c>
      <c r="Y4" s="132" t="s">
        <v>10479</v>
      </c>
      <c r="AA4" s="846" t="s">
        <v>871</v>
      </c>
      <c r="AB4" s="846" t="s">
        <v>7750</v>
      </c>
      <c r="AC4" s="847" t="s">
        <v>1590</v>
      </c>
      <c r="AD4" s="132" t="s">
        <v>10480</v>
      </c>
    </row>
    <row r="5" spans="1:30" x14ac:dyDescent="0.3">
      <c r="A5" s="854">
        <v>2</v>
      </c>
      <c r="B5" s="769" t="s">
        <v>10479</v>
      </c>
      <c r="C5" s="857" t="s">
        <v>1587</v>
      </c>
      <c r="D5" s="860">
        <v>8</v>
      </c>
      <c r="E5" s="863">
        <f t="shared" si="0"/>
        <v>0</v>
      </c>
      <c r="F5" s="848">
        <f t="shared" si="0"/>
        <v>0</v>
      </c>
      <c r="G5" s="848">
        <f t="shared" si="0"/>
        <v>0</v>
      </c>
      <c r="H5" s="848">
        <f t="shared" si="0"/>
        <v>0</v>
      </c>
      <c r="I5" s="848">
        <f t="shared" si="0"/>
        <v>0</v>
      </c>
      <c r="J5" s="848">
        <f t="shared" si="0"/>
        <v>0</v>
      </c>
      <c r="K5" s="848"/>
      <c r="L5" s="852">
        <f t="shared" si="1"/>
        <v>0</v>
      </c>
      <c r="M5" s="782"/>
      <c r="N5" s="863">
        <f t="shared" si="2"/>
        <v>0</v>
      </c>
      <c r="O5" s="892">
        <v>0</v>
      </c>
      <c r="P5" s="892">
        <v>0</v>
      </c>
      <c r="Q5" s="848"/>
      <c r="R5" s="852">
        <f t="shared" ref="R5:R30" si="3">SUM(N5:Q5)</f>
        <v>0</v>
      </c>
      <c r="S5" s="782"/>
      <c r="T5" s="861">
        <f t="shared" ref="T5:T30" si="4">L5-R5</f>
        <v>0</v>
      </c>
      <c r="V5" s="846" t="s">
        <v>931</v>
      </c>
      <c r="W5" s="846" t="s">
        <v>6812</v>
      </c>
      <c r="X5" s="847" t="s">
        <v>2512</v>
      </c>
      <c r="Y5" s="132" t="s">
        <v>10479</v>
      </c>
      <c r="AA5" s="846" t="s">
        <v>871</v>
      </c>
      <c r="AB5" s="846" t="s">
        <v>7753</v>
      </c>
      <c r="AC5" s="847" t="s">
        <v>1590</v>
      </c>
      <c r="AD5" s="132" t="s">
        <v>10480</v>
      </c>
    </row>
    <row r="6" spans="1:30" x14ac:dyDescent="0.3">
      <c r="A6" s="854">
        <v>3</v>
      </c>
      <c r="B6" s="769" t="s">
        <v>10479</v>
      </c>
      <c r="C6" s="857" t="s">
        <v>1590</v>
      </c>
      <c r="D6" s="860">
        <v>8</v>
      </c>
      <c r="E6" s="863">
        <f t="shared" si="0"/>
        <v>0</v>
      </c>
      <c r="F6" s="848">
        <f t="shared" si="0"/>
        <v>0</v>
      </c>
      <c r="G6" s="848">
        <f t="shared" si="0"/>
        <v>0</v>
      </c>
      <c r="H6" s="848">
        <f t="shared" si="0"/>
        <v>0</v>
      </c>
      <c r="I6" s="848">
        <f t="shared" si="0"/>
        <v>0</v>
      </c>
      <c r="J6" s="848">
        <f t="shared" si="0"/>
        <v>0</v>
      </c>
      <c r="K6" s="848"/>
      <c r="L6" s="852">
        <f t="shared" si="1"/>
        <v>0</v>
      </c>
      <c r="M6" s="782"/>
      <c r="N6" s="863">
        <f t="shared" si="2"/>
        <v>0</v>
      </c>
      <c r="O6" s="892">
        <v>0</v>
      </c>
      <c r="P6" s="892">
        <v>0</v>
      </c>
      <c r="Q6" s="848"/>
      <c r="R6" s="852">
        <f t="shared" si="3"/>
        <v>0</v>
      </c>
      <c r="S6" s="782"/>
      <c r="T6" s="861">
        <f t="shared" si="4"/>
        <v>0</v>
      </c>
      <c r="V6" s="846" t="s">
        <v>931</v>
      </c>
      <c r="W6" s="846" t="s">
        <v>6815</v>
      </c>
      <c r="X6" s="847" t="s">
        <v>2512</v>
      </c>
      <c r="Y6" s="132" t="s">
        <v>10479</v>
      </c>
      <c r="AA6" s="846" t="s">
        <v>871</v>
      </c>
      <c r="AB6" s="846" t="s">
        <v>7757</v>
      </c>
      <c r="AC6" s="847" t="s">
        <v>1590</v>
      </c>
      <c r="AD6" s="132" t="s">
        <v>10480</v>
      </c>
    </row>
    <row r="7" spans="1:30" x14ac:dyDescent="0.3">
      <c r="A7" s="854">
        <v>4</v>
      </c>
      <c r="B7" s="769" t="s">
        <v>10479</v>
      </c>
      <c r="C7" s="857" t="s">
        <v>1522</v>
      </c>
      <c r="D7" s="860">
        <v>10</v>
      </c>
      <c r="E7" s="863">
        <f t="shared" si="0"/>
        <v>0</v>
      </c>
      <c r="F7" s="848">
        <f t="shared" si="0"/>
        <v>0</v>
      </c>
      <c r="G7" s="848">
        <f t="shared" si="0"/>
        <v>0</v>
      </c>
      <c r="H7" s="848">
        <f t="shared" si="0"/>
        <v>0</v>
      </c>
      <c r="I7" s="848">
        <f t="shared" si="0"/>
        <v>0</v>
      </c>
      <c r="J7" s="848">
        <f t="shared" si="0"/>
        <v>0</v>
      </c>
      <c r="K7" s="848"/>
      <c r="L7" s="852">
        <f t="shared" si="1"/>
        <v>0</v>
      </c>
      <c r="M7" s="782"/>
      <c r="N7" s="863">
        <f t="shared" si="2"/>
        <v>0</v>
      </c>
      <c r="O7" s="892">
        <v>0</v>
      </c>
      <c r="P7" s="892">
        <v>0</v>
      </c>
      <c r="Q7" s="848"/>
      <c r="R7" s="852">
        <f t="shared" si="3"/>
        <v>0</v>
      </c>
      <c r="S7" s="782"/>
      <c r="T7" s="861">
        <f t="shared" si="4"/>
        <v>0</v>
      </c>
      <c r="V7" s="846" t="s">
        <v>931</v>
      </c>
      <c r="W7" s="846" t="s">
        <v>6819</v>
      </c>
      <c r="X7" s="847" t="s">
        <v>2512</v>
      </c>
      <c r="Y7" s="132" t="s">
        <v>10479</v>
      </c>
      <c r="AA7" s="846" t="s">
        <v>871</v>
      </c>
      <c r="AB7" s="846" t="s">
        <v>7761</v>
      </c>
      <c r="AC7" s="847" t="s">
        <v>1587</v>
      </c>
      <c r="AD7" s="132" t="s">
        <v>10480</v>
      </c>
    </row>
    <row r="8" spans="1:30" x14ac:dyDescent="0.3">
      <c r="A8" s="854">
        <v>5</v>
      </c>
      <c r="B8" s="769" t="s">
        <v>10479</v>
      </c>
      <c r="C8" s="857" t="s">
        <v>6057</v>
      </c>
      <c r="D8" s="860">
        <v>8</v>
      </c>
      <c r="E8" s="863">
        <f t="shared" si="0"/>
        <v>0</v>
      </c>
      <c r="F8" s="848">
        <f t="shared" si="0"/>
        <v>0</v>
      </c>
      <c r="G8" s="848">
        <f t="shared" si="0"/>
        <v>0</v>
      </c>
      <c r="H8" s="848">
        <f t="shared" si="0"/>
        <v>1</v>
      </c>
      <c r="I8" s="848">
        <f t="shared" si="0"/>
        <v>0</v>
      </c>
      <c r="J8" s="848">
        <f t="shared" si="0"/>
        <v>0</v>
      </c>
      <c r="K8" s="848"/>
      <c r="L8" s="852">
        <f t="shared" si="1"/>
        <v>1</v>
      </c>
      <c r="M8" s="782"/>
      <c r="N8" s="863">
        <f t="shared" si="2"/>
        <v>1</v>
      </c>
      <c r="O8" s="892">
        <v>0</v>
      </c>
      <c r="P8" s="892">
        <v>0</v>
      </c>
      <c r="Q8" s="848"/>
      <c r="R8" s="852">
        <f t="shared" si="3"/>
        <v>1</v>
      </c>
      <c r="S8" s="782"/>
      <c r="T8" s="861">
        <f t="shared" si="4"/>
        <v>0</v>
      </c>
      <c r="V8" s="846" t="s">
        <v>931</v>
      </c>
      <c r="W8" s="846" t="s">
        <v>6822</v>
      </c>
      <c r="X8" s="847" t="s">
        <v>2512</v>
      </c>
      <c r="Y8" s="132" t="s">
        <v>10479</v>
      </c>
      <c r="AA8" s="846" t="s">
        <v>871</v>
      </c>
      <c r="AB8" s="846" t="s">
        <v>7765</v>
      </c>
      <c r="AC8" s="847" t="s">
        <v>1590</v>
      </c>
      <c r="AD8" s="132" t="s">
        <v>10480</v>
      </c>
    </row>
    <row r="9" spans="1:30" x14ac:dyDescent="0.3">
      <c r="A9" s="854">
        <v>6</v>
      </c>
      <c r="B9" s="769" t="s">
        <v>10479</v>
      </c>
      <c r="C9" s="857" t="s">
        <v>6086</v>
      </c>
      <c r="D9" s="860">
        <v>8</v>
      </c>
      <c r="E9" s="863">
        <f t="shared" si="0"/>
        <v>0</v>
      </c>
      <c r="F9" s="848">
        <f t="shared" si="0"/>
        <v>0</v>
      </c>
      <c r="G9" s="848">
        <f t="shared" si="0"/>
        <v>0</v>
      </c>
      <c r="H9" s="848">
        <f t="shared" si="0"/>
        <v>6</v>
      </c>
      <c r="I9" s="848">
        <f t="shared" si="0"/>
        <v>0</v>
      </c>
      <c r="J9" s="848">
        <f t="shared" si="0"/>
        <v>0</v>
      </c>
      <c r="K9" s="848"/>
      <c r="L9" s="852">
        <f t="shared" si="1"/>
        <v>6</v>
      </c>
      <c r="M9" s="782"/>
      <c r="N9" s="863">
        <f t="shared" si="2"/>
        <v>6</v>
      </c>
      <c r="O9" s="892">
        <v>0</v>
      </c>
      <c r="P9" s="892">
        <v>0</v>
      </c>
      <c r="Q9" s="848"/>
      <c r="R9" s="852">
        <f t="shared" si="3"/>
        <v>6</v>
      </c>
      <c r="S9" s="782"/>
      <c r="T9" s="861">
        <f t="shared" si="4"/>
        <v>0</v>
      </c>
      <c r="V9" s="846" t="s">
        <v>931</v>
      </c>
      <c r="W9" s="846" t="s">
        <v>6825</v>
      </c>
      <c r="X9" s="847" t="s">
        <v>2511</v>
      </c>
      <c r="Y9" s="132" t="s">
        <v>10479</v>
      </c>
      <c r="AA9" s="846" t="s">
        <v>871</v>
      </c>
      <c r="AB9" s="846" t="s">
        <v>7769</v>
      </c>
      <c r="AC9" s="847" t="s">
        <v>1587</v>
      </c>
      <c r="AD9" s="132" t="s">
        <v>10480</v>
      </c>
    </row>
    <row r="10" spans="1:30" x14ac:dyDescent="0.3">
      <c r="A10" s="854">
        <v>7</v>
      </c>
      <c r="B10" s="769" t="s">
        <v>10479</v>
      </c>
      <c r="C10" s="857" t="s">
        <v>1897</v>
      </c>
      <c r="D10" s="860">
        <v>10</v>
      </c>
      <c r="E10" s="863">
        <f t="shared" si="0"/>
        <v>0</v>
      </c>
      <c r="F10" s="848">
        <f t="shared" si="0"/>
        <v>0</v>
      </c>
      <c r="G10" s="848">
        <f t="shared" si="0"/>
        <v>0</v>
      </c>
      <c r="H10" s="848">
        <f t="shared" si="0"/>
        <v>10</v>
      </c>
      <c r="I10" s="848">
        <f t="shared" si="0"/>
        <v>0</v>
      </c>
      <c r="J10" s="848">
        <f t="shared" si="0"/>
        <v>0</v>
      </c>
      <c r="K10" s="848"/>
      <c r="L10" s="852">
        <f t="shared" si="1"/>
        <v>10</v>
      </c>
      <c r="M10" s="782"/>
      <c r="N10" s="863">
        <f t="shared" si="2"/>
        <v>10</v>
      </c>
      <c r="O10" s="892">
        <v>0</v>
      </c>
      <c r="P10" s="892">
        <v>0</v>
      </c>
      <c r="Q10" s="848"/>
      <c r="R10" s="852">
        <f t="shared" si="3"/>
        <v>10</v>
      </c>
      <c r="S10" s="782"/>
      <c r="T10" s="861">
        <f t="shared" si="4"/>
        <v>0</v>
      </c>
      <c r="V10" s="846" t="s">
        <v>931</v>
      </c>
      <c r="W10" s="846" t="s">
        <v>6829</v>
      </c>
      <c r="X10" s="847" t="s">
        <v>2512</v>
      </c>
      <c r="Y10" s="132" t="s">
        <v>10479</v>
      </c>
      <c r="AA10" s="846" t="s">
        <v>871</v>
      </c>
      <c r="AB10" s="846" t="s">
        <v>7773</v>
      </c>
      <c r="AC10" s="847" t="s">
        <v>1587</v>
      </c>
      <c r="AD10" s="132" t="s">
        <v>10480</v>
      </c>
    </row>
    <row r="11" spans="1:30" x14ac:dyDescent="0.3">
      <c r="A11" s="854">
        <v>8</v>
      </c>
      <c r="B11" s="769" t="s">
        <v>10479</v>
      </c>
      <c r="C11" s="857" t="s">
        <v>1898</v>
      </c>
      <c r="D11" s="860">
        <v>8</v>
      </c>
      <c r="E11" s="863">
        <f t="shared" si="0"/>
        <v>0</v>
      </c>
      <c r="F11" s="848">
        <f t="shared" si="0"/>
        <v>0</v>
      </c>
      <c r="G11" s="848">
        <f t="shared" si="0"/>
        <v>2</v>
      </c>
      <c r="H11" s="848">
        <f t="shared" si="0"/>
        <v>6</v>
      </c>
      <c r="I11" s="848">
        <f t="shared" si="0"/>
        <v>0</v>
      </c>
      <c r="J11" s="848">
        <f t="shared" si="0"/>
        <v>0</v>
      </c>
      <c r="K11" s="848"/>
      <c r="L11" s="852">
        <f t="shared" si="1"/>
        <v>8</v>
      </c>
      <c r="M11" s="782"/>
      <c r="N11" s="863">
        <f t="shared" si="2"/>
        <v>8</v>
      </c>
      <c r="O11" s="892">
        <v>0</v>
      </c>
      <c r="P11" s="892">
        <v>0</v>
      </c>
      <c r="Q11" s="848"/>
      <c r="R11" s="852">
        <f t="shared" si="3"/>
        <v>8</v>
      </c>
      <c r="S11" s="782"/>
      <c r="T11" s="861">
        <f t="shared" si="4"/>
        <v>0</v>
      </c>
      <c r="V11" s="846" t="s">
        <v>931</v>
      </c>
      <c r="W11" s="846" t="s">
        <v>6832</v>
      </c>
      <c r="X11" s="847" t="s">
        <v>2511</v>
      </c>
      <c r="Y11" s="132" t="s">
        <v>10479</v>
      </c>
      <c r="AA11" s="846" t="s">
        <v>871</v>
      </c>
      <c r="AB11" s="846" t="s">
        <v>7777</v>
      </c>
      <c r="AC11" s="847" t="s">
        <v>1590</v>
      </c>
      <c r="AD11" s="132" t="s">
        <v>10480</v>
      </c>
    </row>
    <row r="12" spans="1:30" x14ac:dyDescent="0.3">
      <c r="A12" s="854">
        <v>9</v>
      </c>
      <c r="B12" s="769" t="s">
        <v>10479</v>
      </c>
      <c r="C12" s="857" t="s">
        <v>1899</v>
      </c>
      <c r="D12" s="860">
        <v>8</v>
      </c>
      <c r="E12" s="863">
        <f t="shared" si="0"/>
        <v>0</v>
      </c>
      <c r="F12" s="848">
        <f t="shared" si="0"/>
        <v>0</v>
      </c>
      <c r="G12" s="848">
        <f t="shared" si="0"/>
        <v>4</v>
      </c>
      <c r="H12" s="848">
        <f t="shared" si="0"/>
        <v>4</v>
      </c>
      <c r="I12" s="848">
        <f t="shared" si="0"/>
        <v>0</v>
      </c>
      <c r="J12" s="848">
        <f t="shared" si="0"/>
        <v>0</v>
      </c>
      <c r="K12" s="848"/>
      <c r="L12" s="852">
        <f t="shared" si="1"/>
        <v>8</v>
      </c>
      <c r="M12" s="782"/>
      <c r="N12" s="863">
        <f t="shared" si="2"/>
        <v>8</v>
      </c>
      <c r="O12" s="892">
        <v>0</v>
      </c>
      <c r="P12" s="892">
        <v>0</v>
      </c>
      <c r="Q12" s="848"/>
      <c r="R12" s="852">
        <f t="shared" si="3"/>
        <v>8</v>
      </c>
      <c r="S12" s="782"/>
      <c r="T12" s="861">
        <f t="shared" si="4"/>
        <v>0</v>
      </c>
      <c r="V12" s="846" t="s">
        <v>931</v>
      </c>
      <c r="W12" s="846" t="s">
        <v>6835</v>
      </c>
      <c r="X12" s="847" t="s">
        <v>2512</v>
      </c>
      <c r="Y12" s="132" t="s">
        <v>10479</v>
      </c>
      <c r="AA12" s="846" t="s">
        <v>871</v>
      </c>
      <c r="AB12" s="846" t="s">
        <v>7780</v>
      </c>
      <c r="AC12" s="847" t="s">
        <v>1587</v>
      </c>
      <c r="AD12" s="132" t="s">
        <v>10480</v>
      </c>
    </row>
    <row r="13" spans="1:30" x14ac:dyDescent="0.3">
      <c r="A13" s="854">
        <v>10</v>
      </c>
      <c r="B13" s="769" t="s">
        <v>10479</v>
      </c>
      <c r="C13" s="857" t="s">
        <v>1900</v>
      </c>
      <c r="D13" s="860">
        <v>10</v>
      </c>
      <c r="E13" s="863">
        <f t="shared" si="0"/>
        <v>0</v>
      </c>
      <c r="F13" s="848">
        <f t="shared" si="0"/>
        <v>0</v>
      </c>
      <c r="G13" s="848">
        <f t="shared" si="0"/>
        <v>10</v>
      </c>
      <c r="H13" s="848">
        <f t="shared" si="0"/>
        <v>0</v>
      </c>
      <c r="I13" s="848">
        <f t="shared" si="0"/>
        <v>0</v>
      </c>
      <c r="J13" s="848">
        <f t="shared" si="0"/>
        <v>0</v>
      </c>
      <c r="K13" s="848"/>
      <c r="L13" s="852">
        <f t="shared" si="1"/>
        <v>10</v>
      </c>
      <c r="M13" s="782"/>
      <c r="N13" s="863">
        <f t="shared" si="2"/>
        <v>10</v>
      </c>
      <c r="O13" s="892">
        <v>0</v>
      </c>
      <c r="P13" s="892">
        <v>0</v>
      </c>
      <c r="Q13" s="848"/>
      <c r="R13" s="852">
        <f t="shared" si="3"/>
        <v>10</v>
      </c>
      <c r="S13" s="782"/>
      <c r="T13" s="861">
        <f t="shared" si="4"/>
        <v>0</v>
      </c>
      <c r="V13" s="846" t="s">
        <v>931</v>
      </c>
      <c r="W13" s="846" t="s">
        <v>6838</v>
      </c>
      <c r="X13" s="847" t="s">
        <v>1908</v>
      </c>
      <c r="Y13" s="132" t="s">
        <v>10479</v>
      </c>
      <c r="AA13" s="846" t="s">
        <v>871</v>
      </c>
      <c r="AB13" s="846" t="s">
        <v>7783</v>
      </c>
      <c r="AC13" s="847" t="s">
        <v>1590</v>
      </c>
      <c r="AD13" s="132" t="s">
        <v>10480</v>
      </c>
    </row>
    <row r="14" spans="1:30" x14ac:dyDescent="0.3">
      <c r="A14" s="854">
        <v>11</v>
      </c>
      <c r="B14" s="769" t="s">
        <v>10479</v>
      </c>
      <c r="C14" s="857" t="s">
        <v>1901</v>
      </c>
      <c r="D14" s="860">
        <v>8</v>
      </c>
      <c r="E14" s="863">
        <f t="shared" ref="E14:J25" si="5">COUNTIFS($V:$V,E$3,$Y:$Y,$B14,$X:$X,$C14)</f>
        <v>0</v>
      </c>
      <c r="F14" s="848">
        <f t="shared" si="5"/>
        <v>0</v>
      </c>
      <c r="G14" s="848">
        <f t="shared" si="5"/>
        <v>7</v>
      </c>
      <c r="H14" s="848">
        <f t="shared" si="5"/>
        <v>1</v>
      </c>
      <c r="I14" s="848">
        <f t="shared" si="5"/>
        <v>0</v>
      </c>
      <c r="J14" s="848">
        <f t="shared" si="5"/>
        <v>0</v>
      </c>
      <c r="K14" s="848"/>
      <c r="L14" s="852">
        <f t="shared" si="1"/>
        <v>8</v>
      </c>
      <c r="M14" s="782"/>
      <c r="N14" s="863">
        <f t="shared" si="2"/>
        <v>8</v>
      </c>
      <c r="O14" s="892">
        <v>0</v>
      </c>
      <c r="P14" s="892">
        <v>0</v>
      </c>
      <c r="Q14" s="848"/>
      <c r="R14" s="852">
        <f t="shared" si="3"/>
        <v>8</v>
      </c>
      <c r="S14" s="782"/>
      <c r="T14" s="861">
        <f t="shared" si="4"/>
        <v>0</v>
      </c>
      <c r="V14" s="846" t="s">
        <v>931</v>
      </c>
      <c r="W14" s="846" t="s">
        <v>6841</v>
      </c>
      <c r="X14" s="847" t="s">
        <v>1908</v>
      </c>
      <c r="Y14" s="132" t="s">
        <v>10479</v>
      </c>
      <c r="AA14" s="846" t="s">
        <v>871</v>
      </c>
      <c r="AB14" s="846" t="s">
        <v>7787</v>
      </c>
      <c r="AC14" s="847" t="s">
        <v>1587</v>
      </c>
      <c r="AD14" s="132" t="s">
        <v>10480</v>
      </c>
    </row>
    <row r="15" spans="1:30" x14ac:dyDescent="0.3">
      <c r="A15" s="854">
        <v>12</v>
      </c>
      <c r="B15" s="769" t="s">
        <v>10479</v>
      </c>
      <c r="C15" s="857" t="s">
        <v>1902</v>
      </c>
      <c r="D15" s="860">
        <v>8</v>
      </c>
      <c r="E15" s="863">
        <f t="shared" si="5"/>
        <v>0</v>
      </c>
      <c r="F15" s="848">
        <f t="shared" si="5"/>
        <v>0</v>
      </c>
      <c r="G15" s="848">
        <f t="shared" si="5"/>
        <v>3</v>
      </c>
      <c r="H15" s="848">
        <f t="shared" si="5"/>
        <v>0</v>
      </c>
      <c r="I15" s="848">
        <f t="shared" si="5"/>
        <v>0</v>
      </c>
      <c r="J15" s="848">
        <f t="shared" si="5"/>
        <v>0</v>
      </c>
      <c r="K15" s="848"/>
      <c r="L15" s="852">
        <f t="shared" si="1"/>
        <v>3</v>
      </c>
      <c r="M15" s="782"/>
      <c r="N15" s="863">
        <f t="shared" si="2"/>
        <v>3</v>
      </c>
      <c r="O15" s="892">
        <v>0</v>
      </c>
      <c r="P15" s="892">
        <v>0</v>
      </c>
      <c r="Q15" s="848"/>
      <c r="R15" s="852">
        <f t="shared" si="3"/>
        <v>3</v>
      </c>
      <c r="S15" s="782"/>
      <c r="T15" s="861">
        <f t="shared" si="4"/>
        <v>0</v>
      </c>
      <c r="V15" s="846" t="s">
        <v>931</v>
      </c>
      <c r="W15" s="846" t="s">
        <v>6844</v>
      </c>
      <c r="X15" s="847" t="s">
        <v>2512</v>
      </c>
      <c r="Y15" s="132" t="s">
        <v>10479</v>
      </c>
      <c r="AA15" s="846" t="s">
        <v>871</v>
      </c>
      <c r="AB15" s="846" t="s">
        <v>7791</v>
      </c>
      <c r="AC15" s="847" t="s">
        <v>1590</v>
      </c>
      <c r="AD15" s="132" t="s">
        <v>10480</v>
      </c>
    </row>
    <row r="16" spans="1:30" x14ac:dyDescent="0.3">
      <c r="A16" s="854">
        <v>13</v>
      </c>
      <c r="B16" s="769" t="s">
        <v>10479</v>
      </c>
      <c r="C16" s="857" t="s">
        <v>1903</v>
      </c>
      <c r="D16" s="860">
        <v>10</v>
      </c>
      <c r="E16" s="863">
        <f t="shared" si="5"/>
        <v>0</v>
      </c>
      <c r="F16" s="848">
        <f t="shared" si="5"/>
        <v>7</v>
      </c>
      <c r="G16" s="848">
        <f t="shared" si="5"/>
        <v>3</v>
      </c>
      <c r="H16" s="848">
        <f t="shared" si="5"/>
        <v>0</v>
      </c>
      <c r="I16" s="848">
        <f t="shared" si="5"/>
        <v>0</v>
      </c>
      <c r="J16" s="848">
        <f t="shared" si="5"/>
        <v>0</v>
      </c>
      <c r="K16" s="848"/>
      <c r="L16" s="852">
        <f t="shared" si="1"/>
        <v>10</v>
      </c>
      <c r="M16" s="782"/>
      <c r="N16" s="863">
        <f t="shared" si="2"/>
        <v>10</v>
      </c>
      <c r="O16" s="892">
        <v>0</v>
      </c>
      <c r="P16" s="892">
        <v>0</v>
      </c>
      <c r="Q16" s="848"/>
      <c r="R16" s="852">
        <f t="shared" si="3"/>
        <v>10</v>
      </c>
      <c r="S16" s="782"/>
      <c r="T16" s="861">
        <f t="shared" si="4"/>
        <v>0</v>
      </c>
      <c r="V16" s="846" t="s">
        <v>931</v>
      </c>
      <c r="W16" s="846" t="s">
        <v>6847</v>
      </c>
      <c r="X16" s="847" t="s">
        <v>1908</v>
      </c>
      <c r="Y16" s="132" t="s">
        <v>10479</v>
      </c>
      <c r="AA16" s="846" t="s">
        <v>871</v>
      </c>
      <c r="AB16" s="846" t="s">
        <v>7795</v>
      </c>
      <c r="AC16" s="847" t="s">
        <v>1587</v>
      </c>
      <c r="AD16" s="132" t="s">
        <v>10480</v>
      </c>
    </row>
    <row r="17" spans="1:30" x14ac:dyDescent="0.3">
      <c r="A17" s="854">
        <v>14</v>
      </c>
      <c r="B17" s="769" t="s">
        <v>10479</v>
      </c>
      <c r="C17" s="857" t="s">
        <v>1904</v>
      </c>
      <c r="D17" s="860">
        <v>8</v>
      </c>
      <c r="E17" s="863">
        <f t="shared" si="5"/>
        <v>0</v>
      </c>
      <c r="F17" s="848">
        <f t="shared" si="5"/>
        <v>5</v>
      </c>
      <c r="G17" s="848">
        <f t="shared" si="5"/>
        <v>2</v>
      </c>
      <c r="H17" s="848">
        <f t="shared" si="5"/>
        <v>0</v>
      </c>
      <c r="I17" s="848">
        <f t="shared" si="5"/>
        <v>0</v>
      </c>
      <c r="J17" s="848">
        <f t="shared" si="5"/>
        <v>0</v>
      </c>
      <c r="K17" s="848"/>
      <c r="L17" s="852">
        <f t="shared" si="1"/>
        <v>7</v>
      </c>
      <c r="M17" s="782"/>
      <c r="N17" s="863">
        <f t="shared" si="2"/>
        <v>7</v>
      </c>
      <c r="O17" s="892">
        <v>0</v>
      </c>
      <c r="P17" s="892">
        <v>0</v>
      </c>
      <c r="Q17" s="848"/>
      <c r="R17" s="852">
        <f t="shared" si="3"/>
        <v>7</v>
      </c>
      <c r="S17" s="782"/>
      <c r="T17" s="861">
        <f t="shared" si="4"/>
        <v>0</v>
      </c>
      <c r="V17" s="846" t="s">
        <v>931</v>
      </c>
      <c r="W17" s="846" t="s">
        <v>6850</v>
      </c>
      <c r="X17" s="847" t="s">
        <v>1908</v>
      </c>
      <c r="Y17" s="132" t="s">
        <v>10479</v>
      </c>
      <c r="AA17" s="846" t="s">
        <v>871</v>
      </c>
      <c r="AB17" s="846" t="s">
        <v>7798</v>
      </c>
      <c r="AC17" s="847" t="s">
        <v>10481</v>
      </c>
      <c r="AD17" s="132" t="s">
        <v>10482</v>
      </c>
    </row>
    <row r="18" spans="1:30" x14ac:dyDescent="0.3">
      <c r="A18" s="854">
        <v>15</v>
      </c>
      <c r="B18" s="769" t="s">
        <v>10479</v>
      </c>
      <c r="C18" s="857" t="s">
        <v>1905</v>
      </c>
      <c r="D18" s="860">
        <v>8</v>
      </c>
      <c r="E18" s="863">
        <f t="shared" si="5"/>
        <v>0</v>
      </c>
      <c r="F18" s="848">
        <f t="shared" si="5"/>
        <v>8</v>
      </c>
      <c r="G18" s="848">
        <f t="shared" si="5"/>
        <v>0</v>
      </c>
      <c r="H18" s="848">
        <f t="shared" si="5"/>
        <v>0</v>
      </c>
      <c r="I18" s="848">
        <f t="shared" si="5"/>
        <v>0</v>
      </c>
      <c r="J18" s="848">
        <f t="shared" si="5"/>
        <v>0</v>
      </c>
      <c r="K18" s="848"/>
      <c r="L18" s="852">
        <f t="shared" si="1"/>
        <v>8</v>
      </c>
      <c r="M18" s="782"/>
      <c r="N18" s="863">
        <f t="shared" si="2"/>
        <v>8</v>
      </c>
      <c r="O18" s="892">
        <v>0</v>
      </c>
      <c r="P18" s="892">
        <v>0</v>
      </c>
      <c r="Q18" s="848"/>
      <c r="R18" s="852">
        <f t="shared" si="3"/>
        <v>8</v>
      </c>
      <c r="S18" s="782"/>
      <c r="T18" s="861">
        <f t="shared" si="4"/>
        <v>0</v>
      </c>
      <c r="V18" s="846" t="s">
        <v>931</v>
      </c>
      <c r="W18" s="846" t="s">
        <v>6853</v>
      </c>
      <c r="X18" s="847" t="s">
        <v>1907</v>
      </c>
      <c r="Y18" s="132" t="s">
        <v>10479</v>
      </c>
      <c r="AA18" s="846" t="s">
        <v>871</v>
      </c>
      <c r="AB18" s="846" t="s">
        <v>7802</v>
      </c>
      <c r="AC18" s="847" t="s">
        <v>1590</v>
      </c>
      <c r="AD18" s="132" t="s">
        <v>10480</v>
      </c>
    </row>
    <row r="19" spans="1:30" x14ac:dyDescent="0.3">
      <c r="A19" s="854">
        <v>16</v>
      </c>
      <c r="B19" s="769" t="s">
        <v>10479</v>
      </c>
      <c r="C19" s="857" t="s">
        <v>1906</v>
      </c>
      <c r="D19" s="860">
        <v>10</v>
      </c>
      <c r="E19" s="863">
        <f t="shared" si="5"/>
        <v>0</v>
      </c>
      <c r="F19" s="848">
        <f t="shared" si="5"/>
        <v>10</v>
      </c>
      <c r="G19" s="848">
        <f t="shared" si="5"/>
        <v>0</v>
      </c>
      <c r="H19" s="848">
        <f t="shared" si="5"/>
        <v>0</v>
      </c>
      <c r="I19" s="848">
        <f t="shared" si="5"/>
        <v>0</v>
      </c>
      <c r="J19" s="848">
        <f t="shared" si="5"/>
        <v>0</v>
      </c>
      <c r="K19" s="848"/>
      <c r="L19" s="852">
        <f t="shared" si="1"/>
        <v>10</v>
      </c>
      <c r="M19" s="782"/>
      <c r="N19" s="863">
        <f t="shared" si="2"/>
        <v>10</v>
      </c>
      <c r="O19" s="892">
        <v>0</v>
      </c>
      <c r="P19" s="892">
        <v>0</v>
      </c>
      <c r="Q19" s="848"/>
      <c r="R19" s="852">
        <f t="shared" si="3"/>
        <v>10</v>
      </c>
      <c r="S19" s="782"/>
      <c r="T19" s="861">
        <f t="shared" si="4"/>
        <v>0</v>
      </c>
      <c r="V19" s="846" t="s">
        <v>931</v>
      </c>
      <c r="W19" s="846" t="s">
        <v>6856</v>
      </c>
      <c r="X19" s="847" t="s">
        <v>1908</v>
      </c>
      <c r="Y19" s="132" t="s">
        <v>10479</v>
      </c>
      <c r="AA19" s="846" t="s">
        <v>871</v>
      </c>
      <c r="AB19" s="846" t="s">
        <v>7805</v>
      </c>
      <c r="AC19" s="847" t="s">
        <v>10481</v>
      </c>
      <c r="AD19" s="132" t="s">
        <v>10482</v>
      </c>
    </row>
    <row r="20" spans="1:30" x14ac:dyDescent="0.3">
      <c r="A20" s="854">
        <v>17</v>
      </c>
      <c r="B20" s="769" t="s">
        <v>10479</v>
      </c>
      <c r="C20" s="857" t="s">
        <v>1907</v>
      </c>
      <c r="D20" s="860">
        <v>8</v>
      </c>
      <c r="E20" s="863">
        <f t="shared" si="5"/>
        <v>2</v>
      </c>
      <c r="F20" s="848">
        <f t="shared" si="5"/>
        <v>6</v>
      </c>
      <c r="G20" s="848">
        <f t="shared" si="5"/>
        <v>0</v>
      </c>
      <c r="H20" s="848">
        <f t="shared" si="5"/>
        <v>0</v>
      </c>
      <c r="I20" s="848">
        <f t="shared" si="5"/>
        <v>0</v>
      </c>
      <c r="J20" s="848">
        <f t="shared" si="5"/>
        <v>0</v>
      </c>
      <c r="K20" s="848"/>
      <c r="L20" s="852">
        <f t="shared" si="1"/>
        <v>8</v>
      </c>
      <c r="M20" s="782"/>
      <c r="N20" s="863">
        <f t="shared" si="2"/>
        <v>8</v>
      </c>
      <c r="O20" s="892">
        <v>0</v>
      </c>
      <c r="P20" s="892">
        <v>0</v>
      </c>
      <c r="Q20" s="848"/>
      <c r="R20" s="852">
        <f t="shared" si="3"/>
        <v>8</v>
      </c>
      <c r="S20" s="782"/>
      <c r="T20" s="861">
        <f t="shared" si="4"/>
        <v>0</v>
      </c>
      <c r="V20" s="846" t="s">
        <v>931</v>
      </c>
      <c r="W20" s="846" t="s">
        <v>6859</v>
      </c>
      <c r="X20" s="847" t="s">
        <v>1907</v>
      </c>
      <c r="Y20" s="132" t="s">
        <v>10479</v>
      </c>
      <c r="AA20" s="846" t="s">
        <v>871</v>
      </c>
      <c r="AB20" s="846" t="s">
        <v>7809</v>
      </c>
      <c r="AC20" s="847" t="s">
        <v>1587</v>
      </c>
      <c r="AD20" s="132" t="s">
        <v>10480</v>
      </c>
    </row>
    <row r="21" spans="1:30" x14ac:dyDescent="0.3">
      <c r="A21" s="854">
        <v>18</v>
      </c>
      <c r="B21" s="769" t="s">
        <v>10479</v>
      </c>
      <c r="C21" s="857" t="s">
        <v>1908</v>
      </c>
      <c r="D21" s="860">
        <v>8</v>
      </c>
      <c r="E21" s="863">
        <f t="shared" si="5"/>
        <v>5</v>
      </c>
      <c r="F21" s="848">
        <f t="shared" si="5"/>
        <v>3</v>
      </c>
      <c r="G21" s="848">
        <f t="shared" si="5"/>
        <v>0</v>
      </c>
      <c r="H21" s="848">
        <f t="shared" si="5"/>
        <v>0</v>
      </c>
      <c r="I21" s="848">
        <f t="shared" si="5"/>
        <v>0</v>
      </c>
      <c r="J21" s="848">
        <f t="shared" si="5"/>
        <v>0</v>
      </c>
      <c r="K21" s="848"/>
      <c r="L21" s="852">
        <f t="shared" si="1"/>
        <v>8</v>
      </c>
      <c r="M21" s="782"/>
      <c r="N21" s="863">
        <f t="shared" si="2"/>
        <v>8</v>
      </c>
      <c r="O21" s="892">
        <v>0</v>
      </c>
      <c r="P21" s="892">
        <v>0</v>
      </c>
      <c r="Q21" s="848"/>
      <c r="R21" s="852">
        <f t="shared" si="3"/>
        <v>8</v>
      </c>
      <c r="S21" s="782"/>
      <c r="T21" s="861">
        <f t="shared" si="4"/>
        <v>0</v>
      </c>
      <c r="V21" s="846" t="s">
        <v>1326</v>
      </c>
      <c r="W21" s="846" t="s">
        <v>6862</v>
      </c>
      <c r="X21" s="847" t="s">
        <v>1907</v>
      </c>
      <c r="Y21" s="132" t="s">
        <v>10479</v>
      </c>
      <c r="AA21" s="846" t="s">
        <v>871</v>
      </c>
      <c r="AB21" s="846" t="s">
        <v>7812</v>
      </c>
      <c r="AC21" s="847" t="s">
        <v>10481</v>
      </c>
      <c r="AD21" s="132" t="s">
        <v>10482</v>
      </c>
    </row>
    <row r="22" spans="1:30" x14ac:dyDescent="0.3">
      <c r="A22" s="854">
        <v>19</v>
      </c>
      <c r="B22" s="769" t="s">
        <v>10479</v>
      </c>
      <c r="C22" s="857" t="s">
        <v>1909</v>
      </c>
      <c r="D22" s="860">
        <v>10</v>
      </c>
      <c r="E22" s="863">
        <f t="shared" si="5"/>
        <v>0</v>
      </c>
      <c r="F22" s="848">
        <f t="shared" si="5"/>
        <v>0</v>
      </c>
      <c r="G22" s="848">
        <f t="shared" si="5"/>
        <v>0</v>
      </c>
      <c r="H22" s="848">
        <f t="shared" si="5"/>
        <v>10</v>
      </c>
      <c r="I22" s="848">
        <f t="shared" si="5"/>
        <v>0</v>
      </c>
      <c r="J22" s="848">
        <f t="shared" si="5"/>
        <v>0</v>
      </c>
      <c r="K22" s="848"/>
      <c r="L22" s="852">
        <f t="shared" si="1"/>
        <v>10</v>
      </c>
      <c r="M22" s="782"/>
      <c r="N22" s="863">
        <f t="shared" si="2"/>
        <v>10</v>
      </c>
      <c r="O22" s="892">
        <v>0</v>
      </c>
      <c r="P22" s="892">
        <v>0</v>
      </c>
      <c r="Q22" s="848"/>
      <c r="R22" s="852">
        <f t="shared" si="3"/>
        <v>10</v>
      </c>
      <c r="S22" s="782"/>
      <c r="T22" s="861">
        <f t="shared" si="4"/>
        <v>0</v>
      </c>
      <c r="V22" s="846" t="s">
        <v>1326</v>
      </c>
      <c r="W22" s="846" t="s">
        <v>6865</v>
      </c>
      <c r="X22" s="847" t="s">
        <v>1906</v>
      </c>
      <c r="Y22" s="132" t="s">
        <v>10479</v>
      </c>
      <c r="AA22" s="846" t="s">
        <v>871</v>
      </c>
      <c r="AB22" s="846" t="s">
        <v>7815</v>
      </c>
      <c r="AC22" s="847" t="s">
        <v>10481</v>
      </c>
      <c r="AD22" s="132" t="s">
        <v>10482</v>
      </c>
    </row>
    <row r="23" spans="1:30" x14ac:dyDescent="0.3">
      <c r="A23" s="854">
        <v>20</v>
      </c>
      <c r="B23" s="769" t="s">
        <v>10479</v>
      </c>
      <c r="C23" s="857" t="s">
        <v>2511</v>
      </c>
      <c r="D23" s="860">
        <v>8</v>
      </c>
      <c r="E23" s="863">
        <f t="shared" si="5"/>
        <v>4</v>
      </c>
      <c r="F23" s="848">
        <f t="shared" si="5"/>
        <v>4</v>
      </c>
      <c r="G23" s="848">
        <f t="shared" si="5"/>
        <v>0</v>
      </c>
      <c r="H23" s="848">
        <f t="shared" si="5"/>
        <v>0</v>
      </c>
      <c r="I23" s="848">
        <f t="shared" si="5"/>
        <v>0</v>
      </c>
      <c r="J23" s="848">
        <f t="shared" si="5"/>
        <v>0</v>
      </c>
      <c r="K23" s="848"/>
      <c r="L23" s="852">
        <f t="shared" si="1"/>
        <v>8</v>
      </c>
      <c r="M23" s="782"/>
      <c r="N23" s="863">
        <f t="shared" si="2"/>
        <v>8</v>
      </c>
      <c r="O23" s="892">
        <v>0</v>
      </c>
      <c r="P23" s="892">
        <v>0</v>
      </c>
      <c r="Q23" s="848"/>
      <c r="R23" s="852">
        <f t="shared" si="3"/>
        <v>8</v>
      </c>
      <c r="S23" s="782"/>
      <c r="T23" s="861">
        <f t="shared" si="4"/>
        <v>0</v>
      </c>
      <c r="V23" s="846" t="s">
        <v>1326</v>
      </c>
      <c r="W23" s="846" t="s">
        <v>6868</v>
      </c>
      <c r="X23" s="847" t="s">
        <v>1907</v>
      </c>
      <c r="Y23" s="132" t="s">
        <v>10479</v>
      </c>
      <c r="AA23" s="846" t="s">
        <v>871</v>
      </c>
      <c r="AB23" s="846" t="s">
        <v>7819</v>
      </c>
      <c r="AC23" s="847" t="s">
        <v>1590</v>
      </c>
      <c r="AD23" s="132" t="s">
        <v>10480</v>
      </c>
    </row>
    <row r="24" spans="1:30" x14ac:dyDescent="0.3">
      <c r="A24" s="854">
        <v>21</v>
      </c>
      <c r="B24" s="769" t="s">
        <v>10479</v>
      </c>
      <c r="C24" s="857" t="s">
        <v>2512</v>
      </c>
      <c r="D24" s="860">
        <v>8</v>
      </c>
      <c r="E24" s="863">
        <f t="shared" si="5"/>
        <v>7</v>
      </c>
      <c r="F24" s="848">
        <f t="shared" si="5"/>
        <v>1</v>
      </c>
      <c r="G24" s="848">
        <f t="shared" si="5"/>
        <v>0</v>
      </c>
      <c r="H24" s="848">
        <f t="shared" si="5"/>
        <v>0</v>
      </c>
      <c r="I24" s="848">
        <f t="shared" si="5"/>
        <v>0</v>
      </c>
      <c r="J24" s="848">
        <f t="shared" si="5"/>
        <v>0</v>
      </c>
      <c r="K24" s="848"/>
      <c r="L24" s="852">
        <f t="shared" si="1"/>
        <v>8</v>
      </c>
      <c r="M24" s="782"/>
      <c r="N24" s="863">
        <f t="shared" si="2"/>
        <v>8</v>
      </c>
      <c r="O24" s="892">
        <v>0</v>
      </c>
      <c r="P24" s="892">
        <v>0</v>
      </c>
      <c r="Q24" s="848"/>
      <c r="R24" s="852">
        <f t="shared" si="3"/>
        <v>8</v>
      </c>
      <c r="S24" s="782"/>
      <c r="T24" s="861">
        <f t="shared" si="4"/>
        <v>0</v>
      </c>
      <c r="V24" s="846" t="s">
        <v>1326</v>
      </c>
      <c r="W24" s="846" t="s">
        <v>6871</v>
      </c>
      <c r="X24" s="847" t="s">
        <v>1908</v>
      </c>
      <c r="Y24" s="132" t="s">
        <v>10479</v>
      </c>
      <c r="AA24" s="846" t="s">
        <v>898</v>
      </c>
      <c r="AB24" s="846" t="s">
        <v>7823</v>
      </c>
      <c r="AC24" s="847" t="s">
        <v>1587</v>
      </c>
      <c r="AD24" s="132" t="s">
        <v>10480</v>
      </c>
    </row>
    <row r="25" spans="1:30" x14ac:dyDescent="0.3">
      <c r="A25" s="854">
        <v>22</v>
      </c>
      <c r="B25" s="769" t="s">
        <v>10479</v>
      </c>
      <c r="C25" s="857" t="s">
        <v>2513</v>
      </c>
      <c r="D25" s="860">
        <v>12</v>
      </c>
      <c r="E25" s="863">
        <f t="shared" si="5"/>
        <v>0</v>
      </c>
      <c r="F25" s="848">
        <f t="shared" si="5"/>
        <v>0</v>
      </c>
      <c r="G25" s="848">
        <f t="shared" si="5"/>
        <v>7</v>
      </c>
      <c r="H25" s="848">
        <f t="shared" si="5"/>
        <v>5</v>
      </c>
      <c r="I25" s="848">
        <f t="shared" si="5"/>
        <v>0</v>
      </c>
      <c r="J25" s="848">
        <f t="shared" si="5"/>
        <v>0</v>
      </c>
      <c r="K25" s="848"/>
      <c r="L25" s="852">
        <f t="shared" si="1"/>
        <v>12</v>
      </c>
      <c r="M25" s="782"/>
      <c r="N25" s="863">
        <f>SUM(E25:H25)*0</f>
        <v>0</v>
      </c>
      <c r="O25" s="892">
        <f>SUM(E25:I25)</f>
        <v>12</v>
      </c>
      <c r="P25" s="892">
        <v>0</v>
      </c>
      <c r="Q25" s="848"/>
      <c r="R25" s="852">
        <f t="shared" si="3"/>
        <v>12</v>
      </c>
      <c r="S25" s="782"/>
      <c r="T25" s="861">
        <f t="shared" si="4"/>
        <v>0</v>
      </c>
      <c r="V25" s="846" t="s">
        <v>1326</v>
      </c>
      <c r="W25" s="846" t="s">
        <v>6875</v>
      </c>
      <c r="X25" s="847" t="s">
        <v>1906</v>
      </c>
      <c r="Y25" s="132" t="s">
        <v>10479</v>
      </c>
      <c r="AA25" s="846" t="s">
        <v>898</v>
      </c>
      <c r="AB25" s="846" t="s">
        <v>7826</v>
      </c>
      <c r="AC25" s="847" t="s">
        <v>1590</v>
      </c>
      <c r="AD25" s="132" t="s">
        <v>10480</v>
      </c>
    </row>
    <row r="26" spans="1:30" x14ac:dyDescent="0.3">
      <c r="A26" s="855"/>
      <c r="B26" s="769"/>
      <c r="C26" s="858"/>
      <c r="D26" s="861"/>
      <c r="E26" s="863"/>
      <c r="F26" s="848"/>
      <c r="G26" s="848"/>
      <c r="H26" s="848"/>
      <c r="I26" s="848"/>
      <c r="J26" s="848"/>
      <c r="K26" s="848"/>
      <c r="L26" s="852"/>
      <c r="M26" s="782"/>
      <c r="N26" s="863"/>
      <c r="O26" s="892"/>
      <c r="P26" s="892"/>
      <c r="Q26" s="848"/>
      <c r="R26" s="852"/>
      <c r="S26" s="782"/>
      <c r="T26" s="861"/>
      <c r="V26" s="846" t="s">
        <v>1326</v>
      </c>
      <c r="W26" s="846" t="s">
        <v>6879</v>
      </c>
      <c r="X26" s="847" t="s">
        <v>1907</v>
      </c>
      <c r="Y26" s="132" t="s">
        <v>10479</v>
      </c>
      <c r="AA26" s="846" t="s">
        <v>898</v>
      </c>
      <c r="AB26" s="846" t="s">
        <v>7829</v>
      </c>
      <c r="AC26" s="847" t="s">
        <v>1587</v>
      </c>
      <c r="AD26" s="132" t="s">
        <v>10480</v>
      </c>
    </row>
    <row r="27" spans="1:30" x14ac:dyDescent="0.3">
      <c r="A27" s="854">
        <v>1</v>
      </c>
      <c r="B27" s="769" t="s">
        <v>10483</v>
      </c>
      <c r="C27" s="857" t="s">
        <v>1525</v>
      </c>
      <c r="D27" s="860">
        <v>12</v>
      </c>
      <c r="E27" s="863">
        <f t="shared" ref="E27:J30" si="6">COUNTIFS($V:$V,E$3,$Y:$Y,$B27,$X:$X,$C27)</f>
        <v>0</v>
      </c>
      <c r="F27" s="848">
        <f t="shared" si="6"/>
        <v>0</v>
      </c>
      <c r="G27" s="848">
        <f t="shared" si="6"/>
        <v>0</v>
      </c>
      <c r="H27" s="848">
        <f t="shared" si="6"/>
        <v>0</v>
      </c>
      <c r="I27" s="848">
        <f t="shared" si="6"/>
        <v>0</v>
      </c>
      <c r="J27" s="848">
        <f t="shared" si="6"/>
        <v>3</v>
      </c>
      <c r="K27" s="848"/>
      <c r="L27" s="852">
        <f>SUM(E27:K27)</f>
        <v>3</v>
      </c>
      <c r="M27" s="782"/>
      <c r="N27" s="863">
        <f>SUM(E27:H27)</f>
        <v>0</v>
      </c>
      <c r="O27" s="892">
        <v>0</v>
      </c>
      <c r="P27" s="892">
        <v>3</v>
      </c>
      <c r="Q27" s="848"/>
      <c r="R27" s="852">
        <f t="shared" si="3"/>
        <v>3</v>
      </c>
      <c r="S27" s="782"/>
      <c r="T27" s="861">
        <f t="shared" si="4"/>
        <v>0</v>
      </c>
      <c r="V27" s="846" t="s">
        <v>1326</v>
      </c>
      <c r="W27" s="846" t="s">
        <v>6882</v>
      </c>
      <c r="X27" s="847" t="s">
        <v>1908</v>
      </c>
      <c r="Y27" s="132" t="s">
        <v>10479</v>
      </c>
      <c r="AA27" s="846" t="s">
        <v>898</v>
      </c>
      <c r="AB27" s="846" t="s">
        <v>7832</v>
      </c>
      <c r="AC27" s="847" t="s">
        <v>10481</v>
      </c>
      <c r="AD27" s="132" t="s">
        <v>10482</v>
      </c>
    </row>
    <row r="28" spans="1:30" x14ac:dyDescent="0.3">
      <c r="A28" s="854">
        <v>2</v>
      </c>
      <c r="B28" s="769" t="s">
        <v>10483</v>
      </c>
      <c r="C28" s="857" t="s">
        <v>1587</v>
      </c>
      <c r="D28" s="860">
        <v>8</v>
      </c>
      <c r="E28" s="863">
        <f t="shared" si="6"/>
        <v>0</v>
      </c>
      <c r="F28" s="848">
        <f t="shared" si="6"/>
        <v>0</v>
      </c>
      <c r="G28" s="848">
        <f t="shared" si="6"/>
        <v>0</v>
      </c>
      <c r="H28" s="848">
        <f t="shared" si="6"/>
        <v>0</v>
      </c>
      <c r="I28" s="848">
        <f t="shared" si="6"/>
        <v>0</v>
      </c>
      <c r="J28" s="848">
        <f t="shared" si="6"/>
        <v>4</v>
      </c>
      <c r="K28" s="848"/>
      <c r="L28" s="852">
        <f>SUM(E28:K28)</f>
        <v>4</v>
      </c>
      <c r="M28" s="782"/>
      <c r="N28" s="863">
        <f>SUM(E28:H28)</f>
        <v>0</v>
      </c>
      <c r="O28" s="892">
        <v>0</v>
      </c>
      <c r="P28" s="892">
        <v>4</v>
      </c>
      <c r="Q28" s="848"/>
      <c r="R28" s="852">
        <f t="shared" si="3"/>
        <v>4</v>
      </c>
      <c r="S28" s="782"/>
      <c r="T28" s="861">
        <f t="shared" si="4"/>
        <v>0</v>
      </c>
      <c r="V28" s="846" t="s">
        <v>1326</v>
      </c>
      <c r="W28" s="846" t="s">
        <v>6886</v>
      </c>
      <c r="X28" s="847" t="s">
        <v>1906</v>
      </c>
      <c r="Y28" s="132" t="s">
        <v>10479</v>
      </c>
      <c r="AA28" s="846" t="s">
        <v>898</v>
      </c>
      <c r="AB28" s="846" t="s">
        <v>7835</v>
      </c>
      <c r="AC28" s="847" t="s">
        <v>10484</v>
      </c>
      <c r="AD28" s="132" t="s">
        <v>10482</v>
      </c>
    </row>
    <row r="29" spans="1:30" x14ac:dyDescent="0.3">
      <c r="A29" s="854">
        <v>3</v>
      </c>
      <c r="B29" s="769" t="s">
        <v>10483</v>
      </c>
      <c r="C29" s="857" t="s">
        <v>1590</v>
      </c>
      <c r="D29" s="860">
        <v>8</v>
      </c>
      <c r="E29" s="863">
        <f t="shared" si="6"/>
        <v>0</v>
      </c>
      <c r="F29" s="848">
        <f t="shared" si="6"/>
        <v>0</v>
      </c>
      <c r="G29" s="848">
        <f t="shared" si="6"/>
        <v>0</v>
      </c>
      <c r="H29" s="848">
        <f t="shared" si="6"/>
        <v>0</v>
      </c>
      <c r="I29" s="848">
        <f t="shared" si="6"/>
        <v>2</v>
      </c>
      <c r="J29" s="848">
        <f t="shared" si="6"/>
        <v>6</v>
      </c>
      <c r="K29" s="848"/>
      <c r="L29" s="852">
        <f>SUM(E29:K29)</f>
        <v>8</v>
      </c>
      <c r="M29" s="782"/>
      <c r="N29" s="863">
        <f>SUM(E29:H29)</f>
        <v>0</v>
      </c>
      <c r="O29" s="892">
        <v>0</v>
      </c>
      <c r="P29" s="892">
        <v>8</v>
      </c>
      <c r="Q29" s="848"/>
      <c r="R29" s="852">
        <f t="shared" si="3"/>
        <v>8</v>
      </c>
      <c r="S29" s="782"/>
      <c r="T29" s="861">
        <f t="shared" si="4"/>
        <v>0</v>
      </c>
      <c r="V29" s="846" t="s">
        <v>1326</v>
      </c>
      <c r="W29" s="846" t="s">
        <v>6889</v>
      </c>
      <c r="X29" s="847" t="s">
        <v>1905</v>
      </c>
      <c r="Y29" s="132" t="s">
        <v>10479</v>
      </c>
      <c r="AA29" s="846" t="s">
        <v>898</v>
      </c>
      <c r="AB29" s="846" t="s">
        <v>7839</v>
      </c>
      <c r="AC29" s="847" t="s">
        <v>10484</v>
      </c>
      <c r="AD29" s="132" t="s">
        <v>10482</v>
      </c>
    </row>
    <row r="30" spans="1:30" x14ac:dyDescent="0.3">
      <c r="A30" s="854">
        <v>4</v>
      </c>
      <c r="B30" s="769" t="s">
        <v>10483</v>
      </c>
      <c r="C30" s="857" t="s">
        <v>1522</v>
      </c>
      <c r="D30" s="860">
        <v>12</v>
      </c>
      <c r="E30" s="863">
        <f t="shared" si="6"/>
        <v>0</v>
      </c>
      <c r="F30" s="848">
        <f t="shared" si="6"/>
        <v>0</v>
      </c>
      <c r="G30" s="848">
        <f t="shared" si="6"/>
        <v>0</v>
      </c>
      <c r="H30" s="848">
        <f t="shared" si="6"/>
        <v>0</v>
      </c>
      <c r="I30" s="848">
        <f t="shared" si="6"/>
        <v>4</v>
      </c>
      <c r="J30" s="848">
        <f t="shared" si="6"/>
        <v>8</v>
      </c>
      <c r="K30" s="848"/>
      <c r="L30" s="852">
        <f>SUM(E30:K30)</f>
        <v>12</v>
      </c>
      <c r="M30" s="782"/>
      <c r="N30" s="863">
        <f>SUM(E30:H30)</f>
        <v>0</v>
      </c>
      <c r="O30" s="892">
        <v>0</v>
      </c>
      <c r="P30" s="892">
        <v>12</v>
      </c>
      <c r="Q30" s="848"/>
      <c r="R30" s="852">
        <f t="shared" si="3"/>
        <v>12</v>
      </c>
      <c r="S30" s="782"/>
      <c r="T30" s="861">
        <f t="shared" si="4"/>
        <v>0</v>
      </c>
      <c r="V30" s="846" t="s">
        <v>1326</v>
      </c>
      <c r="W30" s="846" t="s">
        <v>6892</v>
      </c>
      <c r="X30" s="847" t="s">
        <v>1907</v>
      </c>
      <c r="Y30" s="132" t="s">
        <v>10479</v>
      </c>
      <c r="AA30" s="846" t="s">
        <v>898</v>
      </c>
      <c r="AB30" s="846" t="s">
        <v>7842</v>
      </c>
      <c r="AC30" s="847" t="s">
        <v>10481</v>
      </c>
      <c r="AD30" s="132" t="s">
        <v>10482</v>
      </c>
    </row>
    <row r="31" spans="1:30" x14ac:dyDescent="0.3">
      <c r="A31" s="864"/>
      <c r="B31" s="865"/>
      <c r="C31" s="866"/>
      <c r="D31" s="867"/>
      <c r="E31" s="868"/>
      <c r="F31" s="869"/>
      <c r="G31" s="869"/>
      <c r="H31" s="869"/>
      <c r="I31" s="869"/>
      <c r="J31" s="869"/>
      <c r="K31" s="869"/>
      <c r="L31" s="870"/>
      <c r="M31" s="782"/>
      <c r="N31" s="868"/>
      <c r="O31" s="893"/>
      <c r="P31" s="893"/>
      <c r="Q31" s="869"/>
      <c r="R31" s="870"/>
      <c r="S31" s="782"/>
      <c r="T31" s="867"/>
      <c r="V31" s="846" t="s">
        <v>1326</v>
      </c>
      <c r="W31" s="846" t="s">
        <v>6895</v>
      </c>
      <c r="X31" s="847" t="s">
        <v>1907</v>
      </c>
      <c r="Y31" s="132" t="s">
        <v>10479</v>
      </c>
      <c r="AA31" s="846" t="s">
        <v>898</v>
      </c>
      <c r="AB31" s="846" t="s">
        <v>7846</v>
      </c>
      <c r="AC31" s="847" t="s">
        <v>10481</v>
      </c>
      <c r="AD31" s="132" t="s">
        <v>10482</v>
      </c>
    </row>
    <row r="32" spans="1:30" x14ac:dyDescent="0.3">
      <c r="A32" s="874"/>
      <c r="B32" s="875" t="s">
        <v>165</v>
      </c>
      <c r="C32" s="876"/>
      <c r="D32" s="877">
        <f>SUM(D4:D31)</f>
        <v>236</v>
      </c>
      <c r="E32" s="878">
        <f t="shared" ref="E32:T32" si="7">SUM(E4:E31)</f>
        <v>18</v>
      </c>
      <c r="F32" s="879">
        <f t="shared" si="7"/>
        <v>44</v>
      </c>
      <c r="G32" s="879">
        <f t="shared" si="7"/>
        <v>38</v>
      </c>
      <c r="H32" s="879">
        <f t="shared" si="7"/>
        <v>43</v>
      </c>
      <c r="I32" s="879">
        <f t="shared" si="7"/>
        <v>15</v>
      </c>
      <c r="J32" s="879">
        <f t="shared" si="7"/>
        <v>21</v>
      </c>
      <c r="K32" s="879"/>
      <c r="L32" s="880">
        <f t="shared" si="7"/>
        <v>179</v>
      </c>
      <c r="M32" s="881"/>
      <c r="N32" s="885">
        <f t="shared" si="7"/>
        <v>131</v>
      </c>
      <c r="O32" s="879">
        <f t="shared" si="7"/>
        <v>21</v>
      </c>
      <c r="P32" s="879">
        <f t="shared" si="7"/>
        <v>27</v>
      </c>
      <c r="Q32" s="879"/>
      <c r="R32" s="880">
        <f t="shared" si="7"/>
        <v>179</v>
      </c>
      <c r="S32" s="881"/>
      <c r="T32" s="877">
        <f t="shared" si="7"/>
        <v>0</v>
      </c>
      <c r="V32" s="846" t="s">
        <v>1326</v>
      </c>
      <c r="W32" s="846" t="s">
        <v>6898</v>
      </c>
      <c r="X32" s="847" t="s">
        <v>1906</v>
      </c>
      <c r="Y32" s="132" t="s">
        <v>10479</v>
      </c>
      <c r="AA32" s="846" t="s">
        <v>898</v>
      </c>
      <c r="AB32" s="846" t="s">
        <v>7850</v>
      </c>
      <c r="AC32" s="847" t="s">
        <v>10484</v>
      </c>
      <c r="AD32" s="132" t="s">
        <v>10482</v>
      </c>
    </row>
    <row r="33" spans="1:30" x14ac:dyDescent="0.3">
      <c r="V33" s="846" t="s">
        <v>1326</v>
      </c>
      <c r="W33" s="846" t="s">
        <v>6901</v>
      </c>
      <c r="X33" s="847" t="s">
        <v>1906</v>
      </c>
      <c r="Y33" s="132" t="s">
        <v>10479</v>
      </c>
      <c r="AA33" s="846" t="s">
        <v>898</v>
      </c>
      <c r="AB33" s="846" t="s">
        <v>7853</v>
      </c>
      <c r="AC33" s="847" t="s">
        <v>10481</v>
      </c>
      <c r="AD33" s="132" t="s">
        <v>10482</v>
      </c>
    </row>
    <row r="34" spans="1:30" x14ac:dyDescent="0.3">
      <c r="A34" s="1871" t="s">
        <v>23</v>
      </c>
      <c r="B34" s="1878" t="s">
        <v>176</v>
      </c>
      <c r="C34" s="1873" t="s">
        <v>501</v>
      </c>
      <c r="D34" s="1878" t="s">
        <v>6106</v>
      </c>
      <c r="E34" s="1875" t="s">
        <v>10474</v>
      </c>
      <c r="F34" s="1876"/>
      <c r="G34" s="1876"/>
      <c r="H34" s="1876"/>
      <c r="I34" s="1876"/>
      <c r="J34" s="1876"/>
      <c r="K34" s="1876"/>
      <c r="L34" s="1877"/>
      <c r="N34" s="1871" t="s">
        <v>10475</v>
      </c>
      <c r="O34" s="1873"/>
      <c r="P34" s="1873"/>
      <c r="Q34" s="1873"/>
      <c r="R34" s="1874"/>
      <c r="T34" s="1869" t="s">
        <v>6108</v>
      </c>
      <c r="V34" s="846" t="s">
        <v>1326</v>
      </c>
      <c r="W34" s="846" t="s">
        <v>6904</v>
      </c>
      <c r="X34" s="847" t="s">
        <v>1905</v>
      </c>
      <c r="Y34" s="132" t="s">
        <v>10479</v>
      </c>
      <c r="AA34" s="846" t="s">
        <v>898</v>
      </c>
      <c r="AB34" s="846" t="s">
        <v>7856</v>
      </c>
      <c r="AC34" s="847" t="s">
        <v>10481</v>
      </c>
      <c r="AD34" s="132" t="s">
        <v>10482</v>
      </c>
    </row>
    <row r="35" spans="1:30" s="844" customFormat="1" x14ac:dyDescent="0.3">
      <c r="A35" s="1872"/>
      <c r="B35" s="1879"/>
      <c r="C35" s="1880"/>
      <c r="D35" s="1879"/>
      <c r="E35" s="871" t="s">
        <v>871</v>
      </c>
      <c r="F35" s="872" t="s">
        <v>898</v>
      </c>
      <c r="G35" s="872" t="s">
        <v>931</v>
      </c>
      <c r="H35" s="872" t="s">
        <v>1326</v>
      </c>
      <c r="I35" s="872" t="s">
        <v>1262</v>
      </c>
      <c r="J35" s="872" t="s">
        <v>1509</v>
      </c>
      <c r="K35" s="872"/>
      <c r="L35" s="873" t="s">
        <v>165</v>
      </c>
      <c r="N35" s="871" t="s">
        <v>1026</v>
      </c>
      <c r="O35" s="872"/>
      <c r="P35" s="872"/>
      <c r="Q35" s="872"/>
      <c r="R35" s="873" t="s">
        <v>165</v>
      </c>
      <c r="T35" s="1870"/>
      <c r="V35" s="846" t="s">
        <v>1326</v>
      </c>
      <c r="W35" s="846" t="s">
        <v>6907</v>
      </c>
      <c r="X35" s="847" t="s">
        <v>1907</v>
      </c>
      <c r="Y35" s="132" t="s">
        <v>10479</v>
      </c>
      <c r="Z35" s="132"/>
      <c r="AA35" s="846" t="s">
        <v>898</v>
      </c>
      <c r="AB35" s="846" t="s">
        <v>7859</v>
      </c>
      <c r="AC35" s="847" t="s">
        <v>10484</v>
      </c>
      <c r="AD35" s="132" t="s">
        <v>10482</v>
      </c>
    </row>
    <row r="36" spans="1:30" x14ac:dyDescent="0.3">
      <c r="A36" s="853">
        <v>1</v>
      </c>
      <c r="B36" s="755" t="s">
        <v>10480</v>
      </c>
      <c r="C36" s="856" t="s">
        <v>1525</v>
      </c>
      <c r="D36" s="859">
        <v>18</v>
      </c>
      <c r="E36" s="862">
        <f>COUNTIFS($AA:$AA,E$35,$AD:$AD,$B36,$AC:$AC,$C36)</f>
        <v>0</v>
      </c>
      <c r="F36" s="850">
        <f t="shared" ref="F36:J36" si="8">COUNTIFS($AA:$AA,F$35,$AD:$AD,$B36,$AC:$AC,$C36)</f>
        <v>15</v>
      </c>
      <c r="G36" s="850">
        <f t="shared" si="8"/>
        <v>2</v>
      </c>
      <c r="H36" s="850">
        <f t="shared" si="8"/>
        <v>1</v>
      </c>
      <c r="I36" s="850">
        <f t="shared" si="8"/>
        <v>0</v>
      </c>
      <c r="J36" s="850">
        <f t="shared" si="8"/>
        <v>0</v>
      </c>
      <c r="K36" s="850"/>
      <c r="L36" s="851">
        <f t="shared" ref="L36:L50" si="9">SUM(E36:K36)</f>
        <v>18</v>
      </c>
      <c r="M36" s="782"/>
      <c r="N36" s="863">
        <f>L36</f>
        <v>18</v>
      </c>
      <c r="O36" s="891"/>
      <c r="P36" s="891"/>
      <c r="Q36" s="850"/>
      <c r="R36" s="851">
        <f t="shared" ref="R36:R48" si="10">SUM(N36:Q36)</f>
        <v>18</v>
      </c>
      <c r="S36" s="782"/>
      <c r="T36" s="861">
        <f t="shared" ref="T36:T48" si="11">L36-R36</f>
        <v>0</v>
      </c>
      <c r="V36" s="846" t="s">
        <v>1326</v>
      </c>
      <c r="W36" s="846" t="s">
        <v>6910</v>
      </c>
      <c r="X36" s="847" t="s">
        <v>1905</v>
      </c>
      <c r="Y36" s="132" t="s">
        <v>10479</v>
      </c>
      <c r="AA36" s="846" t="s">
        <v>898</v>
      </c>
      <c r="AB36" s="846" t="s">
        <v>7863</v>
      </c>
      <c r="AC36" s="847" t="s">
        <v>10484</v>
      </c>
      <c r="AD36" s="132" t="s">
        <v>10482</v>
      </c>
    </row>
    <row r="37" spans="1:30" x14ac:dyDescent="0.3">
      <c r="A37" s="854">
        <v>2</v>
      </c>
      <c r="B37" s="769" t="s">
        <v>10480</v>
      </c>
      <c r="C37" s="857" t="s">
        <v>1587</v>
      </c>
      <c r="D37" s="860">
        <v>16</v>
      </c>
      <c r="E37" s="863">
        <f t="shared" ref="E37:J50" si="12">COUNTIFS($AA:$AA,E$35,$AD:$AD,$B37,$AC:$AC,$C37)</f>
        <v>8</v>
      </c>
      <c r="F37" s="848">
        <f t="shared" si="12"/>
        <v>2</v>
      </c>
      <c r="G37" s="848">
        <f t="shared" si="12"/>
        <v>0</v>
      </c>
      <c r="H37" s="848">
        <f t="shared" si="12"/>
        <v>0</v>
      </c>
      <c r="I37" s="848">
        <f t="shared" si="12"/>
        <v>0</v>
      </c>
      <c r="J37" s="848">
        <f t="shared" si="12"/>
        <v>3</v>
      </c>
      <c r="K37" s="848"/>
      <c r="L37" s="852">
        <f t="shared" si="9"/>
        <v>13</v>
      </c>
      <c r="M37" s="782"/>
      <c r="N37" s="863">
        <f t="shared" ref="N37:N41" si="13">L37</f>
        <v>13</v>
      </c>
      <c r="O37" s="892"/>
      <c r="P37" s="892"/>
      <c r="Q37" s="848"/>
      <c r="R37" s="852">
        <f t="shared" si="10"/>
        <v>13</v>
      </c>
      <c r="S37" s="782"/>
      <c r="T37" s="861">
        <f t="shared" si="11"/>
        <v>0</v>
      </c>
      <c r="V37" s="846" t="s">
        <v>1326</v>
      </c>
      <c r="W37" s="846" t="s">
        <v>6913</v>
      </c>
      <c r="X37" s="847" t="s">
        <v>1906</v>
      </c>
      <c r="Y37" s="132" t="s">
        <v>10479</v>
      </c>
      <c r="AA37" s="846" t="s">
        <v>898</v>
      </c>
      <c r="AB37" s="846" t="s">
        <v>7867</v>
      </c>
      <c r="AC37" s="847" t="s">
        <v>10481</v>
      </c>
      <c r="AD37" s="132" t="s">
        <v>10482</v>
      </c>
    </row>
    <row r="38" spans="1:30" x14ac:dyDescent="0.3">
      <c r="A38" s="854">
        <v>3</v>
      </c>
      <c r="B38" s="769" t="s">
        <v>10480</v>
      </c>
      <c r="C38" s="857" t="s">
        <v>1590</v>
      </c>
      <c r="D38" s="860">
        <v>10</v>
      </c>
      <c r="E38" s="863">
        <f t="shared" si="12"/>
        <v>9</v>
      </c>
      <c r="F38" s="848">
        <f t="shared" si="12"/>
        <v>1</v>
      </c>
      <c r="G38" s="848">
        <f t="shared" si="12"/>
        <v>0</v>
      </c>
      <c r="H38" s="848">
        <f t="shared" si="12"/>
        <v>0</v>
      </c>
      <c r="I38" s="848">
        <f t="shared" si="12"/>
        <v>0</v>
      </c>
      <c r="J38" s="848">
        <f t="shared" si="12"/>
        <v>0</v>
      </c>
      <c r="K38" s="848"/>
      <c r="L38" s="852">
        <f t="shared" si="9"/>
        <v>10</v>
      </c>
      <c r="M38" s="782"/>
      <c r="N38" s="863">
        <f t="shared" si="13"/>
        <v>10</v>
      </c>
      <c r="O38" s="892"/>
      <c r="P38" s="892"/>
      <c r="Q38" s="848"/>
      <c r="R38" s="852">
        <f t="shared" si="10"/>
        <v>10</v>
      </c>
      <c r="S38" s="782"/>
      <c r="T38" s="861">
        <f t="shared" si="11"/>
        <v>0</v>
      </c>
      <c r="V38" s="846" t="s">
        <v>1326</v>
      </c>
      <c r="W38" s="846" t="s">
        <v>6917</v>
      </c>
      <c r="X38" s="847" t="s">
        <v>1905</v>
      </c>
      <c r="Y38" s="132" t="s">
        <v>10479</v>
      </c>
      <c r="AA38" s="846" t="s">
        <v>898</v>
      </c>
      <c r="AB38" s="846" t="s">
        <v>7870</v>
      </c>
      <c r="AC38" s="847" t="s">
        <v>10484</v>
      </c>
      <c r="AD38" s="132" t="s">
        <v>10482</v>
      </c>
    </row>
    <row r="39" spans="1:30" x14ac:dyDescent="0.3">
      <c r="A39" s="854">
        <v>4</v>
      </c>
      <c r="B39" s="769" t="s">
        <v>10480</v>
      </c>
      <c r="C39" s="857" t="s">
        <v>1522</v>
      </c>
      <c r="D39" s="860">
        <v>12</v>
      </c>
      <c r="E39" s="863">
        <f t="shared" si="12"/>
        <v>0</v>
      </c>
      <c r="F39" s="848">
        <f t="shared" si="12"/>
        <v>0</v>
      </c>
      <c r="G39" s="848">
        <f t="shared" si="12"/>
        <v>0</v>
      </c>
      <c r="H39" s="848">
        <f t="shared" si="12"/>
        <v>0</v>
      </c>
      <c r="I39" s="848">
        <f t="shared" si="12"/>
        <v>0</v>
      </c>
      <c r="J39" s="848">
        <f t="shared" si="12"/>
        <v>0</v>
      </c>
      <c r="K39" s="848"/>
      <c r="L39" s="852">
        <f t="shared" si="9"/>
        <v>0</v>
      </c>
      <c r="M39" s="782"/>
      <c r="N39" s="863">
        <f t="shared" si="13"/>
        <v>0</v>
      </c>
      <c r="O39" s="892"/>
      <c r="P39" s="892"/>
      <c r="Q39" s="848"/>
      <c r="R39" s="852">
        <f t="shared" si="10"/>
        <v>0</v>
      </c>
      <c r="S39" s="782"/>
      <c r="T39" s="861">
        <f t="shared" si="11"/>
        <v>0</v>
      </c>
      <c r="V39" s="846" t="s">
        <v>1326</v>
      </c>
      <c r="W39" s="846" t="s">
        <v>6920</v>
      </c>
      <c r="X39" s="847" t="s">
        <v>1904</v>
      </c>
      <c r="Y39" s="132" t="s">
        <v>10479</v>
      </c>
      <c r="AA39" s="846" t="s">
        <v>898</v>
      </c>
      <c r="AB39" s="846" t="s">
        <v>7873</v>
      </c>
      <c r="AC39" s="847" t="s">
        <v>10484</v>
      </c>
      <c r="AD39" s="132" t="s">
        <v>10482</v>
      </c>
    </row>
    <row r="40" spans="1:30" x14ac:dyDescent="0.3">
      <c r="A40" s="854">
        <v>5</v>
      </c>
      <c r="B40" s="769" t="s">
        <v>10480</v>
      </c>
      <c r="C40" s="857" t="s">
        <v>1570</v>
      </c>
      <c r="D40" s="860">
        <v>8</v>
      </c>
      <c r="E40" s="863">
        <f t="shared" si="12"/>
        <v>0</v>
      </c>
      <c r="F40" s="848">
        <f t="shared" si="12"/>
        <v>0</v>
      </c>
      <c r="G40" s="848">
        <f t="shared" si="12"/>
        <v>0</v>
      </c>
      <c r="H40" s="848">
        <f t="shared" si="12"/>
        <v>0</v>
      </c>
      <c r="I40" s="848">
        <f t="shared" si="12"/>
        <v>0</v>
      </c>
      <c r="J40" s="848">
        <f t="shared" si="12"/>
        <v>0</v>
      </c>
      <c r="K40" s="848"/>
      <c r="L40" s="852">
        <f t="shared" si="9"/>
        <v>0</v>
      </c>
      <c r="M40" s="782"/>
      <c r="N40" s="863">
        <f t="shared" si="13"/>
        <v>0</v>
      </c>
      <c r="O40" s="892"/>
      <c r="P40" s="892"/>
      <c r="Q40" s="848"/>
      <c r="R40" s="852">
        <f t="shared" si="10"/>
        <v>0</v>
      </c>
      <c r="S40" s="782"/>
      <c r="T40" s="861">
        <f t="shared" si="11"/>
        <v>0</v>
      </c>
      <c r="V40" s="846" t="s">
        <v>1326</v>
      </c>
      <c r="W40" s="846" t="s">
        <v>6923</v>
      </c>
      <c r="X40" s="847" t="s">
        <v>1905</v>
      </c>
      <c r="Y40" s="132" t="s">
        <v>10479</v>
      </c>
      <c r="AA40" s="846" t="s">
        <v>898</v>
      </c>
      <c r="AB40" s="846" t="s">
        <v>7876</v>
      </c>
      <c r="AC40" s="847" t="s">
        <v>10484</v>
      </c>
      <c r="AD40" s="132" t="s">
        <v>10482</v>
      </c>
    </row>
    <row r="41" spans="1:30" x14ac:dyDescent="0.3">
      <c r="A41" s="854">
        <v>6</v>
      </c>
      <c r="B41" s="769" t="s">
        <v>10480</v>
      </c>
      <c r="C41" s="857" t="s">
        <v>1568</v>
      </c>
      <c r="D41" s="860">
        <v>8</v>
      </c>
      <c r="E41" s="863">
        <f t="shared" si="12"/>
        <v>0</v>
      </c>
      <c r="F41" s="848">
        <f t="shared" si="12"/>
        <v>0</v>
      </c>
      <c r="G41" s="848">
        <f t="shared" si="12"/>
        <v>0</v>
      </c>
      <c r="H41" s="848">
        <f t="shared" si="12"/>
        <v>0</v>
      </c>
      <c r="I41" s="848">
        <f t="shared" si="12"/>
        <v>0</v>
      </c>
      <c r="J41" s="848">
        <f t="shared" si="12"/>
        <v>0</v>
      </c>
      <c r="K41" s="848"/>
      <c r="L41" s="852">
        <f t="shared" si="9"/>
        <v>0</v>
      </c>
      <c r="M41" s="782"/>
      <c r="N41" s="863">
        <f t="shared" si="13"/>
        <v>0</v>
      </c>
      <c r="O41" s="892"/>
      <c r="P41" s="892"/>
      <c r="Q41" s="848"/>
      <c r="R41" s="852">
        <f t="shared" si="10"/>
        <v>0</v>
      </c>
      <c r="S41" s="782"/>
      <c r="T41" s="861">
        <f t="shared" si="11"/>
        <v>0</v>
      </c>
      <c r="V41" s="846" t="s">
        <v>1326</v>
      </c>
      <c r="W41" s="846" t="s">
        <v>6926</v>
      </c>
      <c r="X41" s="847" t="s">
        <v>1906</v>
      </c>
      <c r="Y41" s="132" t="s">
        <v>10479</v>
      </c>
      <c r="AA41" s="846" t="s">
        <v>898</v>
      </c>
      <c r="AB41" s="846" t="s">
        <v>7880</v>
      </c>
      <c r="AC41" s="847" t="s">
        <v>10485</v>
      </c>
      <c r="AD41" s="132" t="s">
        <v>10482</v>
      </c>
    </row>
    <row r="42" spans="1:30" x14ac:dyDescent="0.3">
      <c r="A42" s="854"/>
      <c r="B42" s="769"/>
      <c r="C42" s="857"/>
      <c r="D42" s="860"/>
      <c r="E42" s="863"/>
      <c r="F42" s="848"/>
      <c r="G42" s="848"/>
      <c r="H42" s="848"/>
      <c r="I42" s="848"/>
      <c r="J42" s="848"/>
      <c r="K42" s="848"/>
      <c r="L42" s="852"/>
      <c r="M42" s="782"/>
      <c r="N42" s="863"/>
      <c r="O42" s="892"/>
      <c r="P42" s="892"/>
      <c r="Q42" s="848"/>
      <c r="R42" s="852"/>
      <c r="S42" s="782"/>
      <c r="T42" s="861">
        <f t="shared" si="11"/>
        <v>0</v>
      </c>
      <c r="V42" s="846" t="s">
        <v>1326</v>
      </c>
      <c r="W42" s="846" t="s">
        <v>6929</v>
      </c>
      <c r="X42" s="847" t="s">
        <v>2512</v>
      </c>
      <c r="Y42" s="132" t="s">
        <v>10479</v>
      </c>
      <c r="AA42" s="846" t="s">
        <v>898</v>
      </c>
      <c r="AB42" s="846" t="s">
        <v>7883</v>
      </c>
      <c r="AC42" s="847" t="s">
        <v>10485</v>
      </c>
      <c r="AD42" s="132" t="s">
        <v>10482</v>
      </c>
    </row>
    <row r="43" spans="1:30" x14ac:dyDescent="0.3">
      <c r="A43" s="854">
        <v>1</v>
      </c>
      <c r="B43" s="769" t="s">
        <v>10482</v>
      </c>
      <c r="C43" s="857" t="s">
        <v>10481</v>
      </c>
      <c r="D43" s="860">
        <v>10</v>
      </c>
      <c r="E43" s="863">
        <f t="shared" si="12"/>
        <v>4</v>
      </c>
      <c r="F43" s="848">
        <f t="shared" si="12"/>
        <v>6</v>
      </c>
      <c r="G43" s="848">
        <f t="shared" si="12"/>
        <v>0</v>
      </c>
      <c r="H43" s="848">
        <f t="shared" si="12"/>
        <v>0</v>
      </c>
      <c r="I43" s="848">
        <f t="shared" si="12"/>
        <v>0</v>
      </c>
      <c r="J43" s="848">
        <f t="shared" si="12"/>
        <v>0</v>
      </c>
      <c r="K43" s="848"/>
      <c r="L43" s="852">
        <f t="shared" si="9"/>
        <v>10</v>
      </c>
      <c r="M43" s="782"/>
      <c r="N43" s="863">
        <f t="shared" ref="N43:N50" si="14">L43</f>
        <v>10</v>
      </c>
      <c r="O43" s="892"/>
      <c r="P43" s="892"/>
      <c r="Q43" s="848"/>
      <c r="R43" s="852">
        <f t="shared" si="10"/>
        <v>10</v>
      </c>
      <c r="S43" s="782"/>
      <c r="T43" s="861">
        <f t="shared" si="11"/>
        <v>0</v>
      </c>
      <c r="V43" s="846" t="s">
        <v>1326</v>
      </c>
      <c r="W43" s="846" t="s">
        <v>6932</v>
      </c>
      <c r="X43" s="847" t="s">
        <v>1906</v>
      </c>
      <c r="Y43" s="132" t="s">
        <v>10479</v>
      </c>
      <c r="AA43" s="846" t="s">
        <v>898</v>
      </c>
      <c r="AB43" s="846" t="s">
        <v>7886</v>
      </c>
      <c r="AC43" s="847" t="s">
        <v>10485</v>
      </c>
      <c r="AD43" s="132" t="s">
        <v>10482</v>
      </c>
    </row>
    <row r="44" spans="1:30" x14ac:dyDescent="0.3">
      <c r="A44" s="854">
        <v>2</v>
      </c>
      <c r="B44" s="769" t="s">
        <v>10482</v>
      </c>
      <c r="C44" s="857" t="s">
        <v>10485</v>
      </c>
      <c r="D44" s="860">
        <v>20</v>
      </c>
      <c r="E44" s="863">
        <f t="shared" si="12"/>
        <v>0</v>
      </c>
      <c r="F44" s="848">
        <f t="shared" si="12"/>
        <v>10</v>
      </c>
      <c r="G44" s="848">
        <f t="shared" si="12"/>
        <v>2</v>
      </c>
      <c r="H44" s="848">
        <f t="shared" si="12"/>
        <v>0</v>
      </c>
      <c r="I44" s="848">
        <f t="shared" si="12"/>
        <v>0</v>
      </c>
      <c r="J44" s="848">
        <f t="shared" si="12"/>
        <v>0</v>
      </c>
      <c r="K44" s="848"/>
      <c r="L44" s="852">
        <f t="shared" si="9"/>
        <v>12</v>
      </c>
      <c r="M44" s="782"/>
      <c r="N44" s="863">
        <f t="shared" si="14"/>
        <v>12</v>
      </c>
      <c r="O44" s="892"/>
      <c r="P44" s="892"/>
      <c r="Q44" s="848"/>
      <c r="R44" s="852">
        <f t="shared" si="10"/>
        <v>12</v>
      </c>
      <c r="S44" s="782"/>
      <c r="T44" s="861">
        <f t="shared" si="11"/>
        <v>0</v>
      </c>
      <c r="V44" s="846" t="s">
        <v>1326</v>
      </c>
      <c r="W44" s="846" t="s">
        <v>6935</v>
      </c>
      <c r="X44" s="847" t="s">
        <v>2511</v>
      </c>
      <c r="Y44" s="132" t="s">
        <v>10479</v>
      </c>
      <c r="AA44" s="846" t="s">
        <v>898</v>
      </c>
      <c r="AB44" s="846" t="s">
        <v>7889</v>
      </c>
      <c r="AC44" s="847" t="s">
        <v>10484</v>
      </c>
      <c r="AD44" s="132" t="s">
        <v>10482</v>
      </c>
    </row>
    <row r="45" spans="1:30" x14ac:dyDescent="0.3">
      <c r="A45" s="854">
        <v>3</v>
      </c>
      <c r="B45" s="769" t="s">
        <v>10482</v>
      </c>
      <c r="C45" s="857" t="s">
        <v>10486</v>
      </c>
      <c r="D45" s="860">
        <v>16</v>
      </c>
      <c r="E45" s="863">
        <f t="shared" si="12"/>
        <v>0</v>
      </c>
      <c r="F45" s="848">
        <f t="shared" si="12"/>
        <v>1</v>
      </c>
      <c r="G45" s="848">
        <f t="shared" si="12"/>
        <v>0</v>
      </c>
      <c r="H45" s="848">
        <f t="shared" si="12"/>
        <v>0</v>
      </c>
      <c r="I45" s="848">
        <f t="shared" si="12"/>
        <v>15</v>
      </c>
      <c r="J45" s="848">
        <f t="shared" si="12"/>
        <v>0</v>
      </c>
      <c r="K45" s="848"/>
      <c r="L45" s="852">
        <f t="shared" si="9"/>
        <v>16</v>
      </c>
      <c r="M45" s="782"/>
      <c r="N45" s="863">
        <f t="shared" si="14"/>
        <v>16</v>
      </c>
      <c r="O45" s="892"/>
      <c r="P45" s="892"/>
      <c r="Q45" s="848"/>
      <c r="R45" s="852">
        <f t="shared" si="10"/>
        <v>16</v>
      </c>
      <c r="S45" s="782"/>
      <c r="T45" s="861">
        <f t="shared" si="11"/>
        <v>0</v>
      </c>
      <c r="V45" s="846" t="s">
        <v>1326</v>
      </c>
      <c r="W45" s="846" t="s">
        <v>6938</v>
      </c>
      <c r="X45" s="847" t="s">
        <v>1906</v>
      </c>
      <c r="Y45" s="132" t="s">
        <v>10479</v>
      </c>
      <c r="AA45" s="846" t="s">
        <v>898</v>
      </c>
      <c r="AB45" s="846" t="s">
        <v>7893</v>
      </c>
      <c r="AC45" s="847" t="s">
        <v>1525</v>
      </c>
      <c r="AD45" s="132" t="s">
        <v>10480</v>
      </c>
    </row>
    <row r="46" spans="1:30" x14ac:dyDescent="0.3">
      <c r="A46" s="854">
        <v>4</v>
      </c>
      <c r="B46" s="769" t="s">
        <v>10482</v>
      </c>
      <c r="C46" s="857" t="s">
        <v>10484</v>
      </c>
      <c r="D46" s="860">
        <v>16</v>
      </c>
      <c r="E46" s="863">
        <f t="shared" si="12"/>
        <v>0</v>
      </c>
      <c r="F46" s="848">
        <f t="shared" si="12"/>
        <v>10</v>
      </c>
      <c r="G46" s="848">
        <f t="shared" si="12"/>
        <v>0</v>
      </c>
      <c r="H46" s="848">
        <f t="shared" si="12"/>
        <v>0</v>
      </c>
      <c r="I46" s="848">
        <f t="shared" si="12"/>
        <v>5</v>
      </c>
      <c r="J46" s="848">
        <f t="shared" si="12"/>
        <v>1</v>
      </c>
      <c r="K46" s="848"/>
      <c r="L46" s="852">
        <f t="shared" si="9"/>
        <v>16</v>
      </c>
      <c r="M46" s="782"/>
      <c r="N46" s="863">
        <f t="shared" si="14"/>
        <v>16</v>
      </c>
      <c r="O46" s="892"/>
      <c r="P46" s="892"/>
      <c r="Q46" s="848"/>
      <c r="R46" s="852">
        <f t="shared" si="10"/>
        <v>16</v>
      </c>
      <c r="S46" s="782"/>
      <c r="T46" s="861">
        <f t="shared" si="11"/>
        <v>0</v>
      </c>
      <c r="V46" s="846" t="s">
        <v>1326</v>
      </c>
      <c r="W46" s="846" t="s">
        <v>6941</v>
      </c>
      <c r="X46" s="847" t="s">
        <v>1905</v>
      </c>
      <c r="Y46" s="132" t="s">
        <v>10479</v>
      </c>
      <c r="AA46" s="846" t="s">
        <v>898</v>
      </c>
      <c r="AB46" s="846" t="s">
        <v>7897</v>
      </c>
      <c r="AC46" s="847" t="s">
        <v>1525</v>
      </c>
      <c r="AD46" s="132" t="s">
        <v>10480</v>
      </c>
    </row>
    <row r="47" spans="1:30" x14ac:dyDescent="0.3">
      <c r="A47" s="854">
        <v>5</v>
      </c>
      <c r="B47" s="769" t="s">
        <v>10482</v>
      </c>
      <c r="C47" s="857" t="s">
        <v>10487</v>
      </c>
      <c r="D47" s="860">
        <v>20</v>
      </c>
      <c r="E47" s="863">
        <f t="shared" si="12"/>
        <v>0</v>
      </c>
      <c r="F47" s="848">
        <f t="shared" si="12"/>
        <v>6</v>
      </c>
      <c r="G47" s="848">
        <f t="shared" si="12"/>
        <v>5</v>
      </c>
      <c r="H47" s="848">
        <f t="shared" si="12"/>
        <v>1</v>
      </c>
      <c r="I47" s="848">
        <f t="shared" si="12"/>
        <v>0</v>
      </c>
      <c r="J47" s="848">
        <f t="shared" si="12"/>
        <v>0</v>
      </c>
      <c r="K47" s="848"/>
      <c r="L47" s="852">
        <f t="shared" si="9"/>
        <v>12</v>
      </c>
      <c r="M47" s="782"/>
      <c r="N47" s="863">
        <f t="shared" si="14"/>
        <v>12</v>
      </c>
      <c r="O47" s="892"/>
      <c r="P47" s="892"/>
      <c r="Q47" s="848"/>
      <c r="R47" s="852">
        <f t="shared" si="10"/>
        <v>12</v>
      </c>
      <c r="S47" s="782"/>
      <c r="T47" s="861">
        <f t="shared" si="11"/>
        <v>0</v>
      </c>
      <c r="V47" s="846" t="s">
        <v>1326</v>
      </c>
      <c r="W47" s="846" t="s">
        <v>6944</v>
      </c>
      <c r="X47" s="847" t="s">
        <v>2511</v>
      </c>
      <c r="Y47" s="132" t="s">
        <v>10479</v>
      </c>
      <c r="AA47" s="846" t="s">
        <v>898</v>
      </c>
      <c r="AB47" s="846" t="s">
        <v>7901</v>
      </c>
      <c r="AC47" s="847" t="s">
        <v>10484</v>
      </c>
      <c r="AD47" s="132" t="s">
        <v>10482</v>
      </c>
    </row>
    <row r="48" spans="1:30" x14ac:dyDescent="0.3">
      <c r="A48" s="854">
        <v>6</v>
      </c>
      <c r="B48" s="769" t="s">
        <v>10482</v>
      </c>
      <c r="C48" s="857" t="s">
        <v>10488</v>
      </c>
      <c r="D48" s="860">
        <v>24</v>
      </c>
      <c r="E48" s="863">
        <f t="shared" si="12"/>
        <v>0</v>
      </c>
      <c r="F48" s="848">
        <f t="shared" si="12"/>
        <v>0</v>
      </c>
      <c r="G48" s="848">
        <f t="shared" si="12"/>
        <v>0</v>
      </c>
      <c r="H48" s="848">
        <f t="shared" si="12"/>
        <v>0</v>
      </c>
      <c r="I48" s="848">
        <f t="shared" si="12"/>
        <v>17</v>
      </c>
      <c r="J48" s="848">
        <f t="shared" si="12"/>
        <v>5</v>
      </c>
      <c r="K48" s="848"/>
      <c r="L48" s="852">
        <f t="shared" si="9"/>
        <v>22</v>
      </c>
      <c r="M48" s="782"/>
      <c r="N48" s="863">
        <f t="shared" si="14"/>
        <v>22</v>
      </c>
      <c r="O48" s="892"/>
      <c r="P48" s="892"/>
      <c r="Q48" s="848"/>
      <c r="R48" s="852">
        <f t="shared" si="10"/>
        <v>22</v>
      </c>
      <c r="S48" s="782"/>
      <c r="T48" s="861">
        <f t="shared" si="11"/>
        <v>0</v>
      </c>
      <c r="V48" s="846" t="s">
        <v>1326</v>
      </c>
      <c r="W48" s="846" t="s">
        <v>6947</v>
      </c>
      <c r="X48" s="847" t="s">
        <v>1904</v>
      </c>
      <c r="Y48" s="132" t="s">
        <v>10479</v>
      </c>
      <c r="AA48" s="846" t="s">
        <v>898</v>
      </c>
      <c r="AB48" s="846" t="s">
        <v>7905</v>
      </c>
      <c r="AC48" s="847" t="s">
        <v>1525</v>
      </c>
      <c r="AD48" s="132" t="s">
        <v>10480</v>
      </c>
    </row>
    <row r="49" spans="1:30" x14ac:dyDescent="0.3">
      <c r="A49" s="864">
        <v>7</v>
      </c>
      <c r="B49" s="769" t="s">
        <v>10482</v>
      </c>
      <c r="C49" s="1014" t="s">
        <v>10489</v>
      </c>
      <c r="D49" s="1015">
        <v>8</v>
      </c>
      <c r="E49" s="868">
        <f t="shared" si="12"/>
        <v>0</v>
      </c>
      <c r="F49" s="869">
        <f t="shared" si="12"/>
        <v>0</v>
      </c>
      <c r="G49" s="869">
        <f t="shared" si="12"/>
        <v>0</v>
      </c>
      <c r="H49" s="869">
        <f t="shared" si="12"/>
        <v>0</v>
      </c>
      <c r="I49" s="869">
        <f t="shared" si="12"/>
        <v>0</v>
      </c>
      <c r="J49" s="869">
        <f t="shared" si="12"/>
        <v>0</v>
      </c>
      <c r="K49" s="869"/>
      <c r="L49" s="852">
        <f t="shared" si="9"/>
        <v>0</v>
      </c>
      <c r="M49" s="782"/>
      <c r="N49" s="868">
        <f t="shared" si="14"/>
        <v>0</v>
      </c>
      <c r="O49" s="893"/>
      <c r="P49" s="893"/>
      <c r="Q49" s="869"/>
      <c r="R49" s="852">
        <f t="shared" ref="R49:R50" si="15">SUM(N49:Q49)</f>
        <v>0</v>
      </c>
      <c r="S49" s="782"/>
      <c r="T49" s="861">
        <f t="shared" ref="T49:T50" si="16">L49-R49</f>
        <v>0</v>
      </c>
      <c r="V49" s="846" t="s">
        <v>1326</v>
      </c>
      <c r="W49" s="846" t="s">
        <v>6951</v>
      </c>
      <c r="X49" s="847" t="s">
        <v>1905</v>
      </c>
      <c r="Y49" s="132" t="s">
        <v>10479</v>
      </c>
      <c r="AA49" s="846" t="s">
        <v>898</v>
      </c>
      <c r="AB49" s="846" t="s">
        <v>7908</v>
      </c>
      <c r="AC49" s="847" t="s">
        <v>1525</v>
      </c>
      <c r="AD49" s="132" t="s">
        <v>10480</v>
      </c>
    </row>
    <row r="50" spans="1:30" x14ac:dyDescent="0.3">
      <c r="A50" s="864">
        <v>8</v>
      </c>
      <c r="B50" s="769" t="s">
        <v>10482</v>
      </c>
      <c r="C50" s="1014" t="s">
        <v>10490</v>
      </c>
      <c r="D50" s="1015">
        <v>8</v>
      </c>
      <c r="E50" s="868">
        <f t="shared" si="12"/>
        <v>0</v>
      </c>
      <c r="F50" s="869">
        <f t="shared" si="12"/>
        <v>0</v>
      </c>
      <c r="G50" s="869">
        <f t="shared" si="12"/>
        <v>0</v>
      </c>
      <c r="H50" s="869">
        <f t="shared" si="12"/>
        <v>0</v>
      </c>
      <c r="I50" s="869">
        <f t="shared" si="12"/>
        <v>0</v>
      </c>
      <c r="J50" s="869">
        <f t="shared" si="12"/>
        <v>0</v>
      </c>
      <c r="K50" s="869"/>
      <c r="L50" s="852">
        <f t="shared" si="9"/>
        <v>0</v>
      </c>
      <c r="M50" s="782"/>
      <c r="N50" s="868">
        <f t="shared" si="14"/>
        <v>0</v>
      </c>
      <c r="O50" s="893"/>
      <c r="P50" s="893"/>
      <c r="Q50" s="869"/>
      <c r="R50" s="852">
        <f t="shared" si="15"/>
        <v>0</v>
      </c>
      <c r="S50" s="782"/>
      <c r="T50" s="861">
        <f t="shared" si="16"/>
        <v>0</v>
      </c>
      <c r="V50" s="846" t="s">
        <v>1326</v>
      </c>
      <c r="W50" s="846" t="s">
        <v>6954</v>
      </c>
      <c r="X50" s="847" t="s">
        <v>2511</v>
      </c>
      <c r="Y50" s="132" t="s">
        <v>10479</v>
      </c>
      <c r="AA50" s="846" t="s">
        <v>898</v>
      </c>
      <c r="AB50" s="846" t="s">
        <v>7911</v>
      </c>
      <c r="AC50" s="847" t="s">
        <v>10485</v>
      </c>
      <c r="AD50" s="132" t="s">
        <v>10482</v>
      </c>
    </row>
    <row r="51" spans="1:30" x14ac:dyDescent="0.3">
      <c r="A51" s="864"/>
      <c r="B51" s="865"/>
      <c r="C51" s="866"/>
      <c r="D51" s="867"/>
      <c r="E51" s="868"/>
      <c r="F51" s="869"/>
      <c r="G51" s="869"/>
      <c r="H51" s="869"/>
      <c r="I51" s="869"/>
      <c r="J51" s="869"/>
      <c r="K51" s="869"/>
      <c r="L51" s="870"/>
      <c r="M51" s="782"/>
      <c r="N51" s="868"/>
      <c r="O51" s="893"/>
      <c r="P51" s="893"/>
      <c r="Q51" s="869"/>
      <c r="R51" s="870"/>
      <c r="S51" s="782"/>
      <c r="T51" s="867"/>
      <c r="V51" s="846" t="s">
        <v>1326</v>
      </c>
      <c r="W51" s="846" t="s">
        <v>6957</v>
      </c>
      <c r="X51" s="847" t="s">
        <v>2511</v>
      </c>
      <c r="Y51" s="132" t="s">
        <v>10479</v>
      </c>
      <c r="AA51" s="846" t="s">
        <v>898</v>
      </c>
      <c r="AB51" s="846" t="s">
        <v>7914</v>
      </c>
      <c r="AC51" s="847" t="s">
        <v>1525</v>
      </c>
      <c r="AD51" s="132" t="s">
        <v>10480</v>
      </c>
    </row>
    <row r="52" spans="1:30" x14ac:dyDescent="0.3">
      <c r="A52" s="874"/>
      <c r="B52" s="875"/>
      <c r="C52" s="876"/>
      <c r="D52" s="877">
        <f>SUM(D36:D51)</f>
        <v>194</v>
      </c>
      <c r="E52" s="878">
        <f t="shared" ref="E52:J52" si="17">SUM(E36:E51)</f>
        <v>21</v>
      </c>
      <c r="F52" s="879">
        <f t="shared" si="17"/>
        <v>51</v>
      </c>
      <c r="G52" s="879">
        <f t="shared" si="17"/>
        <v>9</v>
      </c>
      <c r="H52" s="879">
        <f t="shared" si="17"/>
        <v>2</v>
      </c>
      <c r="I52" s="879">
        <f t="shared" si="17"/>
        <v>37</v>
      </c>
      <c r="J52" s="879">
        <f t="shared" si="17"/>
        <v>9</v>
      </c>
      <c r="K52" s="879"/>
      <c r="L52" s="880">
        <f>SUM(L36:L51)</f>
        <v>129</v>
      </c>
      <c r="M52" s="881"/>
      <c r="N52" s="885">
        <f>SUM(N36:N51)</f>
        <v>129</v>
      </c>
      <c r="O52" s="879"/>
      <c r="P52" s="879"/>
      <c r="Q52" s="879"/>
      <c r="R52" s="880">
        <f>SUM(R36:R51)</f>
        <v>129</v>
      </c>
      <c r="S52" s="881"/>
      <c r="T52" s="877">
        <f>SUM(T36:T51)</f>
        <v>0</v>
      </c>
      <c r="V52" s="846" t="s">
        <v>1326</v>
      </c>
      <c r="W52" s="846" t="s">
        <v>6960</v>
      </c>
      <c r="X52" s="847" t="s">
        <v>1904</v>
      </c>
      <c r="Y52" s="132" t="s">
        <v>10479</v>
      </c>
      <c r="AA52" s="846" t="s">
        <v>898</v>
      </c>
      <c r="AB52" s="846" t="s">
        <v>7917</v>
      </c>
      <c r="AC52" s="847" t="s">
        <v>10487</v>
      </c>
      <c r="AD52" s="132" t="s">
        <v>10482</v>
      </c>
    </row>
    <row r="53" spans="1:30" x14ac:dyDescent="0.3">
      <c r="V53" s="846" t="s">
        <v>1326</v>
      </c>
      <c r="W53" s="846" t="s">
        <v>6963</v>
      </c>
      <c r="X53" s="847" t="s">
        <v>1903</v>
      </c>
      <c r="Y53" s="132" t="s">
        <v>10479</v>
      </c>
      <c r="AA53" s="846" t="s">
        <v>898</v>
      </c>
      <c r="AB53" s="846" t="s">
        <v>7920</v>
      </c>
      <c r="AC53" s="847" t="s">
        <v>1525</v>
      </c>
      <c r="AD53" s="132" t="s">
        <v>10480</v>
      </c>
    </row>
    <row r="54" spans="1:30" x14ac:dyDescent="0.3">
      <c r="V54" s="846" t="s">
        <v>1326</v>
      </c>
      <c r="W54" s="846" t="s">
        <v>6966</v>
      </c>
      <c r="X54" s="847" t="s">
        <v>1903</v>
      </c>
      <c r="Y54" s="132" t="s">
        <v>10479</v>
      </c>
      <c r="AA54" s="846" t="s">
        <v>898</v>
      </c>
      <c r="AB54" s="846" t="s">
        <v>7923</v>
      </c>
      <c r="AC54" s="847" t="s">
        <v>10485</v>
      </c>
      <c r="AD54" s="132" t="s">
        <v>10482</v>
      </c>
    </row>
    <row r="55" spans="1:30" x14ac:dyDescent="0.3">
      <c r="J55" s="132" t="s">
        <v>1525</v>
      </c>
      <c r="V55" s="846" t="s">
        <v>1326</v>
      </c>
      <c r="W55" s="846" t="s">
        <v>6970</v>
      </c>
      <c r="X55" s="847" t="s">
        <v>1904</v>
      </c>
      <c r="Y55" s="132" t="s">
        <v>10479</v>
      </c>
      <c r="AA55" s="846" t="s">
        <v>898</v>
      </c>
      <c r="AB55" s="846" t="s">
        <v>7926</v>
      </c>
      <c r="AC55" s="847" t="s">
        <v>10487</v>
      </c>
      <c r="AD55" s="132" t="s">
        <v>10482</v>
      </c>
    </row>
    <row r="56" spans="1:30" x14ac:dyDescent="0.3">
      <c r="J56" s="132" t="s">
        <v>1587</v>
      </c>
      <c r="V56" s="846" t="s">
        <v>1326</v>
      </c>
      <c r="W56" s="846" t="s">
        <v>6973</v>
      </c>
      <c r="X56" s="847" t="s">
        <v>1903</v>
      </c>
      <c r="Y56" s="132" t="s">
        <v>10479</v>
      </c>
      <c r="AA56" s="846" t="s">
        <v>898</v>
      </c>
      <c r="AB56" s="846" t="s">
        <v>7929</v>
      </c>
      <c r="AC56" s="847" t="s">
        <v>1525</v>
      </c>
      <c r="AD56" s="132" t="s">
        <v>10480</v>
      </c>
    </row>
    <row r="57" spans="1:30" x14ac:dyDescent="0.3">
      <c r="J57" s="132" t="s">
        <v>1570</v>
      </c>
      <c r="V57" s="846" t="s">
        <v>1326</v>
      </c>
      <c r="W57" s="846" t="s">
        <v>6976</v>
      </c>
      <c r="X57" s="847" t="s">
        <v>1903</v>
      </c>
      <c r="Y57" s="132" t="s">
        <v>10479</v>
      </c>
      <c r="AA57" s="846" t="s">
        <v>898</v>
      </c>
      <c r="AB57" s="846" t="s">
        <v>7932</v>
      </c>
      <c r="AC57" s="847" t="s">
        <v>10486</v>
      </c>
      <c r="AD57" s="132" t="s">
        <v>10482</v>
      </c>
    </row>
    <row r="58" spans="1:30" x14ac:dyDescent="0.3">
      <c r="J58" s="132" t="s">
        <v>1590</v>
      </c>
      <c r="V58" s="846" t="s">
        <v>1326</v>
      </c>
      <c r="W58" s="846" t="s">
        <v>6979</v>
      </c>
      <c r="X58" s="847" t="s">
        <v>1904</v>
      </c>
      <c r="Y58" s="132" t="s">
        <v>10479</v>
      </c>
      <c r="AA58" s="846" t="s">
        <v>898</v>
      </c>
      <c r="AB58" s="846" t="s">
        <v>7936</v>
      </c>
      <c r="AC58" s="847" t="s">
        <v>10485</v>
      </c>
      <c r="AD58" s="132" t="s">
        <v>10482</v>
      </c>
    </row>
    <row r="59" spans="1:30" x14ac:dyDescent="0.3">
      <c r="J59" s="132" t="s">
        <v>1568</v>
      </c>
      <c r="V59" s="846" t="s">
        <v>1326</v>
      </c>
      <c r="W59" s="846" t="s">
        <v>6982</v>
      </c>
      <c r="X59" s="847" t="s">
        <v>1903</v>
      </c>
      <c r="Y59" s="132" t="s">
        <v>10479</v>
      </c>
      <c r="AA59" s="846" t="s">
        <v>898</v>
      </c>
      <c r="AB59" s="846" t="s">
        <v>7940</v>
      </c>
      <c r="AC59" s="847" t="s">
        <v>10487</v>
      </c>
      <c r="AD59" s="132" t="s">
        <v>10482</v>
      </c>
    </row>
    <row r="60" spans="1:30" x14ac:dyDescent="0.3">
      <c r="J60" s="132" t="s">
        <v>1522</v>
      </c>
      <c r="V60" s="846" t="s">
        <v>1326</v>
      </c>
      <c r="W60" s="846" t="s">
        <v>6985</v>
      </c>
      <c r="X60" s="847" t="s">
        <v>1903</v>
      </c>
      <c r="Y60" s="132" t="s">
        <v>10479</v>
      </c>
      <c r="AA60" s="846" t="s">
        <v>898</v>
      </c>
      <c r="AB60" s="846" t="s">
        <v>7943</v>
      </c>
      <c r="AC60" s="847" t="s">
        <v>1525</v>
      </c>
      <c r="AD60" s="132" t="s">
        <v>10480</v>
      </c>
    </row>
    <row r="61" spans="1:30" x14ac:dyDescent="0.3">
      <c r="J61" s="132" t="s">
        <v>10481</v>
      </c>
      <c r="V61" s="846" t="s">
        <v>1326</v>
      </c>
      <c r="W61" s="846" t="s">
        <v>6988</v>
      </c>
      <c r="X61" s="847" t="s">
        <v>1903</v>
      </c>
      <c r="Y61" s="132" t="s">
        <v>10479</v>
      </c>
      <c r="AA61" s="846" t="s">
        <v>898</v>
      </c>
      <c r="AB61" s="846" t="s">
        <v>7946</v>
      </c>
      <c r="AC61" s="847" t="s">
        <v>10485</v>
      </c>
      <c r="AD61" s="132" t="s">
        <v>10482</v>
      </c>
    </row>
    <row r="62" spans="1:30" x14ac:dyDescent="0.3">
      <c r="J62" s="132" t="s">
        <v>10485</v>
      </c>
      <c r="V62" s="846" t="s">
        <v>1326</v>
      </c>
      <c r="W62" s="846" t="s">
        <v>6991</v>
      </c>
      <c r="X62" s="847" t="s">
        <v>1906</v>
      </c>
      <c r="Y62" s="132" t="s">
        <v>10479</v>
      </c>
      <c r="AA62" s="846" t="s">
        <v>898</v>
      </c>
      <c r="AB62" s="846" t="s">
        <v>7949</v>
      </c>
      <c r="AC62" s="847" t="s">
        <v>10485</v>
      </c>
      <c r="AD62" s="132" t="s">
        <v>10482</v>
      </c>
    </row>
    <row r="63" spans="1:30" x14ac:dyDescent="0.3">
      <c r="J63" s="132" t="s">
        <v>10486</v>
      </c>
      <c r="V63" s="846" t="s">
        <v>1326</v>
      </c>
      <c r="W63" s="846" t="s">
        <v>6994</v>
      </c>
      <c r="X63" s="847" t="s">
        <v>1905</v>
      </c>
      <c r="Y63" s="132" t="s">
        <v>10479</v>
      </c>
      <c r="AA63" s="846" t="s">
        <v>898</v>
      </c>
      <c r="AB63" s="846" t="s">
        <v>7952</v>
      </c>
      <c r="AC63" s="847" t="s">
        <v>1525</v>
      </c>
      <c r="AD63" s="132" t="s">
        <v>10480</v>
      </c>
    </row>
    <row r="64" spans="1:30" x14ac:dyDescent="0.3">
      <c r="J64" s="132" t="s">
        <v>10484</v>
      </c>
      <c r="V64" s="846" t="s">
        <v>1326</v>
      </c>
      <c r="W64" s="846" t="s">
        <v>6997</v>
      </c>
      <c r="X64" s="847" t="s">
        <v>1908</v>
      </c>
      <c r="Y64" s="132" t="s">
        <v>10479</v>
      </c>
      <c r="AA64" s="846" t="s">
        <v>898</v>
      </c>
      <c r="AB64" s="846" t="s">
        <v>7955</v>
      </c>
      <c r="AC64" s="847" t="s">
        <v>1525</v>
      </c>
      <c r="AD64" s="132" t="s">
        <v>10480</v>
      </c>
    </row>
    <row r="65" spans="10:30" x14ac:dyDescent="0.3">
      <c r="J65" s="132" t="s">
        <v>10487</v>
      </c>
      <c r="V65" s="846" t="s">
        <v>1250</v>
      </c>
      <c r="W65" s="846" t="s">
        <v>7020</v>
      </c>
      <c r="X65" s="847" t="s">
        <v>1901</v>
      </c>
      <c r="Y65" s="132" t="s">
        <v>10479</v>
      </c>
      <c r="AA65" s="846" t="s">
        <v>898</v>
      </c>
      <c r="AB65" s="846" t="s">
        <v>7959</v>
      </c>
      <c r="AC65" s="847" t="s">
        <v>10487</v>
      </c>
      <c r="AD65" s="132" t="s">
        <v>10482</v>
      </c>
    </row>
    <row r="66" spans="10:30" x14ac:dyDescent="0.3">
      <c r="J66" s="132" t="s">
        <v>10488</v>
      </c>
      <c r="V66" s="846" t="s">
        <v>1250</v>
      </c>
      <c r="W66" s="846" t="s">
        <v>7023</v>
      </c>
      <c r="X66" s="847" t="s">
        <v>1903</v>
      </c>
      <c r="Y66" s="132" t="s">
        <v>10479</v>
      </c>
      <c r="AA66" s="846" t="s">
        <v>898</v>
      </c>
      <c r="AB66" s="846" t="s">
        <v>7963</v>
      </c>
      <c r="AC66" s="847" t="s">
        <v>10487</v>
      </c>
      <c r="AD66" s="132" t="s">
        <v>10482</v>
      </c>
    </row>
    <row r="67" spans="10:30" x14ac:dyDescent="0.3">
      <c r="J67"/>
      <c r="V67" s="846" t="s">
        <v>1250</v>
      </c>
      <c r="W67" s="846" t="s">
        <v>7027</v>
      </c>
      <c r="X67" s="847" t="s">
        <v>1902</v>
      </c>
      <c r="Y67" s="132" t="s">
        <v>10479</v>
      </c>
      <c r="AA67" s="846" t="s">
        <v>898</v>
      </c>
      <c r="AB67" s="846" t="s">
        <v>7967</v>
      </c>
      <c r="AC67" s="847" t="s">
        <v>1525</v>
      </c>
      <c r="AD67" s="132" t="s">
        <v>10480</v>
      </c>
    </row>
    <row r="68" spans="10:30" x14ac:dyDescent="0.3">
      <c r="J68"/>
      <c r="V68" s="846" t="s">
        <v>1250</v>
      </c>
      <c r="W68" s="846" t="s">
        <v>7031</v>
      </c>
      <c r="X68" s="847" t="s">
        <v>1903</v>
      </c>
      <c r="Y68" s="132" t="s">
        <v>10479</v>
      </c>
      <c r="AA68" s="846" t="s">
        <v>898</v>
      </c>
      <c r="AB68" s="846" t="s">
        <v>7971</v>
      </c>
      <c r="AC68" s="847" t="s">
        <v>1525</v>
      </c>
      <c r="AD68" s="132" t="s">
        <v>10480</v>
      </c>
    </row>
    <row r="69" spans="10:30" x14ac:dyDescent="0.3">
      <c r="J69"/>
      <c r="V69" s="846" t="s">
        <v>1250</v>
      </c>
      <c r="W69" s="846" t="s">
        <v>7034</v>
      </c>
      <c r="X69" s="847" t="s">
        <v>1901</v>
      </c>
      <c r="Y69" s="132" t="s">
        <v>10479</v>
      </c>
      <c r="AA69" s="846" t="s">
        <v>898</v>
      </c>
      <c r="AB69" s="846" t="s">
        <v>7974</v>
      </c>
      <c r="AC69" s="847" t="s">
        <v>10485</v>
      </c>
      <c r="AD69" s="132" t="s">
        <v>10482</v>
      </c>
    </row>
    <row r="70" spans="10:30" x14ac:dyDescent="0.3">
      <c r="J70"/>
      <c r="V70" s="846" t="s">
        <v>1250</v>
      </c>
      <c r="W70" s="846" t="s">
        <v>7037</v>
      </c>
      <c r="X70" s="847" t="s">
        <v>1903</v>
      </c>
      <c r="Y70" s="132" t="s">
        <v>10479</v>
      </c>
      <c r="AA70" s="846" t="s">
        <v>898</v>
      </c>
      <c r="AB70" s="846" t="s">
        <v>7977</v>
      </c>
      <c r="AC70" s="847" t="s">
        <v>1525</v>
      </c>
      <c r="AD70" s="132" t="s">
        <v>10480</v>
      </c>
    </row>
    <row r="71" spans="10:30" x14ac:dyDescent="0.3">
      <c r="J71"/>
      <c r="V71" s="846" t="s">
        <v>1250</v>
      </c>
      <c r="W71" s="846" t="s">
        <v>7041</v>
      </c>
      <c r="X71" s="847" t="s">
        <v>1902</v>
      </c>
      <c r="Y71" s="132" t="s">
        <v>10479</v>
      </c>
      <c r="AA71" s="846" t="s">
        <v>898</v>
      </c>
      <c r="AB71" s="846" t="s">
        <v>7981</v>
      </c>
      <c r="AC71" s="847" t="s">
        <v>10487</v>
      </c>
      <c r="AD71" s="132" t="s">
        <v>10482</v>
      </c>
    </row>
    <row r="72" spans="10:30" x14ac:dyDescent="0.3">
      <c r="J72"/>
      <c r="V72" s="846" t="s">
        <v>1250</v>
      </c>
      <c r="W72" s="846" t="s">
        <v>7045</v>
      </c>
      <c r="X72" s="847" t="s">
        <v>2513</v>
      </c>
      <c r="Y72" s="132" t="s">
        <v>10479</v>
      </c>
      <c r="AA72" s="846" t="s">
        <v>898</v>
      </c>
      <c r="AB72" s="846" t="s">
        <v>7984</v>
      </c>
      <c r="AC72" s="847" t="s">
        <v>1525</v>
      </c>
      <c r="AD72" s="132" t="s">
        <v>10480</v>
      </c>
    </row>
    <row r="73" spans="10:30" x14ac:dyDescent="0.3">
      <c r="J73"/>
      <c r="V73" s="846" t="s">
        <v>1250</v>
      </c>
      <c r="W73" s="846" t="s">
        <v>7049</v>
      </c>
      <c r="X73" s="847" t="s">
        <v>2513</v>
      </c>
      <c r="Y73" s="132" t="s">
        <v>10479</v>
      </c>
      <c r="AA73" s="846" t="s">
        <v>898</v>
      </c>
      <c r="AB73" s="846" t="s">
        <v>7988</v>
      </c>
      <c r="AC73" s="847" t="s">
        <v>10485</v>
      </c>
      <c r="AD73" s="132" t="s">
        <v>10482</v>
      </c>
    </row>
    <row r="74" spans="10:30" x14ac:dyDescent="0.3">
      <c r="J74"/>
      <c r="V74" s="846" t="s">
        <v>1250</v>
      </c>
      <c r="W74" s="846" t="s">
        <v>7052</v>
      </c>
      <c r="X74" s="847" t="s">
        <v>1904</v>
      </c>
      <c r="Y74" s="132" t="s">
        <v>10479</v>
      </c>
      <c r="AA74" s="846" t="s">
        <v>898</v>
      </c>
      <c r="AB74" s="846" t="s">
        <v>7991</v>
      </c>
      <c r="AC74" s="847" t="s">
        <v>1525</v>
      </c>
      <c r="AD74" s="132" t="s">
        <v>10480</v>
      </c>
    </row>
    <row r="75" spans="10:30" x14ac:dyDescent="0.3">
      <c r="J75"/>
      <c r="V75" s="846" t="s">
        <v>1250</v>
      </c>
      <c r="W75" s="846" t="s">
        <v>7055</v>
      </c>
      <c r="X75" s="847" t="s">
        <v>1902</v>
      </c>
      <c r="Y75" s="132" t="s">
        <v>10479</v>
      </c>
      <c r="AA75" s="846" t="s">
        <v>931</v>
      </c>
      <c r="AB75" s="846" t="s">
        <v>7994</v>
      </c>
      <c r="AC75" s="847" t="s">
        <v>10485</v>
      </c>
      <c r="AD75" s="132" t="s">
        <v>10482</v>
      </c>
    </row>
    <row r="76" spans="10:30" x14ac:dyDescent="0.3">
      <c r="J76"/>
      <c r="V76" s="846" t="s">
        <v>1250</v>
      </c>
      <c r="W76" s="846" t="s">
        <v>7058</v>
      </c>
      <c r="X76" s="847" t="s">
        <v>1901</v>
      </c>
      <c r="Y76" s="132" t="s">
        <v>10479</v>
      </c>
      <c r="AA76" s="846" t="s">
        <v>931</v>
      </c>
      <c r="AB76" s="846" t="s">
        <v>7997</v>
      </c>
      <c r="AC76" s="847" t="s">
        <v>10487</v>
      </c>
      <c r="AD76" s="132" t="s">
        <v>10482</v>
      </c>
    </row>
    <row r="77" spans="10:30" x14ac:dyDescent="0.3">
      <c r="J77"/>
      <c r="V77" s="846" t="s">
        <v>1250</v>
      </c>
      <c r="W77" s="846" t="s">
        <v>7061</v>
      </c>
      <c r="X77" s="847" t="s">
        <v>1904</v>
      </c>
      <c r="Y77" s="132" t="s">
        <v>10479</v>
      </c>
      <c r="AA77" s="846" t="s">
        <v>931</v>
      </c>
      <c r="AB77" s="846" t="s">
        <v>8001</v>
      </c>
      <c r="AC77" s="847" t="s">
        <v>10487</v>
      </c>
      <c r="AD77" s="132" t="s">
        <v>10482</v>
      </c>
    </row>
    <row r="78" spans="10:30" x14ac:dyDescent="0.3">
      <c r="J78"/>
      <c r="V78" s="846" t="s">
        <v>1250</v>
      </c>
      <c r="W78" s="846" t="s">
        <v>7065</v>
      </c>
      <c r="X78" s="847" t="s">
        <v>1901</v>
      </c>
      <c r="Y78" s="132" t="s">
        <v>10479</v>
      </c>
      <c r="AA78" s="846" t="s">
        <v>931</v>
      </c>
      <c r="AB78" s="846" t="s">
        <v>8005</v>
      </c>
      <c r="AC78" s="847" t="s">
        <v>10487</v>
      </c>
      <c r="AD78" s="132" t="s">
        <v>10482</v>
      </c>
    </row>
    <row r="79" spans="10:30" x14ac:dyDescent="0.3">
      <c r="J79"/>
      <c r="V79" s="846" t="s">
        <v>1250</v>
      </c>
      <c r="W79" s="846" t="s">
        <v>7068</v>
      </c>
      <c r="X79" s="847" t="s">
        <v>1901</v>
      </c>
      <c r="Y79" s="132" t="s">
        <v>10479</v>
      </c>
      <c r="AA79" s="846" t="s">
        <v>931</v>
      </c>
      <c r="AB79" s="846" t="s">
        <v>8008</v>
      </c>
      <c r="AC79" s="847" t="s">
        <v>1525</v>
      </c>
      <c r="AD79" s="132" t="s">
        <v>10480</v>
      </c>
    </row>
    <row r="80" spans="10:30" x14ac:dyDescent="0.3">
      <c r="J80"/>
      <c r="V80" s="846" t="s">
        <v>1250</v>
      </c>
      <c r="W80" s="846" t="s">
        <v>7071</v>
      </c>
      <c r="X80" s="847" t="s">
        <v>1900</v>
      </c>
      <c r="Y80" s="132" t="s">
        <v>10479</v>
      </c>
      <c r="AA80" s="846" t="s">
        <v>931</v>
      </c>
      <c r="AB80" s="846" t="s">
        <v>8011</v>
      </c>
      <c r="AC80" s="847" t="s">
        <v>1525</v>
      </c>
      <c r="AD80" s="132" t="s">
        <v>10480</v>
      </c>
    </row>
    <row r="81" spans="10:30" x14ac:dyDescent="0.3">
      <c r="J81"/>
      <c r="V81" s="846" t="s">
        <v>1250</v>
      </c>
      <c r="W81" s="846" t="s">
        <v>7074</v>
      </c>
      <c r="X81" s="847" t="s">
        <v>1901</v>
      </c>
      <c r="Y81" s="132" t="s">
        <v>10479</v>
      </c>
      <c r="AA81" s="846" t="s">
        <v>931</v>
      </c>
      <c r="AB81" s="846" t="s">
        <v>8015</v>
      </c>
      <c r="AC81" s="847" t="s">
        <v>10487</v>
      </c>
      <c r="AD81" s="132" t="s">
        <v>10482</v>
      </c>
    </row>
    <row r="82" spans="10:30" x14ac:dyDescent="0.3">
      <c r="J82"/>
      <c r="V82" s="846" t="s">
        <v>1250</v>
      </c>
      <c r="W82" s="846" t="s">
        <v>7077</v>
      </c>
      <c r="X82" s="847" t="s">
        <v>2513</v>
      </c>
      <c r="Y82" s="132" t="s">
        <v>10479</v>
      </c>
      <c r="AA82" s="846" t="s">
        <v>931</v>
      </c>
      <c r="AB82" s="846" t="s">
        <v>8018</v>
      </c>
      <c r="AC82" s="847" t="s">
        <v>10485</v>
      </c>
      <c r="AD82" s="132" t="s">
        <v>10482</v>
      </c>
    </row>
    <row r="83" spans="10:30" x14ac:dyDescent="0.3">
      <c r="J83"/>
      <c r="V83" s="846" t="s">
        <v>1250</v>
      </c>
      <c r="W83" s="846" t="s">
        <v>7080</v>
      </c>
      <c r="X83" s="847" t="s">
        <v>1900</v>
      </c>
      <c r="Y83" s="132" t="s">
        <v>10479</v>
      </c>
      <c r="AA83" s="846" t="s">
        <v>931</v>
      </c>
      <c r="AB83" s="846" t="s">
        <v>8021</v>
      </c>
      <c r="AC83" s="847" t="s">
        <v>10487</v>
      </c>
      <c r="AD83" s="132" t="s">
        <v>10482</v>
      </c>
    </row>
    <row r="84" spans="10:30" x14ac:dyDescent="0.3">
      <c r="J84"/>
      <c r="V84" s="846" t="s">
        <v>1250</v>
      </c>
      <c r="W84" s="846" t="s">
        <v>7083</v>
      </c>
      <c r="X84" s="847" t="s">
        <v>1900</v>
      </c>
      <c r="Y84" s="132" t="s">
        <v>10479</v>
      </c>
      <c r="AA84" s="846" t="s">
        <v>1326</v>
      </c>
      <c r="AB84" s="846" t="s">
        <v>8025</v>
      </c>
      <c r="AC84" s="847" t="s">
        <v>1525</v>
      </c>
      <c r="AD84" s="132" t="s">
        <v>10480</v>
      </c>
    </row>
    <row r="85" spans="10:30" x14ac:dyDescent="0.3">
      <c r="J85"/>
      <c r="V85" s="846" t="s">
        <v>1250</v>
      </c>
      <c r="W85" s="846" t="s">
        <v>7086</v>
      </c>
      <c r="X85" s="847" t="s">
        <v>1901</v>
      </c>
      <c r="Y85" s="132" t="s">
        <v>10479</v>
      </c>
      <c r="AA85" s="846" t="s">
        <v>1326</v>
      </c>
      <c r="AB85" s="846" t="s">
        <v>8028</v>
      </c>
      <c r="AC85" s="847" t="s">
        <v>10487</v>
      </c>
      <c r="AD85" s="132" t="s">
        <v>10482</v>
      </c>
    </row>
    <row r="86" spans="10:30" x14ac:dyDescent="0.3">
      <c r="J86"/>
      <c r="V86" s="846" t="s">
        <v>1250</v>
      </c>
      <c r="W86" s="846" t="s">
        <v>7090</v>
      </c>
      <c r="X86" s="847" t="s">
        <v>1900</v>
      </c>
      <c r="Y86" s="132" t="s">
        <v>10479</v>
      </c>
      <c r="AA86" s="846" t="s">
        <v>1262</v>
      </c>
      <c r="AB86" s="846" t="s">
        <v>8031</v>
      </c>
      <c r="AC86" s="847" t="s">
        <v>10486</v>
      </c>
      <c r="AD86" s="132" t="s">
        <v>10482</v>
      </c>
    </row>
    <row r="87" spans="10:30" x14ac:dyDescent="0.3">
      <c r="J87"/>
      <c r="V87" s="846" t="s">
        <v>1250</v>
      </c>
      <c r="W87" s="846" t="s">
        <v>7093</v>
      </c>
      <c r="X87" s="847" t="s">
        <v>1900</v>
      </c>
      <c r="Y87" s="132" t="s">
        <v>10479</v>
      </c>
      <c r="AA87" s="846" t="s">
        <v>1262</v>
      </c>
      <c r="AB87" s="846" t="s">
        <v>8034</v>
      </c>
      <c r="AC87" s="847" t="s">
        <v>10486</v>
      </c>
      <c r="AD87" s="132" t="s">
        <v>10482</v>
      </c>
    </row>
    <row r="88" spans="10:30" x14ac:dyDescent="0.3">
      <c r="J88"/>
      <c r="V88" s="846" t="s">
        <v>1250</v>
      </c>
      <c r="W88" s="846" t="s">
        <v>7096</v>
      </c>
      <c r="X88" s="847" t="s">
        <v>1899</v>
      </c>
      <c r="Y88" s="132" t="s">
        <v>10479</v>
      </c>
      <c r="AA88" s="846" t="s">
        <v>1262</v>
      </c>
      <c r="AB88" s="846" t="s">
        <v>8037</v>
      </c>
      <c r="AC88" s="847" t="s">
        <v>10486</v>
      </c>
      <c r="AD88" s="132" t="s">
        <v>10482</v>
      </c>
    </row>
    <row r="89" spans="10:30" x14ac:dyDescent="0.3">
      <c r="J89"/>
      <c r="V89" s="846" t="s">
        <v>1250</v>
      </c>
      <c r="W89" s="846" t="s">
        <v>7099</v>
      </c>
      <c r="X89" s="847" t="s">
        <v>2513</v>
      </c>
      <c r="Y89" s="132" t="s">
        <v>10479</v>
      </c>
      <c r="AA89" s="846" t="s">
        <v>1262</v>
      </c>
      <c r="AB89" s="846" t="s">
        <v>8040</v>
      </c>
      <c r="AC89" s="847" t="s">
        <v>10486</v>
      </c>
      <c r="AD89" s="132" t="s">
        <v>10482</v>
      </c>
    </row>
    <row r="90" spans="10:30" x14ac:dyDescent="0.3">
      <c r="J90"/>
      <c r="V90" s="846" t="s">
        <v>1250</v>
      </c>
      <c r="W90" s="846" t="s">
        <v>7103</v>
      </c>
      <c r="X90" s="847" t="s">
        <v>1899</v>
      </c>
      <c r="Y90" s="132" t="s">
        <v>10479</v>
      </c>
      <c r="AA90" s="846" t="s">
        <v>1262</v>
      </c>
      <c r="AB90" s="846" t="s">
        <v>8043</v>
      </c>
      <c r="AC90" s="847" t="s">
        <v>10484</v>
      </c>
      <c r="AD90" s="132" t="s">
        <v>10482</v>
      </c>
    </row>
    <row r="91" spans="10:30" x14ac:dyDescent="0.3">
      <c r="J91"/>
      <c r="V91" s="846" t="s">
        <v>1250</v>
      </c>
      <c r="W91" s="846" t="s">
        <v>7106</v>
      </c>
      <c r="X91" s="847" t="s">
        <v>1900</v>
      </c>
      <c r="Y91" s="132" t="s">
        <v>10479</v>
      </c>
      <c r="AA91" s="846" t="s">
        <v>1262</v>
      </c>
      <c r="AB91" s="846" t="s">
        <v>8046</v>
      </c>
      <c r="AC91" s="847" t="s">
        <v>10486</v>
      </c>
      <c r="AD91" s="132" t="s">
        <v>10482</v>
      </c>
    </row>
    <row r="92" spans="10:30" x14ac:dyDescent="0.3">
      <c r="J92"/>
      <c r="V92" s="846" t="s">
        <v>1250</v>
      </c>
      <c r="W92" s="846" t="s">
        <v>7109</v>
      </c>
      <c r="X92" s="847" t="s">
        <v>1900</v>
      </c>
      <c r="Y92" s="132" t="s">
        <v>10479</v>
      </c>
      <c r="AA92" s="846" t="s">
        <v>1262</v>
      </c>
      <c r="AB92" s="846" t="s">
        <v>8049</v>
      </c>
      <c r="AC92" s="847" t="s">
        <v>10486</v>
      </c>
      <c r="AD92" s="132" t="s">
        <v>10482</v>
      </c>
    </row>
    <row r="93" spans="10:30" x14ac:dyDescent="0.3">
      <c r="J93"/>
      <c r="V93" s="846" t="s">
        <v>1250</v>
      </c>
      <c r="W93" s="846" t="s">
        <v>7113</v>
      </c>
      <c r="X93" s="847" t="s">
        <v>2513</v>
      </c>
      <c r="Y93" s="132" t="s">
        <v>10479</v>
      </c>
      <c r="AA93" s="846" t="s">
        <v>1262</v>
      </c>
      <c r="AB93" s="846" t="s">
        <v>8052</v>
      </c>
      <c r="AC93" s="847" t="s">
        <v>10486</v>
      </c>
      <c r="AD93" s="132" t="s">
        <v>10482</v>
      </c>
    </row>
    <row r="94" spans="10:30" x14ac:dyDescent="0.3">
      <c r="J94"/>
      <c r="V94" s="846" t="s">
        <v>1250</v>
      </c>
      <c r="W94" s="846" t="s">
        <v>7116</v>
      </c>
      <c r="X94" s="847" t="s">
        <v>1899</v>
      </c>
      <c r="Y94" s="132" t="s">
        <v>10479</v>
      </c>
      <c r="AA94" s="846" t="s">
        <v>1262</v>
      </c>
      <c r="AB94" s="846" t="s">
        <v>8055</v>
      </c>
      <c r="AC94" s="847" t="s">
        <v>10486</v>
      </c>
      <c r="AD94" s="132" t="s">
        <v>10482</v>
      </c>
    </row>
    <row r="95" spans="10:30" x14ac:dyDescent="0.3">
      <c r="J95"/>
      <c r="V95" s="846" t="s">
        <v>1250</v>
      </c>
      <c r="W95" s="846" t="s">
        <v>7119</v>
      </c>
      <c r="X95" s="847" t="s">
        <v>1899</v>
      </c>
      <c r="Y95" s="132" t="s">
        <v>10479</v>
      </c>
      <c r="AA95" s="846" t="s">
        <v>1262</v>
      </c>
      <c r="AB95" s="846" t="s">
        <v>8058</v>
      </c>
      <c r="AC95" s="847" t="s">
        <v>10484</v>
      </c>
      <c r="AD95" s="132" t="s">
        <v>10482</v>
      </c>
    </row>
    <row r="96" spans="10:30" x14ac:dyDescent="0.3">
      <c r="J96"/>
      <c r="V96" s="846" t="s">
        <v>1250</v>
      </c>
      <c r="W96" s="846" t="s">
        <v>7122</v>
      </c>
      <c r="X96" s="847" t="s">
        <v>1898</v>
      </c>
      <c r="Y96" s="132" t="s">
        <v>10479</v>
      </c>
      <c r="AA96" s="846" t="s">
        <v>1262</v>
      </c>
      <c r="AB96" s="846" t="s">
        <v>8061</v>
      </c>
      <c r="AC96" s="847" t="s">
        <v>10484</v>
      </c>
      <c r="AD96" s="132" t="s">
        <v>10482</v>
      </c>
    </row>
    <row r="97" spans="10:30" x14ac:dyDescent="0.3">
      <c r="J97"/>
      <c r="V97" s="846" t="s">
        <v>1250</v>
      </c>
      <c r="W97" s="846" t="s">
        <v>7125</v>
      </c>
      <c r="X97" s="847" t="s">
        <v>2513</v>
      </c>
      <c r="Y97" s="132" t="s">
        <v>10479</v>
      </c>
      <c r="AA97" s="846" t="s">
        <v>1262</v>
      </c>
      <c r="AB97" s="846" t="s">
        <v>8064</v>
      </c>
      <c r="AC97" s="847" t="s">
        <v>10486</v>
      </c>
      <c r="AD97" s="132" t="s">
        <v>10482</v>
      </c>
    </row>
    <row r="98" spans="10:30" x14ac:dyDescent="0.3">
      <c r="J98"/>
      <c r="V98" s="846" t="s">
        <v>1250</v>
      </c>
      <c r="W98" s="846" t="s">
        <v>7128</v>
      </c>
      <c r="X98" s="847" t="s">
        <v>2513</v>
      </c>
      <c r="Y98" s="132" t="s">
        <v>10479</v>
      </c>
      <c r="AA98" s="846" t="s">
        <v>1262</v>
      </c>
      <c r="AB98" s="846" t="s">
        <v>8067</v>
      </c>
      <c r="AC98" s="847" t="s">
        <v>10484</v>
      </c>
      <c r="AD98" s="132" t="s">
        <v>10482</v>
      </c>
    </row>
    <row r="99" spans="10:30" x14ac:dyDescent="0.3">
      <c r="J99"/>
      <c r="V99" s="846" t="s">
        <v>1250</v>
      </c>
      <c r="W99" s="846" t="s">
        <v>7131</v>
      </c>
      <c r="X99" s="847" t="s">
        <v>1900</v>
      </c>
      <c r="Y99" s="132" t="s">
        <v>10479</v>
      </c>
      <c r="AA99" s="846" t="s">
        <v>1262</v>
      </c>
      <c r="AB99" s="846" t="s">
        <v>8070</v>
      </c>
      <c r="AC99" s="847" t="s">
        <v>10486</v>
      </c>
      <c r="AD99" s="132" t="s">
        <v>10482</v>
      </c>
    </row>
    <row r="100" spans="10:30" x14ac:dyDescent="0.3">
      <c r="J100"/>
      <c r="V100" s="846" t="s">
        <v>1250</v>
      </c>
      <c r="W100" s="846" t="s">
        <v>7134</v>
      </c>
      <c r="X100" s="847" t="s">
        <v>1900</v>
      </c>
      <c r="Y100" s="132" t="s">
        <v>10479</v>
      </c>
      <c r="AA100" s="846" t="s">
        <v>1262</v>
      </c>
      <c r="AB100" s="846" t="s">
        <v>8073</v>
      </c>
      <c r="AC100" s="847" t="s">
        <v>10486</v>
      </c>
      <c r="AD100" s="132" t="s">
        <v>10482</v>
      </c>
    </row>
    <row r="101" spans="10:30" x14ac:dyDescent="0.3">
      <c r="J101"/>
      <c r="V101" s="846" t="s">
        <v>1250</v>
      </c>
      <c r="W101" s="846" t="s">
        <v>7137</v>
      </c>
      <c r="X101" s="847" t="s">
        <v>1898</v>
      </c>
      <c r="Y101" s="132" t="s">
        <v>10479</v>
      </c>
      <c r="AA101" s="846" t="s">
        <v>1262</v>
      </c>
      <c r="AB101" s="846" t="s">
        <v>8076</v>
      </c>
      <c r="AC101" s="847" t="s">
        <v>10486</v>
      </c>
      <c r="AD101" s="132" t="s">
        <v>10482</v>
      </c>
    </row>
    <row r="102" spans="10:30" x14ac:dyDescent="0.3">
      <c r="J102"/>
      <c r="V102" s="846" t="s">
        <v>1250</v>
      </c>
      <c r="W102" s="846" t="s">
        <v>7140</v>
      </c>
      <c r="X102" s="847" t="s">
        <v>1900</v>
      </c>
      <c r="Y102" s="132" t="s">
        <v>10479</v>
      </c>
      <c r="AA102" s="846" t="s">
        <v>1262</v>
      </c>
      <c r="AB102" s="846" t="s">
        <v>8079</v>
      </c>
      <c r="AC102" s="847" t="s">
        <v>10486</v>
      </c>
      <c r="AD102" s="132" t="s">
        <v>10482</v>
      </c>
    </row>
    <row r="103" spans="10:30" x14ac:dyDescent="0.3">
      <c r="J103"/>
      <c r="V103" s="846" t="s">
        <v>934</v>
      </c>
      <c r="W103" s="846" t="s">
        <v>7143</v>
      </c>
      <c r="X103" s="847" t="s">
        <v>6057</v>
      </c>
      <c r="Y103" s="132" t="s">
        <v>10479</v>
      </c>
      <c r="AA103" s="846" t="s">
        <v>1262</v>
      </c>
      <c r="AB103" s="846" t="s">
        <v>8082</v>
      </c>
      <c r="AC103" s="847" t="s">
        <v>10486</v>
      </c>
      <c r="AD103" s="132" t="s">
        <v>10482</v>
      </c>
    </row>
    <row r="104" spans="10:30" x14ac:dyDescent="0.3">
      <c r="J104"/>
      <c r="V104" s="846" t="s">
        <v>934</v>
      </c>
      <c r="W104" s="846" t="s">
        <v>7146</v>
      </c>
      <c r="X104" s="847" t="s">
        <v>6086</v>
      </c>
      <c r="Y104" s="132" t="s">
        <v>10479</v>
      </c>
      <c r="AA104" s="846" t="s">
        <v>1262</v>
      </c>
      <c r="AB104" s="846" t="s">
        <v>8085</v>
      </c>
      <c r="AC104" s="847" t="s">
        <v>10486</v>
      </c>
      <c r="AD104" s="132" t="s">
        <v>10482</v>
      </c>
    </row>
    <row r="105" spans="10:30" x14ac:dyDescent="0.3">
      <c r="J105"/>
      <c r="V105" s="846" t="s">
        <v>934</v>
      </c>
      <c r="W105" s="846" t="s">
        <v>7149</v>
      </c>
      <c r="X105" s="847" t="s">
        <v>6086</v>
      </c>
      <c r="Y105" s="132" t="s">
        <v>10479</v>
      </c>
      <c r="AA105" s="846" t="s">
        <v>1262</v>
      </c>
      <c r="AB105" s="846" t="s">
        <v>8088</v>
      </c>
      <c r="AC105" s="847" t="s">
        <v>10484</v>
      </c>
      <c r="AD105" s="132" t="s">
        <v>10482</v>
      </c>
    </row>
    <row r="106" spans="10:30" x14ac:dyDescent="0.3">
      <c r="J106"/>
      <c r="V106" s="846" t="s">
        <v>934</v>
      </c>
      <c r="W106" s="846" t="s">
        <v>7152</v>
      </c>
      <c r="X106" s="847" t="s">
        <v>6086</v>
      </c>
      <c r="Y106" s="132" t="s">
        <v>10479</v>
      </c>
      <c r="AA106" s="846" t="s">
        <v>1262</v>
      </c>
      <c r="AB106" s="846" t="s">
        <v>8091</v>
      </c>
      <c r="AC106" s="847" t="s">
        <v>10488</v>
      </c>
      <c r="AD106" s="132" t="s">
        <v>10482</v>
      </c>
    </row>
    <row r="107" spans="10:30" x14ac:dyDescent="0.3">
      <c r="J107"/>
      <c r="V107" s="846" t="s">
        <v>934</v>
      </c>
      <c r="W107" s="846" t="s">
        <v>7155</v>
      </c>
      <c r="X107" s="847" t="s">
        <v>6086</v>
      </c>
      <c r="Y107" s="132" t="s">
        <v>10479</v>
      </c>
      <c r="AA107" s="846" t="s">
        <v>1262</v>
      </c>
      <c r="AB107" s="846" t="s">
        <v>8094</v>
      </c>
      <c r="AC107" s="847" t="s">
        <v>10488</v>
      </c>
      <c r="AD107" s="132" t="s">
        <v>10482</v>
      </c>
    </row>
    <row r="108" spans="10:30" x14ac:dyDescent="0.3">
      <c r="J108"/>
      <c r="V108" s="846" t="s">
        <v>934</v>
      </c>
      <c r="W108" s="846" t="s">
        <v>7158</v>
      </c>
      <c r="X108" s="847" t="s">
        <v>6086</v>
      </c>
      <c r="Y108" s="132" t="s">
        <v>10479</v>
      </c>
      <c r="AA108" s="846" t="s">
        <v>1262</v>
      </c>
      <c r="AB108" s="846" t="s">
        <v>8097</v>
      </c>
      <c r="AC108" s="847" t="s">
        <v>10488</v>
      </c>
      <c r="AD108" s="132" t="s">
        <v>10482</v>
      </c>
    </row>
    <row r="109" spans="10:30" x14ac:dyDescent="0.3">
      <c r="J109"/>
      <c r="V109" s="846" t="s">
        <v>934</v>
      </c>
      <c r="W109" s="846" t="s">
        <v>7161</v>
      </c>
      <c r="X109" s="847" t="s">
        <v>6086</v>
      </c>
      <c r="Y109" s="132" t="s">
        <v>10479</v>
      </c>
      <c r="AA109" s="846" t="s">
        <v>1262</v>
      </c>
      <c r="AB109" s="846" t="s">
        <v>8100</v>
      </c>
      <c r="AC109" s="847" t="s">
        <v>10488</v>
      </c>
      <c r="AD109" s="132" t="s">
        <v>10482</v>
      </c>
    </row>
    <row r="110" spans="10:30" x14ac:dyDescent="0.3">
      <c r="J110"/>
      <c r="V110" s="846" t="s">
        <v>934</v>
      </c>
      <c r="W110" s="846" t="s">
        <v>7164</v>
      </c>
      <c r="X110" s="847" t="s">
        <v>1897</v>
      </c>
      <c r="Y110" s="132" t="s">
        <v>10479</v>
      </c>
      <c r="AA110" s="846" t="s">
        <v>1262</v>
      </c>
      <c r="AB110" s="846" t="s">
        <v>8103</v>
      </c>
      <c r="AC110" s="847" t="s">
        <v>10488</v>
      </c>
      <c r="AD110" s="132" t="s">
        <v>10482</v>
      </c>
    </row>
    <row r="111" spans="10:30" x14ac:dyDescent="0.3">
      <c r="J111"/>
      <c r="V111" s="846" t="s">
        <v>934</v>
      </c>
      <c r="W111" s="846" t="s">
        <v>7168</v>
      </c>
      <c r="X111" s="847" t="s">
        <v>1897</v>
      </c>
      <c r="Y111" s="132" t="s">
        <v>10479</v>
      </c>
      <c r="AA111" s="846" t="s">
        <v>1262</v>
      </c>
      <c r="AB111" s="846" t="s">
        <v>8106</v>
      </c>
      <c r="AC111" s="847" t="s">
        <v>10488</v>
      </c>
      <c r="AD111" s="132" t="s">
        <v>10482</v>
      </c>
    </row>
    <row r="112" spans="10:30" x14ac:dyDescent="0.3">
      <c r="J112"/>
      <c r="V112" s="846" t="s">
        <v>934</v>
      </c>
      <c r="W112" s="846" t="s">
        <v>7171</v>
      </c>
      <c r="X112" s="847" t="s">
        <v>1897</v>
      </c>
      <c r="Y112" s="132" t="s">
        <v>10479</v>
      </c>
      <c r="AA112" s="846" t="s">
        <v>1262</v>
      </c>
      <c r="AB112" s="846" t="s">
        <v>8109</v>
      </c>
      <c r="AC112" s="847" t="s">
        <v>10488</v>
      </c>
      <c r="AD112" s="132" t="s">
        <v>10482</v>
      </c>
    </row>
    <row r="113" spans="10:30" x14ac:dyDescent="0.3">
      <c r="J113"/>
      <c r="V113" s="846" t="s">
        <v>934</v>
      </c>
      <c r="W113" s="846" t="s">
        <v>7175</v>
      </c>
      <c r="X113" s="847" t="s">
        <v>1897</v>
      </c>
      <c r="Y113" s="132" t="s">
        <v>10479</v>
      </c>
      <c r="AA113" s="846" t="s">
        <v>1262</v>
      </c>
      <c r="AB113" s="846" t="s">
        <v>8112</v>
      </c>
      <c r="AC113" s="847" t="s">
        <v>10488</v>
      </c>
      <c r="AD113" s="132" t="s">
        <v>10482</v>
      </c>
    </row>
    <row r="114" spans="10:30" x14ac:dyDescent="0.3">
      <c r="J114"/>
      <c r="V114" s="846" t="s">
        <v>934</v>
      </c>
      <c r="W114" s="846" t="s">
        <v>7178</v>
      </c>
      <c r="X114" s="847" t="s">
        <v>1897</v>
      </c>
      <c r="Y114" s="132" t="s">
        <v>10479</v>
      </c>
      <c r="AA114" s="846" t="s">
        <v>1262</v>
      </c>
      <c r="AB114" s="846" t="s">
        <v>8115</v>
      </c>
      <c r="AC114" s="847" t="s">
        <v>10488</v>
      </c>
      <c r="AD114" s="132" t="s">
        <v>10482</v>
      </c>
    </row>
    <row r="115" spans="10:30" x14ac:dyDescent="0.3">
      <c r="J115"/>
      <c r="V115" s="846" t="s">
        <v>934</v>
      </c>
      <c r="W115" s="846" t="s">
        <v>7181</v>
      </c>
      <c r="X115" s="847" t="s">
        <v>1897</v>
      </c>
      <c r="Y115" s="132" t="s">
        <v>10479</v>
      </c>
      <c r="AA115" s="846" t="s">
        <v>1262</v>
      </c>
      <c r="AB115" s="846" t="s">
        <v>8118</v>
      </c>
      <c r="AC115" s="847" t="s">
        <v>10488</v>
      </c>
      <c r="AD115" s="132" t="s">
        <v>10482</v>
      </c>
    </row>
    <row r="116" spans="10:30" x14ac:dyDescent="0.3">
      <c r="J116"/>
      <c r="V116" s="846" t="s">
        <v>934</v>
      </c>
      <c r="W116" s="846" t="s">
        <v>7184</v>
      </c>
      <c r="X116" s="847" t="s">
        <v>1897</v>
      </c>
      <c r="Y116" s="132" t="s">
        <v>10479</v>
      </c>
      <c r="AA116" s="846" t="s">
        <v>1262</v>
      </c>
      <c r="AB116" s="846" t="s">
        <v>8121</v>
      </c>
      <c r="AC116" s="847" t="s">
        <v>10488</v>
      </c>
      <c r="AD116" s="132" t="s">
        <v>10482</v>
      </c>
    </row>
    <row r="117" spans="10:30" x14ac:dyDescent="0.3">
      <c r="J117"/>
      <c r="V117" s="846" t="s">
        <v>934</v>
      </c>
      <c r="W117" s="846" t="s">
        <v>7188</v>
      </c>
      <c r="X117" s="847" t="s">
        <v>1897</v>
      </c>
      <c r="Y117" s="132" t="s">
        <v>10479</v>
      </c>
      <c r="AA117" s="846" t="s">
        <v>1262</v>
      </c>
      <c r="AB117" s="846" t="s">
        <v>8124</v>
      </c>
      <c r="AC117" s="847" t="s">
        <v>10488</v>
      </c>
      <c r="AD117" s="132" t="s">
        <v>10482</v>
      </c>
    </row>
    <row r="118" spans="10:30" x14ac:dyDescent="0.3">
      <c r="J118"/>
      <c r="V118" s="846" t="s">
        <v>934</v>
      </c>
      <c r="W118" s="846" t="s">
        <v>7191</v>
      </c>
      <c r="X118" s="847" t="s">
        <v>1897</v>
      </c>
      <c r="Y118" s="132" t="s">
        <v>10479</v>
      </c>
      <c r="AA118" s="846" t="s">
        <v>1262</v>
      </c>
      <c r="AB118" s="846" t="s">
        <v>8127</v>
      </c>
      <c r="AC118" s="847" t="s">
        <v>10488</v>
      </c>
      <c r="AD118" s="132" t="s">
        <v>10482</v>
      </c>
    </row>
    <row r="119" spans="10:30" x14ac:dyDescent="0.3">
      <c r="J119"/>
      <c r="V119" s="846" t="s">
        <v>934</v>
      </c>
      <c r="W119" s="846" t="s">
        <v>7194</v>
      </c>
      <c r="X119" s="847" t="s">
        <v>1897</v>
      </c>
      <c r="Y119" s="132" t="s">
        <v>10479</v>
      </c>
      <c r="AA119" s="846" t="s">
        <v>1262</v>
      </c>
      <c r="AB119" s="846" t="s">
        <v>8130</v>
      </c>
      <c r="AC119" s="847" t="s">
        <v>10488</v>
      </c>
      <c r="AD119" s="132" t="s">
        <v>10482</v>
      </c>
    </row>
    <row r="120" spans="10:30" x14ac:dyDescent="0.3">
      <c r="J120"/>
      <c r="V120" s="846" t="s">
        <v>934</v>
      </c>
      <c r="W120" s="846" t="s">
        <v>7197</v>
      </c>
      <c r="X120" s="847" t="s">
        <v>1898</v>
      </c>
      <c r="Y120" s="132" t="s">
        <v>10479</v>
      </c>
      <c r="AA120" s="846" t="s">
        <v>1262</v>
      </c>
      <c r="AB120" s="846" t="s">
        <v>8133</v>
      </c>
      <c r="AC120" s="847" t="s">
        <v>10488</v>
      </c>
      <c r="AD120" s="132" t="s">
        <v>10482</v>
      </c>
    </row>
    <row r="121" spans="10:30" x14ac:dyDescent="0.3">
      <c r="J121"/>
      <c r="V121" s="846" t="s">
        <v>934</v>
      </c>
      <c r="W121" s="846" t="s">
        <v>7200</v>
      </c>
      <c r="X121" s="847" t="s">
        <v>1898</v>
      </c>
      <c r="Y121" s="132" t="s">
        <v>10479</v>
      </c>
      <c r="AA121" s="846" t="s">
        <v>1262</v>
      </c>
      <c r="AB121" s="846" t="s">
        <v>8136</v>
      </c>
      <c r="AC121" s="847" t="s">
        <v>10488</v>
      </c>
      <c r="AD121" s="132" t="s">
        <v>10482</v>
      </c>
    </row>
    <row r="122" spans="10:30" x14ac:dyDescent="0.3">
      <c r="J122"/>
      <c r="V122" s="846" t="s">
        <v>934</v>
      </c>
      <c r="W122" s="846" t="s">
        <v>7203</v>
      </c>
      <c r="X122" s="847" t="s">
        <v>1898</v>
      </c>
      <c r="Y122" s="132" t="s">
        <v>10479</v>
      </c>
      <c r="AA122" s="846" t="s">
        <v>1262</v>
      </c>
      <c r="AB122" s="846" t="s">
        <v>8139</v>
      </c>
      <c r="AC122" s="847" t="s">
        <v>10488</v>
      </c>
      <c r="AD122" s="132" t="s">
        <v>10482</v>
      </c>
    </row>
    <row r="123" spans="10:30" x14ac:dyDescent="0.3">
      <c r="J123"/>
      <c r="V123" s="846" t="s">
        <v>934</v>
      </c>
      <c r="W123" s="846" t="s">
        <v>7206</v>
      </c>
      <c r="X123" s="847" t="s">
        <v>1898</v>
      </c>
      <c r="Y123" s="132" t="s">
        <v>10479</v>
      </c>
      <c r="AA123" s="846" t="s">
        <v>1509</v>
      </c>
      <c r="AB123" s="846" t="s">
        <v>8142</v>
      </c>
      <c r="AC123" s="847" t="s">
        <v>10484</v>
      </c>
      <c r="AD123" s="132" t="s">
        <v>10482</v>
      </c>
    </row>
    <row r="124" spans="10:30" x14ac:dyDescent="0.3">
      <c r="J124"/>
      <c r="V124" s="846" t="s">
        <v>934</v>
      </c>
      <c r="W124" s="846" t="s">
        <v>7209</v>
      </c>
      <c r="X124" s="847" t="s">
        <v>1898</v>
      </c>
      <c r="Y124" s="132" t="s">
        <v>10479</v>
      </c>
      <c r="AA124" s="846" t="s">
        <v>1509</v>
      </c>
      <c r="AB124" s="846" t="s">
        <v>8145</v>
      </c>
      <c r="AC124" s="847" t="s">
        <v>10488</v>
      </c>
      <c r="AD124" s="132" t="s">
        <v>10482</v>
      </c>
    </row>
    <row r="125" spans="10:30" x14ac:dyDescent="0.3">
      <c r="J125"/>
      <c r="V125" s="846" t="s">
        <v>934</v>
      </c>
      <c r="W125" s="846" t="s">
        <v>7213</v>
      </c>
      <c r="X125" s="847" t="s">
        <v>1898</v>
      </c>
      <c r="Y125" s="132" t="s">
        <v>10479</v>
      </c>
      <c r="AA125" s="846" t="s">
        <v>1509</v>
      </c>
      <c r="AB125" s="846" t="s">
        <v>8148</v>
      </c>
      <c r="AC125" s="847" t="s">
        <v>10488</v>
      </c>
      <c r="AD125" s="132" t="s">
        <v>10482</v>
      </c>
    </row>
    <row r="126" spans="10:30" x14ac:dyDescent="0.3">
      <c r="J126"/>
      <c r="V126" s="846" t="s">
        <v>934</v>
      </c>
      <c r="W126" s="846" t="s">
        <v>7216</v>
      </c>
      <c r="X126" s="847" t="s">
        <v>1899</v>
      </c>
      <c r="Y126" s="132" t="s">
        <v>10479</v>
      </c>
      <c r="AA126" s="846" t="s">
        <v>1509</v>
      </c>
      <c r="AB126" s="846" t="s">
        <v>8151</v>
      </c>
      <c r="AC126" s="847" t="s">
        <v>10488</v>
      </c>
      <c r="AD126" s="132" t="s">
        <v>10482</v>
      </c>
    </row>
    <row r="127" spans="10:30" x14ac:dyDescent="0.3">
      <c r="J127"/>
      <c r="V127" s="846" t="s">
        <v>934</v>
      </c>
      <c r="W127" s="846" t="s">
        <v>7219</v>
      </c>
      <c r="X127" s="847" t="s">
        <v>1899</v>
      </c>
      <c r="Y127" s="132" t="s">
        <v>10479</v>
      </c>
      <c r="AA127" s="846" t="s">
        <v>1509</v>
      </c>
      <c r="AB127" s="846" t="s">
        <v>8154</v>
      </c>
      <c r="AC127" s="847" t="s">
        <v>10488</v>
      </c>
      <c r="AD127" s="132" t="s">
        <v>10482</v>
      </c>
    </row>
    <row r="128" spans="10:30" x14ac:dyDescent="0.3">
      <c r="J128"/>
      <c r="V128" s="846" t="s">
        <v>934</v>
      </c>
      <c r="W128" s="846" t="s">
        <v>7222</v>
      </c>
      <c r="X128" s="847" t="s">
        <v>1899</v>
      </c>
      <c r="Y128" s="132" t="s">
        <v>10479</v>
      </c>
      <c r="AA128" s="846" t="s">
        <v>1509</v>
      </c>
      <c r="AB128" s="846" t="s">
        <v>8157</v>
      </c>
      <c r="AC128" s="847" t="s">
        <v>10488</v>
      </c>
      <c r="AD128" s="132" t="s">
        <v>10482</v>
      </c>
    </row>
    <row r="129" spans="10:30" x14ac:dyDescent="0.3">
      <c r="J129"/>
      <c r="V129" s="846" t="s">
        <v>934</v>
      </c>
      <c r="W129" s="846" t="s">
        <v>7225</v>
      </c>
      <c r="X129" s="847" t="s">
        <v>1899</v>
      </c>
      <c r="Y129" s="132" t="s">
        <v>10479</v>
      </c>
      <c r="AA129" s="846"/>
      <c r="AB129" s="846" t="s">
        <v>8160</v>
      </c>
      <c r="AC129" s="847" t="s">
        <v>10488</v>
      </c>
      <c r="AD129" s="132" t="s">
        <v>10482</v>
      </c>
    </row>
    <row r="130" spans="10:30" x14ac:dyDescent="0.3">
      <c r="J130"/>
      <c r="V130" s="846" t="s">
        <v>934</v>
      </c>
      <c r="W130" s="846" t="s">
        <v>7228</v>
      </c>
      <c r="X130" s="847" t="s">
        <v>1901</v>
      </c>
      <c r="Y130" s="132" t="s">
        <v>10479</v>
      </c>
      <c r="AA130" s="846"/>
      <c r="AB130" s="846" t="s">
        <v>8163</v>
      </c>
      <c r="AC130" s="847" t="s">
        <v>10488</v>
      </c>
      <c r="AD130" s="132" t="s">
        <v>10482</v>
      </c>
    </row>
    <row r="131" spans="10:30" x14ac:dyDescent="0.3">
      <c r="J131"/>
      <c r="V131" s="846" t="s">
        <v>934</v>
      </c>
      <c r="W131" s="846" t="s">
        <v>7231</v>
      </c>
      <c r="X131" s="847" t="s">
        <v>1909</v>
      </c>
      <c r="Y131" s="132" t="s">
        <v>10479</v>
      </c>
      <c r="AA131" s="846"/>
      <c r="AB131" s="846" t="s">
        <v>8166</v>
      </c>
      <c r="AC131" s="847" t="s">
        <v>10484</v>
      </c>
      <c r="AD131" s="132" t="s">
        <v>10482</v>
      </c>
    </row>
    <row r="132" spans="10:30" x14ac:dyDescent="0.3">
      <c r="J132"/>
      <c r="V132" s="846" t="s">
        <v>934</v>
      </c>
      <c r="W132" s="846" t="s">
        <v>7234</v>
      </c>
      <c r="X132" s="847" t="s">
        <v>1909</v>
      </c>
      <c r="Y132" s="132" t="s">
        <v>10479</v>
      </c>
      <c r="AA132" s="846" t="s">
        <v>1509</v>
      </c>
      <c r="AB132" s="846" t="s">
        <v>7769</v>
      </c>
      <c r="AC132" s="847" t="s">
        <v>1587</v>
      </c>
      <c r="AD132" s="132" t="s">
        <v>10480</v>
      </c>
    </row>
    <row r="133" spans="10:30" x14ac:dyDescent="0.3">
      <c r="J133"/>
      <c r="V133" s="846" t="s">
        <v>934</v>
      </c>
      <c r="W133" s="846" t="s">
        <v>7238</v>
      </c>
      <c r="X133" s="847" t="s">
        <v>1909</v>
      </c>
      <c r="Y133" s="132" t="s">
        <v>10479</v>
      </c>
      <c r="AA133" s="846" t="s">
        <v>1509</v>
      </c>
      <c r="AB133" s="846" t="s">
        <v>7773</v>
      </c>
      <c r="AC133" s="847" t="s">
        <v>1587</v>
      </c>
      <c r="AD133" s="132" t="s">
        <v>10480</v>
      </c>
    </row>
    <row r="134" spans="10:30" x14ac:dyDescent="0.3">
      <c r="J134"/>
      <c r="V134" s="846" t="s">
        <v>934</v>
      </c>
      <c r="W134" s="846" t="s">
        <v>7241</v>
      </c>
      <c r="X134" s="847" t="s">
        <v>1909</v>
      </c>
      <c r="Y134" s="132" t="s">
        <v>10479</v>
      </c>
      <c r="AA134" s="846" t="s">
        <v>1509</v>
      </c>
      <c r="AB134" s="846" t="s">
        <v>7747</v>
      </c>
      <c r="AC134" s="847" t="s">
        <v>1587</v>
      </c>
      <c r="AD134" s="132" t="s">
        <v>10480</v>
      </c>
    </row>
    <row r="135" spans="10:30" x14ac:dyDescent="0.3">
      <c r="J135"/>
      <c r="V135" s="846" t="s">
        <v>934</v>
      </c>
      <c r="W135" s="846" t="s">
        <v>7244</v>
      </c>
      <c r="X135" s="847" t="s">
        <v>1909</v>
      </c>
      <c r="Y135" s="132" t="s">
        <v>10479</v>
      </c>
      <c r="AA135" s="846" t="s">
        <v>1026</v>
      </c>
      <c r="AB135" s="846" t="s">
        <v>8176</v>
      </c>
      <c r="AC135" s="847" t="s">
        <v>1587</v>
      </c>
      <c r="AD135" s="132" t="s">
        <v>10480</v>
      </c>
    </row>
    <row r="136" spans="10:30" x14ac:dyDescent="0.3">
      <c r="J136"/>
      <c r="V136" s="846" t="s">
        <v>934</v>
      </c>
      <c r="W136" s="846" t="s">
        <v>7247</v>
      </c>
      <c r="X136" s="847" t="s">
        <v>1909</v>
      </c>
      <c r="Y136" s="132" t="s">
        <v>10479</v>
      </c>
      <c r="AA136" s="846" t="s">
        <v>1026</v>
      </c>
      <c r="AB136" s="846" t="s">
        <v>8179</v>
      </c>
      <c r="AC136" s="847" t="s">
        <v>1587</v>
      </c>
      <c r="AD136" s="132" t="s">
        <v>10480</v>
      </c>
    </row>
    <row r="137" spans="10:30" x14ac:dyDescent="0.3">
      <c r="J137"/>
      <c r="V137" s="846" t="s">
        <v>934</v>
      </c>
      <c r="W137" s="846" t="s">
        <v>7251</v>
      </c>
      <c r="X137" s="847" t="s">
        <v>1909</v>
      </c>
      <c r="Y137" s="132" t="s">
        <v>10479</v>
      </c>
      <c r="AA137" s="846" t="s">
        <v>1026</v>
      </c>
      <c r="AB137" s="846" t="s">
        <v>7780</v>
      </c>
      <c r="AC137" s="847" t="s">
        <v>1587</v>
      </c>
      <c r="AD137" s="132" t="s">
        <v>10480</v>
      </c>
    </row>
    <row r="138" spans="10:30" x14ac:dyDescent="0.3">
      <c r="J138"/>
      <c r="V138" s="846" t="s">
        <v>934</v>
      </c>
      <c r="W138" s="846" t="s">
        <v>7254</v>
      </c>
      <c r="X138" s="847" t="s">
        <v>1909</v>
      </c>
      <c r="Y138" s="132" t="s">
        <v>10479</v>
      </c>
      <c r="AA138" s="846" t="s">
        <v>1026</v>
      </c>
      <c r="AB138" s="846" t="s">
        <v>8184</v>
      </c>
      <c r="AC138" s="847" t="s">
        <v>1587</v>
      </c>
      <c r="AD138" s="132" t="s">
        <v>10480</v>
      </c>
    </row>
    <row r="139" spans="10:30" x14ac:dyDescent="0.3">
      <c r="J139"/>
      <c r="V139" s="846" t="s">
        <v>934</v>
      </c>
      <c r="W139" s="846" t="s">
        <v>7257</v>
      </c>
      <c r="X139" s="847" t="s">
        <v>1909</v>
      </c>
      <c r="Y139" s="132" t="s">
        <v>10479</v>
      </c>
      <c r="AA139" s="846" t="s">
        <v>1026</v>
      </c>
      <c r="AB139" s="846" t="s">
        <v>8187</v>
      </c>
      <c r="AC139" s="847" t="s">
        <v>1570</v>
      </c>
      <c r="AD139" s="132" t="s">
        <v>10480</v>
      </c>
    </row>
    <row r="140" spans="10:30" x14ac:dyDescent="0.3">
      <c r="J140"/>
      <c r="V140" s="846" t="s">
        <v>934</v>
      </c>
      <c r="W140" s="846" t="s">
        <v>7260</v>
      </c>
      <c r="X140" s="847" t="s">
        <v>1909</v>
      </c>
      <c r="Y140" s="132" t="s">
        <v>10479</v>
      </c>
      <c r="AA140" s="846" t="s">
        <v>1026</v>
      </c>
      <c r="AB140" s="846" t="s">
        <v>8190</v>
      </c>
      <c r="AC140" s="847" t="s">
        <v>1570</v>
      </c>
      <c r="AD140" s="132" t="s">
        <v>10480</v>
      </c>
    </row>
    <row r="141" spans="10:30" x14ac:dyDescent="0.3">
      <c r="J141"/>
      <c r="V141" s="846" t="s">
        <v>934</v>
      </c>
      <c r="W141" s="846" t="s">
        <v>7263</v>
      </c>
      <c r="X141" s="847" t="s">
        <v>2513</v>
      </c>
      <c r="Y141" s="132" t="s">
        <v>10479</v>
      </c>
      <c r="AA141" s="846" t="s">
        <v>1026</v>
      </c>
      <c r="AB141" s="846" t="s">
        <v>8193</v>
      </c>
      <c r="AC141" s="847" t="s">
        <v>1570</v>
      </c>
      <c r="AD141" s="132" t="s">
        <v>10480</v>
      </c>
    </row>
    <row r="142" spans="10:30" x14ac:dyDescent="0.3">
      <c r="J142"/>
      <c r="V142" s="846" t="s">
        <v>934</v>
      </c>
      <c r="W142" s="846" t="s">
        <v>7266</v>
      </c>
      <c r="X142" s="847" t="s">
        <v>2513</v>
      </c>
      <c r="Y142" s="132" t="s">
        <v>10479</v>
      </c>
      <c r="AA142" s="846" t="s">
        <v>1026</v>
      </c>
      <c r="AB142" s="846" t="s">
        <v>8196</v>
      </c>
      <c r="AC142" s="847" t="s">
        <v>1570</v>
      </c>
      <c r="AD142" s="132" t="s">
        <v>10480</v>
      </c>
    </row>
    <row r="143" spans="10:30" x14ac:dyDescent="0.3">
      <c r="J143"/>
      <c r="V143" s="846" t="s">
        <v>934</v>
      </c>
      <c r="W143" s="846" t="s">
        <v>7269</v>
      </c>
      <c r="X143" s="847" t="s">
        <v>2513</v>
      </c>
      <c r="Y143" s="132" t="s">
        <v>10479</v>
      </c>
      <c r="AA143" s="846" t="s">
        <v>1026</v>
      </c>
      <c r="AB143" s="846" t="s">
        <v>8199</v>
      </c>
      <c r="AC143" s="847" t="s">
        <v>1570</v>
      </c>
      <c r="AD143" s="132" t="s">
        <v>10480</v>
      </c>
    </row>
    <row r="144" spans="10:30" x14ac:dyDescent="0.3">
      <c r="J144"/>
      <c r="V144" s="846" t="s">
        <v>934</v>
      </c>
      <c r="W144" s="846" t="s">
        <v>7272</v>
      </c>
      <c r="X144" s="847" t="s">
        <v>2513</v>
      </c>
      <c r="Y144" s="132" t="s">
        <v>10479</v>
      </c>
      <c r="AA144" s="846" t="s">
        <v>1026</v>
      </c>
      <c r="AB144" s="846" t="s">
        <v>8202</v>
      </c>
      <c r="AC144" s="847" t="s">
        <v>1568</v>
      </c>
      <c r="AD144" s="132" t="s">
        <v>10480</v>
      </c>
    </row>
    <row r="145" spans="10:30" x14ac:dyDescent="0.3">
      <c r="J145"/>
      <c r="V145" s="846" t="s">
        <v>934</v>
      </c>
      <c r="W145" s="846" t="s">
        <v>7275</v>
      </c>
      <c r="X145" s="847" t="s">
        <v>2513</v>
      </c>
      <c r="Y145" s="132" t="s">
        <v>10479</v>
      </c>
      <c r="AA145" s="846" t="s">
        <v>1026</v>
      </c>
      <c r="AB145" s="846" t="s">
        <v>8205</v>
      </c>
      <c r="AC145" s="847" t="s">
        <v>1568</v>
      </c>
      <c r="AD145" s="132" t="s">
        <v>10480</v>
      </c>
    </row>
    <row r="146" spans="10:30" x14ac:dyDescent="0.3">
      <c r="J146"/>
      <c r="V146" s="846" t="s">
        <v>1302</v>
      </c>
      <c r="W146" s="846" t="s">
        <v>7278</v>
      </c>
      <c r="X146" s="847" t="s">
        <v>1525</v>
      </c>
      <c r="Y146" s="132" t="s">
        <v>10479</v>
      </c>
      <c r="AA146" s="846" t="s">
        <v>1026</v>
      </c>
      <c r="AB146" s="846" t="s">
        <v>8208</v>
      </c>
      <c r="AC146" s="847" t="s">
        <v>1568</v>
      </c>
      <c r="AD146" s="132" t="s">
        <v>10480</v>
      </c>
    </row>
    <row r="147" spans="10:30" x14ac:dyDescent="0.3">
      <c r="J147"/>
      <c r="V147" s="846" t="s">
        <v>1302</v>
      </c>
      <c r="W147" s="846" t="s">
        <v>7281</v>
      </c>
      <c r="X147" s="847" t="s">
        <v>1525</v>
      </c>
      <c r="Y147" s="132" t="s">
        <v>10479</v>
      </c>
      <c r="AA147" s="846" t="s">
        <v>1026</v>
      </c>
      <c r="AB147" s="846" t="s">
        <v>8211</v>
      </c>
      <c r="AC147" s="847" t="s">
        <v>1568</v>
      </c>
      <c r="AD147" s="132" t="s">
        <v>10480</v>
      </c>
    </row>
    <row r="148" spans="10:30" x14ac:dyDescent="0.3">
      <c r="J148"/>
      <c r="V148" s="846" t="s">
        <v>1302</v>
      </c>
      <c r="W148" s="846" t="s">
        <v>7284</v>
      </c>
      <c r="X148" s="847" t="s">
        <v>1525</v>
      </c>
      <c r="Y148" s="132" t="s">
        <v>10479</v>
      </c>
      <c r="AA148" s="846" t="s">
        <v>1026</v>
      </c>
      <c r="AB148" s="846" t="s">
        <v>8214</v>
      </c>
      <c r="AC148" s="847" t="s">
        <v>1568</v>
      </c>
      <c r="AD148" s="132" t="s">
        <v>10480</v>
      </c>
    </row>
    <row r="149" spans="10:30" x14ac:dyDescent="0.3">
      <c r="J149"/>
      <c r="V149" s="846" t="s">
        <v>1302</v>
      </c>
      <c r="W149" s="846" t="s">
        <v>7287</v>
      </c>
      <c r="X149" s="847" t="s">
        <v>1525</v>
      </c>
      <c r="Y149" s="132" t="s">
        <v>10479</v>
      </c>
      <c r="AA149" s="846" t="s">
        <v>1026</v>
      </c>
      <c r="AB149" s="846" t="s">
        <v>8217</v>
      </c>
      <c r="AC149" s="847" t="s">
        <v>1568</v>
      </c>
      <c r="AD149" s="132" t="s">
        <v>10480</v>
      </c>
    </row>
    <row r="150" spans="10:30" x14ac:dyDescent="0.3">
      <c r="J150"/>
      <c r="V150" s="846" t="s">
        <v>1302</v>
      </c>
      <c r="W150" s="846" t="s">
        <v>7290</v>
      </c>
      <c r="X150" s="847" t="s">
        <v>1525</v>
      </c>
      <c r="Y150" s="132" t="s">
        <v>10479</v>
      </c>
      <c r="AA150" s="846" t="s">
        <v>1026</v>
      </c>
      <c r="AB150" s="846" t="s">
        <v>8220</v>
      </c>
      <c r="AC150" s="847" t="s">
        <v>1568</v>
      </c>
      <c r="AD150" s="132" t="s">
        <v>10480</v>
      </c>
    </row>
    <row r="151" spans="10:30" x14ac:dyDescent="0.3">
      <c r="J151"/>
      <c r="V151" s="846" t="s">
        <v>1302</v>
      </c>
      <c r="W151" s="846" t="s">
        <v>7293</v>
      </c>
      <c r="X151" s="847" t="s">
        <v>1525</v>
      </c>
      <c r="Y151" s="132" t="s">
        <v>10479</v>
      </c>
      <c r="AA151" s="846" t="s">
        <v>1026</v>
      </c>
      <c r="AB151" s="846" t="s">
        <v>8223</v>
      </c>
      <c r="AC151" s="847" t="s">
        <v>1570</v>
      </c>
      <c r="AD151" s="132" t="s">
        <v>10480</v>
      </c>
    </row>
    <row r="152" spans="10:30" x14ac:dyDescent="0.3">
      <c r="J152"/>
      <c r="V152" s="846" t="s">
        <v>1302</v>
      </c>
      <c r="W152" s="846" t="s">
        <v>7296</v>
      </c>
      <c r="X152" s="847" t="s">
        <v>1525</v>
      </c>
      <c r="Y152" s="132" t="s">
        <v>10479</v>
      </c>
      <c r="AA152" s="846" t="s">
        <v>1026</v>
      </c>
      <c r="AB152" s="846" t="s">
        <v>8226</v>
      </c>
      <c r="AC152" s="847" t="s">
        <v>1570</v>
      </c>
      <c r="AD152" s="132" t="s">
        <v>10480</v>
      </c>
    </row>
    <row r="153" spans="10:30" x14ac:dyDescent="0.3">
      <c r="J153"/>
      <c r="V153" s="846" t="s">
        <v>1302</v>
      </c>
      <c r="W153" s="846" t="s">
        <v>7299</v>
      </c>
      <c r="X153" s="847" t="s">
        <v>1525</v>
      </c>
      <c r="Y153" s="132" t="s">
        <v>10479</v>
      </c>
      <c r="AA153" s="846" t="s">
        <v>1026</v>
      </c>
      <c r="AB153" s="846" t="s">
        <v>8229</v>
      </c>
      <c r="AC153" s="847" t="s">
        <v>1522</v>
      </c>
      <c r="AD153" s="132" t="s">
        <v>10480</v>
      </c>
    </row>
    <row r="154" spans="10:30" x14ac:dyDescent="0.3">
      <c r="J154"/>
      <c r="V154" s="846" t="s">
        <v>1302</v>
      </c>
      <c r="W154" s="846" t="s">
        <v>7303</v>
      </c>
      <c r="X154" s="847" t="s">
        <v>1525</v>
      </c>
      <c r="Y154" s="132" t="s">
        <v>10479</v>
      </c>
      <c r="AA154" s="846" t="s">
        <v>1026</v>
      </c>
      <c r="AB154" s="846" t="s">
        <v>8232</v>
      </c>
      <c r="AC154" s="847" t="s">
        <v>1522</v>
      </c>
      <c r="AD154" s="132" t="s">
        <v>10480</v>
      </c>
    </row>
    <row r="155" spans="10:30" x14ac:dyDescent="0.3">
      <c r="J155"/>
      <c r="V155" s="846"/>
      <c r="W155" s="846" t="s">
        <v>7306</v>
      </c>
      <c r="X155" s="847" t="s">
        <v>1587</v>
      </c>
      <c r="Y155" s="132" t="s">
        <v>10479</v>
      </c>
      <c r="AA155" s="846" t="s">
        <v>1026</v>
      </c>
      <c r="AB155" s="846" t="s">
        <v>8235</v>
      </c>
      <c r="AC155" s="847" t="s">
        <v>1522</v>
      </c>
      <c r="AD155" s="132" t="s">
        <v>10480</v>
      </c>
    </row>
    <row r="156" spans="10:30" x14ac:dyDescent="0.3">
      <c r="J156"/>
      <c r="V156" s="846"/>
      <c r="W156" s="846" t="s">
        <v>7309</v>
      </c>
      <c r="X156" s="847" t="s">
        <v>1587</v>
      </c>
      <c r="Y156" s="132" t="s">
        <v>10479</v>
      </c>
      <c r="AA156" s="846" t="s">
        <v>1026</v>
      </c>
      <c r="AB156" s="846" t="s">
        <v>8238</v>
      </c>
      <c r="AC156" s="847" t="s">
        <v>1522</v>
      </c>
      <c r="AD156" s="132" t="s">
        <v>10480</v>
      </c>
    </row>
    <row r="157" spans="10:30" x14ac:dyDescent="0.3">
      <c r="J157"/>
      <c r="V157" s="846"/>
      <c r="W157" s="846" t="s">
        <v>7312</v>
      </c>
      <c r="X157" s="847" t="s">
        <v>1587</v>
      </c>
      <c r="Y157" s="132" t="s">
        <v>10479</v>
      </c>
      <c r="AA157" s="846" t="s">
        <v>1026</v>
      </c>
      <c r="AB157" s="846" t="s">
        <v>8241</v>
      </c>
      <c r="AC157" s="847" t="s">
        <v>1522</v>
      </c>
      <c r="AD157" s="132" t="s">
        <v>10480</v>
      </c>
    </row>
    <row r="158" spans="10:30" x14ac:dyDescent="0.3">
      <c r="J158"/>
      <c r="V158" s="846"/>
      <c r="W158" s="846" t="s">
        <v>7315</v>
      </c>
      <c r="X158" s="847" t="s">
        <v>1587</v>
      </c>
      <c r="Y158" s="132" t="s">
        <v>10479</v>
      </c>
      <c r="AA158" s="846" t="s">
        <v>1026</v>
      </c>
      <c r="AB158" s="846" t="s">
        <v>8244</v>
      </c>
      <c r="AC158" s="847" t="s">
        <v>1522</v>
      </c>
      <c r="AD158" s="132" t="s">
        <v>10480</v>
      </c>
    </row>
    <row r="159" spans="10:30" x14ac:dyDescent="0.3">
      <c r="J159"/>
      <c r="V159" s="846"/>
      <c r="W159" s="846" t="s">
        <v>7318</v>
      </c>
      <c r="X159" s="847" t="s">
        <v>1587</v>
      </c>
      <c r="Y159" s="132" t="s">
        <v>10479</v>
      </c>
      <c r="AA159" s="846" t="s">
        <v>1026</v>
      </c>
      <c r="AB159" s="846" t="s">
        <v>8247</v>
      </c>
      <c r="AC159" s="847" t="s">
        <v>1522</v>
      </c>
      <c r="AD159" s="132" t="s">
        <v>10480</v>
      </c>
    </row>
    <row r="160" spans="10:30" x14ac:dyDescent="0.3">
      <c r="J160"/>
      <c r="V160" s="846"/>
      <c r="W160" s="846" t="s">
        <v>7321</v>
      </c>
      <c r="X160" s="847" t="s">
        <v>1587</v>
      </c>
      <c r="Y160" s="132" t="s">
        <v>10479</v>
      </c>
      <c r="AA160" s="846" t="s">
        <v>1026</v>
      </c>
      <c r="AB160" s="846" t="s">
        <v>8250</v>
      </c>
      <c r="AC160" s="847" t="s">
        <v>1522</v>
      </c>
      <c r="AD160" s="132" t="s">
        <v>10480</v>
      </c>
    </row>
    <row r="161" spans="10:30" x14ac:dyDescent="0.3">
      <c r="J161"/>
      <c r="V161" s="846"/>
      <c r="W161" s="846" t="s">
        <v>7325</v>
      </c>
      <c r="X161" s="847" t="s">
        <v>1587</v>
      </c>
      <c r="Y161" s="132" t="s">
        <v>10479</v>
      </c>
      <c r="AA161" s="846" t="s">
        <v>1026</v>
      </c>
      <c r="AB161" s="846" t="s">
        <v>8253</v>
      </c>
      <c r="AC161" s="847" t="s">
        <v>1522</v>
      </c>
      <c r="AD161" s="132" t="s">
        <v>10480</v>
      </c>
    </row>
    <row r="162" spans="10:30" x14ac:dyDescent="0.3">
      <c r="J162"/>
      <c r="V162" s="846"/>
      <c r="W162" s="846" t="s">
        <v>7328</v>
      </c>
      <c r="X162" s="847" t="s">
        <v>1587</v>
      </c>
      <c r="Y162" s="132" t="s">
        <v>10479</v>
      </c>
      <c r="AA162" s="846" t="s">
        <v>1026</v>
      </c>
      <c r="AB162" s="846" t="s">
        <v>8256</v>
      </c>
      <c r="AC162" s="847" t="s">
        <v>1570</v>
      </c>
      <c r="AD162" s="132" t="s">
        <v>10480</v>
      </c>
    </row>
    <row r="163" spans="10:30" x14ac:dyDescent="0.3">
      <c r="J163"/>
      <c r="V163" s="846"/>
      <c r="W163" s="846" t="s">
        <v>7331</v>
      </c>
      <c r="X163" s="847" t="s">
        <v>1590</v>
      </c>
      <c r="Y163" s="132" t="s">
        <v>10479</v>
      </c>
      <c r="AA163" s="846" t="s">
        <v>1026</v>
      </c>
      <c r="AB163" s="846" t="s">
        <v>8259</v>
      </c>
      <c r="AC163" s="847" t="s">
        <v>1522</v>
      </c>
      <c r="AD163" s="132" t="s">
        <v>10480</v>
      </c>
    </row>
    <row r="164" spans="10:30" x14ac:dyDescent="0.3">
      <c r="J164"/>
      <c r="V164" s="846"/>
      <c r="W164" s="846" t="s">
        <v>7334</v>
      </c>
      <c r="X164" s="847" t="s">
        <v>1590</v>
      </c>
      <c r="Y164" s="132" t="s">
        <v>10479</v>
      </c>
      <c r="AA164" s="846" t="s">
        <v>1026</v>
      </c>
      <c r="AB164" s="846" t="s">
        <v>8262</v>
      </c>
      <c r="AC164" s="847" t="s">
        <v>1522</v>
      </c>
      <c r="AD164" s="132" t="s">
        <v>10480</v>
      </c>
    </row>
    <row r="165" spans="10:30" x14ac:dyDescent="0.3">
      <c r="J165"/>
      <c r="V165" s="846"/>
      <c r="W165" s="846" t="s">
        <v>7337</v>
      </c>
      <c r="X165" s="847" t="s">
        <v>1522</v>
      </c>
      <c r="Y165" s="132" t="s">
        <v>10479</v>
      </c>
      <c r="AA165" s="846"/>
      <c r="AB165" s="846"/>
      <c r="AC165" s="847"/>
    </row>
    <row r="166" spans="10:30" x14ac:dyDescent="0.3">
      <c r="J166"/>
      <c r="V166" s="846"/>
      <c r="W166" s="846" t="s">
        <v>7341</v>
      </c>
      <c r="X166" s="847" t="s">
        <v>1522</v>
      </c>
      <c r="Y166" s="132" t="s">
        <v>10479</v>
      </c>
      <c r="AA166" s="846"/>
      <c r="AB166" s="846"/>
      <c r="AC166" s="847"/>
    </row>
    <row r="167" spans="10:30" x14ac:dyDescent="0.3">
      <c r="J167"/>
      <c r="V167" s="846"/>
      <c r="W167" s="846" t="s">
        <v>7344</v>
      </c>
      <c r="X167" s="847" t="s">
        <v>1522</v>
      </c>
      <c r="Y167" s="132" t="s">
        <v>10479</v>
      </c>
      <c r="AA167" s="846"/>
      <c r="AB167" s="846"/>
      <c r="AC167" s="847"/>
    </row>
    <row r="168" spans="10:30" x14ac:dyDescent="0.3">
      <c r="J168"/>
      <c r="V168" s="846"/>
      <c r="W168" s="846" t="s">
        <v>7347</v>
      </c>
      <c r="X168" s="847" t="s">
        <v>1522</v>
      </c>
      <c r="Y168" s="132" t="s">
        <v>10479</v>
      </c>
      <c r="AA168" s="846"/>
      <c r="AB168" s="846"/>
      <c r="AC168" s="847"/>
    </row>
    <row r="169" spans="10:30" x14ac:dyDescent="0.3">
      <c r="J169"/>
      <c r="V169" s="846"/>
      <c r="W169" s="846" t="s">
        <v>7350</v>
      </c>
      <c r="X169" s="847" t="s">
        <v>1522</v>
      </c>
      <c r="Y169" s="132" t="s">
        <v>10479</v>
      </c>
      <c r="AA169" s="846"/>
      <c r="AB169" s="846"/>
      <c r="AC169" s="847"/>
    </row>
    <row r="170" spans="10:30" x14ac:dyDescent="0.3">
      <c r="J170"/>
      <c r="V170" s="846"/>
      <c r="W170" s="846" t="s">
        <v>7353</v>
      </c>
      <c r="X170" s="847" t="s">
        <v>6057</v>
      </c>
      <c r="Y170" s="132" t="s">
        <v>10479</v>
      </c>
      <c r="AA170" s="846"/>
      <c r="AB170" s="846"/>
      <c r="AC170" s="847"/>
    </row>
    <row r="171" spans="10:30" x14ac:dyDescent="0.3">
      <c r="J171"/>
      <c r="V171" s="846"/>
      <c r="W171" s="846" t="s">
        <v>7356</v>
      </c>
      <c r="X171" s="847" t="s">
        <v>6057</v>
      </c>
      <c r="Y171" s="132" t="s">
        <v>10479</v>
      </c>
      <c r="AA171" s="846"/>
      <c r="AB171" s="846"/>
      <c r="AC171" s="847"/>
    </row>
    <row r="172" spans="10:30" x14ac:dyDescent="0.3">
      <c r="J172"/>
      <c r="V172" s="846"/>
      <c r="W172" s="846" t="s">
        <v>7359</v>
      </c>
      <c r="X172" s="847" t="s">
        <v>6057</v>
      </c>
      <c r="Y172" s="132" t="s">
        <v>10479</v>
      </c>
      <c r="AA172" s="846"/>
      <c r="AB172" s="846"/>
      <c r="AC172" s="847"/>
    </row>
    <row r="173" spans="10:30" x14ac:dyDescent="0.3">
      <c r="J173"/>
      <c r="V173" s="846"/>
      <c r="W173" s="846" t="s">
        <v>7362</v>
      </c>
      <c r="X173" s="847" t="s">
        <v>6057</v>
      </c>
      <c r="Y173" s="132" t="s">
        <v>10479</v>
      </c>
      <c r="AA173" s="846"/>
      <c r="AB173" s="846"/>
      <c r="AC173" s="847"/>
    </row>
    <row r="174" spans="10:30" x14ac:dyDescent="0.3">
      <c r="J174"/>
      <c r="V174" s="846"/>
      <c r="W174" s="846" t="s">
        <v>7365</v>
      </c>
      <c r="X174" s="847" t="s">
        <v>6057</v>
      </c>
      <c r="Y174" s="132" t="s">
        <v>10479</v>
      </c>
      <c r="AA174" s="846"/>
      <c r="AB174" s="846"/>
      <c r="AC174" s="847"/>
    </row>
    <row r="175" spans="10:30" x14ac:dyDescent="0.3">
      <c r="J175"/>
      <c r="V175" s="846"/>
      <c r="W175" s="846" t="s">
        <v>7368</v>
      </c>
      <c r="X175" s="847" t="s">
        <v>6057</v>
      </c>
      <c r="Y175" s="132" t="s">
        <v>10479</v>
      </c>
      <c r="AA175" s="846"/>
      <c r="AB175" s="846"/>
      <c r="AC175" s="847"/>
    </row>
    <row r="176" spans="10:30" x14ac:dyDescent="0.3">
      <c r="J176"/>
      <c r="V176" s="846"/>
      <c r="W176" s="846" t="s">
        <v>7371</v>
      </c>
      <c r="X176" s="847" t="s">
        <v>6057</v>
      </c>
      <c r="Y176" s="132" t="s">
        <v>10479</v>
      </c>
      <c r="AA176" s="846"/>
      <c r="AB176" s="846"/>
      <c r="AC176" s="847"/>
    </row>
    <row r="177" spans="10:29" x14ac:dyDescent="0.3">
      <c r="J177"/>
      <c r="V177" s="846"/>
      <c r="W177" s="846" t="s">
        <v>7374</v>
      </c>
      <c r="X177" s="847" t="s">
        <v>6086</v>
      </c>
      <c r="Y177" s="132" t="s">
        <v>10479</v>
      </c>
      <c r="AA177" s="846"/>
      <c r="AB177" s="846"/>
      <c r="AC177" s="847"/>
    </row>
    <row r="178" spans="10:29" x14ac:dyDescent="0.3">
      <c r="J178"/>
      <c r="V178" s="846"/>
      <c r="W178" s="846" t="s">
        <v>7377</v>
      </c>
      <c r="X178" s="847" t="s">
        <v>6086</v>
      </c>
      <c r="Y178" s="132" t="s">
        <v>10479</v>
      </c>
      <c r="AA178" s="846"/>
      <c r="AB178" s="846"/>
      <c r="AC178" s="847"/>
    </row>
    <row r="179" spans="10:29" x14ac:dyDescent="0.3">
      <c r="J179"/>
      <c r="V179" s="846" t="s">
        <v>1302</v>
      </c>
      <c r="W179" s="846" t="s">
        <v>7380</v>
      </c>
      <c r="X179" s="847" t="s">
        <v>1590</v>
      </c>
      <c r="Y179" s="132" t="s">
        <v>10483</v>
      </c>
      <c r="AA179" s="846"/>
      <c r="AB179" s="846"/>
      <c r="AC179" s="847"/>
    </row>
    <row r="180" spans="10:29" x14ac:dyDescent="0.3">
      <c r="J180"/>
      <c r="V180" s="846" t="s">
        <v>1302</v>
      </c>
      <c r="W180" s="846" t="s">
        <v>7383</v>
      </c>
      <c r="X180" s="847" t="s">
        <v>1590</v>
      </c>
      <c r="Y180" s="132" t="s">
        <v>10483</v>
      </c>
      <c r="AA180" s="846"/>
      <c r="AB180" s="846"/>
      <c r="AC180" s="847"/>
    </row>
    <row r="181" spans="10:29" x14ac:dyDescent="0.3">
      <c r="J181"/>
      <c r="V181" s="846" t="s">
        <v>1302</v>
      </c>
      <c r="W181" s="846" t="s">
        <v>7386</v>
      </c>
      <c r="X181" s="847" t="s">
        <v>1522</v>
      </c>
      <c r="Y181" s="132" t="s">
        <v>10483</v>
      </c>
      <c r="AA181" s="846"/>
      <c r="AB181" s="846"/>
      <c r="AC181" s="847"/>
    </row>
    <row r="182" spans="10:29" x14ac:dyDescent="0.3">
      <c r="J182"/>
      <c r="V182" s="846" t="s">
        <v>1302</v>
      </c>
      <c r="W182" s="846" t="s">
        <v>7389</v>
      </c>
      <c r="X182" s="847" t="s">
        <v>1522</v>
      </c>
      <c r="Y182" s="132" t="s">
        <v>10483</v>
      </c>
      <c r="AA182" s="846"/>
      <c r="AB182" s="846"/>
      <c r="AC182" s="847"/>
    </row>
    <row r="183" spans="10:29" x14ac:dyDescent="0.3">
      <c r="J183"/>
      <c r="V183" s="846" t="s">
        <v>1302</v>
      </c>
      <c r="W183" s="846" t="s">
        <v>7392</v>
      </c>
      <c r="X183" s="847" t="s">
        <v>1522</v>
      </c>
      <c r="Y183" s="132" t="s">
        <v>10483</v>
      </c>
      <c r="AA183" s="846"/>
      <c r="AB183" s="846"/>
      <c r="AC183" s="847"/>
    </row>
    <row r="184" spans="10:29" x14ac:dyDescent="0.3">
      <c r="J184"/>
      <c r="V184" s="846" t="s">
        <v>1302</v>
      </c>
      <c r="W184" s="846" t="s">
        <v>7395</v>
      </c>
      <c r="X184" s="847" t="s">
        <v>1522</v>
      </c>
      <c r="Y184" s="132" t="s">
        <v>10483</v>
      </c>
      <c r="AA184" s="846"/>
      <c r="AB184" s="846"/>
      <c r="AC184" s="847"/>
    </row>
    <row r="185" spans="10:29" x14ac:dyDescent="0.3">
      <c r="J185"/>
      <c r="V185" s="846"/>
      <c r="W185" s="846" t="s">
        <v>7399</v>
      </c>
      <c r="X185" s="847" t="s">
        <v>1590</v>
      </c>
      <c r="Y185" s="132" t="s">
        <v>10479</v>
      </c>
      <c r="AA185" s="846"/>
      <c r="AB185" s="846"/>
      <c r="AC185" s="847"/>
    </row>
    <row r="186" spans="10:29" x14ac:dyDescent="0.3">
      <c r="J186"/>
      <c r="V186" s="846"/>
      <c r="W186" s="846" t="s">
        <v>7403</v>
      </c>
      <c r="X186" s="847" t="s">
        <v>1590</v>
      </c>
      <c r="Y186" s="132" t="s">
        <v>10479</v>
      </c>
      <c r="AA186" s="846"/>
      <c r="AB186" s="846"/>
      <c r="AC186" s="847"/>
    </row>
    <row r="187" spans="10:29" x14ac:dyDescent="0.3">
      <c r="J187"/>
      <c r="W187" s="132" t="s">
        <v>7406</v>
      </c>
      <c r="X187" s="425" t="s">
        <v>1522</v>
      </c>
      <c r="Y187" s="132" t="s">
        <v>10479</v>
      </c>
    </row>
    <row r="188" spans="10:29" x14ac:dyDescent="0.3">
      <c r="J188"/>
      <c r="W188" s="132" t="s">
        <v>7409</v>
      </c>
      <c r="X188" s="425" t="s">
        <v>1522</v>
      </c>
      <c r="Y188" s="132" t="s">
        <v>10479</v>
      </c>
    </row>
    <row r="189" spans="10:29" x14ac:dyDescent="0.3">
      <c r="J189"/>
      <c r="V189" s="846" t="s">
        <v>97</v>
      </c>
      <c r="W189" s="132" t="s">
        <v>7412</v>
      </c>
      <c r="X189" s="425" t="s">
        <v>1525</v>
      </c>
      <c r="Y189" s="132" t="s">
        <v>10483</v>
      </c>
      <c r="AA189" s="846"/>
    </row>
    <row r="190" spans="10:29" x14ac:dyDescent="0.3">
      <c r="J190"/>
      <c r="V190" s="846" t="s">
        <v>97</v>
      </c>
      <c r="W190" s="132" t="s">
        <v>7415</v>
      </c>
      <c r="X190" s="425" t="s">
        <v>1525</v>
      </c>
      <c r="Y190" s="132" t="s">
        <v>10483</v>
      </c>
      <c r="AA190" s="846"/>
    </row>
    <row r="191" spans="10:29" x14ac:dyDescent="0.3">
      <c r="J191"/>
      <c r="V191" s="846" t="s">
        <v>97</v>
      </c>
      <c r="W191" s="132" t="s">
        <v>7418</v>
      </c>
      <c r="X191" s="425" t="s">
        <v>1525</v>
      </c>
      <c r="Y191" s="132" t="s">
        <v>10483</v>
      </c>
      <c r="AA191" s="846"/>
    </row>
    <row r="192" spans="10:29" x14ac:dyDescent="0.3">
      <c r="J192"/>
      <c r="V192" s="846" t="s">
        <v>97</v>
      </c>
      <c r="W192" s="132" t="s">
        <v>7421</v>
      </c>
      <c r="X192" s="425" t="s">
        <v>1587</v>
      </c>
      <c r="Y192" s="132" t="s">
        <v>10483</v>
      </c>
      <c r="AA192" s="846"/>
    </row>
    <row r="193" spans="10:27" x14ac:dyDescent="0.3">
      <c r="J193"/>
      <c r="V193" s="846" t="s">
        <v>97</v>
      </c>
      <c r="W193" s="132" t="s">
        <v>7424</v>
      </c>
      <c r="X193" s="425" t="s">
        <v>1587</v>
      </c>
      <c r="Y193" s="132" t="s">
        <v>10483</v>
      </c>
      <c r="AA193" s="846"/>
    </row>
    <row r="194" spans="10:27" x14ac:dyDescent="0.3">
      <c r="J194"/>
      <c r="V194" s="846" t="s">
        <v>97</v>
      </c>
      <c r="W194" s="132" t="s">
        <v>7427</v>
      </c>
      <c r="X194" s="425" t="s">
        <v>1587</v>
      </c>
      <c r="Y194" s="132" t="s">
        <v>10483</v>
      </c>
      <c r="AA194" s="846"/>
    </row>
    <row r="195" spans="10:27" x14ac:dyDescent="0.3">
      <c r="J195"/>
      <c r="V195" s="846" t="s">
        <v>97</v>
      </c>
      <c r="W195" s="132" t="s">
        <v>7430</v>
      </c>
      <c r="X195" s="425" t="s">
        <v>1587</v>
      </c>
      <c r="Y195" s="132" t="s">
        <v>10483</v>
      </c>
      <c r="AA195" s="846"/>
    </row>
    <row r="196" spans="10:27" x14ac:dyDescent="0.3">
      <c r="J196"/>
      <c r="V196" s="846" t="s">
        <v>97</v>
      </c>
      <c r="W196" s="132" t="s">
        <v>7433</v>
      </c>
      <c r="X196" s="425" t="s">
        <v>1590</v>
      </c>
      <c r="Y196" s="132" t="s">
        <v>10483</v>
      </c>
      <c r="AA196" s="846"/>
    </row>
    <row r="197" spans="10:27" x14ac:dyDescent="0.3">
      <c r="J197"/>
      <c r="V197" s="846" t="s">
        <v>97</v>
      </c>
      <c r="W197" s="132" t="s">
        <v>7436</v>
      </c>
      <c r="X197" s="425" t="s">
        <v>1590</v>
      </c>
      <c r="Y197" s="132" t="s">
        <v>10483</v>
      </c>
      <c r="AA197" s="846"/>
    </row>
    <row r="198" spans="10:27" x14ac:dyDescent="0.3">
      <c r="J198"/>
      <c r="V198" s="846" t="s">
        <v>97</v>
      </c>
      <c r="W198" s="132" t="s">
        <v>7440</v>
      </c>
      <c r="X198" s="425" t="s">
        <v>1590</v>
      </c>
      <c r="Y198" s="132" t="s">
        <v>10483</v>
      </c>
      <c r="AA198" s="846"/>
    </row>
    <row r="199" spans="10:27" x14ac:dyDescent="0.3">
      <c r="J199"/>
      <c r="V199" s="846" t="s">
        <v>97</v>
      </c>
      <c r="W199" s="132" t="s">
        <v>7443</v>
      </c>
      <c r="X199" s="425" t="s">
        <v>1590</v>
      </c>
      <c r="Y199" s="132" t="s">
        <v>10483</v>
      </c>
      <c r="AA199" s="846"/>
    </row>
    <row r="200" spans="10:27" x14ac:dyDescent="0.3">
      <c r="J200"/>
      <c r="V200" s="846" t="s">
        <v>97</v>
      </c>
      <c r="W200" s="132" t="s">
        <v>7446</v>
      </c>
      <c r="X200" s="425" t="s">
        <v>1590</v>
      </c>
      <c r="Y200" s="132" t="s">
        <v>10483</v>
      </c>
      <c r="AA200" s="846"/>
    </row>
    <row r="201" spans="10:27" x14ac:dyDescent="0.3">
      <c r="J201"/>
      <c r="V201" s="846" t="s">
        <v>97</v>
      </c>
      <c r="W201" s="132" t="s">
        <v>7449</v>
      </c>
      <c r="X201" s="425" t="s">
        <v>1590</v>
      </c>
      <c r="Y201" s="132" t="s">
        <v>10483</v>
      </c>
      <c r="AA201" s="846"/>
    </row>
    <row r="202" spans="10:27" x14ac:dyDescent="0.3">
      <c r="J202"/>
      <c r="V202" s="846" t="s">
        <v>97</v>
      </c>
      <c r="W202" s="132" t="s">
        <v>7452</v>
      </c>
      <c r="X202" s="425" t="s">
        <v>1522</v>
      </c>
      <c r="Y202" s="132" t="s">
        <v>10483</v>
      </c>
      <c r="AA202" s="846"/>
    </row>
    <row r="203" spans="10:27" x14ac:dyDescent="0.3">
      <c r="J203"/>
      <c r="V203" s="846" t="s">
        <v>97</v>
      </c>
      <c r="W203" s="132" t="s">
        <v>7455</v>
      </c>
      <c r="X203" s="425" t="s">
        <v>1522</v>
      </c>
      <c r="Y203" s="132" t="s">
        <v>10483</v>
      </c>
      <c r="AA203" s="846"/>
    </row>
    <row r="204" spans="10:27" x14ac:dyDescent="0.3">
      <c r="J204"/>
      <c r="V204" s="846" t="s">
        <v>97</v>
      </c>
      <c r="W204" s="132" t="s">
        <v>7459</v>
      </c>
      <c r="X204" s="425" t="s">
        <v>1522</v>
      </c>
      <c r="Y204" s="132" t="s">
        <v>10483</v>
      </c>
      <c r="AA204" s="846"/>
    </row>
    <row r="205" spans="10:27" x14ac:dyDescent="0.3">
      <c r="J205"/>
      <c r="V205" s="846" t="s">
        <v>97</v>
      </c>
      <c r="W205" s="132" t="s">
        <v>7462</v>
      </c>
      <c r="X205" s="425" t="s">
        <v>1522</v>
      </c>
      <c r="Y205" s="132" t="s">
        <v>10483</v>
      </c>
      <c r="AA205" s="846"/>
    </row>
    <row r="206" spans="10:27" x14ac:dyDescent="0.3">
      <c r="J206"/>
      <c r="V206" s="846" t="s">
        <v>97</v>
      </c>
      <c r="W206" s="132" t="s">
        <v>7466</v>
      </c>
      <c r="X206" s="425" t="s">
        <v>1522</v>
      </c>
      <c r="Y206" s="132" t="s">
        <v>10483</v>
      </c>
      <c r="AA206" s="846"/>
    </row>
    <row r="207" spans="10:27" x14ac:dyDescent="0.3">
      <c r="J207"/>
      <c r="V207" s="846" t="s">
        <v>97</v>
      </c>
      <c r="W207" s="132" t="s">
        <v>7469</v>
      </c>
      <c r="X207" s="425" t="s">
        <v>1522</v>
      </c>
      <c r="Y207" s="132" t="s">
        <v>10483</v>
      </c>
      <c r="AA207" s="846"/>
    </row>
    <row r="208" spans="10:27" x14ac:dyDescent="0.3">
      <c r="J208"/>
      <c r="V208" s="846" t="s">
        <v>97</v>
      </c>
      <c r="W208" s="132" t="s">
        <v>7472</v>
      </c>
      <c r="X208" s="425" t="s">
        <v>1522</v>
      </c>
      <c r="Y208" s="132" t="s">
        <v>10483</v>
      </c>
      <c r="AA208" s="846"/>
    </row>
    <row r="209" spans="10:28" x14ac:dyDescent="0.3">
      <c r="J209"/>
      <c r="V209" s="846" t="s">
        <v>97</v>
      </c>
      <c r="W209" s="132" t="s">
        <v>7475</v>
      </c>
      <c r="X209" s="425" t="s">
        <v>1522</v>
      </c>
      <c r="Y209" s="132" t="s">
        <v>10483</v>
      </c>
      <c r="AA209" s="846"/>
    </row>
    <row r="210" spans="10:28" x14ac:dyDescent="0.3">
      <c r="J210"/>
    </row>
    <row r="211" spans="10:28" x14ac:dyDescent="0.3">
      <c r="J211"/>
    </row>
    <row r="212" spans="10:28" x14ac:dyDescent="0.3">
      <c r="J212"/>
    </row>
    <row r="213" spans="10:28" x14ac:dyDescent="0.3">
      <c r="J213"/>
    </row>
    <row r="214" spans="10:28" x14ac:dyDescent="0.3">
      <c r="J214"/>
      <c r="AB214" s="132" t="s">
        <v>10491</v>
      </c>
    </row>
    <row r="215" spans="10:28" x14ac:dyDescent="0.3">
      <c r="J215"/>
    </row>
    <row r="216" spans="10:28" x14ac:dyDescent="0.3">
      <c r="J216"/>
    </row>
  </sheetData>
  <autoFilter ref="V2:AD210" xr:uid="{3759621F-61E1-4F38-8773-A90FA4C97A25}"/>
  <sortState xmlns:xlrd2="http://schemas.microsoft.com/office/spreadsheetml/2017/richdata2" ref="J55:J216">
    <sortCondition ref="J55:J216"/>
  </sortState>
  <mergeCells count="14">
    <mergeCell ref="N34:R34"/>
    <mergeCell ref="T34:T35"/>
    <mergeCell ref="A34:A35"/>
    <mergeCell ref="B34:B35"/>
    <mergeCell ref="C34:C35"/>
    <mergeCell ref="D34:D35"/>
    <mergeCell ref="E34:L34"/>
    <mergeCell ref="T2:T3"/>
    <mergeCell ref="A2:A3"/>
    <mergeCell ref="N2:R2"/>
    <mergeCell ref="E2:L2"/>
    <mergeCell ref="D2:D3"/>
    <mergeCell ref="C2:C3"/>
    <mergeCell ref="B2:B3"/>
  </mergeCells>
  <phoneticPr fontId="2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ignoredErrors>
    <ignoredError sqref="L37:L43 L44:L50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ECC6-27E9-4FE0-9111-28BCCD1A9677}">
  <sheetPr codeName="Sheet26"/>
  <dimension ref="A1:S43"/>
  <sheetViews>
    <sheetView view="pageBreakPreview" zoomScale="70" zoomScaleNormal="80" zoomScaleSheetLayoutView="70" workbookViewId="0">
      <selection activeCell="N35" sqref="N35"/>
    </sheetView>
  </sheetViews>
  <sheetFormatPr defaultRowHeight="14.4" x14ac:dyDescent="0.3"/>
  <cols>
    <col min="2" max="2" width="45.88671875" customWidth="1"/>
    <col min="3" max="3" width="16.88671875" bestFit="1" customWidth="1"/>
    <col min="4" max="4" width="15.109375" customWidth="1"/>
    <col min="5" max="5" width="16.88671875" bestFit="1" customWidth="1"/>
    <col min="6" max="8" width="15.109375" customWidth="1"/>
    <col min="9" max="9" width="14.88671875" bestFit="1" customWidth="1"/>
    <col min="10" max="10" width="15.5546875" bestFit="1" customWidth="1"/>
  </cols>
  <sheetData>
    <row r="1" spans="1:9" ht="15.6" x14ac:dyDescent="0.3">
      <c r="A1" s="661" t="s">
        <v>71</v>
      </c>
      <c r="B1" s="662"/>
      <c r="C1" s="662"/>
      <c r="D1" s="662"/>
      <c r="E1" s="662"/>
      <c r="F1" s="662"/>
      <c r="G1" s="662"/>
      <c r="H1" s="662"/>
    </row>
    <row r="2" spans="1:9" s="669" customFormat="1" ht="15.6" customHeight="1" x14ac:dyDescent="0.3">
      <c r="A2" s="1882" t="s">
        <v>505</v>
      </c>
      <c r="B2" s="1882" t="s">
        <v>10492</v>
      </c>
      <c r="C2" s="1895" t="s">
        <v>10454</v>
      </c>
      <c r="D2" s="1895"/>
      <c r="E2" s="1895"/>
      <c r="F2" s="1882" t="s">
        <v>10493</v>
      </c>
      <c r="G2" s="1882" t="s">
        <v>10494</v>
      </c>
      <c r="H2" s="1882" t="s">
        <v>108</v>
      </c>
    </row>
    <row r="3" spans="1:9" s="669" customFormat="1" ht="31.35" customHeight="1" x14ac:dyDescent="0.3">
      <c r="A3" s="1883"/>
      <c r="B3" s="1883"/>
      <c r="C3" s="659" t="s">
        <v>10495</v>
      </c>
      <c r="D3" s="659" t="s">
        <v>10496</v>
      </c>
      <c r="E3" s="659" t="s">
        <v>165</v>
      </c>
      <c r="F3" s="1883"/>
      <c r="G3" s="1883"/>
      <c r="H3" s="1883"/>
    </row>
    <row r="4" spans="1:9" ht="15.6" customHeight="1" x14ac:dyDescent="0.3">
      <c r="A4" s="729" t="s">
        <v>767</v>
      </c>
      <c r="B4" s="795" t="s">
        <v>120</v>
      </c>
      <c r="C4" s="796">
        <v>470736501</v>
      </c>
      <c r="D4" s="796">
        <v>51237</v>
      </c>
      <c r="E4" s="796">
        <f>C4+D4</f>
        <v>470787738</v>
      </c>
      <c r="F4" s="686">
        <f>E4*6%</f>
        <v>28247264.279999997</v>
      </c>
      <c r="G4" s="686">
        <v>0</v>
      </c>
      <c r="H4" s="686">
        <v>0</v>
      </c>
    </row>
    <row r="5" spans="1:9" ht="15.6" x14ac:dyDescent="0.3">
      <c r="A5" s="730" t="s">
        <v>778</v>
      </c>
      <c r="B5" s="797" t="s">
        <v>120</v>
      </c>
      <c r="C5" s="686">
        <v>203129138</v>
      </c>
      <c r="D5" s="686">
        <v>236610</v>
      </c>
      <c r="E5" s="686">
        <f t="shared" ref="E5:E17" si="0">C5+D5</f>
        <v>203365748</v>
      </c>
      <c r="F5" s="686">
        <f t="shared" ref="F5:F17" si="1">E5*6%</f>
        <v>12201944.879999999</v>
      </c>
      <c r="G5" s="686">
        <v>0</v>
      </c>
      <c r="H5" s="686">
        <v>0</v>
      </c>
    </row>
    <row r="6" spans="1:9" ht="15.6" x14ac:dyDescent="0.3">
      <c r="A6" s="636" t="s">
        <v>795</v>
      </c>
      <c r="B6" s="798" t="s">
        <v>120</v>
      </c>
      <c r="C6" s="686">
        <v>201867989</v>
      </c>
      <c r="D6" s="686">
        <v>-1524979</v>
      </c>
      <c r="E6" s="686">
        <f t="shared" si="0"/>
        <v>200343010</v>
      </c>
      <c r="F6" s="686">
        <f t="shared" si="1"/>
        <v>12020580.6</v>
      </c>
      <c r="G6" s="686">
        <v>0</v>
      </c>
      <c r="H6" s="686">
        <v>0</v>
      </c>
    </row>
    <row r="7" spans="1:9" ht="15.6" x14ac:dyDescent="0.3">
      <c r="A7" s="636" t="s">
        <v>797</v>
      </c>
      <c r="B7" s="798" t="s">
        <v>120</v>
      </c>
      <c r="C7" s="686">
        <v>208660127</v>
      </c>
      <c r="D7" s="686">
        <v>-2110581</v>
      </c>
      <c r="E7" s="686">
        <f t="shared" si="0"/>
        <v>206549546</v>
      </c>
      <c r="F7" s="686">
        <f t="shared" si="1"/>
        <v>12392972.76</v>
      </c>
      <c r="G7" s="686">
        <v>0</v>
      </c>
      <c r="H7" s="686">
        <v>0</v>
      </c>
    </row>
    <row r="8" spans="1:9" ht="15.6" x14ac:dyDescent="0.3">
      <c r="A8" s="636" t="s">
        <v>871</v>
      </c>
      <c r="B8" s="798" t="s">
        <v>120</v>
      </c>
      <c r="C8" s="686">
        <v>255093701</v>
      </c>
      <c r="D8" s="686">
        <v>-2771764</v>
      </c>
      <c r="E8" s="686">
        <f t="shared" si="0"/>
        <v>252321937</v>
      </c>
      <c r="F8" s="686">
        <f t="shared" si="1"/>
        <v>15139316.219999999</v>
      </c>
      <c r="G8" s="686">
        <v>0</v>
      </c>
      <c r="H8" s="686">
        <v>0</v>
      </c>
    </row>
    <row r="9" spans="1:9" ht="15.6" x14ac:dyDescent="0.3">
      <c r="A9" s="636" t="s">
        <v>898</v>
      </c>
      <c r="B9" s="798" t="s">
        <v>120</v>
      </c>
      <c r="C9" s="686">
        <v>433437094</v>
      </c>
      <c r="D9" s="686">
        <v>-1513313</v>
      </c>
      <c r="E9" s="686">
        <f t="shared" si="0"/>
        <v>431923781</v>
      </c>
      <c r="F9" s="686">
        <f t="shared" si="1"/>
        <v>25915426.859999999</v>
      </c>
      <c r="G9" s="686">
        <v>0</v>
      </c>
      <c r="H9" s="686">
        <v>0</v>
      </c>
    </row>
    <row r="10" spans="1:9" ht="15.6" x14ac:dyDescent="0.3">
      <c r="A10" s="636" t="s">
        <v>931</v>
      </c>
      <c r="B10" s="798" t="s">
        <v>120</v>
      </c>
      <c r="C10" s="686">
        <v>513652087</v>
      </c>
      <c r="D10" s="686">
        <v>-1832165</v>
      </c>
      <c r="E10" s="686">
        <f t="shared" si="0"/>
        <v>511819922</v>
      </c>
      <c r="F10" s="686">
        <f t="shared" si="1"/>
        <v>30709195.32</v>
      </c>
      <c r="G10" s="686">
        <v>0</v>
      </c>
      <c r="H10" s="686">
        <v>0</v>
      </c>
    </row>
    <row r="11" spans="1:9" ht="15.6" x14ac:dyDescent="0.3">
      <c r="A11" s="636" t="s">
        <v>1326</v>
      </c>
      <c r="B11" s="798" t="s">
        <v>120</v>
      </c>
      <c r="C11" s="686">
        <v>657308943</v>
      </c>
      <c r="D11" s="686">
        <v>-1308684</v>
      </c>
      <c r="E11" s="686">
        <f t="shared" si="0"/>
        <v>656000259</v>
      </c>
      <c r="F11" s="686">
        <f t="shared" si="1"/>
        <v>39360015.539999999</v>
      </c>
      <c r="G11" s="686">
        <v>0</v>
      </c>
      <c r="H11" s="686">
        <v>0</v>
      </c>
    </row>
    <row r="12" spans="1:9" ht="15.6" x14ac:dyDescent="0.3">
      <c r="A12" s="636" t="s">
        <v>1250</v>
      </c>
      <c r="B12" s="798" t="s">
        <v>120</v>
      </c>
      <c r="C12" s="686">
        <v>855152562</v>
      </c>
      <c r="D12" s="686">
        <v>-1245369</v>
      </c>
      <c r="E12" s="686">
        <f t="shared" si="0"/>
        <v>853907193</v>
      </c>
      <c r="F12" s="686">
        <f t="shared" si="1"/>
        <v>51234431.579999998</v>
      </c>
      <c r="G12" s="686">
        <v>0</v>
      </c>
      <c r="H12" s="686">
        <v>0</v>
      </c>
    </row>
    <row r="13" spans="1:9" ht="15.6" x14ac:dyDescent="0.3">
      <c r="A13" s="660" t="s">
        <v>10497</v>
      </c>
      <c r="B13" s="670" t="s">
        <v>10498</v>
      </c>
      <c r="C13" s="668">
        <v>0</v>
      </c>
      <c r="D13" s="668">
        <v>0</v>
      </c>
      <c r="E13" s="668">
        <v>0</v>
      </c>
      <c r="F13" s="668">
        <v>0</v>
      </c>
      <c r="G13" s="668">
        <f>SUM(E4:E12)*5%</f>
        <v>189350956.70000002</v>
      </c>
      <c r="H13" s="668">
        <f>SUM(E4:E12)*1%</f>
        <v>37870191.340000004</v>
      </c>
      <c r="I13" s="821"/>
    </row>
    <row r="14" spans="1:9" ht="15.6" x14ac:dyDescent="0.3">
      <c r="A14" s="636" t="s">
        <v>934</v>
      </c>
      <c r="B14" s="799" t="s">
        <v>120</v>
      </c>
      <c r="C14" s="820">
        <f>4643699122-SUM(C4:C12)</f>
        <v>844660980</v>
      </c>
      <c r="D14" s="820">
        <f>-11080272-SUM(D4:D12)</f>
        <v>938736</v>
      </c>
      <c r="E14" s="686">
        <f t="shared" si="0"/>
        <v>845599716</v>
      </c>
      <c r="F14" s="686">
        <f t="shared" si="1"/>
        <v>50735982.960000001</v>
      </c>
      <c r="G14" s="686">
        <v>0</v>
      </c>
      <c r="H14" s="686">
        <v>0</v>
      </c>
      <c r="I14" s="823"/>
    </row>
    <row r="15" spans="1:9" ht="15.6" x14ac:dyDescent="0.3">
      <c r="A15" s="636" t="s">
        <v>1302</v>
      </c>
      <c r="B15" s="799" t="s">
        <v>120</v>
      </c>
      <c r="C15" s="820">
        <v>797733297</v>
      </c>
      <c r="D15" s="820">
        <v>601907</v>
      </c>
      <c r="E15" s="686">
        <f t="shared" si="0"/>
        <v>798335204</v>
      </c>
      <c r="F15" s="686">
        <f t="shared" si="1"/>
        <v>47900112.239999995</v>
      </c>
      <c r="G15" s="686">
        <v>0</v>
      </c>
      <c r="H15" s="686">
        <v>0</v>
      </c>
      <c r="I15" s="823"/>
    </row>
    <row r="16" spans="1:9" ht="15.6" x14ac:dyDescent="0.3">
      <c r="A16" s="636" t="s">
        <v>97</v>
      </c>
      <c r="B16" s="799" t="s">
        <v>120</v>
      </c>
      <c r="C16" s="820">
        <v>547379912</v>
      </c>
      <c r="D16" s="820">
        <v>899459</v>
      </c>
      <c r="E16" s="686">
        <f t="shared" si="0"/>
        <v>548279371</v>
      </c>
      <c r="F16" s="686">
        <f t="shared" si="1"/>
        <v>32896762.259999998</v>
      </c>
      <c r="G16" s="686">
        <v>0</v>
      </c>
      <c r="H16" s="686">
        <v>0</v>
      </c>
      <c r="I16" s="823"/>
    </row>
    <row r="17" spans="1:19" ht="15.6" x14ac:dyDescent="0.3">
      <c r="A17" s="636" t="s">
        <v>937</v>
      </c>
      <c r="B17" s="799" t="s">
        <v>120</v>
      </c>
      <c r="C17" s="820">
        <v>384973831</v>
      </c>
      <c r="D17" s="820">
        <v>944932</v>
      </c>
      <c r="E17" s="686">
        <f t="shared" si="0"/>
        <v>385918763</v>
      </c>
      <c r="F17" s="686">
        <f t="shared" si="1"/>
        <v>23155125.779999997</v>
      </c>
      <c r="G17" s="686">
        <v>0</v>
      </c>
      <c r="H17" s="686">
        <v>0</v>
      </c>
      <c r="I17" s="823"/>
      <c r="S17" s="1183"/>
    </row>
    <row r="18" spans="1:19" ht="15.6" x14ac:dyDescent="0.3">
      <c r="A18" s="660" t="s">
        <v>10499</v>
      </c>
      <c r="B18" s="670" t="s">
        <v>10500</v>
      </c>
      <c r="C18" s="668">
        <v>0</v>
      </c>
      <c r="D18" s="668">
        <v>0</v>
      </c>
      <c r="E18" s="668">
        <v>0</v>
      </c>
      <c r="F18" s="668">
        <v>0</v>
      </c>
      <c r="G18" s="668">
        <f>SUM(E14:E16)*5%</f>
        <v>109610714.55000001</v>
      </c>
      <c r="H18" s="668">
        <f>SUM(E14:E16)*1%</f>
        <v>21922142.91</v>
      </c>
      <c r="I18" s="821"/>
      <c r="S18" s="1183"/>
    </row>
    <row r="19" spans="1:19" ht="15.6" x14ac:dyDescent="0.3">
      <c r="A19" s="636" t="s">
        <v>1262</v>
      </c>
      <c r="B19" s="799" t="s">
        <v>120</v>
      </c>
      <c r="C19" s="820">
        <v>472419452</v>
      </c>
      <c r="D19" s="820">
        <v>-2583258</v>
      </c>
      <c r="E19" s="686">
        <f>C19+D19</f>
        <v>469836194</v>
      </c>
      <c r="F19" s="686">
        <f>E19*6%</f>
        <v>28190171.640000001</v>
      </c>
      <c r="G19" s="686">
        <v>0</v>
      </c>
      <c r="H19" s="686">
        <v>0</v>
      </c>
      <c r="I19" s="823"/>
      <c r="S19" s="1183"/>
    </row>
    <row r="20" spans="1:19" ht="15.6" x14ac:dyDescent="0.3">
      <c r="A20" s="636" t="s">
        <v>1509</v>
      </c>
      <c r="B20" s="799" t="s">
        <v>120</v>
      </c>
      <c r="C20" s="820">
        <v>407791059</v>
      </c>
      <c r="D20" s="820">
        <v>-1243415</v>
      </c>
      <c r="E20" s="820">
        <f>C20+D20</f>
        <v>406547644</v>
      </c>
      <c r="F20" s="820">
        <f>E20*6%</f>
        <v>24392858.640000001</v>
      </c>
      <c r="G20" s="686">
        <v>0</v>
      </c>
      <c r="H20" s="686">
        <v>0</v>
      </c>
      <c r="I20" s="823"/>
      <c r="S20" s="1183"/>
    </row>
    <row r="21" spans="1:19" ht="15.6" x14ac:dyDescent="0.3">
      <c r="A21" s="636" t="s">
        <v>940</v>
      </c>
      <c r="B21" s="799" t="s">
        <v>120</v>
      </c>
      <c r="C21" s="820">
        <v>488824208</v>
      </c>
      <c r="D21" s="820">
        <v>-1285702</v>
      </c>
      <c r="E21" s="820">
        <f>C21+D21</f>
        <v>487538506</v>
      </c>
      <c r="F21" s="820">
        <f>E21*6%</f>
        <v>29252310.359999999</v>
      </c>
      <c r="G21" s="686">
        <v>0</v>
      </c>
      <c r="H21" s="686">
        <v>0</v>
      </c>
      <c r="I21" s="823"/>
      <c r="S21" s="1183"/>
    </row>
    <row r="22" spans="1:19" ht="31.2" x14ac:dyDescent="0.3">
      <c r="A22" s="660" t="s">
        <v>10501</v>
      </c>
      <c r="B22" s="670" t="s">
        <v>10502</v>
      </c>
      <c r="C22" s="668">
        <v>0</v>
      </c>
      <c r="D22" s="668">
        <v>0</v>
      </c>
      <c r="E22" s="668">
        <v>0</v>
      </c>
      <c r="F22" s="668">
        <v>0</v>
      </c>
      <c r="G22" s="668">
        <f>SUM(E17:E21)*5%</f>
        <v>87492055.350000009</v>
      </c>
      <c r="H22" s="668">
        <f>SUM(E17:E21)*1%</f>
        <v>17498411.07</v>
      </c>
      <c r="I22" s="821"/>
    </row>
    <row r="23" spans="1:19" ht="15.6" x14ac:dyDescent="0.3">
      <c r="A23" s="636" t="s">
        <v>1026</v>
      </c>
      <c r="B23" s="799" t="s">
        <v>120</v>
      </c>
      <c r="C23" s="820">
        <v>552558306</v>
      </c>
      <c r="D23" s="820">
        <v>-2047912</v>
      </c>
      <c r="E23" s="820">
        <f>C23+D23</f>
        <v>550510394</v>
      </c>
      <c r="F23" s="820">
        <f>E23*6%</f>
        <v>33030623.640000001</v>
      </c>
      <c r="G23" s="686">
        <v>0</v>
      </c>
      <c r="H23" s="686">
        <v>0</v>
      </c>
      <c r="I23" s="821"/>
    </row>
    <row r="24" spans="1:19" ht="15.6" x14ac:dyDescent="0.3">
      <c r="A24" s="636" t="s">
        <v>1282</v>
      </c>
      <c r="B24" s="799" t="s">
        <v>120</v>
      </c>
      <c r="C24" s="820">
        <v>581366059</v>
      </c>
      <c r="D24" s="820">
        <v>-4600110</v>
      </c>
      <c r="E24" s="820">
        <f>C24+D24</f>
        <v>576765949</v>
      </c>
      <c r="F24" s="820">
        <f>E24*6%</f>
        <v>34605956.939999998</v>
      </c>
      <c r="G24" s="686">
        <v>0</v>
      </c>
      <c r="H24" s="686">
        <v>0</v>
      </c>
      <c r="I24" s="821"/>
    </row>
    <row r="25" spans="1:19" ht="15.6" x14ac:dyDescent="0.3">
      <c r="A25" s="660" t="s">
        <v>10503</v>
      </c>
      <c r="B25" s="670" t="s">
        <v>10504</v>
      </c>
      <c r="C25" s="668">
        <v>0</v>
      </c>
      <c r="D25" s="668">
        <v>0</v>
      </c>
      <c r="E25" s="668">
        <v>0</v>
      </c>
      <c r="F25" s="668">
        <v>0</v>
      </c>
      <c r="G25" s="668">
        <f>SUM(E23:E24)*5%</f>
        <v>56363817.150000006</v>
      </c>
      <c r="H25" s="668">
        <f>SUM(E23:E24)*1%</f>
        <v>11272763.43</v>
      </c>
      <c r="I25" s="821"/>
    </row>
    <row r="26" spans="1:19" ht="15.6" x14ac:dyDescent="0.3">
      <c r="A26" s="636" t="s">
        <v>943</v>
      </c>
      <c r="B26" s="799" t="s">
        <v>120</v>
      </c>
      <c r="C26" s="820">
        <f>873173511+459080</f>
        <v>873632591</v>
      </c>
      <c r="D26" s="820">
        <v>-7677382</v>
      </c>
      <c r="E26" s="820">
        <f>C26+D26</f>
        <v>865955209</v>
      </c>
      <c r="F26" s="820">
        <f>E26*6%</f>
        <v>51957312.539999999</v>
      </c>
      <c r="G26" s="686">
        <v>0</v>
      </c>
      <c r="H26" s="686">
        <v>0</v>
      </c>
      <c r="I26" s="821"/>
    </row>
    <row r="27" spans="1:19" ht="15.6" x14ac:dyDescent="0.3">
      <c r="A27" s="636" t="s">
        <v>1417</v>
      </c>
      <c r="B27" s="799" t="s">
        <v>120</v>
      </c>
      <c r="C27" s="820">
        <v>610793926</v>
      </c>
      <c r="D27" s="820">
        <v>-5092113</v>
      </c>
      <c r="E27" s="820">
        <f>C27+D27</f>
        <v>605701813</v>
      </c>
      <c r="F27" s="820">
        <f>E27*6%</f>
        <v>36342108.780000001</v>
      </c>
      <c r="G27" s="686">
        <v>0</v>
      </c>
      <c r="H27" s="686">
        <v>0</v>
      </c>
      <c r="I27" s="821"/>
    </row>
    <row r="28" spans="1:19" ht="15.6" x14ac:dyDescent="0.3">
      <c r="A28" s="636" t="s">
        <v>1315</v>
      </c>
      <c r="B28" s="799" t="s">
        <v>120</v>
      </c>
      <c r="C28" s="820">
        <v>691410790</v>
      </c>
      <c r="D28" s="820">
        <v>-362532</v>
      </c>
      <c r="E28" s="820">
        <f>C28+D28</f>
        <v>691048258</v>
      </c>
      <c r="F28" s="820">
        <f>E28*6%</f>
        <v>41462895.479999997</v>
      </c>
      <c r="G28" s="686">
        <v>0</v>
      </c>
      <c r="H28" s="686">
        <v>0</v>
      </c>
      <c r="I28" s="821"/>
    </row>
    <row r="29" spans="1:19" ht="15.6" x14ac:dyDescent="0.3">
      <c r="A29" s="660" t="s">
        <v>10505</v>
      </c>
      <c r="B29" s="670" t="s">
        <v>10506</v>
      </c>
      <c r="C29" s="668">
        <v>0</v>
      </c>
      <c r="D29" s="668">
        <v>0</v>
      </c>
      <c r="E29" s="668">
        <v>0</v>
      </c>
      <c r="F29" s="668">
        <v>0</v>
      </c>
      <c r="G29" s="668">
        <f>SUM(E26:E27)*5%</f>
        <v>73582851.100000009</v>
      </c>
      <c r="H29" s="668">
        <f>SUM(E26:E27)*1%</f>
        <v>14716570.220000001</v>
      </c>
      <c r="I29" s="821"/>
    </row>
    <row r="30" spans="1:19" ht="15.6" x14ac:dyDescent="0.3">
      <c r="A30" s="636" t="s">
        <v>946</v>
      </c>
      <c r="B30" s="799" t="s">
        <v>120</v>
      </c>
      <c r="C30" s="820">
        <f>638310407+372026</f>
        <v>638682433</v>
      </c>
      <c r="D30" s="820">
        <v>14049929</v>
      </c>
      <c r="E30" s="820">
        <f>C30+D30</f>
        <v>652732362</v>
      </c>
      <c r="F30" s="820">
        <f>E30*6%</f>
        <v>39163941.719999999</v>
      </c>
      <c r="G30" s="686">
        <v>0</v>
      </c>
      <c r="H30" s="686">
        <v>0</v>
      </c>
      <c r="I30" s="821"/>
      <c r="J30" s="821">
        <f>SUM(E28:E31)</f>
        <v>1791957224</v>
      </c>
    </row>
    <row r="31" spans="1:19" ht="15.6" x14ac:dyDescent="0.3">
      <c r="A31" s="636" t="s">
        <v>1053</v>
      </c>
      <c r="B31" s="799" t="s">
        <v>120</v>
      </c>
      <c r="C31" s="820">
        <v>444698045</v>
      </c>
      <c r="D31" s="820">
        <v>3478559</v>
      </c>
      <c r="E31" s="820">
        <f>C31+D31</f>
        <v>448176604</v>
      </c>
      <c r="F31" s="820">
        <f>E31*6%</f>
        <v>26890596.239999998</v>
      </c>
      <c r="G31" s="686">
        <v>0</v>
      </c>
      <c r="H31" s="686">
        <v>0</v>
      </c>
      <c r="I31" s="821"/>
    </row>
    <row r="32" spans="1:19" ht="15.6" x14ac:dyDescent="0.3">
      <c r="A32" s="636" t="s">
        <v>1579</v>
      </c>
      <c r="B32" s="799" t="s">
        <v>120</v>
      </c>
      <c r="C32" s="820">
        <v>497100394</v>
      </c>
      <c r="D32" s="820">
        <v>15423797</v>
      </c>
      <c r="E32" s="820">
        <f>C32+D32</f>
        <v>512524191</v>
      </c>
      <c r="F32" s="820">
        <f>E32*6%</f>
        <v>30751451.459999997</v>
      </c>
      <c r="G32" s="686">
        <v>0</v>
      </c>
      <c r="H32" s="686">
        <v>0</v>
      </c>
      <c r="I32" s="821"/>
      <c r="J32" s="895">
        <f>J30*5%</f>
        <v>89597861.200000003</v>
      </c>
    </row>
    <row r="33" spans="1:11" ht="31.2" x14ac:dyDescent="0.3">
      <c r="A33" s="660" t="s">
        <v>10507</v>
      </c>
      <c r="B33" s="670" t="s">
        <v>10508</v>
      </c>
      <c r="C33" s="668">
        <v>0</v>
      </c>
      <c r="D33" s="668">
        <v>0</v>
      </c>
      <c r="E33" s="668">
        <f>C33+D33</f>
        <v>0</v>
      </c>
      <c r="F33" s="668">
        <f>E33*6%</f>
        <v>0</v>
      </c>
      <c r="G33" s="668">
        <f>SUM(E28:E31)*5%</f>
        <v>89597861.200000003</v>
      </c>
      <c r="H33" s="668">
        <f>SUM(E28:E31)*1%+E32*6%</f>
        <v>48671023.700000003</v>
      </c>
      <c r="I33" s="821"/>
    </row>
    <row r="34" spans="1:11" ht="15.6" x14ac:dyDescent="0.3">
      <c r="A34" s="636" t="s">
        <v>949</v>
      </c>
      <c r="B34" s="799" t="s">
        <v>120</v>
      </c>
      <c r="C34" s="820">
        <v>363982070</v>
      </c>
      <c r="D34" s="820">
        <v>71602050</v>
      </c>
      <c r="E34" s="820">
        <f>C34+D34</f>
        <v>435584120</v>
      </c>
      <c r="F34" s="820">
        <f>E34*6%</f>
        <v>26135047.199999999</v>
      </c>
      <c r="G34" s="686">
        <v>0</v>
      </c>
      <c r="H34" s="686">
        <f>F34</f>
        <v>26135047.199999999</v>
      </c>
      <c r="I34" s="821"/>
      <c r="J34" s="895"/>
    </row>
    <row r="35" spans="1:11" ht="15.6" x14ac:dyDescent="0.3">
      <c r="A35" s="636"/>
      <c r="B35" s="799"/>
      <c r="C35" s="730"/>
      <c r="D35" s="730"/>
      <c r="E35" s="822"/>
      <c r="F35" s="822"/>
      <c r="G35" s="686"/>
      <c r="H35" s="686"/>
      <c r="I35" s="823"/>
    </row>
    <row r="36" spans="1:11" ht="15.6" x14ac:dyDescent="0.3">
      <c r="A36" s="1893" t="s">
        <v>165</v>
      </c>
      <c r="B36" s="1894"/>
      <c r="C36" s="671">
        <f t="shared" ref="C36:H36" si="2">SUM(C4:C35)</f>
        <v>12997045495</v>
      </c>
      <c r="D36" s="671">
        <f t="shared" si="2"/>
        <v>71027937</v>
      </c>
      <c r="E36" s="671">
        <f t="shared" si="2"/>
        <v>13068073432</v>
      </c>
      <c r="F36" s="671">
        <f t="shared" si="2"/>
        <v>784084405.91999996</v>
      </c>
      <c r="G36" s="671">
        <f t="shared" si="2"/>
        <v>605998256.05000007</v>
      </c>
      <c r="H36" s="671">
        <f t="shared" si="2"/>
        <v>178086149.87</v>
      </c>
      <c r="I36" s="821">
        <f>F36*5/6</f>
        <v>653403671.60000002</v>
      </c>
      <c r="J36" s="821">
        <f>I36-G36</f>
        <v>47405415.549999952</v>
      </c>
      <c r="K36">
        <f>2.67*5/6</f>
        <v>2.2250000000000001</v>
      </c>
    </row>
    <row r="37" spans="1:11" ht="15.6" x14ac:dyDescent="0.3">
      <c r="A37" s="619"/>
      <c r="B37" s="619"/>
      <c r="C37" s="619"/>
      <c r="D37" s="672"/>
      <c r="E37" s="672"/>
      <c r="F37" s="672"/>
      <c r="G37" s="672"/>
      <c r="H37" s="672"/>
      <c r="I37" s="1126">
        <f>F36-G36</f>
        <v>178086149.86999989</v>
      </c>
      <c r="K37">
        <v>6.71</v>
      </c>
    </row>
    <row r="38" spans="1:11" ht="15.6" customHeight="1" x14ac:dyDescent="0.3">
      <c r="A38" s="1881"/>
      <c r="B38" s="1881"/>
      <c r="D38" s="1884" t="s">
        <v>10472</v>
      </c>
      <c r="E38" s="1885"/>
      <c r="F38" s="1886"/>
      <c r="G38" s="673">
        <f>ROUND(G36,0)</f>
        <v>605998256</v>
      </c>
      <c r="H38" s="672"/>
    </row>
    <row r="39" spans="1:11" ht="15.6" x14ac:dyDescent="0.3">
      <c r="A39" s="1881"/>
      <c r="B39" s="1881"/>
      <c r="D39" s="1887" t="s">
        <v>10369</v>
      </c>
      <c r="E39" s="1888"/>
      <c r="F39" s="1889"/>
      <c r="G39" s="630">
        <v>605998256</v>
      </c>
      <c r="H39" s="672"/>
      <c r="I39" s="823">
        <f>E36*5%</f>
        <v>653403671.60000002</v>
      </c>
      <c r="J39" s="823"/>
    </row>
    <row r="40" spans="1:11" ht="15.6" x14ac:dyDescent="0.3">
      <c r="A40" s="1881"/>
      <c r="B40" s="1881"/>
      <c r="D40" s="1890" t="s">
        <v>10370</v>
      </c>
      <c r="E40" s="1891"/>
      <c r="F40" s="1892"/>
      <c r="G40" s="674">
        <f>G38-G39</f>
        <v>0</v>
      </c>
      <c r="H40" s="672"/>
      <c r="I40" s="821">
        <f>I39*1.1</f>
        <v>718744038.76000011</v>
      </c>
    </row>
    <row r="41" spans="1:11" x14ac:dyDescent="0.3">
      <c r="I41" s="821"/>
    </row>
    <row r="43" spans="1:11" x14ac:dyDescent="0.3">
      <c r="F43" s="895"/>
      <c r="G43" s="895"/>
    </row>
  </sheetData>
  <mergeCells count="11">
    <mergeCell ref="A38:B40"/>
    <mergeCell ref="H2:H3"/>
    <mergeCell ref="G2:G3"/>
    <mergeCell ref="D38:F38"/>
    <mergeCell ref="D39:F39"/>
    <mergeCell ref="D40:F40"/>
    <mergeCell ref="A36:B36"/>
    <mergeCell ref="C2:E2"/>
    <mergeCell ref="F2:F3"/>
    <mergeCell ref="A2:A3"/>
    <mergeCell ref="B2:B3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5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74C2-CB39-4F65-8931-BB092705B571}">
  <sheetPr codeName="Sheet27"/>
  <dimension ref="A1:K43"/>
  <sheetViews>
    <sheetView view="pageBreakPreview" zoomScale="70" zoomScaleNormal="80" zoomScaleSheetLayoutView="70" workbookViewId="0">
      <selection activeCell="F30" sqref="F30"/>
    </sheetView>
  </sheetViews>
  <sheetFormatPr defaultRowHeight="14.4" x14ac:dyDescent="0.3"/>
  <cols>
    <col min="2" max="2" width="39.5546875" customWidth="1"/>
    <col min="3" max="3" width="16.44140625" customWidth="1"/>
    <col min="4" max="4" width="16.88671875" bestFit="1" customWidth="1"/>
    <col min="5" max="5" width="16.44140625" customWidth="1"/>
    <col min="6" max="6" width="16.88671875" bestFit="1" customWidth="1"/>
    <col min="7" max="9" width="16.44140625" customWidth="1"/>
    <col min="10" max="10" width="16.44140625" bestFit="1" customWidth="1"/>
    <col min="11" max="11" width="13.5546875" bestFit="1" customWidth="1"/>
  </cols>
  <sheetData>
    <row r="1" spans="1:11" ht="15.6" x14ac:dyDescent="0.3">
      <c r="A1" s="661" t="s">
        <v>10509</v>
      </c>
      <c r="B1" s="662"/>
      <c r="C1" s="662"/>
      <c r="D1" s="662"/>
      <c r="E1" s="662"/>
      <c r="F1" s="662"/>
      <c r="G1" s="662"/>
      <c r="H1" s="662"/>
      <c r="I1" s="662"/>
    </row>
    <row r="2" spans="1:11" s="669" customFormat="1" ht="15.6" customHeight="1" x14ac:dyDescent="0.3">
      <c r="A2" s="1882" t="s">
        <v>505</v>
      </c>
      <c r="B2" s="1882" t="s">
        <v>10492</v>
      </c>
      <c r="C2" s="1882" t="s">
        <v>10510</v>
      </c>
      <c r="D2" s="1896" t="s">
        <v>10454</v>
      </c>
      <c r="E2" s="1897"/>
      <c r="F2" s="1898"/>
      <c r="G2" s="1882" t="s">
        <v>10511</v>
      </c>
      <c r="H2" s="1882" t="s">
        <v>10512</v>
      </c>
      <c r="I2" s="1882" t="s">
        <v>10513</v>
      </c>
    </row>
    <row r="3" spans="1:11" s="669" customFormat="1" ht="31.35" customHeight="1" x14ac:dyDescent="0.3">
      <c r="A3" s="1883"/>
      <c r="B3" s="1883"/>
      <c r="C3" s="1883"/>
      <c r="D3" s="659" t="s">
        <v>10495</v>
      </c>
      <c r="E3" s="659" t="s">
        <v>10496</v>
      </c>
      <c r="F3" s="659" t="s">
        <v>165</v>
      </c>
      <c r="G3" s="1883"/>
      <c r="H3" s="1883"/>
      <c r="I3" s="1883"/>
    </row>
    <row r="4" spans="1:11" ht="15.6" customHeight="1" x14ac:dyDescent="0.3">
      <c r="A4" s="729" t="s">
        <v>10514</v>
      </c>
      <c r="B4" s="795" t="s">
        <v>10515</v>
      </c>
      <c r="C4" s="896">
        <v>1344270000</v>
      </c>
      <c r="D4" s="796">
        <v>0</v>
      </c>
      <c r="E4" s="796">
        <v>0</v>
      </c>
      <c r="F4" s="796">
        <f>D4+E4</f>
        <v>0</v>
      </c>
      <c r="G4" s="686">
        <f>F4*15%</f>
        <v>0</v>
      </c>
      <c r="H4" s="686">
        <v>0</v>
      </c>
      <c r="I4" s="686">
        <f>IF(C4-H32&gt;"0",C4-H32,0)</f>
        <v>0</v>
      </c>
      <c r="J4" s="895"/>
    </row>
    <row r="5" spans="1:11" ht="15.6" customHeight="1" x14ac:dyDescent="0.3">
      <c r="A5" s="730" t="s">
        <v>767</v>
      </c>
      <c r="B5" s="797" t="s">
        <v>120</v>
      </c>
      <c r="C5" s="899">
        <v>0</v>
      </c>
      <c r="D5" s="820">
        <v>470736501</v>
      </c>
      <c r="E5" s="820">
        <v>51237</v>
      </c>
      <c r="F5" s="820">
        <f>D5+E5</f>
        <v>470787738</v>
      </c>
      <c r="G5" s="686">
        <f t="shared" ref="G5:G14" si="0">F5*15%</f>
        <v>70618160.700000003</v>
      </c>
      <c r="H5" s="686">
        <v>0</v>
      </c>
      <c r="I5" s="686">
        <v>0</v>
      </c>
    </row>
    <row r="6" spans="1:11" ht="15.6" x14ac:dyDescent="0.3">
      <c r="A6" s="730" t="s">
        <v>778</v>
      </c>
      <c r="B6" s="797" t="s">
        <v>120</v>
      </c>
      <c r="C6" s="899">
        <v>0</v>
      </c>
      <c r="D6" s="686">
        <v>203129138</v>
      </c>
      <c r="E6" s="686">
        <v>236610</v>
      </c>
      <c r="F6" s="686">
        <f t="shared" ref="F6:F18" si="1">D6+E6</f>
        <v>203365748</v>
      </c>
      <c r="G6" s="686">
        <f t="shared" si="0"/>
        <v>30504862.199999999</v>
      </c>
      <c r="H6" s="686">
        <v>0</v>
      </c>
      <c r="I6" s="686">
        <v>0</v>
      </c>
    </row>
    <row r="7" spans="1:11" ht="15.6" x14ac:dyDescent="0.3">
      <c r="A7" s="636" t="s">
        <v>795</v>
      </c>
      <c r="B7" s="798" t="s">
        <v>120</v>
      </c>
      <c r="C7" s="897">
        <v>0</v>
      </c>
      <c r="D7" s="686">
        <v>201867989</v>
      </c>
      <c r="E7" s="686">
        <v>-1524979</v>
      </c>
      <c r="F7" s="686">
        <f t="shared" si="1"/>
        <v>200343010</v>
      </c>
      <c r="G7" s="686">
        <f t="shared" si="0"/>
        <v>30051451.5</v>
      </c>
      <c r="H7" s="686">
        <v>0</v>
      </c>
      <c r="I7" s="686">
        <v>0</v>
      </c>
    </row>
    <row r="8" spans="1:11" ht="15.6" x14ac:dyDescent="0.3">
      <c r="A8" s="636" t="s">
        <v>797</v>
      </c>
      <c r="B8" s="798" t="s">
        <v>120</v>
      </c>
      <c r="C8" s="897">
        <v>0</v>
      </c>
      <c r="D8" s="686">
        <v>208660127</v>
      </c>
      <c r="E8" s="686">
        <v>-2110581</v>
      </c>
      <c r="F8" s="686">
        <f t="shared" si="1"/>
        <v>206549546</v>
      </c>
      <c r="G8" s="686">
        <f t="shared" si="0"/>
        <v>30982431.899999999</v>
      </c>
      <c r="H8" s="686">
        <v>0</v>
      </c>
      <c r="I8" s="686">
        <v>0</v>
      </c>
    </row>
    <row r="9" spans="1:11" ht="15.6" x14ac:dyDescent="0.3">
      <c r="A9" s="636" t="s">
        <v>10516</v>
      </c>
      <c r="B9" s="798" t="s">
        <v>10517</v>
      </c>
      <c r="C9" s="897">
        <v>1344270000</v>
      </c>
      <c r="D9" s="686">
        <v>0</v>
      </c>
      <c r="E9" s="686">
        <v>0</v>
      </c>
      <c r="F9" s="686">
        <f t="shared" si="1"/>
        <v>0</v>
      </c>
      <c r="G9" s="686">
        <f t="shared" si="0"/>
        <v>0</v>
      </c>
      <c r="H9" s="686">
        <v>0</v>
      </c>
      <c r="I9" s="686">
        <f>C4+C9-H32</f>
        <v>793666603.20000029</v>
      </c>
      <c r="J9" s="1126"/>
      <c r="K9" s="821"/>
    </row>
    <row r="10" spans="1:11" ht="15.6" x14ac:dyDescent="0.3">
      <c r="A10" s="636" t="s">
        <v>871</v>
      </c>
      <c r="B10" s="798" t="s">
        <v>120</v>
      </c>
      <c r="C10" s="897">
        <v>0</v>
      </c>
      <c r="D10" s="686">
        <v>255093701</v>
      </c>
      <c r="E10" s="686">
        <v>-2771764</v>
      </c>
      <c r="F10" s="686">
        <f t="shared" si="1"/>
        <v>252321937</v>
      </c>
      <c r="G10" s="686">
        <f t="shared" si="0"/>
        <v>37848290.549999997</v>
      </c>
      <c r="H10" s="686">
        <v>0</v>
      </c>
      <c r="I10" s="686">
        <v>0</v>
      </c>
    </row>
    <row r="11" spans="1:11" ht="15.6" x14ac:dyDescent="0.3">
      <c r="A11" s="636" t="s">
        <v>898</v>
      </c>
      <c r="B11" s="798" t="s">
        <v>120</v>
      </c>
      <c r="C11" s="897">
        <v>0</v>
      </c>
      <c r="D11" s="686">
        <v>433437094</v>
      </c>
      <c r="E11" s="686">
        <v>-1513313</v>
      </c>
      <c r="F11" s="686">
        <f t="shared" si="1"/>
        <v>431923781</v>
      </c>
      <c r="G11" s="686">
        <f t="shared" si="0"/>
        <v>64788567.149999999</v>
      </c>
      <c r="H11" s="686">
        <v>0</v>
      </c>
      <c r="I11" s="686">
        <v>0</v>
      </c>
    </row>
    <row r="12" spans="1:11" ht="15.6" x14ac:dyDescent="0.3">
      <c r="A12" s="636" t="s">
        <v>931</v>
      </c>
      <c r="B12" s="798" t="s">
        <v>120</v>
      </c>
      <c r="C12" s="897">
        <v>0</v>
      </c>
      <c r="D12" s="686">
        <v>513652087</v>
      </c>
      <c r="E12" s="686">
        <v>-1832165</v>
      </c>
      <c r="F12" s="686">
        <f t="shared" si="1"/>
        <v>511819922</v>
      </c>
      <c r="G12" s="686">
        <f t="shared" si="0"/>
        <v>76772988.299999997</v>
      </c>
      <c r="H12" s="686">
        <v>0</v>
      </c>
      <c r="I12" s="686">
        <v>0</v>
      </c>
    </row>
    <row r="13" spans="1:11" ht="15.6" x14ac:dyDescent="0.3">
      <c r="A13" s="636" t="s">
        <v>1326</v>
      </c>
      <c r="B13" s="798" t="s">
        <v>120</v>
      </c>
      <c r="C13" s="897">
        <v>0</v>
      </c>
      <c r="D13" s="686">
        <v>657308943</v>
      </c>
      <c r="E13" s="686">
        <v>-1308684</v>
      </c>
      <c r="F13" s="686">
        <f t="shared" si="1"/>
        <v>656000259</v>
      </c>
      <c r="G13" s="686">
        <f t="shared" si="0"/>
        <v>98400038.849999994</v>
      </c>
      <c r="H13" s="686">
        <v>0</v>
      </c>
      <c r="I13" s="686">
        <v>0</v>
      </c>
    </row>
    <row r="14" spans="1:11" ht="15.6" x14ac:dyDescent="0.3">
      <c r="A14" s="636" t="s">
        <v>1250</v>
      </c>
      <c r="B14" s="798" t="s">
        <v>120</v>
      </c>
      <c r="C14" s="897">
        <v>0</v>
      </c>
      <c r="D14" s="686">
        <v>855152562</v>
      </c>
      <c r="E14" s="686">
        <v>-1245369</v>
      </c>
      <c r="F14" s="686">
        <f t="shared" si="1"/>
        <v>853907193</v>
      </c>
      <c r="G14" s="686">
        <f t="shared" si="0"/>
        <v>128086078.94999999</v>
      </c>
      <c r="H14" s="686">
        <v>0</v>
      </c>
      <c r="I14" s="686">
        <v>0</v>
      </c>
    </row>
    <row r="15" spans="1:11" ht="15.6" x14ac:dyDescent="0.3">
      <c r="A15" s="660" t="s">
        <v>934</v>
      </c>
      <c r="B15" s="670" t="s">
        <v>120</v>
      </c>
      <c r="C15" s="901">
        <v>0</v>
      </c>
      <c r="D15" s="902">
        <f>4643699122-SUM(D4:D14)</f>
        <v>844660980</v>
      </c>
      <c r="E15" s="902">
        <f>-11080272-SUM(E4:E14)</f>
        <v>938736</v>
      </c>
      <c r="F15" s="668">
        <f t="shared" si="1"/>
        <v>845599716</v>
      </c>
      <c r="G15" s="668">
        <f t="shared" ref="G15:G20" si="2">F15*15%</f>
        <v>126839957.39999999</v>
      </c>
      <c r="H15" s="668">
        <f>SUM(G4:G15)</f>
        <v>694892827.49999988</v>
      </c>
      <c r="I15" s="668">
        <v>0</v>
      </c>
    </row>
    <row r="16" spans="1:11" ht="15.6" x14ac:dyDescent="0.3">
      <c r="A16" s="636" t="s">
        <v>1302</v>
      </c>
      <c r="B16" s="799" t="s">
        <v>120</v>
      </c>
      <c r="C16" s="900">
        <v>0</v>
      </c>
      <c r="D16" s="820">
        <v>797733297</v>
      </c>
      <c r="E16" s="820">
        <v>601907</v>
      </c>
      <c r="F16" s="686">
        <f t="shared" si="1"/>
        <v>798335204</v>
      </c>
      <c r="G16" s="686">
        <f t="shared" si="2"/>
        <v>119750280.59999999</v>
      </c>
      <c r="H16" s="686">
        <v>0</v>
      </c>
      <c r="I16" s="686">
        <v>0</v>
      </c>
    </row>
    <row r="17" spans="1:10" ht="15.6" x14ac:dyDescent="0.3">
      <c r="A17" s="636" t="s">
        <v>97</v>
      </c>
      <c r="B17" s="799" t="s">
        <v>120</v>
      </c>
      <c r="C17" s="900">
        <v>0</v>
      </c>
      <c r="D17" s="820">
        <v>547379912</v>
      </c>
      <c r="E17" s="820">
        <v>899459</v>
      </c>
      <c r="F17" s="686">
        <f t="shared" si="1"/>
        <v>548279371</v>
      </c>
      <c r="G17" s="686">
        <f t="shared" si="2"/>
        <v>82241905.649999991</v>
      </c>
      <c r="H17" s="686">
        <v>0</v>
      </c>
      <c r="I17" s="686">
        <v>0</v>
      </c>
    </row>
    <row r="18" spans="1:10" ht="15.6" x14ac:dyDescent="0.3">
      <c r="A18" s="636" t="s">
        <v>937</v>
      </c>
      <c r="B18" s="799" t="s">
        <v>120</v>
      </c>
      <c r="C18" s="900">
        <v>0</v>
      </c>
      <c r="D18" s="820">
        <f>6373786162-SUM(D4:D17)</f>
        <v>384973831</v>
      </c>
      <c r="E18" s="820">
        <f>-8633974-SUM(E4:E17)</f>
        <v>944932</v>
      </c>
      <c r="F18" s="686">
        <f t="shared" si="1"/>
        <v>385918763</v>
      </c>
      <c r="G18" s="686">
        <f t="shared" si="2"/>
        <v>57887814.449999996</v>
      </c>
      <c r="H18" s="686">
        <v>0</v>
      </c>
      <c r="I18" s="686">
        <v>0</v>
      </c>
    </row>
    <row r="19" spans="1:10" ht="15.6" x14ac:dyDescent="0.3">
      <c r="A19" s="636" t="s">
        <v>1262</v>
      </c>
      <c r="B19" s="799" t="s">
        <v>120</v>
      </c>
      <c r="C19" s="900">
        <v>0</v>
      </c>
      <c r="D19" s="820">
        <v>472419452</v>
      </c>
      <c r="E19" s="820">
        <v>-2583258</v>
      </c>
      <c r="F19" s="686">
        <f t="shared" ref="F19:F26" si="3">D19+E19</f>
        <v>469836194</v>
      </c>
      <c r="G19" s="686">
        <f t="shared" si="2"/>
        <v>70475429.099999994</v>
      </c>
      <c r="H19" s="686">
        <v>0</v>
      </c>
      <c r="I19" s="686">
        <v>0</v>
      </c>
    </row>
    <row r="20" spans="1:10" ht="15.6" x14ac:dyDescent="0.3">
      <c r="A20" s="660" t="s">
        <v>1509</v>
      </c>
      <c r="B20" s="670" t="s">
        <v>120</v>
      </c>
      <c r="C20" s="901">
        <v>0</v>
      </c>
      <c r="D20" s="902">
        <v>407791059</v>
      </c>
      <c r="E20" s="902">
        <v>-1243415</v>
      </c>
      <c r="F20" s="668">
        <f t="shared" si="3"/>
        <v>406547644</v>
      </c>
      <c r="G20" s="668">
        <f t="shared" si="2"/>
        <v>60982146.599999994</v>
      </c>
      <c r="H20" s="668">
        <f>SUM(G16:G20)</f>
        <v>391337576.39999998</v>
      </c>
      <c r="I20" s="668">
        <v>0</v>
      </c>
    </row>
    <row r="21" spans="1:10" ht="15.6" x14ac:dyDescent="0.3">
      <c r="A21" s="636" t="s">
        <v>940</v>
      </c>
      <c r="B21" s="799" t="s">
        <v>120</v>
      </c>
      <c r="C21" s="1011">
        <v>0</v>
      </c>
      <c r="D21" s="820">
        <v>488824208</v>
      </c>
      <c r="E21" s="820">
        <v>-1285702</v>
      </c>
      <c r="F21" s="686">
        <f t="shared" si="3"/>
        <v>487538506</v>
      </c>
      <c r="G21" s="686">
        <f t="shared" ref="G21:G26" si="4">F21*15%</f>
        <v>73130775.899999991</v>
      </c>
      <c r="H21" s="686">
        <v>0</v>
      </c>
      <c r="I21" s="686">
        <v>0</v>
      </c>
    </row>
    <row r="22" spans="1:10" ht="15.6" x14ac:dyDescent="0.3">
      <c r="A22" s="636" t="s">
        <v>1026</v>
      </c>
      <c r="B22" s="799" t="s">
        <v>120</v>
      </c>
      <c r="C22" s="1011">
        <v>0</v>
      </c>
      <c r="D22" s="820">
        <f>552145157+413149</f>
        <v>552558306</v>
      </c>
      <c r="E22" s="820">
        <v>-2047912</v>
      </c>
      <c r="F22" s="686">
        <f t="shared" si="3"/>
        <v>550510394</v>
      </c>
      <c r="G22" s="686">
        <f t="shared" si="4"/>
        <v>82576559.099999994</v>
      </c>
      <c r="H22" s="686">
        <v>0</v>
      </c>
      <c r="I22" s="686">
        <v>0</v>
      </c>
    </row>
    <row r="23" spans="1:10" ht="15.6" x14ac:dyDescent="0.3">
      <c r="A23" s="660" t="s">
        <v>1282</v>
      </c>
      <c r="B23" s="670" t="s">
        <v>120</v>
      </c>
      <c r="C23" s="901">
        <v>0</v>
      </c>
      <c r="D23" s="902">
        <v>581366059</v>
      </c>
      <c r="E23" s="902">
        <v>-4600110</v>
      </c>
      <c r="F23" s="668">
        <f t="shared" si="3"/>
        <v>576765949</v>
      </c>
      <c r="G23" s="668">
        <f t="shared" si="4"/>
        <v>86514892.349999994</v>
      </c>
      <c r="H23" s="668">
        <f>SUM(G21:G23)</f>
        <v>242222227.34999999</v>
      </c>
      <c r="I23" s="668">
        <v>0</v>
      </c>
      <c r="J23" s="895"/>
    </row>
    <row r="24" spans="1:10" ht="15.6" x14ac:dyDescent="0.3">
      <c r="A24" s="636" t="s">
        <v>943</v>
      </c>
      <c r="B24" s="799" t="s">
        <v>120</v>
      </c>
      <c r="C24" s="1011">
        <v>0</v>
      </c>
      <c r="D24" s="820">
        <f>873173511+459080</f>
        <v>873632591</v>
      </c>
      <c r="E24" s="820">
        <v>-7677382</v>
      </c>
      <c r="F24" s="686">
        <f t="shared" si="3"/>
        <v>865955209</v>
      </c>
      <c r="G24" s="686">
        <f t="shared" si="4"/>
        <v>129893281.34999999</v>
      </c>
      <c r="H24" s="686">
        <v>0</v>
      </c>
      <c r="I24" s="686">
        <v>0</v>
      </c>
    </row>
    <row r="25" spans="1:10" ht="15.6" x14ac:dyDescent="0.3">
      <c r="A25" s="636" t="s">
        <v>1417</v>
      </c>
      <c r="B25" s="799" t="s">
        <v>120</v>
      </c>
      <c r="C25" s="1011">
        <v>0</v>
      </c>
      <c r="D25" s="820">
        <v>610793926</v>
      </c>
      <c r="E25" s="820">
        <v>-5092113</v>
      </c>
      <c r="F25" s="686">
        <f t="shared" si="3"/>
        <v>605701813</v>
      </c>
      <c r="G25" s="686">
        <f t="shared" si="4"/>
        <v>90855271.950000003</v>
      </c>
      <c r="H25" s="686">
        <v>0</v>
      </c>
      <c r="I25" s="820">
        <v>0</v>
      </c>
    </row>
    <row r="26" spans="1:10" ht="15.6" x14ac:dyDescent="0.3">
      <c r="A26" s="660" t="s">
        <v>1315</v>
      </c>
      <c r="B26" s="670" t="s">
        <v>120</v>
      </c>
      <c r="C26" s="901">
        <v>0</v>
      </c>
      <c r="D26" s="902">
        <f>691410790</f>
        <v>691410790</v>
      </c>
      <c r="E26" s="902">
        <v>-362532</v>
      </c>
      <c r="F26" s="668">
        <f t="shared" si="3"/>
        <v>691048258</v>
      </c>
      <c r="G26" s="668">
        <f t="shared" si="4"/>
        <v>103657238.7</v>
      </c>
      <c r="H26" s="668">
        <f>SUM(G24:G26)</f>
        <v>324405792</v>
      </c>
      <c r="I26" s="902"/>
    </row>
    <row r="27" spans="1:10" ht="15.6" x14ac:dyDescent="0.3">
      <c r="A27" s="636" t="s">
        <v>946</v>
      </c>
      <c r="B27" s="799" t="s">
        <v>120</v>
      </c>
      <c r="C27" s="1011">
        <v>0</v>
      </c>
      <c r="D27" s="820">
        <f>'Retention Release'!C30</f>
        <v>638682433</v>
      </c>
      <c r="E27" s="820">
        <f>'Retention Release'!D30</f>
        <v>14049929</v>
      </c>
      <c r="F27" s="686">
        <f t="shared" ref="F27:F30" si="5">D27+E27</f>
        <v>652732362</v>
      </c>
      <c r="G27" s="686">
        <f t="shared" ref="G27:G30" si="6">F27*15%</f>
        <v>97909854.299999997</v>
      </c>
      <c r="H27" s="686">
        <v>0</v>
      </c>
      <c r="I27" s="820">
        <v>0</v>
      </c>
    </row>
    <row r="28" spans="1:10" ht="15.6" x14ac:dyDescent="0.3">
      <c r="A28" s="636" t="s">
        <v>1053</v>
      </c>
      <c r="B28" s="799" t="s">
        <v>120</v>
      </c>
      <c r="C28" s="1011">
        <v>0</v>
      </c>
      <c r="D28" s="820">
        <f>'Retention Release'!C31</f>
        <v>444698045</v>
      </c>
      <c r="E28" s="820">
        <f>'Retention Release'!D31</f>
        <v>3478559</v>
      </c>
      <c r="F28" s="686">
        <f t="shared" si="5"/>
        <v>448176604</v>
      </c>
      <c r="G28" s="686">
        <f t="shared" si="6"/>
        <v>67226490.599999994</v>
      </c>
      <c r="H28" s="686">
        <v>0</v>
      </c>
      <c r="I28" s="820">
        <v>0</v>
      </c>
    </row>
    <row r="29" spans="1:10" ht="15.6" x14ac:dyDescent="0.3">
      <c r="A29" s="660" t="s">
        <v>1579</v>
      </c>
      <c r="B29" s="670" t="s">
        <v>120</v>
      </c>
      <c r="C29" s="901">
        <v>0</v>
      </c>
      <c r="D29" s="902">
        <v>497100394</v>
      </c>
      <c r="E29" s="902">
        <v>15423797</v>
      </c>
      <c r="F29" s="668">
        <f t="shared" si="5"/>
        <v>512524191</v>
      </c>
      <c r="G29" s="668">
        <f t="shared" si="6"/>
        <v>76878628.649999991</v>
      </c>
      <c r="H29" s="668">
        <f>SUM(G27:G29)</f>
        <v>242014973.54999995</v>
      </c>
      <c r="I29" s="902">
        <v>0</v>
      </c>
    </row>
    <row r="30" spans="1:10" ht="15.6" x14ac:dyDescent="0.3">
      <c r="A30" s="636" t="s">
        <v>949</v>
      </c>
      <c r="B30" s="799" t="s">
        <v>120</v>
      </c>
      <c r="C30" s="1011">
        <v>0</v>
      </c>
      <c r="D30" s="820">
        <f>363609977+372093</f>
        <v>363982070</v>
      </c>
      <c r="E30" s="820">
        <v>71602050</v>
      </c>
      <c r="F30" s="686">
        <f t="shared" si="5"/>
        <v>435584120</v>
      </c>
      <c r="G30" s="686">
        <f t="shared" si="6"/>
        <v>65337618</v>
      </c>
      <c r="H30" s="820">
        <v>0</v>
      </c>
      <c r="I30" s="820">
        <v>0</v>
      </c>
    </row>
    <row r="31" spans="1:10" ht="15.6" x14ac:dyDescent="0.3">
      <c r="A31" s="636"/>
      <c r="B31" s="799"/>
      <c r="C31" s="1011"/>
      <c r="D31" s="730"/>
      <c r="E31" s="730"/>
      <c r="F31" s="1169"/>
      <c r="G31" s="1169"/>
      <c r="H31" s="1169"/>
      <c r="I31" s="1169"/>
    </row>
    <row r="32" spans="1:10" ht="15.6" x14ac:dyDescent="0.3">
      <c r="A32" s="1893" t="s">
        <v>165</v>
      </c>
      <c r="B32" s="1894"/>
      <c r="C32" s="898">
        <f t="shared" ref="C32:I32" si="7">SUM(C4:C31)</f>
        <v>2688540000</v>
      </c>
      <c r="D32" s="671">
        <f t="shared" si="7"/>
        <v>12997045495</v>
      </c>
      <c r="E32" s="671">
        <f t="shared" si="7"/>
        <v>71027937</v>
      </c>
      <c r="F32" s="671">
        <f t="shared" si="7"/>
        <v>13068073432</v>
      </c>
      <c r="G32" s="671">
        <f t="shared" si="7"/>
        <v>1960211014.7999997</v>
      </c>
      <c r="H32" s="671">
        <f t="shared" si="7"/>
        <v>1894873396.7999997</v>
      </c>
      <c r="I32" s="671">
        <f t="shared" si="7"/>
        <v>793666603.20000029</v>
      </c>
      <c r="J32" s="823"/>
    </row>
    <row r="33" spans="1:10" ht="15.6" x14ac:dyDescent="0.3">
      <c r="A33" s="619"/>
      <c r="B33" s="619"/>
      <c r="C33" s="619"/>
      <c r="D33" s="619"/>
      <c r="E33" s="672"/>
      <c r="F33" s="672"/>
      <c r="G33" s="672"/>
      <c r="H33" s="672"/>
      <c r="I33" s="672"/>
    </row>
    <row r="35" spans="1:10" x14ac:dyDescent="0.3">
      <c r="H35" s="821"/>
      <c r="I35" s="821"/>
      <c r="J35" s="823"/>
    </row>
    <row r="36" spans="1:10" x14ac:dyDescent="0.3">
      <c r="G36" s="821"/>
    </row>
    <row r="37" spans="1:10" x14ac:dyDescent="0.3">
      <c r="G37" s="895"/>
    </row>
    <row r="39" spans="1:10" x14ac:dyDescent="0.3">
      <c r="B39" s="990" t="s">
        <v>10518</v>
      </c>
      <c r="C39" s="991">
        <f>I9*1.1</f>
        <v>873033263.52000034</v>
      </c>
    </row>
    <row r="40" spans="1:10" x14ac:dyDescent="0.3">
      <c r="B40" s="990" t="s">
        <v>10519</v>
      </c>
      <c r="C40" s="991">
        <f>-H15*1.1</f>
        <v>-764382110.24999988</v>
      </c>
    </row>
    <row r="41" spans="1:10" x14ac:dyDescent="0.3">
      <c r="B41" s="990" t="s">
        <v>10520</v>
      </c>
      <c r="C41" s="991">
        <f>C39+C40</f>
        <v>108651153.27000046</v>
      </c>
    </row>
    <row r="42" spans="1:10" x14ac:dyDescent="0.3">
      <c r="B42" s="990" t="s">
        <v>10521</v>
      </c>
      <c r="C42" s="991">
        <f>-SUM(G16:G20)*1.1</f>
        <v>-430471334.04000002</v>
      </c>
    </row>
    <row r="43" spans="1:10" x14ac:dyDescent="0.3">
      <c r="B43" s="990" t="s">
        <v>10522</v>
      </c>
      <c r="C43" s="991">
        <f>C41+C42</f>
        <v>-321820180.76999956</v>
      </c>
    </row>
  </sheetData>
  <mergeCells count="8">
    <mergeCell ref="I2:I3"/>
    <mergeCell ref="A32:B32"/>
    <mergeCell ref="C2:C3"/>
    <mergeCell ref="A2:A3"/>
    <mergeCell ref="B2:B3"/>
    <mergeCell ref="D2:F2"/>
    <mergeCell ref="G2:G3"/>
    <mergeCell ref="H2:H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BCA5-86FE-499B-9491-5533042AF3B4}">
  <sheetPr codeName="Sheet28"/>
  <dimension ref="A1:V36"/>
  <sheetViews>
    <sheetView view="pageBreakPreview" zoomScale="70" zoomScaleNormal="90" zoomScaleSheetLayoutView="70" workbookViewId="0">
      <selection activeCell="J32" sqref="J32"/>
    </sheetView>
  </sheetViews>
  <sheetFormatPr defaultColWidth="9.109375" defaultRowHeight="14.4" x14ac:dyDescent="0.3"/>
  <cols>
    <col min="1" max="1" width="5.5546875" style="132" bestFit="1" customWidth="1"/>
    <col min="2" max="3" width="10.5546875" style="132" customWidth="1"/>
    <col min="4" max="4" width="16.88671875" style="132" customWidth="1"/>
    <col min="5" max="5" width="13.88671875" style="132" bestFit="1" customWidth="1"/>
    <col min="6" max="7" width="12.88671875" style="132" customWidth="1"/>
    <col min="8" max="9" width="13.88671875" style="132" bestFit="1" customWidth="1"/>
    <col min="10" max="11" width="12.88671875" style="132" customWidth="1"/>
    <col min="12" max="14" width="13.88671875" style="132" bestFit="1" customWidth="1"/>
    <col min="15" max="15" width="12.88671875" style="132" hidden="1" customWidth="1"/>
    <col min="16" max="16" width="11.109375" style="132" bestFit="1" customWidth="1"/>
    <col min="17" max="17" width="19.5546875" style="132" bestFit="1" customWidth="1"/>
    <col min="18" max="20" width="19.88671875" style="132" customWidth="1"/>
    <col min="21" max="21" width="13.88671875" style="132" bestFit="1" customWidth="1"/>
    <col min="22" max="16384" width="9.109375" style="132"/>
  </cols>
  <sheetData>
    <row r="1" spans="1:22" ht="18" x14ac:dyDescent="0.3">
      <c r="A1" s="599" t="s">
        <v>10523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</row>
    <row r="3" spans="1:22" s="603" customFormat="1" ht="15" customHeight="1" x14ac:dyDescent="0.3">
      <c r="A3" s="1882" t="s">
        <v>23</v>
      </c>
      <c r="B3" s="1882" t="s">
        <v>505</v>
      </c>
      <c r="C3" s="1882" t="s">
        <v>6796</v>
      </c>
      <c r="D3" s="1882" t="s">
        <v>10524</v>
      </c>
      <c r="E3" s="1895" t="s">
        <v>10525</v>
      </c>
      <c r="F3" s="1895"/>
      <c r="G3" s="1895"/>
      <c r="H3" s="1895"/>
      <c r="I3" s="1895" t="s">
        <v>10526</v>
      </c>
      <c r="J3" s="1895"/>
      <c r="K3" s="1895"/>
      <c r="L3" s="1895"/>
      <c r="M3" s="1882" t="s">
        <v>10527</v>
      </c>
      <c r="N3" s="1882" t="s">
        <v>10528</v>
      </c>
      <c r="O3" s="1882" t="s">
        <v>10529</v>
      </c>
    </row>
    <row r="4" spans="1:22" s="603" customFormat="1" ht="46.8" x14ac:dyDescent="0.3">
      <c r="A4" s="1883"/>
      <c r="B4" s="1883"/>
      <c r="C4" s="1883"/>
      <c r="D4" s="1883"/>
      <c r="E4" s="604" t="s">
        <v>10530</v>
      </c>
      <c r="F4" s="604" t="s">
        <v>10531</v>
      </c>
      <c r="G4" s="604" t="s">
        <v>10532</v>
      </c>
      <c r="H4" s="604" t="s">
        <v>165</v>
      </c>
      <c r="I4" s="604" t="s">
        <v>10530</v>
      </c>
      <c r="J4" s="604" t="s">
        <v>10531</v>
      </c>
      <c r="K4" s="604" t="s">
        <v>10532</v>
      </c>
      <c r="L4" s="604" t="s">
        <v>165</v>
      </c>
      <c r="M4" s="1883"/>
      <c r="N4" s="1883"/>
      <c r="O4" s="1883"/>
    </row>
    <row r="5" spans="1:22" s="602" customFormat="1" ht="15.6" x14ac:dyDescent="0.3">
      <c r="A5" s="43">
        <v>1</v>
      </c>
      <c r="B5" s="43" t="s">
        <v>767</v>
      </c>
      <c r="C5" s="683">
        <v>45444</v>
      </c>
      <c r="D5" s="686">
        <v>470787738</v>
      </c>
      <c r="E5" s="686">
        <f>$D5/1.18/1.02*2%</f>
        <v>7822993.3200398814</v>
      </c>
      <c r="F5" s="686">
        <f t="shared" ref="F5:F19" si="0">E5*2.5%</f>
        <v>195574.83300099705</v>
      </c>
      <c r="G5" s="686">
        <f t="shared" ref="G5:G13" si="1">E5*20%</f>
        <v>1564598.6640079764</v>
      </c>
      <c r="H5" s="687">
        <f>SUM(E5:G5)</f>
        <v>9583166.8170488551</v>
      </c>
      <c r="I5" s="686">
        <f>$D5/1.18/1.02*2%</f>
        <v>7822993.3200398814</v>
      </c>
      <c r="J5" s="686">
        <f>I5*2.5%</f>
        <v>195574.83300099705</v>
      </c>
      <c r="K5" s="686">
        <f>I5*20%</f>
        <v>1564598.6640079764</v>
      </c>
      <c r="L5" s="687">
        <f>SUM(I5:K5)</f>
        <v>9583166.8170488551</v>
      </c>
      <c r="M5" s="687">
        <f>H5-L5</f>
        <v>0</v>
      </c>
      <c r="N5" s="686">
        <f>SUMIFS('Royalty Details'!$O$5:$O$59,'Royalty Details'!$Q$5:$Q$59,'Summary-Royalty'!B5)</f>
        <v>0</v>
      </c>
      <c r="O5" s="686">
        <f>N5-M5</f>
        <v>0</v>
      </c>
      <c r="P5" s="723"/>
    </row>
    <row r="6" spans="1:22" s="602" customFormat="1" ht="15.6" x14ac:dyDescent="0.3">
      <c r="A6" s="43">
        <v>2</v>
      </c>
      <c r="B6" s="43" t="s">
        <v>778</v>
      </c>
      <c r="C6" s="683">
        <v>45474</v>
      </c>
      <c r="D6" s="686">
        <v>203365748</v>
      </c>
      <c r="E6" s="686">
        <f t="shared" ref="E6:E28" si="2">$D6/1.18/1.02*2%</f>
        <v>3379291.2595546693</v>
      </c>
      <c r="F6" s="686">
        <f t="shared" si="0"/>
        <v>84482.281488866734</v>
      </c>
      <c r="G6" s="686">
        <f t="shared" si="1"/>
        <v>675858.25191093388</v>
      </c>
      <c r="H6" s="687">
        <f t="shared" ref="H6:H14" si="3">SUM(E6:G6)</f>
        <v>4139631.7929544696</v>
      </c>
      <c r="I6" s="686">
        <f>$D6/1.18/1.02*2%</f>
        <v>3379291.2595546693</v>
      </c>
      <c r="J6" s="686">
        <f t="shared" ref="J6:J13" si="4">I6*2.5%</f>
        <v>84482.281488866734</v>
      </c>
      <c r="K6" s="686">
        <f t="shared" ref="K6:K13" si="5">I6*20%</f>
        <v>675858.25191093388</v>
      </c>
      <c r="L6" s="687">
        <f t="shared" ref="L6:L25" si="6">SUM(I6:K6)</f>
        <v>4139631.7929544696</v>
      </c>
      <c r="M6" s="687">
        <f t="shared" ref="M6:M22" si="7">H6-L6</f>
        <v>0</v>
      </c>
      <c r="N6" s="686">
        <f>SUMIFS('Royalty Details'!$O$5:$O$59,'Royalty Details'!$Q$5:$Q$59,'Summary-Royalty'!B6)</f>
        <v>0</v>
      </c>
      <c r="O6" s="686">
        <f t="shared" ref="O6:O13" si="8">N6-M6</f>
        <v>0</v>
      </c>
      <c r="P6" s="723"/>
    </row>
    <row r="7" spans="1:22" s="602" customFormat="1" ht="15.6" x14ac:dyDescent="0.3">
      <c r="A7" s="43">
        <v>3</v>
      </c>
      <c r="B7" s="43" t="s">
        <v>795</v>
      </c>
      <c r="C7" s="683">
        <v>45505</v>
      </c>
      <c r="D7" s="686">
        <v>200343010</v>
      </c>
      <c r="E7" s="686">
        <f t="shared" si="2"/>
        <v>3329062.9777334668</v>
      </c>
      <c r="F7" s="686">
        <f t="shared" si="0"/>
        <v>83226.574443336678</v>
      </c>
      <c r="G7" s="686">
        <f t="shared" si="1"/>
        <v>665812.59554669342</v>
      </c>
      <c r="H7" s="687">
        <f t="shared" si="3"/>
        <v>4078102.1477234969</v>
      </c>
      <c r="I7" s="686">
        <f>$D7/1.18/1.02*2%</f>
        <v>3329062.9777334668</v>
      </c>
      <c r="J7" s="686">
        <f t="shared" si="4"/>
        <v>83226.574443336678</v>
      </c>
      <c r="K7" s="686">
        <f t="shared" si="5"/>
        <v>665812.59554669342</v>
      </c>
      <c r="L7" s="687">
        <f t="shared" si="6"/>
        <v>4078102.1477234969</v>
      </c>
      <c r="M7" s="687">
        <f t="shared" si="7"/>
        <v>0</v>
      </c>
      <c r="N7" s="686">
        <f>SUMIFS('Royalty Details'!$O$5:$O$59,'Royalty Details'!$Q$5:$Q$59,'Summary-Royalty'!B7)</f>
        <v>0</v>
      </c>
      <c r="O7" s="686">
        <f t="shared" si="8"/>
        <v>0</v>
      </c>
      <c r="P7" s="723"/>
    </row>
    <row r="8" spans="1:22" s="602" customFormat="1" ht="15.6" x14ac:dyDescent="0.3">
      <c r="A8" s="43">
        <v>4</v>
      </c>
      <c r="B8" s="43" t="s">
        <v>797</v>
      </c>
      <c r="C8" s="683">
        <v>45536</v>
      </c>
      <c r="D8" s="686">
        <v>206549546</v>
      </c>
      <c r="E8" s="686">
        <f t="shared" si="2"/>
        <v>3432195.8457959457</v>
      </c>
      <c r="F8" s="686">
        <f t="shared" si="0"/>
        <v>85804.896144898652</v>
      </c>
      <c r="G8" s="686">
        <f t="shared" si="1"/>
        <v>686439.16915918922</v>
      </c>
      <c r="H8" s="687">
        <f t="shared" si="3"/>
        <v>4204439.9111000337</v>
      </c>
      <c r="I8" s="686">
        <f>$D8/1.18/1.02*2%</f>
        <v>3432195.8457959457</v>
      </c>
      <c r="J8" s="686">
        <f t="shared" si="4"/>
        <v>85804.896144898652</v>
      </c>
      <c r="K8" s="686">
        <f t="shared" si="5"/>
        <v>686439.16915918922</v>
      </c>
      <c r="L8" s="687">
        <f t="shared" si="6"/>
        <v>4204439.9111000337</v>
      </c>
      <c r="M8" s="687">
        <f t="shared" si="7"/>
        <v>0</v>
      </c>
      <c r="N8" s="686">
        <f>SUMIFS('Royalty Details'!$O$5:$O$59,'Royalty Details'!$Q$5:$Q$59,'Summary-Royalty'!B8)</f>
        <v>0</v>
      </c>
      <c r="O8" s="686">
        <f t="shared" si="8"/>
        <v>0</v>
      </c>
      <c r="P8" s="723"/>
    </row>
    <row r="9" spans="1:22" s="602" customFormat="1" ht="15.6" x14ac:dyDescent="0.3">
      <c r="A9" s="43">
        <v>5</v>
      </c>
      <c r="B9" s="43" t="s">
        <v>871</v>
      </c>
      <c r="C9" s="683">
        <v>45566</v>
      </c>
      <c r="D9" s="686">
        <v>252321937</v>
      </c>
      <c r="E9" s="686">
        <f t="shared" si="2"/>
        <v>4192787.2549019605</v>
      </c>
      <c r="F9" s="686">
        <f t="shared" si="0"/>
        <v>104819.68137254902</v>
      </c>
      <c r="G9" s="686">
        <f t="shared" si="1"/>
        <v>838557.45098039217</v>
      </c>
      <c r="H9" s="687">
        <f t="shared" si="3"/>
        <v>5136164.3872549022</v>
      </c>
      <c r="I9" s="686">
        <v>2392792</v>
      </c>
      <c r="J9" s="686">
        <f t="shared" si="4"/>
        <v>59819.8</v>
      </c>
      <c r="K9" s="686">
        <f t="shared" si="5"/>
        <v>478558.4</v>
      </c>
      <c r="L9" s="687">
        <f t="shared" si="6"/>
        <v>2931170.1999999997</v>
      </c>
      <c r="M9" s="687">
        <f t="shared" si="7"/>
        <v>2204994.1872549024</v>
      </c>
      <c r="N9" s="686">
        <f>SUMIFS('Royalty Details'!$O$5:$O$59,'Royalty Details'!$Q$5:$Q$59,'Summary-Royalty'!B9)</f>
        <v>2163495</v>
      </c>
      <c r="O9" s="686">
        <f t="shared" si="8"/>
        <v>-41499.187254902441</v>
      </c>
      <c r="P9" s="723"/>
    </row>
    <row r="10" spans="1:22" s="602" customFormat="1" ht="15.6" x14ac:dyDescent="0.3">
      <c r="A10" s="43">
        <v>6</v>
      </c>
      <c r="B10" s="43" t="s">
        <v>898</v>
      </c>
      <c r="C10" s="683">
        <v>45597</v>
      </c>
      <c r="D10" s="686">
        <v>431923781</v>
      </c>
      <c r="E10" s="686">
        <f t="shared" si="2"/>
        <v>7177198.0890661348</v>
      </c>
      <c r="F10" s="686">
        <f t="shared" si="0"/>
        <v>179429.95222665337</v>
      </c>
      <c r="G10" s="686">
        <f t="shared" si="1"/>
        <v>1435439.617813227</v>
      </c>
      <c r="H10" s="687">
        <f t="shared" si="3"/>
        <v>8792067.6591060162</v>
      </c>
      <c r="I10" s="686">
        <v>0</v>
      </c>
      <c r="J10" s="686">
        <f t="shared" si="4"/>
        <v>0</v>
      </c>
      <c r="K10" s="686">
        <f t="shared" si="5"/>
        <v>0</v>
      </c>
      <c r="L10" s="687">
        <f t="shared" si="6"/>
        <v>0</v>
      </c>
      <c r="M10" s="687">
        <f t="shared" si="7"/>
        <v>8792067.6591060162</v>
      </c>
      <c r="N10" s="686">
        <f>SUMIFS('Royalty Details'!$O$5:$O$59,'Royalty Details'!$Q$5:$Q$59,'Summary-Royalty'!B10)</f>
        <v>9161457</v>
      </c>
      <c r="O10" s="686">
        <f t="shared" si="8"/>
        <v>369389.34089398384</v>
      </c>
      <c r="P10" s="723"/>
    </row>
    <row r="11" spans="1:22" s="602" customFormat="1" ht="15.6" x14ac:dyDescent="0.3">
      <c r="A11" s="625">
        <v>7</v>
      </c>
      <c r="B11" s="43" t="s">
        <v>931</v>
      </c>
      <c r="C11" s="683">
        <v>45627</v>
      </c>
      <c r="D11" s="686">
        <v>511819922</v>
      </c>
      <c r="E11" s="686">
        <f t="shared" si="2"/>
        <v>8504817.5805915594</v>
      </c>
      <c r="F11" s="686">
        <f t="shared" si="0"/>
        <v>212620.439514789</v>
      </c>
      <c r="G11" s="686">
        <f t="shared" si="1"/>
        <v>1700963.516118312</v>
      </c>
      <c r="H11" s="687">
        <f t="shared" si="3"/>
        <v>10418401.536224661</v>
      </c>
      <c r="I11" s="686">
        <v>1257011</v>
      </c>
      <c r="J11" s="686">
        <f>437050</f>
        <v>437050</v>
      </c>
      <c r="K11" s="686">
        <f t="shared" si="5"/>
        <v>251402.2</v>
      </c>
      <c r="L11" s="687">
        <f t="shared" si="6"/>
        <v>1945463.2</v>
      </c>
      <c r="M11" s="687">
        <f t="shared" si="7"/>
        <v>8472938.3362246621</v>
      </c>
      <c r="N11" s="686">
        <f>SUMIFS('Royalty Details'!$O$5:$O$59,'Royalty Details'!$Q$5:$Q$59,'Summary-Royalty'!B11)</f>
        <v>8892400</v>
      </c>
      <c r="O11" s="686">
        <f t="shared" si="8"/>
        <v>419461.66377533786</v>
      </c>
      <c r="P11" s="723"/>
      <c r="Q11" s="779"/>
      <c r="R11" s="980" t="s">
        <v>10533</v>
      </c>
      <c r="S11" s="980" t="s">
        <v>10534</v>
      </c>
      <c r="T11" s="980" t="s">
        <v>10535</v>
      </c>
    </row>
    <row r="12" spans="1:22" s="602" customFormat="1" ht="15.6" x14ac:dyDescent="0.3">
      <c r="A12" s="625">
        <v>8</v>
      </c>
      <c r="B12" s="43" t="s">
        <v>1326</v>
      </c>
      <c r="C12" s="683">
        <v>45658</v>
      </c>
      <c r="D12" s="686">
        <v>656000259</v>
      </c>
      <c r="E12" s="686">
        <f t="shared" si="2"/>
        <v>10900635.742771685</v>
      </c>
      <c r="F12" s="686">
        <f t="shared" si="0"/>
        <v>272515.89356929215</v>
      </c>
      <c r="G12" s="686">
        <f t="shared" si="1"/>
        <v>2180127.1485543372</v>
      </c>
      <c r="H12" s="687">
        <f t="shared" si="3"/>
        <v>13353278.784895316</v>
      </c>
      <c r="I12" s="686">
        <v>8375636</v>
      </c>
      <c r="J12" s="686">
        <v>272516</v>
      </c>
      <c r="K12" s="686">
        <f>I12*20%</f>
        <v>1675127.2000000002</v>
      </c>
      <c r="L12" s="687">
        <f t="shared" si="6"/>
        <v>10323279.199999999</v>
      </c>
      <c r="M12" s="687">
        <f t="shared" si="7"/>
        <v>3029999.5848953165</v>
      </c>
      <c r="N12" s="686">
        <f>SUMIFS('Royalty Details'!$O$5:$O$59,'Royalty Details'!$Q$5:$Q$59,'Summary-Royalty'!B12)</f>
        <v>3036500</v>
      </c>
      <c r="O12" s="686">
        <f t="shared" si="8"/>
        <v>6500.4151046834886</v>
      </c>
      <c r="P12" s="723"/>
      <c r="Q12" s="1118" t="s">
        <v>10536</v>
      </c>
      <c r="R12" s="1310">
        <f>E30</f>
        <v>208279243.08740443</v>
      </c>
      <c r="S12" s="1310">
        <f>I30</f>
        <v>102492509.00598206</v>
      </c>
      <c r="T12" s="1310">
        <f>R12-S12</f>
        <v>105786734.08142237</v>
      </c>
      <c r="U12" s="1312"/>
      <c r="V12" s="1312"/>
    </row>
    <row r="13" spans="1:22" s="602" customFormat="1" ht="15.6" x14ac:dyDescent="0.3">
      <c r="A13" s="625">
        <v>9</v>
      </c>
      <c r="B13" s="43" t="s">
        <v>1250</v>
      </c>
      <c r="C13" s="683">
        <v>45689</v>
      </c>
      <c r="D13" s="686">
        <v>853907193</v>
      </c>
      <c r="E13" s="686">
        <f t="shared" si="2"/>
        <v>14189218.893320041</v>
      </c>
      <c r="F13" s="686">
        <f t="shared" si="0"/>
        <v>354730.47233300103</v>
      </c>
      <c r="G13" s="686">
        <f t="shared" si="1"/>
        <v>2837843.7786640082</v>
      </c>
      <c r="H13" s="687">
        <f t="shared" si="3"/>
        <v>17381793.14431705</v>
      </c>
      <c r="I13" s="686">
        <f>$D13/1.18/1.02*2%</f>
        <v>14189218.893320041</v>
      </c>
      <c r="J13" s="686">
        <f t="shared" si="4"/>
        <v>354730.47233300103</v>
      </c>
      <c r="K13" s="686">
        <f t="shared" si="5"/>
        <v>2837843.7786640082</v>
      </c>
      <c r="L13" s="687">
        <f t="shared" si="6"/>
        <v>17381793.14431705</v>
      </c>
      <c r="M13" s="687">
        <f t="shared" si="7"/>
        <v>0</v>
      </c>
      <c r="N13" s="686">
        <f>SUMIFS('Royalty Details'!$O$5:$O$59,'Royalty Details'!$Q$5:$Q$59,'Summary-Royalty'!B13)</f>
        <v>0</v>
      </c>
      <c r="O13" s="686">
        <f t="shared" si="8"/>
        <v>0</v>
      </c>
      <c r="P13" s="723"/>
      <c r="Q13" s="1118" t="s">
        <v>10537</v>
      </c>
      <c r="R13" s="1310">
        <f>F30</f>
        <v>5206981.077185113</v>
      </c>
      <c r="S13" s="1310">
        <f>J30</f>
        <v>4925740.7501495518</v>
      </c>
      <c r="T13" s="1310">
        <f t="shared" ref="T13:T14" si="9">R13-S13</f>
        <v>281240.3270355612</v>
      </c>
    </row>
    <row r="14" spans="1:22" s="602" customFormat="1" ht="15.6" x14ac:dyDescent="0.3">
      <c r="A14" s="625">
        <v>10</v>
      </c>
      <c r="B14" s="43" t="s">
        <v>934</v>
      </c>
      <c r="C14" s="683">
        <v>45717</v>
      </c>
      <c r="D14" s="689">
        <f>4632618850-SUM(D5:D13)</f>
        <v>845599716</v>
      </c>
      <c r="E14" s="686">
        <f t="shared" si="2"/>
        <v>14051175.074775675</v>
      </c>
      <c r="F14" s="686">
        <f t="shared" si="0"/>
        <v>351279.37686939188</v>
      </c>
      <c r="G14" s="686">
        <f>E14*20%+1</f>
        <v>2810236.0149551351</v>
      </c>
      <c r="H14" s="687">
        <f t="shared" si="3"/>
        <v>17212690.466600202</v>
      </c>
      <c r="I14" s="686">
        <v>2151175</v>
      </c>
      <c r="J14" s="686">
        <v>351279</v>
      </c>
      <c r="K14" s="686">
        <f>I14*20%+1</f>
        <v>430236</v>
      </c>
      <c r="L14" s="687">
        <f t="shared" si="6"/>
        <v>2932690</v>
      </c>
      <c r="M14" s="687">
        <f t="shared" si="7"/>
        <v>14280000.466600202</v>
      </c>
      <c r="N14" s="686">
        <f>SUMIFS('Royalty Details'!$O$5:$O$59,'Royalty Details'!$Q$5:$Q$59,'Summary-Royalty'!B14)</f>
        <v>14295000</v>
      </c>
      <c r="O14" s="689"/>
      <c r="P14" s="723"/>
      <c r="Q14" s="1118" t="s">
        <v>10538</v>
      </c>
      <c r="R14" s="1310">
        <f>G30</f>
        <v>41947144.486540392</v>
      </c>
      <c r="S14" s="1310">
        <f>K30</f>
        <v>20702996.401196413</v>
      </c>
      <c r="T14" s="1310">
        <f t="shared" si="9"/>
        <v>21244148.085343979</v>
      </c>
    </row>
    <row r="15" spans="1:22" s="602" customFormat="1" ht="15.6" x14ac:dyDescent="0.3">
      <c r="A15" s="625">
        <v>11</v>
      </c>
      <c r="B15" s="43" t="s">
        <v>1302</v>
      </c>
      <c r="C15" s="683">
        <v>45748</v>
      </c>
      <c r="D15" s="689">
        <v>798335204</v>
      </c>
      <c r="E15" s="686">
        <f t="shared" si="2"/>
        <v>13265789.365237623</v>
      </c>
      <c r="F15" s="686">
        <f t="shared" si="0"/>
        <v>331644.73413094063</v>
      </c>
      <c r="G15" s="686">
        <f t="shared" ref="G15:G20" si="10">E15*20%</f>
        <v>2653157.8730475251</v>
      </c>
      <c r="H15" s="687">
        <f t="shared" ref="H15:H20" si="11">SUM(E15:G15)</f>
        <v>16250591.97241609</v>
      </c>
      <c r="I15" s="689">
        <v>7965789</v>
      </c>
      <c r="J15" s="689">
        <v>331645</v>
      </c>
      <c r="K15" s="689">
        <f>I15*20%</f>
        <v>1593157.8</v>
      </c>
      <c r="L15" s="687">
        <f t="shared" si="6"/>
        <v>9890591.8000000007</v>
      </c>
      <c r="M15" s="687">
        <f t="shared" si="7"/>
        <v>6360000.1724160891</v>
      </c>
      <c r="N15" s="686">
        <f>SUMIFS('Royalty Details'!$O$5:$O$59,'Royalty Details'!$Q$5:$Q$59,'Summary-Royalty'!B15)</f>
        <v>7097350</v>
      </c>
      <c r="O15" s="689"/>
      <c r="P15" s="723"/>
      <c r="Q15" s="1118" t="s">
        <v>165</v>
      </c>
      <c r="R15" s="1311">
        <f>SUM(R12:R14)</f>
        <v>255433368.65112996</v>
      </c>
      <c r="S15" s="1311">
        <f>SUM(S12:S14)</f>
        <v>128121246.15732801</v>
      </c>
      <c r="T15" s="1311">
        <f>SUM(T12:T14)</f>
        <v>127312122.49380192</v>
      </c>
    </row>
    <row r="16" spans="1:22" s="602" customFormat="1" ht="15.6" x14ac:dyDescent="0.3">
      <c r="A16" s="625">
        <v>12</v>
      </c>
      <c r="B16" s="43" t="s">
        <v>97</v>
      </c>
      <c r="C16" s="683">
        <v>45778</v>
      </c>
      <c r="D16" s="689">
        <f>5979233425-SUM(D5:D15)</f>
        <v>548279371</v>
      </c>
      <c r="E16" s="686">
        <f t="shared" si="2"/>
        <v>9110657.544034563</v>
      </c>
      <c r="F16" s="686">
        <f t="shared" si="0"/>
        <v>227766.43860086409</v>
      </c>
      <c r="G16" s="686">
        <f t="shared" si="10"/>
        <v>1822131.5088069127</v>
      </c>
      <c r="H16" s="687">
        <f t="shared" si="11"/>
        <v>11160555.491442339</v>
      </c>
      <c r="I16" s="689">
        <v>1710658</v>
      </c>
      <c r="J16" s="689">
        <v>227766</v>
      </c>
      <c r="K16" s="689">
        <f>I16*20%</f>
        <v>342131.60000000003</v>
      </c>
      <c r="L16" s="688">
        <f t="shared" si="6"/>
        <v>2280555.6</v>
      </c>
      <c r="M16" s="688">
        <f t="shared" si="7"/>
        <v>8879999.8914423399</v>
      </c>
      <c r="N16" s="686">
        <f>SUMIFS('Royalty Details'!$O$5:$O$59,'Royalty Details'!$Q$5:$Q$59,'Summary-Royalty'!B16)</f>
        <v>8888500</v>
      </c>
      <c r="O16" s="689"/>
      <c r="P16" s="723"/>
    </row>
    <row r="17" spans="1:18" s="602" customFormat="1" ht="15.6" x14ac:dyDescent="0.3">
      <c r="A17" s="625">
        <v>13</v>
      </c>
      <c r="B17" s="625" t="s">
        <v>937</v>
      </c>
      <c r="C17" s="683">
        <v>45809</v>
      </c>
      <c r="D17" s="689">
        <f>6365152188-SUM(D5:D16)</f>
        <v>385918763</v>
      </c>
      <c r="E17" s="686">
        <f t="shared" si="2"/>
        <v>6412741.1598537732</v>
      </c>
      <c r="F17" s="686">
        <f t="shared" si="0"/>
        <v>160318.52899634434</v>
      </c>
      <c r="G17" s="686">
        <f t="shared" si="10"/>
        <v>1282548.2319707547</v>
      </c>
      <c r="H17" s="687">
        <f t="shared" si="11"/>
        <v>7855607.9208208723</v>
      </c>
      <c r="I17" s="689">
        <v>0</v>
      </c>
      <c r="J17" s="689">
        <v>160319</v>
      </c>
      <c r="K17" s="689">
        <f>I17*20%</f>
        <v>0</v>
      </c>
      <c r="L17" s="688">
        <f t="shared" si="6"/>
        <v>160319</v>
      </c>
      <c r="M17" s="688">
        <f t="shared" si="7"/>
        <v>7695288.9208208723</v>
      </c>
      <c r="N17" s="686">
        <f>SUMIFS('Royalty Details'!$O$5:$O$59,'Royalty Details'!$Q$5:$Q$59,'Summary-Royalty'!B17)</f>
        <v>8599500</v>
      </c>
      <c r="O17" s="689"/>
      <c r="P17" s="723"/>
      <c r="R17" s="616"/>
    </row>
    <row r="18" spans="1:18" s="602" customFormat="1" ht="15.6" x14ac:dyDescent="0.3">
      <c r="A18" s="625">
        <v>14</v>
      </c>
      <c r="B18" s="625" t="s">
        <v>1262</v>
      </c>
      <c r="C18" s="683">
        <v>45839</v>
      </c>
      <c r="D18" s="689">
        <v>469836194</v>
      </c>
      <c r="E18" s="686">
        <f t="shared" si="2"/>
        <v>7807181.6882685283</v>
      </c>
      <c r="F18" s="686">
        <f t="shared" si="0"/>
        <v>195179.54220671323</v>
      </c>
      <c r="G18" s="686">
        <f t="shared" si="10"/>
        <v>1561436.3376537059</v>
      </c>
      <c r="H18" s="687">
        <f t="shared" si="11"/>
        <v>9563797.5681289472</v>
      </c>
      <c r="I18" s="689">
        <v>459923</v>
      </c>
      <c r="J18" s="689">
        <v>195180</v>
      </c>
      <c r="K18" s="689">
        <f>I18*20%-1</f>
        <v>91983.6</v>
      </c>
      <c r="L18" s="688">
        <f t="shared" si="6"/>
        <v>747086.6</v>
      </c>
      <c r="M18" s="688">
        <f t="shared" si="7"/>
        <v>8816710.9681289475</v>
      </c>
      <c r="N18" s="686">
        <f>SUMIFS('Royalty Details'!$O$5:$O$59,'Royalty Details'!$Q$5:$Q$59,'Summary-Royalty'!B18)</f>
        <v>7927500</v>
      </c>
      <c r="O18" s="689"/>
      <c r="P18" s="723"/>
      <c r="R18" s="723"/>
    </row>
    <row r="19" spans="1:18" s="602" customFormat="1" ht="15.6" x14ac:dyDescent="0.3">
      <c r="A19" s="625">
        <v>15</v>
      </c>
      <c r="B19" s="625" t="s">
        <v>1509</v>
      </c>
      <c r="C19" s="683">
        <v>45870</v>
      </c>
      <c r="D19" s="689">
        <v>406547644</v>
      </c>
      <c r="E19" s="686">
        <f t="shared" si="2"/>
        <v>6755527.4842140255</v>
      </c>
      <c r="F19" s="686">
        <f t="shared" si="0"/>
        <v>168888.18710535066</v>
      </c>
      <c r="G19" s="686">
        <f t="shared" si="10"/>
        <v>1351105.4968428053</v>
      </c>
      <c r="H19" s="687">
        <f t="shared" si="11"/>
        <v>8275521.168162182</v>
      </c>
      <c r="I19" s="689">
        <v>2335527</v>
      </c>
      <c r="J19" s="689">
        <v>168888</v>
      </c>
      <c r="K19" s="689">
        <f>233553*2</f>
        <v>467106</v>
      </c>
      <c r="L19" s="688">
        <f t="shared" si="6"/>
        <v>2971521</v>
      </c>
      <c r="M19" s="688">
        <f t="shared" si="7"/>
        <v>5304000.168162182</v>
      </c>
      <c r="N19" s="686">
        <f>SUMIFS('Royalty Details'!$O$5:$O$59,'Royalty Details'!$Q$5:$Q$59,'Summary-Royalty'!B19)</f>
        <v>5306500</v>
      </c>
      <c r="O19" s="689"/>
      <c r="P19" s="723"/>
      <c r="R19" s="616"/>
    </row>
    <row r="20" spans="1:18" s="602" customFormat="1" ht="15.6" x14ac:dyDescent="0.3">
      <c r="A20" s="625">
        <v>16</v>
      </c>
      <c r="B20" s="625" t="s">
        <v>940</v>
      </c>
      <c r="C20" s="683">
        <v>45901</v>
      </c>
      <c r="D20" s="689">
        <v>487538506</v>
      </c>
      <c r="E20" s="686">
        <f t="shared" si="2"/>
        <v>8101337.7534064474</v>
      </c>
      <c r="F20" s="686">
        <f t="shared" ref="F20" si="12">E20*2.5%</f>
        <v>202533.44383516119</v>
      </c>
      <c r="G20" s="686">
        <f t="shared" si="10"/>
        <v>1620267.5506812895</v>
      </c>
      <c r="H20" s="687">
        <f t="shared" si="11"/>
        <v>9924138.7479228992</v>
      </c>
      <c r="I20" s="689">
        <v>5188668</v>
      </c>
      <c r="J20" s="689">
        <v>202533</v>
      </c>
      <c r="K20" s="689">
        <f>518867*2</f>
        <v>1037734</v>
      </c>
      <c r="L20" s="688">
        <f t="shared" si="6"/>
        <v>6428935</v>
      </c>
      <c r="M20" s="688">
        <f t="shared" si="7"/>
        <v>3495203.7479228992</v>
      </c>
      <c r="N20" s="686">
        <f>SUMIFS('Royalty Details'!$O$5:$O$59,'Royalty Details'!$Q$5:$Q$59,'Summary-Royalty'!B20)</f>
        <v>3497704</v>
      </c>
      <c r="O20" s="689"/>
      <c r="P20" s="723"/>
    </row>
    <row r="21" spans="1:18" s="602" customFormat="1" ht="15.6" x14ac:dyDescent="0.3">
      <c r="A21" s="625">
        <v>17</v>
      </c>
      <c r="B21" s="625" t="s">
        <v>1026</v>
      </c>
      <c r="C21" s="683">
        <v>45931</v>
      </c>
      <c r="D21" s="689">
        <v>550510394</v>
      </c>
      <c r="E21" s="686">
        <f t="shared" si="2"/>
        <v>9147730.0432037245</v>
      </c>
      <c r="F21" s="686">
        <f t="shared" ref="F21:F23" si="13">E21*2.5%</f>
        <v>228693.25108009312</v>
      </c>
      <c r="G21" s="686">
        <f t="shared" ref="G21:G23" si="14">E21*20%</f>
        <v>1829546.008640745</v>
      </c>
      <c r="H21" s="687">
        <f t="shared" ref="H21:H25" si="15">SUM(E21:G21)</f>
        <v>11205969.302924564</v>
      </c>
      <c r="I21" s="689">
        <v>897730</v>
      </c>
      <c r="J21" s="689">
        <v>228693</v>
      </c>
      <c r="K21" s="689">
        <f>89773*2</f>
        <v>179546</v>
      </c>
      <c r="L21" s="688">
        <f t="shared" si="6"/>
        <v>1305969</v>
      </c>
      <c r="M21" s="688">
        <f t="shared" si="7"/>
        <v>9900000.3029245641</v>
      </c>
      <c r="N21" s="686">
        <f>SUMIFS('Royalty Details'!$O$5:$O$59,'Royalty Details'!$Q$5:$Q$59,'Summary-Royalty'!B21)</f>
        <v>10027475</v>
      </c>
      <c r="O21" s="689"/>
      <c r="P21" s="723"/>
    </row>
    <row r="22" spans="1:18" s="602" customFormat="1" ht="15.6" x14ac:dyDescent="0.3">
      <c r="A22" s="625">
        <v>18</v>
      </c>
      <c r="B22" s="625" t="s">
        <v>1282</v>
      </c>
      <c r="C22" s="683">
        <v>45962</v>
      </c>
      <c r="D22" s="689">
        <v>576765949</v>
      </c>
      <c r="E22" s="689">
        <f t="shared" si="2"/>
        <v>9584013.7753406446</v>
      </c>
      <c r="F22" s="689">
        <f t="shared" si="13"/>
        <v>239600.34438351612</v>
      </c>
      <c r="G22" s="689">
        <f t="shared" si="14"/>
        <v>1916802.7550681289</v>
      </c>
      <c r="H22" s="688">
        <f t="shared" si="15"/>
        <v>11740416.874792289</v>
      </c>
      <c r="I22" s="689">
        <v>3554014</v>
      </c>
      <c r="J22" s="689">
        <v>239600</v>
      </c>
      <c r="K22" s="689">
        <f>355401*2</f>
        <v>710802</v>
      </c>
      <c r="L22" s="688">
        <f t="shared" si="6"/>
        <v>4504416</v>
      </c>
      <c r="M22" s="688">
        <f t="shared" si="7"/>
        <v>7236000.874792289</v>
      </c>
      <c r="N22" s="686">
        <f>SUMIFS('Royalty Details'!$O$5:$O$59,'Royalty Details'!$Q$5:$Q$59,'Summary-Royalty'!B22)</f>
        <v>7241000</v>
      </c>
      <c r="O22" s="689"/>
      <c r="P22" s="723"/>
    </row>
    <row r="23" spans="1:18" s="602" customFormat="1" ht="15.6" x14ac:dyDescent="0.3">
      <c r="A23" s="625">
        <v>19</v>
      </c>
      <c r="B23" s="625" t="s">
        <v>943</v>
      </c>
      <c r="C23" s="683">
        <v>45992</v>
      </c>
      <c r="D23" s="689">
        <v>865955209</v>
      </c>
      <c r="E23" s="689">
        <f t="shared" si="2"/>
        <v>14389418.560983716</v>
      </c>
      <c r="F23" s="689">
        <f t="shared" si="13"/>
        <v>359735.46402459289</v>
      </c>
      <c r="G23" s="689">
        <f t="shared" si="14"/>
        <v>2877883.7121967431</v>
      </c>
      <c r="H23" s="688">
        <f t="shared" si="15"/>
        <v>17627037.737205051</v>
      </c>
      <c r="I23" s="689">
        <v>9319419</v>
      </c>
      <c r="J23" s="689">
        <v>359735</v>
      </c>
      <c r="K23" s="689">
        <f>931942*2</f>
        <v>1863884</v>
      </c>
      <c r="L23" s="688">
        <f t="shared" si="6"/>
        <v>11543038</v>
      </c>
      <c r="M23" s="688">
        <f t="shared" ref="M23:M25" si="16">H23-L23</f>
        <v>6083999.7372050509</v>
      </c>
      <c r="N23" s="686">
        <f>SUMIFS('Royalty Details'!$O$5:$O$59,'Royalty Details'!$Q$5:$Q$59,'Summary-Royalty'!B23)</f>
        <v>6086500</v>
      </c>
      <c r="O23" s="689"/>
      <c r="P23" s="723"/>
    </row>
    <row r="24" spans="1:18" s="602" customFormat="1" ht="15.6" x14ac:dyDescent="0.3">
      <c r="A24" s="625">
        <v>20</v>
      </c>
      <c r="B24" s="625" t="s">
        <v>1417</v>
      </c>
      <c r="C24" s="683">
        <v>46023</v>
      </c>
      <c r="D24" s="689">
        <v>605701813</v>
      </c>
      <c r="E24" s="689">
        <f t="shared" si="2"/>
        <v>10064835.709538054</v>
      </c>
      <c r="F24" s="689">
        <f t="shared" ref="F24:F25" si="17">E24*2.5%</f>
        <v>251620.89273845137</v>
      </c>
      <c r="G24" s="689">
        <f t="shared" ref="G24:G25" si="18">E24*20%</f>
        <v>2012967.1419076109</v>
      </c>
      <c r="H24" s="688">
        <f t="shared" si="15"/>
        <v>12329423.744184118</v>
      </c>
      <c r="I24" s="686">
        <f>$D24/1.18/1.02*2%</f>
        <v>10064835.709538054</v>
      </c>
      <c r="J24" s="686">
        <f t="shared" ref="J24" si="19">I24*2.5%</f>
        <v>251620.89273845137</v>
      </c>
      <c r="K24" s="686">
        <f t="shared" ref="K24" si="20">I24*20%</f>
        <v>2012967.1419076109</v>
      </c>
      <c r="L24" s="688">
        <f t="shared" si="6"/>
        <v>12329423.744184118</v>
      </c>
      <c r="M24" s="688">
        <f t="shared" si="16"/>
        <v>0</v>
      </c>
      <c r="N24" s="686">
        <f>SUMIFS('Royalty Details'!$O$5:$O$59,'Royalty Details'!$Q$5:$Q$59,'Summary-Royalty'!B24)</f>
        <v>0</v>
      </c>
      <c r="O24" s="689"/>
      <c r="P24" s="723"/>
    </row>
    <row r="25" spans="1:18" s="602" customFormat="1" ht="15.6" x14ac:dyDescent="0.3">
      <c r="A25" s="625">
        <v>21</v>
      </c>
      <c r="B25" s="625" t="s">
        <v>1315</v>
      </c>
      <c r="C25" s="683">
        <v>46054</v>
      </c>
      <c r="D25" s="689">
        <v>691048258</v>
      </c>
      <c r="E25" s="689">
        <f t="shared" si="2"/>
        <v>11483021.900963776</v>
      </c>
      <c r="F25" s="689">
        <f t="shared" si="17"/>
        <v>287075.54752409441</v>
      </c>
      <c r="G25" s="689">
        <f t="shared" si="18"/>
        <v>2296604.3801927553</v>
      </c>
      <c r="H25" s="688">
        <f t="shared" si="15"/>
        <v>14066701.828680625</v>
      </c>
      <c r="I25" s="689">
        <v>0</v>
      </c>
      <c r="J25" s="689">
        <v>0</v>
      </c>
      <c r="K25" s="689">
        <v>0</v>
      </c>
      <c r="L25" s="688">
        <f t="shared" si="6"/>
        <v>0</v>
      </c>
      <c r="M25" s="688">
        <f t="shared" si="16"/>
        <v>14066701.828680625</v>
      </c>
      <c r="N25" s="686">
        <f>SUMIFS('Royalty Details'!$O$5:$O$59,'Royalty Details'!$Q$5:$Q$59,'Summary-Royalty'!B25)</f>
        <v>16991248</v>
      </c>
      <c r="O25" s="689"/>
      <c r="P25" s="723"/>
    </row>
    <row r="26" spans="1:18" s="602" customFormat="1" ht="15.6" x14ac:dyDescent="0.3">
      <c r="A26" s="625">
        <v>22</v>
      </c>
      <c r="B26" s="625" t="s">
        <v>946</v>
      </c>
      <c r="C26" s="683">
        <v>46082</v>
      </c>
      <c r="D26" s="689">
        <v>638682433</v>
      </c>
      <c r="E26" s="689">
        <f t="shared" si="2"/>
        <v>10612868.610834165</v>
      </c>
      <c r="F26" s="689">
        <f t="shared" ref="F26:F27" si="21">E26*2.5%</f>
        <v>265321.71527085413</v>
      </c>
      <c r="G26" s="689">
        <f t="shared" ref="G26" si="22">E26*20%</f>
        <v>2122573.722166833</v>
      </c>
      <c r="H26" s="688">
        <f t="shared" ref="H26:H27" si="23">SUM(E26:G26)</f>
        <v>13000764.048271852</v>
      </c>
      <c r="I26" s="686">
        <v>6807826</v>
      </c>
      <c r="J26" s="686">
        <v>271158</v>
      </c>
      <c r="K26" s="686">
        <f>680783*2</f>
        <v>1361566</v>
      </c>
      <c r="L26" s="688">
        <f t="shared" ref="L26:L28" si="24">SUM(I26:K26)</f>
        <v>8440550</v>
      </c>
      <c r="M26" s="688">
        <f t="shared" ref="M26:M28" si="25">H26-L26</f>
        <v>4560214.0482718516</v>
      </c>
      <c r="N26" s="686">
        <f>SUMIFS('Royalty Details'!$O$5:$O$59,'Royalty Details'!$Q$5:$Q$59,'Summary-Royalty'!B26)</f>
        <v>1651588</v>
      </c>
      <c r="O26" s="689"/>
      <c r="P26" s="723"/>
    </row>
    <row r="27" spans="1:18" s="602" customFormat="1" ht="15.6" x14ac:dyDescent="0.3">
      <c r="A27" s="625">
        <v>23</v>
      </c>
      <c r="B27" s="625" t="s">
        <v>1579</v>
      </c>
      <c r="C27" s="683">
        <v>46143</v>
      </c>
      <c r="D27" s="689">
        <v>512524191</v>
      </c>
      <c r="E27" s="689">
        <f t="shared" si="2"/>
        <v>8516520.2891326025</v>
      </c>
      <c r="F27" s="689">
        <f t="shared" si="21"/>
        <v>212913.00722831508</v>
      </c>
      <c r="G27" s="689">
        <f>E27*20%+E27*2%</f>
        <v>1873634.4636091727</v>
      </c>
      <c r="H27" s="688">
        <f t="shared" si="23"/>
        <v>10603067.759970089</v>
      </c>
      <c r="I27" s="689">
        <v>2510520</v>
      </c>
      <c r="J27" s="689">
        <v>212913</v>
      </c>
      <c r="K27" s="689">
        <f>251052*2+97530</f>
        <v>599634</v>
      </c>
      <c r="L27" s="688">
        <f t="shared" si="24"/>
        <v>3323067</v>
      </c>
      <c r="M27" s="688">
        <f t="shared" si="25"/>
        <v>7280000.7599700894</v>
      </c>
      <c r="N27" s="686">
        <f>SUMIFS('Royalty Details'!$O$5:$O$59,'Royalty Details'!$Q$5:$Q$59,'Summary-Royalty'!B27)</f>
        <v>7287000</v>
      </c>
      <c r="O27" s="689"/>
      <c r="P27" s="723"/>
    </row>
    <row r="28" spans="1:18" s="602" customFormat="1" ht="15.6" x14ac:dyDescent="0.3">
      <c r="A28" s="625">
        <v>24</v>
      </c>
      <c r="B28" s="625" t="s">
        <v>949</v>
      </c>
      <c r="C28" s="683">
        <v>46174</v>
      </c>
      <c r="D28" s="689">
        <f>363609977+372093</f>
        <v>363982070</v>
      </c>
      <c r="E28" s="689">
        <f t="shared" si="2"/>
        <v>6048223.1638418082</v>
      </c>
      <c r="F28" s="689">
        <f t="shared" ref="F28" si="26">E28*2.5%</f>
        <v>151205.5790960452</v>
      </c>
      <c r="G28" s="689">
        <f>E28*20%+E28*2%</f>
        <v>1330609.0960451977</v>
      </c>
      <c r="H28" s="688">
        <f t="shared" ref="H28" si="27">SUM(E28:G28)</f>
        <v>7530037.8389830515</v>
      </c>
      <c r="I28" s="689">
        <v>5348223</v>
      </c>
      <c r="J28" s="689">
        <v>151206</v>
      </c>
      <c r="K28" s="689">
        <f>534822*2+106964</f>
        <v>1176608</v>
      </c>
      <c r="L28" s="688">
        <f t="shared" si="24"/>
        <v>6676037</v>
      </c>
      <c r="M28" s="688">
        <f t="shared" si="25"/>
        <v>854000.83898305148</v>
      </c>
      <c r="N28" s="686">
        <f>SUMIFS('Royalty Details'!$O$5:$O$59,'Royalty Details'!$Q$5:$Q$59,'Summary-Royalty'!B28)</f>
        <v>856000</v>
      </c>
      <c r="O28" s="689"/>
      <c r="P28" s="723"/>
    </row>
    <row r="29" spans="1:18" s="602" customFormat="1" ht="15.6" x14ac:dyDescent="0.3">
      <c r="A29" s="609"/>
      <c r="B29" s="609"/>
      <c r="C29" s="609"/>
      <c r="D29" s="610"/>
      <c r="E29" s="611"/>
      <c r="F29" s="611"/>
      <c r="G29" s="609"/>
      <c r="H29" s="688"/>
      <c r="I29" s="689"/>
      <c r="J29" s="689"/>
      <c r="K29" s="689"/>
      <c r="L29" s="688"/>
      <c r="M29" s="688"/>
      <c r="N29" s="689"/>
      <c r="O29" s="689"/>
    </row>
    <row r="30" spans="1:18" s="615" customFormat="1" ht="15.6" x14ac:dyDescent="0.3">
      <c r="A30" s="612"/>
      <c r="B30" s="612"/>
      <c r="C30" s="612"/>
      <c r="D30" s="671">
        <f t="shared" ref="D30:O30" si="28">SUM(D5:D29)</f>
        <v>12534244849</v>
      </c>
      <c r="E30" s="671">
        <f t="shared" si="28"/>
        <v>208279243.08740443</v>
      </c>
      <c r="F30" s="671">
        <f t="shared" si="28"/>
        <v>5206981.077185113</v>
      </c>
      <c r="G30" s="671">
        <f t="shared" si="28"/>
        <v>41947144.486540392</v>
      </c>
      <c r="H30" s="671">
        <f t="shared" si="28"/>
        <v>255433368.65113002</v>
      </c>
      <c r="I30" s="671">
        <f t="shared" si="28"/>
        <v>102492509.00598206</v>
      </c>
      <c r="J30" s="671">
        <f t="shared" si="28"/>
        <v>4925740.7501495518</v>
      </c>
      <c r="K30" s="671">
        <f t="shared" si="28"/>
        <v>20702996.401196413</v>
      </c>
      <c r="L30" s="671">
        <f t="shared" si="28"/>
        <v>128121246.15732801</v>
      </c>
      <c r="M30" s="671">
        <f t="shared" si="28"/>
        <v>127312122.49380192</v>
      </c>
      <c r="N30" s="671">
        <f t="shared" si="28"/>
        <v>129006717</v>
      </c>
      <c r="O30" s="671">
        <f t="shared" si="28"/>
        <v>753852.23251910275</v>
      </c>
      <c r="P30" s="1170"/>
    </row>
    <row r="31" spans="1:18" s="602" customFormat="1" ht="15.6" x14ac:dyDescent="0.3">
      <c r="D31" s="616"/>
      <c r="E31" s="617"/>
      <c r="F31" s="617"/>
      <c r="I31" s="617"/>
      <c r="J31" s="617"/>
      <c r="N31" s="723"/>
    </row>
    <row r="32" spans="1:18" x14ac:dyDescent="0.3">
      <c r="H32" s="883"/>
      <c r="J32" s="883"/>
      <c r="L32" s="883"/>
      <c r="M32" s="663"/>
      <c r="N32" s="883"/>
    </row>
    <row r="35" spans="8:8" x14ac:dyDescent="0.3">
      <c r="H35" s="663"/>
    </row>
    <row r="36" spans="8:8" x14ac:dyDescent="0.3">
      <c r="H36" s="827"/>
    </row>
  </sheetData>
  <mergeCells count="9">
    <mergeCell ref="I3:L3"/>
    <mergeCell ref="M3:M4"/>
    <mergeCell ref="N3:N4"/>
    <mergeCell ref="O3:O4"/>
    <mergeCell ref="A3:A4"/>
    <mergeCell ref="B3:B4"/>
    <mergeCell ref="C3:C4"/>
    <mergeCell ref="D3:D4"/>
    <mergeCell ref="E3:H3"/>
  </mergeCells>
  <phoneticPr fontId="23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5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A9B6-0407-4B32-81C7-DDB5E728AFDB}">
  <sheetPr codeName="Sheet14"/>
  <dimension ref="A1:V73"/>
  <sheetViews>
    <sheetView view="pageBreakPreview" topLeftCell="A33" zoomScale="70" zoomScaleNormal="90" zoomScaleSheetLayoutView="70" workbookViewId="0">
      <selection activeCell="L55" sqref="L55"/>
    </sheetView>
  </sheetViews>
  <sheetFormatPr defaultColWidth="9.109375" defaultRowHeight="14.4" x14ac:dyDescent="0.3"/>
  <cols>
    <col min="1" max="1" width="5.5546875" style="132" bestFit="1" customWidth="1"/>
    <col min="2" max="2" width="10.5546875" style="132" customWidth="1"/>
    <col min="3" max="3" width="13.88671875" style="132" bestFit="1" customWidth="1"/>
    <col min="4" max="4" width="15.109375" style="132" customWidth="1"/>
    <col min="5" max="5" width="12.88671875" style="132" customWidth="1"/>
    <col min="6" max="6" width="10" style="132" customWidth="1"/>
    <col min="7" max="7" width="14.5546875" style="132" bestFit="1" customWidth="1"/>
    <col min="8" max="8" width="11.88671875" style="132" customWidth="1"/>
    <col min="9" max="10" width="12.88671875" style="132" customWidth="1"/>
    <col min="11" max="14" width="11.88671875" style="132" customWidth="1"/>
    <col min="15" max="15" width="13.88671875" style="132" bestFit="1" customWidth="1"/>
    <col min="16" max="16" width="14.88671875" style="132" customWidth="1"/>
    <col min="17" max="17" width="9.88671875" style="132" customWidth="1"/>
    <col min="18" max="18" width="9.5546875" style="132" bestFit="1" customWidth="1"/>
    <col min="19" max="20" width="13.88671875" style="132" bestFit="1" customWidth="1"/>
    <col min="21" max="22" width="13.88671875" style="663" bestFit="1" customWidth="1"/>
    <col min="23" max="16384" width="9.109375" style="132"/>
  </cols>
  <sheetData>
    <row r="1" spans="1:22" ht="18" x14ac:dyDescent="0.3">
      <c r="A1" s="599" t="s">
        <v>10539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1"/>
      <c r="P1" s="601"/>
      <c r="Q1" s="601"/>
    </row>
    <row r="3" spans="1:22" s="619" customFormat="1" ht="15.6" x14ac:dyDescent="0.3">
      <c r="A3" s="1899" t="s">
        <v>23</v>
      </c>
      <c r="B3" s="1899" t="s">
        <v>10540</v>
      </c>
      <c r="C3" s="1899" t="s">
        <v>10541</v>
      </c>
      <c r="D3" s="1899" t="s">
        <v>9985</v>
      </c>
      <c r="E3" s="1899" t="s">
        <v>10542</v>
      </c>
      <c r="F3" s="1899" t="s">
        <v>10543</v>
      </c>
      <c r="G3" s="1895" t="s">
        <v>10544</v>
      </c>
      <c r="H3" s="1895"/>
      <c r="I3" s="1895"/>
      <c r="J3" s="1895"/>
      <c r="K3" s="1895"/>
      <c r="L3" s="1895"/>
      <c r="M3" s="1895"/>
      <c r="N3" s="1895"/>
      <c r="O3" s="1895"/>
      <c r="P3" s="1899" t="s">
        <v>10545</v>
      </c>
      <c r="Q3" s="1899" t="s">
        <v>10546</v>
      </c>
      <c r="U3" s="1180"/>
      <c r="V3" s="1180"/>
    </row>
    <row r="4" spans="1:22" s="620" customFormat="1" ht="31.2" x14ac:dyDescent="0.3">
      <c r="A4" s="1900"/>
      <c r="B4" s="1900"/>
      <c r="C4" s="1900"/>
      <c r="D4" s="1900"/>
      <c r="E4" s="1900"/>
      <c r="F4" s="1900"/>
      <c r="G4" s="604" t="s">
        <v>10547</v>
      </c>
      <c r="H4" s="604" t="s">
        <v>10531</v>
      </c>
      <c r="I4" s="604" t="s">
        <v>10548</v>
      </c>
      <c r="J4" s="604" t="s">
        <v>10549</v>
      </c>
      <c r="K4" s="604" t="s">
        <v>10550</v>
      </c>
      <c r="L4" s="604" t="s">
        <v>10551</v>
      </c>
      <c r="M4" s="604" t="s">
        <v>10552</v>
      </c>
      <c r="N4" s="604" t="s">
        <v>10553</v>
      </c>
      <c r="O4" s="604" t="s">
        <v>165</v>
      </c>
      <c r="P4" s="1900"/>
      <c r="Q4" s="1900"/>
      <c r="U4" s="1181"/>
      <c r="V4" s="1181"/>
    </row>
    <row r="5" spans="1:22" s="602" customFormat="1" ht="15.6" x14ac:dyDescent="0.3">
      <c r="A5" s="146">
        <v>1</v>
      </c>
      <c r="B5" s="621">
        <v>45504</v>
      </c>
      <c r="C5" s="605" t="s">
        <v>10554</v>
      </c>
      <c r="D5" s="605" t="s">
        <v>10555</v>
      </c>
      <c r="E5" s="605"/>
      <c r="F5" s="606"/>
      <c r="G5" s="606">
        <v>2161848</v>
      </c>
      <c r="H5" s="606">
        <f>G5*2.5%</f>
        <v>54046.200000000004</v>
      </c>
      <c r="I5" s="606">
        <f>ROUND(G5*10%,0)*2</f>
        <v>432370</v>
      </c>
      <c r="J5" s="606">
        <v>0</v>
      </c>
      <c r="K5" s="606">
        <v>0</v>
      </c>
      <c r="L5" s="606">
        <v>0</v>
      </c>
      <c r="M5" s="606">
        <v>0</v>
      </c>
      <c r="N5" s="606">
        <v>0</v>
      </c>
      <c r="O5" s="606">
        <f t="shared" ref="O5:O16" si="0">SUM(G5:N5)</f>
        <v>2648264.2000000002</v>
      </c>
      <c r="P5" s="606" t="s">
        <v>1117</v>
      </c>
      <c r="Q5" s="685" t="s">
        <v>1117</v>
      </c>
      <c r="U5" s="616"/>
      <c r="V5" s="616"/>
    </row>
    <row r="6" spans="1:22" s="602" customFormat="1" ht="15.6" x14ac:dyDescent="0.3">
      <c r="A6" s="43">
        <v>2</v>
      </c>
      <c r="B6" s="622">
        <v>45572</v>
      </c>
      <c r="C6" s="607" t="s">
        <v>10556</v>
      </c>
      <c r="D6" s="607" t="s">
        <v>10555</v>
      </c>
      <c r="E6" s="43">
        <v>7474030128</v>
      </c>
      <c r="F6" s="623">
        <v>11111</v>
      </c>
      <c r="G6" s="608">
        <v>499995</v>
      </c>
      <c r="H6" s="608">
        <v>0</v>
      </c>
      <c r="I6" s="608">
        <f t="shared" ref="I6:I11" si="1">ROUND(G6*10%,0)*2</f>
        <v>100000</v>
      </c>
      <c r="J6" s="608">
        <v>0</v>
      </c>
      <c r="K6" s="1197">
        <v>1000</v>
      </c>
      <c r="L6" s="608">
        <v>0</v>
      </c>
      <c r="M6" s="608">
        <v>0</v>
      </c>
      <c r="N6" s="608">
        <v>0</v>
      </c>
      <c r="O6" s="608">
        <f t="shared" si="0"/>
        <v>600995</v>
      </c>
      <c r="P6" s="608" t="s">
        <v>10557</v>
      </c>
      <c r="Q6" s="684" t="s">
        <v>871</v>
      </c>
      <c r="S6" s="682">
        <f>G6+I6</f>
        <v>599995</v>
      </c>
      <c r="T6" s="682">
        <f>S6</f>
        <v>599995</v>
      </c>
      <c r="U6" s="616"/>
      <c r="V6" s="616"/>
    </row>
    <row r="7" spans="1:22" s="602" customFormat="1" ht="15.6" x14ac:dyDescent="0.3">
      <c r="A7" s="43">
        <v>3</v>
      </c>
      <c r="B7" s="622">
        <v>45582</v>
      </c>
      <c r="C7" s="607" t="s">
        <v>10556</v>
      </c>
      <c r="D7" s="607" t="s">
        <v>10558</v>
      </c>
      <c r="E7" s="43">
        <v>5977850497</v>
      </c>
      <c r="F7" s="623">
        <v>5000</v>
      </c>
      <c r="G7" s="608">
        <v>1300000</v>
      </c>
      <c r="H7" s="608">
        <v>0</v>
      </c>
      <c r="I7" s="608">
        <f t="shared" si="1"/>
        <v>260000</v>
      </c>
      <c r="J7" s="608">
        <v>0</v>
      </c>
      <c r="K7" s="1197">
        <v>2500</v>
      </c>
      <c r="L7" s="608">
        <v>0</v>
      </c>
      <c r="M7" s="608">
        <v>0</v>
      </c>
      <c r="N7" s="608">
        <v>0</v>
      </c>
      <c r="O7" s="608">
        <f t="shared" si="0"/>
        <v>1562500</v>
      </c>
      <c r="P7" s="608" t="s">
        <v>10559</v>
      </c>
      <c r="Q7" s="684" t="s">
        <v>871</v>
      </c>
      <c r="S7" s="682">
        <f t="shared" ref="S7:S52" si="2">G7+I7</f>
        <v>1560000</v>
      </c>
      <c r="T7" s="682">
        <f>S7+T6</f>
        <v>2159995</v>
      </c>
      <c r="U7" s="616">
        <f>'Summary-Royalty'!M9</f>
        <v>2204994.1872549024</v>
      </c>
      <c r="V7" s="616">
        <f>T7-U7</f>
        <v>-44999.187254902441</v>
      </c>
    </row>
    <row r="8" spans="1:22" s="602" customFormat="1" ht="15.6" x14ac:dyDescent="0.3">
      <c r="A8" s="43">
        <v>4</v>
      </c>
      <c r="B8" s="622">
        <v>45607</v>
      </c>
      <c r="C8" s="607" t="s">
        <v>10556</v>
      </c>
      <c r="D8" s="607" t="s">
        <v>10558</v>
      </c>
      <c r="E8" s="43">
        <v>9451769614</v>
      </c>
      <c r="F8" s="623">
        <v>20000</v>
      </c>
      <c r="G8" s="608">
        <v>5200000</v>
      </c>
      <c r="H8" s="608">
        <v>0</v>
      </c>
      <c r="I8" s="608">
        <f t="shared" si="1"/>
        <v>1040000</v>
      </c>
      <c r="J8" s="608">
        <v>0</v>
      </c>
      <c r="K8" s="1197">
        <v>2500</v>
      </c>
      <c r="L8" s="608">
        <v>0</v>
      </c>
      <c r="M8" s="608">
        <v>0</v>
      </c>
      <c r="N8" s="608">
        <v>0</v>
      </c>
      <c r="O8" s="608">
        <f t="shared" si="0"/>
        <v>6242500</v>
      </c>
      <c r="P8" s="608" t="s">
        <v>10559</v>
      </c>
      <c r="Q8" s="684" t="s">
        <v>898</v>
      </c>
      <c r="S8" s="682">
        <f t="shared" si="2"/>
        <v>6240000</v>
      </c>
      <c r="T8" s="682">
        <f>S8</f>
        <v>6240000</v>
      </c>
      <c r="U8" s="616"/>
      <c r="V8" s="616"/>
    </row>
    <row r="9" spans="1:22" s="602" customFormat="1" ht="15.6" x14ac:dyDescent="0.3">
      <c r="A9" s="43">
        <v>5</v>
      </c>
      <c r="B9" s="622">
        <v>45607</v>
      </c>
      <c r="C9" s="607" t="s">
        <v>10556</v>
      </c>
      <c r="D9" s="607" t="s">
        <v>10560</v>
      </c>
      <c r="E9" s="43">
        <v>2305703110</v>
      </c>
      <c r="F9" s="623">
        <v>5000</v>
      </c>
      <c r="G9" s="608">
        <v>700000</v>
      </c>
      <c r="H9" s="608">
        <v>0</v>
      </c>
      <c r="I9" s="608">
        <f t="shared" si="1"/>
        <v>140000</v>
      </c>
      <c r="J9" s="608">
        <v>0</v>
      </c>
      <c r="K9" s="1197">
        <v>2000</v>
      </c>
      <c r="L9" s="608">
        <v>0</v>
      </c>
      <c r="M9" s="608">
        <v>0</v>
      </c>
      <c r="N9" s="608">
        <v>0</v>
      </c>
      <c r="O9" s="608">
        <f t="shared" si="0"/>
        <v>842000</v>
      </c>
      <c r="P9" s="608" t="s">
        <v>10561</v>
      </c>
      <c r="Q9" s="684" t="s">
        <v>898</v>
      </c>
      <c r="S9" s="682">
        <f t="shared" si="2"/>
        <v>840000</v>
      </c>
      <c r="T9" s="682">
        <f t="shared" ref="T9:T49" si="3">S9+T8</f>
        <v>7080000</v>
      </c>
      <c r="U9" s="616"/>
      <c r="V9" s="616"/>
    </row>
    <row r="10" spans="1:22" s="602" customFormat="1" ht="15.6" x14ac:dyDescent="0.3">
      <c r="A10" s="43">
        <v>6</v>
      </c>
      <c r="B10" s="622">
        <v>45615</v>
      </c>
      <c r="C10" s="607" t="s">
        <v>10556</v>
      </c>
      <c r="D10" s="607" t="s">
        <v>10555</v>
      </c>
      <c r="E10" s="43">
        <v>2638811974</v>
      </c>
      <c r="F10" s="623">
        <v>13889</v>
      </c>
      <c r="G10" s="608">
        <v>625005</v>
      </c>
      <c r="H10" s="608">
        <v>0</v>
      </c>
      <c r="I10" s="608">
        <f t="shared" si="1"/>
        <v>125002</v>
      </c>
      <c r="J10" s="608">
        <v>0</v>
      </c>
      <c r="K10" s="1197">
        <v>2000</v>
      </c>
      <c r="L10" s="608">
        <v>0</v>
      </c>
      <c r="M10" s="608">
        <v>0</v>
      </c>
      <c r="N10" s="608">
        <v>0</v>
      </c>
      <c r="O10" s="608">
        <f t="shared" si="0"/>
        <v>752007</v>
      </c>
      <c r="P10" s="608" t="s">
        <v>10557</v>
      </c>
      <c r="Q10" s="684" t="s">
        <v>898</v>
      </c>
      <c r="S10" s="682">
        <f t="shared" si="2"/>
        <v>750007</v>
      </c>
      <c r="T10" s="682">
        <f t="shared" si="3"/>
        <v>7830007</v>
      </c>
      <c r="U10" s="616"/>
      <c r="V10" s="616"/>
    </row>
    <row r="11" spans="1:22" s="602" customFormat="1" ht="15.6" x14ac:dyDescent="0.3">
      <c r="A11" s="43">
        <v>7</v>
      </c>
      <c r="B11" s="622">
        <v>45623</v>
      </c>
      <c r="C11" s="607" t="s">
        <v>10556</v>
      </c>
      <c r="D11" s="624" t="s">
        <v>10562</v>
      </c>
      <c r="E11" s="636"/>
      <c r="F11" s="623">
        <v>30000</v>
      </c>
      <c r="G11" s="608">
        <v>900000</v>
      </c>
      <c r="H11" s="608">
        <v>0</v>
      </c>
      <c r="I11" s="608">
        <f t="shared" si="1"/>
        <v>180000</v>
      </c>
      <c r="J11" s="608">
        <v>0</v>
      </c>
      <c r="K11" s="608">
        <v>0</v>
      </c>
      <c r="L11" s="1197">
        <f>G11*5%</f>
        <v>45000</v>
      </c>
      <c r="M11" s="1197">
        <f>G11*2.55%</f>
        <v>22950</v>
      </c>
      <c r="N11" s="1197">
        <v>177000</v>
      </c>
      <c r="O11" s="608">
        <f t="shared" si="0"/>
        <v>1324950</v>
      </c>
      <c r="P11" s="608" t="s">
        <v>10563</v>
      </c>
      <c r="Q11" s="684" t="s">
        <v>898</v>
      </c>
      <c r="S11" s="682">
        <f t="shared" si="2"/>
        <v>1080000</v>
      </c>
      <c r="T11" s="682">
        <f t="shared" si="3"/>
        <v>8910007</v>
      </c>
      <c r="U11" s="616">
        <f>'Summary-Royalty'!M10</f>
        <v>8792067.6591060162</v>
      </c>
      <c r="V11" s="616">
        <f>T11-U11</f>
        <v>117939.34089398384</v>
      </c>
    </row>
    <row r="12" spans="1:22" s="602" customFormat="1" ht="15.6" x14ac:dyDescent="0.3">
      <c r="A12" s="43">
        <v>8</v>
      </c>
      <c r="B12" s="627">
        <v>45623</v>
      </c>
      <c r="C12" s="607" t="s">
        <v>10556</v>
      </c>
      <c r="D12" s="624" t="s">
        <v>10562</v>
      </c>
      <c r="E12" s="625"/>
      <c r="F12" s="628">
        <v>60000</v>
      </c>
      <c r="G12" s="610">
        <v>1800000</v>
      </c>
      <c r="H12" s="608">
        <v>0</v>
      </c>
      <c r="I12" s="610">
        <f>ROUND(G12*10%,0)*2</f>
        <v>360000</v>
      </c>
      <c r="J12" s="608">
        <v>0</v>
      </c>
      <c r="K12" s="610">
        <v>0</v>
      </c>
      <c r="L12" s="1197">
        <v>90000</v>
      </c>
      <c r="M12" s="1197">
        <v>45900</v>
      </c>
      <c r="N12" s="1197">
        <v>354000</v>
      </c>
      <c r="O12" s="608">
        <f t="shared" si="0"/>
        <v>2649900</v>
      </c>
      <c r="P12" s="610" t="s">
        <v>10563</v>
      </c>
      <c r="Q12" s="684" t="s">
        <v>931</v>
      </c>
      <c r="S12" s="682">
        <f t="shared" si="2"/>
        <v>2160000</v>
      </c>
      <c r="T12" s="682">
        <f>S12</f>
        <v>2160000</v>
      </c>
      <c r="U12" s="616"/>
      <c r="V12" s="616"/>
    </row>
    <row r="13" spans="1:22" s="602" customFormat="1" ht="15.6" x14ac:dyDescent="0.3">
      <c r="A13" s="43">
        <v>9</v>
      </c>
      <c r="B13" s="622">
        <v>45632</v>
      </c>
      <c r="C13" s="607" t="s">
        <v>10556</v>
      </c>
      <c r="D13" s="607" t="s">
        <v>10558</v>
      </c>
      <c r="E13" s="43">
        <v>2636086540</v>
      </c>
      <c r="F13" s="623">
        <v>20000</v>
      </c>
      <c r="G13" s="608">
        <v>5200000</v>
      </c>
      <c r="H13" s="608">
        <v>0</v>
      </c>
      <c r="I13" s="608">
        <f t="shared" ref="I13:I40" si="4">ROUND(G13*10%,0)*2</f>
        <v>1040000</v>
      </c>
      <c r="J13" s="608">
        <v>0</v>
      </c>
      <c r="K13" s="1197">
        <v>2500</v>
      </c>
      <c r="L13" s="608">
        <v>0</v>
      </c>
      <c r="M13" s="608">
        <v>0</v>
      </c>
      <c r="N13" s="608">
        <v>0</v>
      </c>
      <c r="O13" s="608">
        <f t="shared" si="0"/>
        <v>6242500</v>
      </c>
      <c r="P13" s="608" t="s">
        <v>10559</v>
      </c>
      <c r="Q13" s="684" t="s">
        <v>931</v>
      </c>
      <c r="S13" s="682">
        <f t="shared" si="2"/>
        <v>6240000</v>
      </c>
      <c r="T13" s="682">
        <f t="shared" si="3"/>
        <v>8400000</v>
      </c>
      <c r="U13" s="616">
        <f>'Summary-Royalty'!M11</f>
        <v>8472938.3362246621</v>
      </c>
      <c r="V13" s="616">
        <f>T13-U13</f>
        <v>-72938.33622466214</v>
      </c>
    </row>
    <row r="14" spans="1:22" s="602" customFormat="1" ht="15.6" x14ac:dyDescent="0.3">
      <c r="A14" s="43">
        <v>10</v>
      </c>
      <c r="B14" s="627">
        <v>45661</v>
      </c>
      <c r="C14" s="607" t="s">
        <v>10556</v>
      </c>
      <c r="D14" s="607" t="s">
        <v>10560</v>
      </c>
      <c r="E14" s="625">
        <v>4053503456</v>
      </c>
      <c r="F14" s="628">
        <v>5000</v>
      </c>
      <c r="G14" s="610">
        <v>700000</v>
      </c>
      <c r="H14" s="608">
        <v>0</v>
      </c>
      <c r="I14" s="610">
        <f t="shared" si="4"/>
        <v>140000</v>
      </c>
      <c r="J14" s="608">
        <v>0</v>
      </c>
      <c r="K14" s="1198">
        <v>2000</v>
      </c>
      <c r="L14" s="608">
        <v>0</v>
      </c>
      <c r="M14" s="608">
        <v>0</v>
      </c>
      <c r="N14" s="608">
        <v>0</v>
      </c>
      <c r="O14" s="610">
        <f t="shared" si="0"/>
        <v>842000</v>
      </c>
      <c r="P14" s="610" t="s">
        <v>10561</v>
      </c>
      <c r="Q14" s="684" t="s">
        <v>1326</v>
      </c>
      <c r="S14" s="682">
        <f t="shared" si="2"/>
        <v>840000</v>
      </c>
      <c r="T14" s="682">
        <f>S14</f>
        <v>840000</v>
      </c>
      <c r="U14" s="616"/>
      <c r="V14" s="616"/>
    </row>
    <row r="15" spans="1:22" s="602" customFormat="1" ht="15.6" x14ac:dyDescent="0.3">
      <c r="A15" s="43">
        <v>11</v>
      </c>
      <c r="B15" s="627">
        <v>45667</v>
      </c>
      <c r="C15" s="607" t="s">
        <v>10556</v>
      </c>
      <c r="D15" s="607" t="s">
        <v>10555</v>
      </c>
      <c r="E15" s="625">
        <v>1474487445</v>
      </c>
      <c r="F15" s="628">
        <v>25000</v>
      </c>
      <c r="G15" s="610">
        <v>1125000</v>
      </c>
      <c r="H15" s="608">
        <v>0</v>
      </c>
      <c r="I15" s="610">
        <f t="shared" si="4"/>
        <v>225000</v>
      </c>
      <c r="J15" s="608">
        <v>0</v>
      </c>
      <c r="K15" s="1198">
        <v>2500</v>
      </c>
      <c r="L15" s="608">
        <v>0</v>
      </c>
      <c r="M15" s="608">
        <v>0</v>
      </c>
      <c r="N15" s="608">
        <v>0</v>
      </c>
      <c r="O15" s="610">
        <f t="shared" si="0"/>
        <v>1352500</v>
      </c>
      <c r="P15" s="610" t="s">
        <v>10557</v>
      </c>
      <c r="Q15" s="684" t="s">
        <v>1326</v>
      </c>
      <c r="S15" s="682">
        <f t="shared" si="2"/>
        <v>1350000</v>
      </c>
      <c r="T15" s="682">
        <f t="shared" si="3"/>
        <v>2190000</v>
      </c>
      <c r="U15" s="616"/>
      <c r="V15" s="616"/>
    </row>
    <row r="16" spans="1:22" s="602" customFormat="1" ht="15.6" x14ac:dyDescent="0.3">
      <c r="A16" s="43">
        <v>12</v>
      </c>
      <c r="B16" s="627">
        <v>45681</v>
      </c>
      <c r="C16" s="607" t="s">
        <v>10556</v>
      </c>
      <c r="D16" s="607" t="s">
        <v>10560</v>
      </c>
      <c r="E16" s="625">
        <v>1143848580</v>
      </c>
      <c r="F16" s="628">
        <v>5000</v>
      </c>
      <c r="G16" s="610">
        <v>700000</v>
      </c>
      <c r="H16" s="608">
        <v>0</v>
      </c>
      <c r="I16" s="610">
        <f t="shared" si="4"/>
        <v>140000</v>
      </c>
      <c r="J16" s="608">
        <v>0</v>
      </c>
      <c r="K16" s="1198">
        <v>2000</v>
      </c>
      <c r="L16" s="608">
        <v>0</v>
      </c>
      <c r="M16" s="608">
        <v>0</v>
      </c>
      <c r="N16" s="608">
        <v>0</v>
      </c>
      <c r="O16" s="608">
        <f t="shared" si="0"/>
        <v>842000</v>
      </c>
      <c r="P16" s="610" t="s">
        <v>10561</v>
      </c>
      <c r="Q16" s="684" t="s">
        <v>1326</v>
      </c>
      <c r="S16" s="682">
        <f t="shared" si="2"/>
        <v>840000</v>
      </c>
      <c r="T16" s="682">
        <f t="shared" si="3"/>
        <v>3030000</v>
      </c>
      <c r="U16" s="616">
        <f>'Summary-Royalty'!M12</f>
        <v>3029999.5848953165</v>
      </c>
      <c r="V16" s="616">
        <f>T16-U16</f>
        <v>0.41510468348860741</v>
      </c>
    </row>
    <row r="17" spans="1:22" s="602" customFormat="1" ht="15.6" x14ac:dyDescent="0.3">
      <c r="A17" s="625">
        <v>13</v>
      </c>
      <c r="B17" s="627">
        <v>45717</v>
      </c>
      <c r="C17" s="607" t="s">
        <v>10556</v>
      </c>
      <c r="D17" s="607" t="s">
        <v>10560</v>
      </c>
      <c r="E17" s="625">
        <v>6494109329</v>
      </c>
      <c r="F17" s="628">
        <v>10000</v>
      </c>
      <c r="G17" s="610">
        <v>1400000</v>
      </c>
      <c r="H17" s="608">
        <v>0</v>
      </c>
      <c r="I17" s="610">
        <f t="shared" si="4"/>
        <v>280000</v>
      </c>
      <c r="J17" s="608">
        <v>0</v>
      </c>
      <c r="K17" s="1198">
        <v>2500</v>
      </c>
      <c r="L17" s="608">
        <v>0</v>
      </c>
      <c r="M17" s="608">
        <v>0</v>
      </c>
      <c r="N17" s="608">
        <v>0</v>
      </c>
      <c r="O17" s="608">
        <f t="shared" ref="O17:O24" si="5">SUM(G17:N17)</f>
        <v>1682500</v>
      </c>
      <c r="P17" s="610" t="s">
        <v>10561</v>
      </c>
      <c r="Q17" s="684" t="s">
        <v>934</v>
      </c>
      <c r="S17" s="682">
        <f t="shared" si="2"/>
        <v>1680000</v>
      </c>
      <c r="T17" s="682">
        <f>S17</f>
        <v>1680000</v>
      </c>
      <c r="U17" s="616"/>
      <c r="V17" s="616"/>
    </row>
    <row r="18" spans="1:22" s="602" customFormat="1" ht="15.6" x14ac:dyDescent="0.3">
      <c r="A18" s="625">
        <v>14</v>
      </c>
      <c r="B18" s="627">
        <v>45717</v>
      </c>
      <c r="C18" s="607" t="s">
        <v>10556</v>
      </c>
      <c r="D18" s="609" t="s">
        <v>10564</v>
      </c>
      <c r="E18" s="625">
        <v>8325234869</v>
      </c>
      <c r="F18" s="628">
        <v>5000</v>
      </c>
      <c r="G18" s="610">
        <v>1300000</v>
      </c>
      <c r="H18" s="608">
        <v>0</v>
      </c>
      <c r="I18" s="610">
        <f t="shared" si="4"/>
        <v>260000</v>
      </c>
      <c r="J18" s="608">
        <v>0</v>
      </c>
      <c r="K18" s="1198">
        <v>2500</v>
      </c>
      <c r="L18" s="608">
        <v>0</v>
      </c>
      <c r="M18" s="608">
        <v>0</v>
      </c>
      <c r="N18" s="608">
        <v>0</v>
      </c>
      <c r="O18" s="608">
        <f t="shared" si="5"/>
        <v>1562500</v>
      </c>
      <c r="P18" s="610" t="s">
        <v>10559</v>
      </c>
      <c r="Q18" s="684" t="s">
        <v>934</v>
      </c>
      <c r="S18" s="682">
        <f t="shared" si="2"/>
        <v>1560000</v>
      </c>
      <c r="T18" s="682">
        <f t="shared" si="3"/>
        <v>3240000</v>
      </c>
      <c r="U18" s="616"/>
      <c r="V18" s="616"/>
    </row>
    <row r="19" spans="1:22" s="602" customFormat="1" ht="15.6" x14ac:dyDescent="0.3">
      <c r="A19" s="625">
        <v>15</v>
      </c>
      <c r="B19" s="627">
        <v>45717</v>
      </c>
      <c r="C19" s="607" t="s">
        <v>10556</v>
      </c>
      <c r="D19" s="609" t="s">
        <v>10564</v>
      </c>
      <c r="E19" s="625">
        <v>6914431254</v>
      </c>
      <c r="F19" s="628">
        <v>5000</v>
      </c>
      <c r="G19" s="610">
        <v>1300000</v>
      </c>
      <c r="H19" s="608">
        <v>0</v>
      </c>
      <c r="I19" s="610">
        <f t="shared" si="4"/>
        <v>260000</v>
      </c>
      <c r="J19" s="608">
        <v>0</v>
      </c>
      <c r="K19" s="1198">
        <v>2500</v>
      </c>
      <c r="L19" s="608">
        <v>0</v>
      </c>
      <c r="M19" s="608">
        <v>0</v>
      </c>
      <c r="N19" s="608">
        <v>0</v>
      </c>
      <c r="O19" s="608">
        <f t="shared" si="5"/>
        <v>1562500</v>
      </c>
      <c r="P19" s="610" t="s">
        <v>10559</v>
      </c>
      <c r="Q19" s="684" t="s">
        <v>934</v>
      </c>
      <c r="S19" s="682">
        <f t="shared" si="2"/>
        <v>1560000</v>
      </c>
      <c r="T19" s="682">
        <f t="shared" si="3"/>
        <v>4800000</v>
      </c>
      <c r="U19" s="616"/>
      <c r="V19" s="616"/>
    </row>
    <row r="20" spans="1:22" s="602" customFormat="1" ht="15.6" x14ac:dyDescent="0.3">
      <c r="A20" s="625">
        <v>16</v>
      </c>
      <c r="B20" s="627">
        <v>45728</v>
      </c>
      <c r="C20" s="607" t="s">
        <v>10556</v>
      </c>
      <c r="D20" s="607" t="s">
        <v>10560</v>
      </c>
      <c r="E20" s="625">
        <v>9140100683</v>
      </c>
      <c r="F20" s="628">
        <v>25000</v>
      </c>
      <c r="G20" s="610">
        <v>3500000</v>
      </c>
      <c r="H20" s="608">
        <v>0</v>
      </c>
      <c r="I20" s="610">
        <f t="shared" si="4"/>
        <v>700000</v>
      </c>
      <c r="J20" s="608">
        <v>0</v>
      </c>
      <c r="K20" s="1198">
        <v>2500</v>
      </c>
      <c r="L20" s="608">
        <v>0</v>
      </c>
      <c r="M20" s="608">
        <v>0</v>
      </c>
      <c r="N20" s="608">
        <v>0</v>
      </c>
      <c r="O20" s="608">
        <f t="shared" si="5"/>
        <v>4202500</v>
      </c>
      <c r="P20" s="610" t="s">
        <v>10561</v>
      </c>
      <c r="Q20" s="684" t="s">
        <v>934</v>
      </c>
      <c r="S20" s="682">
        <f t="shared" si="2"/>
        <v>4200000</v>
      </c>
      <c r="T20" s="682">
        <f t="shared" si="3"/>
        <v>9000000</v>
      </c>
      <c r="U20" s="616"/>
      <c r="V20" s="616"/>
    </row>
    <row r="21" spans="1:22" s="602" customFormat="1" ht="15.6" x14ac:dyDescent="0.3">
      <c r="A21" s="625">
        <v>17</v>
      </c>
      <c r="B21" s="627">
        <v>45734</v>
      </c>
      <c r="C21" s="607" t="s">
        <v>10556</v>
      </c>
      <c r="D21" s="607" t="s">
        <v>10555</v>
      </c>
      <c r="E21" s="625">
        <v>3205637620</v>
      </c>
      <c r="F21" s="628">
        <v>40000</v>
      </c>
      <c r="G21" s="610">
        <v>1800000</v>
      </c>
      <c r="H21" s="608">
        <v>0</v>
      </c>
      <c r="I21" s="610">
        <f t="shared" si="4"/>
        <v>360000</v>
      </c>
      <c r="J21" s="608">
        <v>0</v>
      </c>
      <c r="K21" s="1198">
        <v>2500</v>
      </c>
      <c r="L21" s="608">
        <v>0</v>
      </c>
      <c r="M21" s="608">
        <v>0</v>
      </c>
      <c r="N21" s="608">
        <v>0</v>
      </c>
      <c r="O21" s="608">
        <f t="shared" si="5"/>
        <v>2162500</v>
      </c>
      <c r="P21" s="610" t="s">
        <v>10557</v>
      </c>
      <c r="Q21" s="684" t="s">
        <v>934</v>
      </c>
      <c r="S21" s="682">
        <f t="shared" si="2"/>
        <v>2160000</v>
      </c>
      <c r="T21" s="682">
        <f t="shared" si="3"/>
        <v>11160000</v>
      </c>
      <c r="U21" s="616"/>
      <c r="V21" s="616"/>
    </row>
    <row r="22" spans="1:22" s="602" customFormat="1" ht="15.6" x14ac:dyDescent="0.3">
      <c r="A22" s="625">
        <v>18</v>
      </c>
      <c r="B22" s="627">
        <v>45741</v>
      </c>
      <c r="C22" s="607" t="s">
        <v>10556</v>
      </c>
      <c r="D22" s="609" t="s">
        <v>10564</v>
      </c>
      <c r="E22" s="625">
        <v>7248757805</v>
      </c>
      <c r="F22" s="628">
        <v>10000</v>
      </c>
      <c r="G22" s="610">
        <v>2600000</v>
      </c>
      <c r="H22" s="608">
        <v>0</v>
      </c>
      <c r="I22" s="610">
        <f t="shared" si="4"/>
        <v>520000</v>
      </c>
      <c r="J22" s="608">
        <v>0</v>
      </c>
      <c r="K22" s="1198">
        <v>2500</v>
      </c>
      <c r="L22" s="608">
        <v>0</v>
      </c>
      <c r="M22" s="608">
        <v>0</v>
      </c>
      <c r="N22" s="608">
        <v>0</v>
      </c>
      <c r="O22" s="608">
        <f t="shared" si="5"/>
        <v>3122500</v>
      </c>
      <c r="P22" s="610" t="s">
        <v>10559</v>
      </c>
      <c r="Q22" s="684" t="s">
        <v>934</v>
      </c>
      <c r="S22" s="682">
        <f t="shared" si="2"/>
        <v>3120000</v>
      </c>
      <c r="T22" s="682">
        <f t="shared" si="3"/>
        <v>14280000</v>
      </c>
      <c r="U22" s="616">
        <f>'Summary-Royalty'!M14</f>
        <v>14280000.466600202</v>
      </c>
      <c r="V22" s="616">
        <f>T22-U22</f>
        <v>-0.466600202023983</v>
      </c>
    </row>
    <row r="23" spans="1:22" s="602" customFormat="1" ht="15.6" x14ac:dyDescent="0.3">
      <c r="A23" s="625">
        <v>19</v>
      </c>
      <c r="B23" s="627">
        <v>45765</v>
      </c>
      <c r="C23" s="607" t="s">
        <v>10556</v>
      </c>
      <c r="D23" s="609" t="s">
        <v>10564</v>
      </c>
      <c r="E23" s="625">
        <v>1514854451</v>
      </c>
      <c r="F23" s="628">
        <v>10000</v>
      </c>
      <c r="G23" s="610">
        <v>2600000</v>
      </c>
      <c r="H23" s="608">
        <v>0</v>
      </c>
      <c r="I23" s="610">
        <f t="shared" si="4"/>
        <v>520000</v>
      </c>
      <c r="J23" s="608">
        <v>0</v>
      </c>
      <c r="K23" s="1198">
        <v>2500</v>
      </c>
      <c r="L23" s="608">
        <v>0</v>
      </c>
      <c r="M23" s="608">
        <v>0</v>
      </c>
      <c r="N23" s="608">
        <v>0</v>
      </c>
      <c r="O23" s="608">
        <f t="shared" si="5"/>
        <v>3122500</v>
      </c>
      <c r="P23" s="610" t="s">
        <v>10559</v>
      </c>
      <c r="Q23" s="684" t="s">
        <v>1302</v>
      </c>
      <c r="S23" s="682">
        <f t="shared" si="2"/>
        <v>3120000</v>
      </c>
      <c r="T23" s="682">
        <f>S23</f>
        <v>3120000</v>
      </c>
      <c r="U23" s="616"/>
      <c r="V23" s="616"/>
    </row>
    <row r="24" spans="1:22" s="602" customFormat="1" ht="15.6" x14ac:dyDescent="0.3">
      <c r="A24" s="625">
        <v>20</v>
      </c>
      <c r="B24" s="627">
        <v>45764</v>
      </c>
      <c r="C24" s="607" t="s">
        <v>10556</v>
      </c>
      <c r="D24" s="624" t="s">
        <v>10562</v>
      </c>
      <c r="E24" s="625"/>
      <c r="F24" s="628">
        <v>90000</v>
      </c>
      <c r="G24" s="610">
        <v>2700000</v>
      </c>
      <c r="H24" s="608">
        <v>0</v>
      </c>
      <c r="I24" s="610">
        <f t="shared" si="4"/>
        <v>540000</v>
      </c>
      <c r="J24" s="608">
        <v>0</v>
      </c>
      <c r="K24" s="610">
        <v>0</v>
      </c>
      <c r="L24" s="1198">
        <v>135000</v>
      </c>
      <c r="M24" s="1198">
        <v>68850</v>
      </c>
      <c r="N24" s="1198">
        <v>531000</v>
      </c>
      <c r="O24" s="608">
        <f t="shared" si="5"/>
        <v>3974850</v>
      </c>
      <c r="P24" s="610" t="s">
        <v>10563</v>
      </c>
      <c r="Q24" s="684" t="s">
        <v>1302</v>
      </c>
      <c r="S24" s="682">
        <f t="shared" si="2"/>
        <v>3240000</v>
      </c>
      <c r="T24" s="682">
        <f t="shared" si="3"/>
        <v>6360000</v>
      </c>
      <c r="U24" s="616">
        <f>'Summary-Royalty'!M15</f>
        <v>6360000.1724160891</v>
      </c>
      <c r="V24" s="616">
        <f>T24-U24</f>
        <v>-0.17241608910262585</v>
      </c>
    </row>
    <row r="25" spans="1:22" s="602" customFormat="1" ht="15.6" x14ac:dyDescent="0.3">
      <c r="A25" s="625">
        <v>21</v>
      </c>
      <c r="B25" s="627">
        <v>45780</v>
      </c>
      <c r="C25" s="607" t="s">
        <v>10556</v>
      </c>
      <c r="D25" s="849" t="s">
        <v>10560</v>
      </c>
      <c r="E25" s="625">
        <v>9369405249</v>
      </c>
      <c r="F25" s="628">
        <v>15000</v>
      </c>
      <c r="G25" s="610">
        <v>2100000</v>
      </c>
      <c r="H25" s="608">
        <v>0</v>
      </c>
      <c r="I25" s="610">
        <f t="shared" si="4"/>
        <v>420000</v>
      </c>
      <c r="J25" s="608">
        <v>0</v>
      </c>
      <c r="K25" s="1198">
        <v>2500</v>
      </c>
      <c r="L25" s="608">
        <v>0</v>
      </c>
      <c r="M25" s="608">
        <v>0</v>
      </c>
      <c r="N25" s="608">
        <v>0</v>
      </c>
      <c r="O25" s="608">
        <f t="shared" ref="O25:O31" si="6">SUM(G25:N25)</f>
        <v>2522500</v>
      </c>
      <c r="P25" s="610" t="s">
        <v>10561</v>
      </c>
      <c r="Q25" s="684" t="s">
        <v>97</v>
      </c>
      <c r="S25" s="682">
        <f t="shared" si="2"/>
        <v>2520000</v>
      </c>
      <c r="T25" s="682">
        <f>S25</f>
        <v>2520000</v>
      </c>
      <c r="U25" s="616"/>
      <c r="V25" s="616"/>
    </row>
    <row r="26" spans="1:22" s="602" customFormat="1" ht="15.6" x14ac:dyDescent="0.3">
      <c r="A26" s="625">
        <v>22</v>
      </c>
      <c r="B26" s="627">
        <v>45792</v>
      </c>
      <c r="C26" s="607" t="s">
        <v>10556</v>
      </c>
      <c r="D26" s="609" t="s">
        <v>10564</v>
      </c>
      <c r="E26" s="625">
        <v>8720379797</v>
      </c>
      <c r="F26" s="628">
        <v>10000</v>
      </c>
      <c r="G26" s="610">
        <v>2600000</v>
      </c>
      <c r="H26" s="608">
        <v>0</v>
      </c>
      <c r="I26" s="610">
        <f t="shared" si="4"/>
        <v>520000</v>
      </c>
      <c r="J26" s="608">
        <v>0</v>
      </c>
      <c r="K26" s="1198">
        <v>2500</v>
      </c>
      <c r="L26" s="608">
        <v>0</v>
      </c>
      <c r="M26" s="608">
        <v>0</v>
      </c>
      <c r="N26" s="608">
        <v>0</v>
      </c>
      <c r="O26" s="608">
        <f t="shared" si="6"/>
        <v>3122500</v>
      </c>
      <c r="P26" s="610" t="s">
        <v>10559</v>
      </c>
      <c r="Q26" s="684" t="s">
        <v>97</v>
      </c>
      <c r="S26" s="682">
        <f t="shared" si="2"/>
        <v>3120000</v>
      </c>
      <c r="T26" s="682">
        <f t="shared" si="3"/>
        <v>5640000</v>
      </c>
      <c r="U26" s="616"/>
      <c r="V26" s="616"/>
    </row>
    <row r="27" spans="1:22" s="602" customFormat="1" ht="15.6" x14ac:dyDescent="0.3">
      <c r="A27" s="625">
        <v>23</v>
      </c>
      <c r="B27" s="627">
        <v>45792</v>
      </c>
      <c r="C27" s="607" t="s">
        <v>10556</v>
      </c>
      <c r="D27" s="849" t="s">
        <v>10555</v>
      </c>
      <c r="E27" s="625">
        <v>5749288870</v>
      </c>
      <c r="F27" s="628">
        <v>50000</v>
      </c>
      <c r="G27" s="610">
        <v>2250000</v>
      </c>
      <c r="H27" s="608">
        <v>0</v>
      </c>
      <c r="I27" s="610">
        <f t="shared" si="4"/>
        <v>450000</v>
      </c>
      <c r="J27" s="608">
        <v>0</v>
      </c>
      <c r="K27" s="1198">
        <v>2500</v>
      </c>
      <c r="L27" s="608">
        <v>0</v>
      </c>
      <c r="M27" s="608">
        <v>0</v>
      </c>
      <c r="N27" s="608">
        <v>0</v>
      </c>
      <c r="O27" s="608">
        <f t="shared" si="6"/>
        <v>2702500</v>
      </c>
      <c r="P27" s="610" t="s">
        <v>10557</v>
      </c>
      <c r="Q27" s="684" t="s">
        <v>97</v>
      </c>
      <c r="S27" s="682">
        <f t="shared" si="2"/>
        <v>2700000</v>
      </c>
      <c r="T27" s="682">
        <f t="shared" si="3"/>
        <v>8340000</v>
      </c>
      <c r="U27" s="616"/>
      <c r="V27" s="616"/>
    </row>
    <row r="28" spans="1:22" s="602" customFormat="1" ht="15.6" x14ac:dyDescent="0.3">
      <c r="A28" s="625">
        <v>24</v>
      </c>
      <c r="B28" s="627">
        <v>45799</v>
      </c>
      <c r="C28" s="607" t="s">
        <v>10556</v>
      </c>
      <c r="D28" s="849" t="s">
        <v>10555</v>
      </c>
      <c r="E28" s="625">
        <v>9645617363</v>
      </c>
      <c r="F28" s="628">
        <v>10000</v>
      </c>
      <c r="G28" s="610">
        <v>450000</v>
      </c>
      <c r="H28" s="608">
        <v>0</v>
      </c>
      <c r="I28" s="610">
        <f t="shared" si="4"/>
        <v>90000</v>
      </c>
      <c r="J28" s="608">
        <v>0</v>
      </c>
      <c r="K28" s="1198">
        <v>1000</v>
      </c>
      <c r="L28" s="608">
        <v>0</v>
      </c>
      <c r="M28" s="608">
        <v>0</v>
      </c>
      <c r="N28" s="608">
        <v>0</v>
      </c>
      <c r="O28" s="608">
        <f t="shared" si="6"/>
        <v>541000</v>
      </c>
      <c r="P28" s="610" t="s">
        <v>10557</v>
      </c>
      <c r="Q28" s="684" t="s">
        <v>97</v>
      </c>
      <c r="S28" s="682">
        <f t="shared" si="2"/>
        <v>540000</v>
      </c>
      <c r="T28" s="682">
        <f t="shared" si="3"/>
        <v>8880000</v>
      </c>
      <c r="U28" s="616">
        <f>'Summary-Royalty'!M16</f>
        <v>8879999.8914423399</v>
      </c>
      <c r="V28" s="616">
        <f>T28-U28</f>
        <v>0.10855766013264656</v>
      </c>
    </row>
    <row r="29" spans="1:22" s="602" customFormat="1" ht="15.6" x14ac:dyDescent="0.3">
      <c r="A29" s="625">
        <v>25</v>
      </c>
      <c r="B29" s="627">
        <v>45805</v>
      </c>
      <c r="C29" s="607" t="s">
        <v>10556</v>
      </c>
      <c r="D29" s="849" t="s">
        <v>10560</v>
      </c>
      <c r="E29" s="625">
        <v>9804362617</v>
      </c>
      <c r="F29" s="628">
        <v>14000</v>
      </c>
      <c r="G29" s="610">
        <v>1960000</v>
      </c>
      <c r="H29" s="608">
        <v>0</v>
      </c>
      <c r="I29" s="610">
        <f t="shared" si="4"/>
        <v>392000</v>
      </c>
      <c r="J29" s="608">
        <v>0</v>
      </c>
      <c r="K29" s="1198">
        <v>2500</v>
      </c>
      <c r="L29" s="608">
        <v>0</v>
      </c>
      <c r="M29" s="608">
        <v>0</v>
      </c>
      <c r="N29" s="608">
        <v>0</v>
      </c>
      <c r="O29" s="608">
        <f t="shared" si="6"/>
        <v>2354500</v>
      </c>
      <c r="P29" s="610" t="s">
        <v>10561</v>
      </c>
      <c r="Q29" s="684" t="s">
        <v>937</v>
      </c>
      <c r="S29" s="682">
        <f t="shared" si="2"/>
        <v>2352000</v>
      </c>
      <c r="T29" s="682">
        <f>S29</f>
        <v>2352000</v>
      </c>
      <c r="U29" s="616"/>
      <c r="V29" s="616"/>
    </row>
    <row r="30" spans="1:22" s="602" customFormat="1" ht="15.6" x14ac:dyDescent="0.3">
      <c r="A30" s="625">
        <v>26</v>
      </c>
      <c r="B30" s="627">
        <v>45817</v>
      </c>
      <c r="C30" s="607" t="s">
        <v>10556</v>
      </c>
      <c r="D30" s="849" t="s">
        <v>10564</v>
      </c>
      <c r="E30" s="625">
        <v>7413133545</v>
      </c>
      <c r="F30" s="628">
        <v>10000</v>
      </c>
      <c r="G30" s="610">
        <v>2600000</v>
      </c>
      <c r="H30" s="608">
        <v>0</v>
      </c>
      <c r="I30" s="610">
        <f t="shared" si="4"/>
        <v>520000</v>
      </c>
      <c r="J30" s="608">
        <v>0</v>
      </c>
      <c r="K30" s="1198">
        <v>2500</v>
      </c>
      <c r="L30" s="608">
        <v>0</v>
      </c>
      <c r="M30" s="608">
        <v>0</v>
      </c>
      <c r="N30" s="608">
        <v>0</v>
      </c>
      <c r="O30" s="608">
        <f t="shared" si="6"/>
        <v>3122500</v>
      </c>
      <c r="P30" s="610" t="s">
        <v>10559</v>
      </c>
      <c r="Q30" s="684" t="s">
        <v>937</v>
      </c>
      <c r="S30" s="682">
        <f t="shared" si="2"/>
        <v>3120000</v>
      </c>
      <c r="T30" s="682">
        <f t="shared" si="3"/>
        <v>5472000</v>
      </c>
      <c r="U30" s="616"/>
      <c r="V30" s="616"/>
    </row>
    <row r="31" spans="1:22" s="602" customFormat="1" ht="15.6" x14ac:dyDescent="0.3">
      <c r="A31" s="625">
        <v>27</v>
      </c>
      <c r="B31" s="627">
        <v>45817</v>
      </c>
      <c r="C31" s="607" t="s">
        <v>10556</v>
      </c>
      <c r="D31" s="849" t="s">
        <v>10564</v>
      </c>
      <c r="E31" s="625">
        <v>2643108455</v>
      </c>
      <c r="F31" s="628">
        <v>10000</v>
      </c>
      <c r="G31" s="610">
        <v>2600000</v>
      </c>
      <c r="H31" s="608">
        <v>0</v>
      </c>
      <c r="I31" s="610">
        <f t="shared" si="4"/>
        <v>520000</v>
      </c>
      <c r="J31" s="608">
        <v>0</v>
      </c>
      <c r="K31" s="1198">
        <v>2500</v>
      </c>
      <c r="L31" s="608">
        <v>0</v>
      </c>
      <c r="M31" s="608">
        <v>0</v>
      </c>
      <c r="N31" s="608">
        <v>0</v>
      </c>
      <c r="O31" s="608">
        <f t="shared" si="6"/>
        <v>3122500</v>
      </c>
      <c r="P31" s="610" t="s">
        <v>10559</v>
      </c>
      <c r="Q31" s="684" t="s">
        <v>937</v>
      </c>
      <c r="S31" s="682">
        <f t="shared" si="2"/>
        <v>3120000</v>
      </c>
      <c r="T31" s="682">
        <f t="shared" si="3"/>
        <v>8592000</v>
      </c>
      <c r="U31" s="616">
        <f>'Summary-Royalty'!M17</f>
        <v>7695288.9208208723</v>
      </c>
      <c r="V31" s="616">
        <f>T31-U31</f>
        <v>896711.0791791277</v>
      </c>
    </row>
    <row r="32" spans="1:22" s="602" customFormat="1" ht="15.6" x14ac:dyDescent="0.3">
      <c r="A32" s="625">
        <v>28</v>
      </c>
      <c r="B32" s="627">
        <v>45840</v>
      </c>
      <c r="C32" s="607" t="s">
        <v>10556</v>
      </c>
      <c r="D32" s="849" t="s">
        <v>10564</v>
      </c>
      <c r="E32" s="625">
        <v>2220741541</v>
      </c>
      <c r="F32" s="628">
        <v>10000</v>
      </c>
      <c r="G32" s="610">
        <v>2600000</v>
      </c>
      <c r="H32" s="608">
        <v>0</v>
      </c>
      <c r="I32" s="610">
        <f t="shared" si="4"/>
        <v>520000</v>
      </c>
      <c r="J32" s="608">
        <v>0</v>
      </c>
      <c r="K32" s="1198">
        <v>2500</v>
      </c>
      <c r="L32" s="608">
        <v>0</v>
      </c>
      <c r="M32" s="608">
        <v>0</v>
      </c>
      <c r="N32" s="608">
        <v>0</v>
      </c>
      <c r="O32" s="608">
        <f t="shared" ref="O32:O39" si="7">SUM(G32:N32)</f>
        <v>3122500</v>
      </c>
      <c r="P32" s="610" t="s">
        <v>10559</v>
      </c>
      <c r="Q32" s="684" t="s">
        <v>1262</v>
      </c>
      <c r="S32" s="682">
        <f t="shared" si="2"/>
        <v>3120000</v>
      </c>
      <c r="T32" s="682">
        <f>S32</f>
        <v>3120000</v>
      </c>
      <c r="U32" s="616"/>
      <c r="V32" s="616"/>
    </row>
    <row r="33" spans="1:22" s="602" customFormat="1" ht="15.6" x14ac:dyDescent="0.3">
      <c r="A33" s="625">
        <v>29</v>
      </c>
      <c r="B33" s="627">
        <v>45845</v>
      </c>
      <c r="C33" s="607" t="s">
        <v>10556</v>
      </c>
      <c r="D33" s="849" t="s">
        <v>10564</v>
      </c>
      <c r="E33" s="625">
        <v>4429530092</v>
      </c>
      <c r="F33" s="628">
        <v>10000</v>
      </c>
      <c r="G33" s="610">
        <v>2600000</v>
      </c>
      <c r="H33" s="608">
        <v>0</v>
      </c>
      <c r="I33" s="610">
        <f t="shared" si="4"/>
        <v>520000</v>
      </c>
      <c r="J33" s="608">
        <v>0</v>
      </c>
      <c r="K33" s="1198">
        <v>2500</v>
      </c>
      <c r="L33" s="608">
        <v>0</v>
      </c>
      <c r="M33" s="608">
        <v>0</v>
      </c>
      <c r="N33" s="608">
        <v>0</v>
      </c>
      <c r="O33" s="608">
        <f t="shared" si="7"/>
        <v>3122500</v>
      </c>
      <c r="P33" s="610" t="s">
        <v>10559</v>
      </c>
      <c r="Q33" s="684" t="s">
        <v>1262</v>
      </c>
      <c r="S33" s="682">
        <f t="shared" si="2"/>
        <v>3120000</v>
      </c>
      <c r="T33" s="682">
        <f t="shared" si="3"/>
        <v>6240000</v>
      </c>
      <c r="U33" s="616"/>
      <c r="V33" s="616"/>
    </row>
    <row r="34" spans="1:22" s="602" customFormat="1" ht="15.6" x14ac:dyDescent="0.3">
      <c r="A34" s="625">
        <v>30</v>
      </c>
      <c r="B34" s="627">
        <v>45852</v>
      </c>
      <c r="C34" s="607" t="s">
        <v>10556</v>
      </c>
      <c r="D34" s="849" t="s">
        <v>10560</v>
      </c>
      <c r="E34" s="625">
        <v>7190601569</v>
      </c>
      <c r="F34" s="628">
        <v>10000</v>
      </c>
      <c r="G34" s="610">
        <v>1400000</v>
      </c>
      <c r="H34" s="608">
        <v>0</v>
      </c>
      <c r="I34" s="610">
        <f t="shared" si="4"/>
        <v>280000</v>
      </c>
      <c r="J34" s="608">
        <v>0</v>
      </c>
      <c r="K34" s="1198">
        <v>2500</v>
      </c>
      <c r="L34" s="608">
        <v>0</v>
      </c>
      <c r="M34" s="608">
        <v>0</v>
      </c>
      <c r="N34" s="608">
        <v>0</v>
      </c>
      <c r="O34" s="608">
        <f t="shared" si="7"/>
        <v>1682500</v>
      </c>
      <c r="P34" s="610" t="s">
        <v>10561</v>
      </c>
      <c r="Q34" s="684" t="s">
        <v>1262</v>
      </c>
      <c r="S34" s="682">
        <f t="shared" si="2"/>
        <v>1680000</v>
      </c>
      <c r="T34" s="682">
        <f t="shared" si="3"/>
        <v>7920000</v>
      </c>
      <c r="U34" s="616">
        <f>'Summary-Royalty'!M18</f>
        <v>8816710.9681289475</v>
      </c>
      <c r="V34" s="616">
        <f t="shared" ref="V34:V36" si="8">T34-U34</f>
        <v>-896710.96812894754</v>
      </c>
    </row>
    <row r="35" spans="1:22" s="602" customFormat="1" ht="15.6" x14ac:dyDescent="0.3">
      <c r="A35" s="625">
        <v>31</v>
      </c>
      <c r="B35" s="627">
        <v>45873</v>
      </c>
      <c r="C35" s="607" t="s">
        <v>10556</v>
      </c>
      <c r="D35" s="849" t="s">
        <v>10558</v>
      </c>
      <c r="E35" s="625">
        <v>3158163759</v>
      </c>
      <c r="F35" s="628">
        <v>17000</v>
      </c>
      <c r="G35" s="610">
        <v>4420000</v>
      </c>
      <c r="H35" s="610">
        <v>0</v>
      </c>
      <c r="I35" s="610">
        <f t="shared" si="4"/>
        <v>884000</v>
      </c>
      <c r="J35" s="608">
        <v>0</v>
      </c>
      <c r="K35" s="1198">
        <v>2500</v>
      </c>
      <c r="L35" s="610">
        <v>0</v>
      </c>
      <c r="M35" s="610">
        <v>0</v>
      </c>
      <c r="N35" s="610">
        <v>0</v>
      </c>
      <c r="O35" s="610">
        <f t="shared" si="7"/>
        <v>5306500</v>
      </c>
      <c r="P35" s="610" t="s">
        <v>10559</v>
      </c>
      <c r="Q35" s="684" t="s">
        <v>1509</v>
      </c>
      <c r="S35" s="682">
        <f t="shared" si="2"/>
        <v>5304000</v>
      </c>
      <c r="T35" s="682">
        <f>S35</f>
        <v>5304000</v>
      </c>
      <c r="U35" s="616">
        <f>'Summary-Royalty'!M19</f>
        <v>5304000.168162182</v>
      </c>
      <c r="V35" s="616">
        <f t="shared" si="8"/>
        <v>-0.16816218197345734</v>
      </c>
    </row>
    <row r="36" spans="1:22" s="602" customFormat="1" ht="15.6" x14ac:dyDescent="0.3">
      <c r="A36" s="625">
        <v>32</v>
      </c>
      <c r="B36" s="627">
        <v>45918</v>
      </c>
      <c r="C36" s="607" t="s">
        <v>10556</v>
      </c>
      <c r="D36" s="849" t="s">
        <v>10555</v>
      </c>
      <c r="E36" s="625">
        <v>6158275376</v>
      </c>
      <c r="F36" s="628">
        <v>64726</v>
      </c>
      <c r="G36" s="610">
        <v>2912670</v>
      </c>
      <c r="H36" s="610">
        <v>0</v>
      </c>
      <c r="I36" s="610">
        <f t="shared" si="4"/>
        <v>582534</v>
      </c>
      <c r="J36" s="608">
        <v>0</v>
      </c>
      <c r="K36" s="1198">
        <v>2500</v>
      </c>
      <c r="L36" s="610">
        <v>0</v>
      </c>
      <c r="M36" s="610">
        <v>0</v>
      </c>
      <c r="N36" s="610">
        <v>0</v>
      </c>
      <c r="O36" s="610">
        <f t="shared" si="7"/>
        <v>3497704</v>
      </c>
      <c r="P36" s="610" t="s">
        <v>10557</v>
      </c>
      <c r="Q36" s="684" t="s">
        <v>940</v>
      </c>
      <c r="S36" s="682">
        <f t="shared" si="2"/>
        <v>3495204</v>
      </c>
      <c r="T36" s="682">
        <f>S36</f>
        <v>3495204</v>
      </c>
      <c r="U36" s="616">
        <f>'Summary-Royalty'!M20</f>
        <v>3495203.7479228992</v>
      </c>
      <c r="V36" s="616">
        <f t="shared" si="8"/>
        <v>0.25207710079848766</v>
      </c>
    </row>
    <row r="37" spans="1:22" s="602" customFormat="1" ht="15.6" x14ac:dyDescent="0.3">
      <c r="A37" s="625">
        <v>33</v>
      </c>
      <c r="B37" s="627">
        <v>45908</v>
      </c>
      <c r="C37" s="607" t="s">
        <v>10556</v>
      </c>
      <c r="D37" s="624" t="s">
        <v>10562</v>
      </c>
      <c r="E37" s="625"/>
      <c r="F37" s="628">
        <v>15000</v>
      </c>
      <c r="G37" s="610">
        <v>450000</v>
      </c>
      <c r="H37" s="610">
        <v>0</v>
      </c>
      <c r="I37" s="610">
        <f t="shared" si="4"/>
        <v>90000</v>
      </c>
      <c r="J37" s="608">
        <v>0</v>
      </c>
      <c r="K37" s="610">
        <v>0</v>
      </c>
      <c r="L37" s="1198">
        <v>22500</v>
      </c>
      <c r="M37" s="1198">
        <v>11475</v>
      </c>
      <c r="N37" s="1198">
        <v>88500</v>
      </c>
      <c r="O37" s="610">
        <f t="shared" si="7"/>
        <v>662475</v>
      </c>
      <c r="P37" s="610" t="s">
        <v>10563</v>
      </c>
      <c r="Q37" s="684" t="s">
        <v>1026</v>
      </c>
      <c r="R37" s="682"/>
      <c r="S37" s="682">
        <f t="shared" si="2"/>
        <v>540000</v>
      </c>
      <c r="T37" s="682">
        <f>S37</f>
        <v>540000</v>
      </c>
      <c r="U37" s="616"/>
      <c r="V37" s="616"/>
    </row>
    <row r="38" spans="1:22" s="602" customFormat="1" ht="15.6" x14ac:dyDescent="0.3">
      <c r="A38" s="625">
        <v>34</v>
      </c>
      <c r="B38" s="627">
        <v>45938</v>
      </c>
      <c r="C38" s="607" t="s">
        <v>10556</v>
      </c>
      <c r="D38" s="849" t="s">
        <v>10564</v>
      </c>
      <c r="E38" s="625">
        <v>4774200624</v>
      </c>
      <c r="F38" s="628">
        <v>20000</v>
      </c>
      <c r="G38" s="610">
        <v>5200000</v>
      </c>
      <c r="H38" s="610">
        <v>0</v>
      </c>
      <c r="I38" s="610">
        <f t="shared" si="4"/>
        <v>1040000</v>
      </c>
      <c r="J38" s="608">
        <v>0</v>
      </c>
      <c r="K38" s="1198">
        <v>2500</v>
      </c>
      <c r="L38" s="610">
        <v>0</v>
      </c>
      <c r="M38" s="610">
        <v>0</v>
      </c>
      <c r="N38" s="610">
        <v>0</v>
      </c>
      <c r="O38" s="610">
        <f t="shared" si="7"/>
        <v>6242500</v>
      </c>
      <c r="P38" s="610" t="s">
        <v>10559</v>
      </c>
      <c r="Q38" s="684" t="s">
        <v>1026</v>
      </c>
      <c r="S38" s="682">
        <f t="shared" si="2"/>
        <v>6240000</v>
      </c>
      <c r="T38" s="682">
        <f t="shared" si="3"/>
        <v>6780000</v>
      </c>
      <c r="U38" s="616"/>
      <c r="V38" s="616"/>
    </row>
    <row r="39" spans="1:22" s="602" customFormat="1" ht="15.6" x14ac:dyDescent="0.3">
      <c r="A39" s="625">
        <v>35</v>
      </c>
      <c r="B39" s="627">
        <v>45940</v>
      </c>
      <c r="C39" s="607" t="s">
        <v>10556</v>
      </c>
      <c r="D39" s="849" t="s">
        <v>10564</v>
      </c>
      <c r="E39" s="625">
        <v>4108867108</v>
      </c>
      <c r="F39" s="628">
        <v>10000</v>
      </c>
      <c r="G39" s="610">
        <v>2600000</v>
      </c>
      <c r="H39" s="610">
        <v>0</v>
      </c>
      <c r="I39" s="610">
        <f t="shared" si="4"/>
        <v>520000</v>
      </c>
      <c r="J39" s="608">
        <v>0</v>
      </c>
      <c r="K39" s="1198">
        <v>2500</v>
      </c>
      <c r="L39" s="610">
        <v>0</v>
      </c>
      <c r="M39" s="610">
        <v>0</v>
      </c>
      <c r="N39" s="610">
        <v>0</v>
      </c>
      <c r="O39" s="610">
        <f t="shared" si="7"/>
        <v>3122500</v>
      </c>
      <c r="P39" s="610" t="s">
        <v>10559</v>
      </c>
      <c r="Q39" s="684" t="s">
        <v>1026</v>
      </c>
      <c r="S39" s="682">
        <f t="shared" si="2"/>
        <v>3120000</v>
      </c>
      <c r="T39" s="682">
        <f t="shared" si="3"/>
        <v>9900000</v>
      </c>
      <c r="U39" s="616">
        <f>'Summary-Royalty'!M21</f>
        <v>9900000.3029245641</v>
      </c>
      <c r="V39" s="616">
        <f>T39-U39</f>
        <v>-0.30292456410825253</v>
      </c>
    </row>
    <row r="40" spans="1:22" s="602" customFormat="1" ht="15.6" x14ac:dyDescent="0.3">
      <c r="A40" s="625">
        <v>36</v>
      </c>
      <c r="B40" s="627">
        <v>45962</v>
      </c>
      <c r="C40" s="607" t="s">
        <v>10556</v>
      </c>
      <c r="D40" s="849" t="s">
        <v>10560</v>
      </c>
      <c r="E40" s="625">
        <v>8416519404</v>
      </c>
      <c r="F40" s="628">
        <v>24500</v>
      </c>
      <c r="G40" s="610">
        <v>3430000</v>
      </c>
      <c r="H40" s="610">
        <v>0</v>
      </c>
      <c r="I40" s="610">
        <f t="shared" si="4"/>
        <v>686000</v>
      </c>
      <c r="J40" s="608">
        <v>0</v>
      </c>
      <c r="K40" s="1198">
        <v>2500</v>
      </c>
      <c r="L40" s="610">
        <v>0</v>
      </c>
      <c r="M40" s="610">
        <v>0</v>
      </c>
      <c r="N40" s="610">
        <v>0</v>
      </c>
      <c r="O40" s="610">
        <f t="shared" ref="O40" si="9">SUM(G40:N40)</f>
        <v>4118500</v>
      </c>
      <c r="P40" s="610" t="s">
        <v>10561</v>
      </c>
      <c r="Q40" s="684" t="s">
        <v>1282</v>
      </c>
      <c r="S40" s="682">
        <f t="shared" si="2"/>
        <v>4116000</v>
      </c>
      <c r="T40" s="682">
        <f>S40</f>
        <v>4116000</v>
      </c>
      <c r="U40" s="616"/>
      <c r="V40" s="616"/>
    </row>
    <row r="41" spans="1:22" s="602" customFormat="1" ht="15.6" x14ac:dyDescent="0.3">
      <c r="A41" s="625">
        <v>37</v>
      </c>
      <c r="B41" s="627">
        <v>45982</v>
      </c>
      <c r="C41" s="607" t="s">
        <v>10556</v>
      </c>
      <c r="D41" s="849" t="s">
        <v>10564</v>
      </c>
      <c r="E41" s="625">
        <v>7944631444</v>
      </c>
      <c r="F41" s="628">
        <v>10000</v>
      </c>
      <c r="G41" s="610">
        <v>2600000</v>
      </c>
      <c r="H41" s="610">
        <v>0</v>
      </c>
      <c r="I41" s="610">
        <f t="shared" ref="I41:I42" si="10">ROUND(G41*10%,0)*2</f>
        <v>520000</v>
      </c>
      <c r="J41" s="608">
        <v>0</v>
      </c>
      <c r="K41" s="1198">
        <v>2500</v>
      </c>
      <c r="L41" s="610">
        <v>0</v>
      </c>
      <c r="M41" s="610">
        <v>0</v>
      </c>
      <c r="N41" s="610">
        <v>0</v>
      </c>
      <c r="O41" s="610">
        <f t="shared" ref="O41" si="11">SUM(G41:N41)</f>
        <v>3122500</v>
      </c>
      <c r="P41" s="610" t="s">
        <v>10559</v>
      </c>
      <c r="Q41" s="684" t="s">
        <v>1282</v>
      </c>
      <c r="S41" s="682">
        <f t="shared" si="2"/>
        <v>3120000</v>
      </c>
      <c r="T41" s="682">
        <f t="shared" si="3"/>
        <v>7236000</v>
      </c>
      <c r="U41" s="616">
        <f>'Summary-Royalty'!M22</f>
        <v>7236000.874792289</v>
      </c>
      <c r="V41" s="616">
        <f>T41-U41</f>
        <v>-0.87479228898882866</v>
      </c>
    </row>
    <row r="42" spans="1:22" s="602" customFormat="1" ht="15.6" x14ac:dyDescent="0.3">
      <c r="A42" s="625">
        <v>38</v>
      </c>
      <c r="B42" s="627">
        <v>46002</v>
      </c>
      <c r="C42" s="607" t="s">
        <v>10556</v>
      </c>
      <c r="D42" s="849" t="s">
        <v>10564</v>
      </c>
      <c r="E42" s="625">
        <v>1437774053</v>
      </c>
      <c r="F42" s="628">
        <v>19500</v>
      </c>
      <c r="G42" s="610">
        <v>5070000</v>
      </c>
      <c r="H42" s="610">
        <v>0</v>
      </c>
      <c r="I42" s="610">
        <f t="shared" si="10"/>
        <v>1014000</v>
      </c>
      <c r="J42" s="608">
        <v>0</v>
      </c>
      <c r="K42" s="1198">
        <v>2500</v>
      </c>
      <c r="L42" s="610">
        <v>0</v>
      </c>
      <c r="M42" s="610">
        <v>0</v>
      </c>
      <c r="N42" s="610">
        <v>0</v>
      </c>
      <c r="O42" s="610">
        <f t="shared" ref="O42" si="12">SUM(G42:N42)</f>
        <v>6086500</v>
      </c>
      <c r="P42" s="610" t="s">
        <v>10559</v>
      </c>
      <c r="Q42" s="684" t="s">
        <v>943</v>
      </c>
      <c r="S42" s="682">
        <f t="shared" si="2"/>
        <v>6084000</v>
      </c>
      <c r="T42" s="682">
        <f>S42</f>
        <v>6084000</v>
      </c>
      <c r="U42" s="616">
        <f>'Summary-Royalty'!M23</f>
        <v>6083999.7372050509</v>
      </c>
      <c r="V42" s="616">
        <f>T42-U42</f>
        <v>0.26279494911432266</v>
      </c>
    </row>
    <row r="43" spans="1:22" s="602" customFormat="1" ht="15.6" x14ac:dyDescent="0.3">
      <c r="A43" s="625">
        <v>39</v>
      </c>
      <c r="B43" s="627">
        <v>46050</v>
      </c>
      <c r="C43" s="607" t="s">
        <v>10556</v>
      </c>
      <c r="D43" s="849" t="s">
        <v>10560</v>
      </c>
      <c r="E43" s="625">
        <v>9996665839</v>
      </c>
      <c r="F43" s="628">
        <v>5000</v>
      </c>
      <c r="G43" s="628">
        <v>700000</v>
      </c>
      <c r="H43" s="628">
        <v>0</v>
      </c>
      <c r="I43" s="628">
        <f t="shared" ref="I43:I50" si="13">ROUND(G43*10%,0)*2</f>
        <v>140000</v>
      </c>
      <c r="J43" s="608">
        <v>0</v>
      </c>
      <c r="K43" s="1198">
        <v>2000</v>
      </c>
      <c r="L43" s="628">
        <v>0</v>
      </c>
      <c r="M43" s="628">
        <v>0</v>
      </c>
      <c r="N43" s="628">
        <v>0</v>
      </c>
      <c r="O43" s="628">
        <f t="shared" ref="O43:O49" si="14">SUM(G43:N43)</f>
        <v>842000</v>
      </c>
      <c r="P43" s="628" t="s">
        <v>10561</v>
      </c>
      <c r="Q43" s="684" t="s">
        <v>1315</v>
      </c>
      <c r="S43" s="682">
        <f t="shared" si="2"/>
        <v>840000</v>
      </c>
      <c r="T43" s="682">
        <f>S43</f>
        <v>840000</v>
      </c>
      <c r="U43" s="616"/>
      <c r="V43" s="616"/>
    </row>
    <row r="44" spans="1:22" s="602" customFormat="1" ht="15.6" x14ac:dyDescent="0.3">
      <c r="A44" s="625">
        <v>40</v>
      </c>
      <c r="B44" s="627">
        <v>46050</v>
      </c>
      <c r="C44" s="607" t="s">
        <v>10556</v>
      </c>
      <c r="D44" s="849" t="s">
        <v>10560</v>
      </c>
      <c r="E44" s="625">
        <v>3600846227</v>
      </c>
      <c r="F44" s="628">
        <v>5000</v>
      </c>
      <c r="G44" s="628">
        <v>700000</v>
      </c>
      <c r="H44" s="628">
        <v>0</v>
      </c>
      <c r="I44" s="628">
        <f t="shared" si="13"/>
        <v>140000</v>
      </c>
      <c r="J44" s="608">
        <v>0</v>
      </c>
      <c r="K44" s="628">
        <v>0</v>
      </c>
      <c r="L44" s="628">
        <v>0</v>
      </c>
      <c r="M44" s="628">
        <v>0</v>
      </c>
      <c r="N44" s="628">
        <v>0</v>
      </c>
      <c r="O44" s="628">
        <f t="shared" si="14"/>
        <v>840000</v>
      </c>
      <c r="P44" s="628" t="s">
        <v>10561</v>
      </c>
      <c r="Q44" s="684" t="s">
        <v>1315</v>
      </c>
      <c r="S44" s="682">
        <f t="shared" si="2"/>
        <v>840000</v>
      </c>
      <c r="T44" s="682">
        <f t="shared" si="3"/>
        <v>1680000</v>
      </c>
      <c r="U44" s="616"/>
      <c r="V44" s="616"/>
    </row>
    <row r="45" spans="1:22" s="602" customFormat="1" ht="15.6" x14ac:dyDescent="0.3">
      <c r="A45" s="625">
        <v>41</v>
      </c>
      <c r="B45" s="627">
        <v>46059</v>
      </c>
      <c r="C45" s="607" t="s">
        <v>10556</v>
      </c>
      <c r="D45" s="849" t="s">
        <v>10564</v>
      </c>
      <c r="E45" s="625">
        <v>7751373921</v>
      </c>
      <c r="F45" s="628">
        <v>10000</v>
      </c>
      <c r="G45" s="628">
        <v>1820000</v>
      </c>
      <c r="H45" s="628">
        <v>0</v>
      </c>
      <c r="I45" s="628">
        <f t="shared" si="13"/>
        <v>364000</v>
      </c>
      <c r="J45" s="608">
        <v>0</v>
      </c>
      <c r="K45" s="1198">
        <v>2500</v>
      </c>
      <c r="L45" s="628">
        <v>0</v>
      </c>
      <c r="M45" s="628">
        <v>0</v>
      </c>
      <c r="N45" s="628">
        <v>0</v>
      </c>
      <c r="O45" s="628">
        <f t="shared" si="14"/>
        <v>2186500</v>
      </c>
      <c r="P45" s="628" t="s">
        <v>10559</v>
      </c>
      <c r="Q45" s="684" t="s">
        <v>1315</v>
      </c>
      <c r="S45" s="682">
        <f t="shared" si="2"/>
        <v>2184000</v>
      </c>
      <c r="T45" s="682">
        <f t="shared" si="3"/>
        <v>3864000</v>
      </c>
      <c r="U45" s="616"/>
      <c r="V45" s="616"/>
    </row>
    <row r="46" spans="1:22" s="602" customFormat="1" ht="15.6" x14ac:dyDescent="0.3">
      <c r="A46" s="625">
        <v>42</v>
      </c>
      <c r="B46" s="627">
        <v>46071</v>
      </c>
      <c r="C46" s="607" t="s">
        <v>10556</v>
      </c>
      <c r="D46" s="849" t="s">
        <v>10565</v>
      </c>
      <c r="E46" s="625">
        <v>1991327083</v>
      </c>
      <c r="F46" s="628">
        <v>65243</v>
      </c>
      <c r="G46" s="628">
        <v>1957290</v>
      </c>
      <c r="H46" s="628">
        <v>0</v>
      </c>
      <c r="I46" s="628">
        <f t="shared" si="13"/>
        <v>391458</v>
      </c>
      <c r="J46" s="608">
        <v>0</v>
      </c>
      <c r="K46" s="1198">
        <v>2500</v>
      </c>
      <c r="L46" s="628">
        <v>0</v>
      </c>
      <c r="M46" s="628">
        <v>0</v>
      </c>
      <c r="N46" s="628">
        <v>0</v>
      </c>
      <c r="O46" s="628">
        <f t="shared" si="14"/>
        <v>2351248</v>
      </c>
      <c r="P46" s="628" t="s">
        <v>10563</v>
      </c>
      <c r="Q46" s="684" t="s">
        <v>1315</v>
      </c>
      <c r="S46" s="682">
        <f t="shared" si="2"/>
        <v>2348748</v>
      </c>
      <c r="T46" s="682">
        <f t="shared" si="3"/>
        <v>6212748</v>
      </c>
      <c r="U46" s="616"/>
      <c r="V46" s="616"/>
    </row>
    <row r="47" spans="1:22" s="602" customFormat="1" ht="15.6" x14ac:dyDescent="0.3">
      <c r="A47" s="625">
        <v>43</v>
      </c>
      <c r="B47" s="627">
        <v>46071</v>
      </c>
      <c r="C47" s="607" t="s">
        <v>10556</v>
      </c>
      <c r="D47" s="849" t="s">
        <v>10565</v>
      </c>
      <c r="E47" s="625">
        <v>2332831449</v>
      </c>
      <c r="F47" s="628">
        <v>65000</v>
      </c>
      <c r="G47" s="628">
        <v>1950000</v>
      </c>
      <c r="H47" s="628">
        <v>0</v>
      </c>
      <c r="I47" s="628">
        <f t="shared" si="13"/>
        <v>390000</v>
      </c>
      <c r="J47" s="608">
        <v>0</v>
      </c>
      <c r="K47" s="1198">
        <v>2500</v>
      </c>
      <c r="L47" s="628">
        <v>0</v>
      </c>
      <c r="M47" s="628">
        <v>0</v>
      </c>
      <c r="N47" s="628">
        <v>0</v>
      </c>
      <c r="O47" s="628">
        <f t="shared" si="14"/>
        <v>2342500</v>
      </c>
      <c r="P47" s="628" t="s">
        <v>10563</v>
      </c>
      <c r="Q47" s="684" t="s">
        <v>1315</v>
      </c>
      <c r="S47" s="682">
        <f t="shared" si="2"/>
        <v>2340000</v>
      </c>
      <c r="T47" s="682">
        <f t="shared" si="3"/>
        <v>8552748</v>
      </c>
      <c r="U47" s="616"/>
      <c r="V47" s="616"/>
    </row>
    <row r="48" spans="1:22" s="602" customFormat="1" ht="15.6" x14ac:dyDescent="0.3">
      <c r="A48" s="625">
        <v>44</v>
      </c>
      <c r="B48" s="627">
        <v>46078</v>
      </c>
      <c r="C48" s="607" t="s">
        <v>10556</v>
      </c>
      <c r="D48" s="849" t="s">
        <v>10564</v>
      </c>
      <c r="E48" s="625">
        <v>9168593023</v>
      </c>
      <c r="F48" s="628">
        <v>10000</v>
      </c>
      <c r="G48" s="628">
        <v>1820000</v>
      </c>
      <c r="H48" s="628">
        <v>0</v>
      </c>
      <c r="I48" s="628">
        <f t="shared" si="13"/>
        <v>364000</v>
      </c>
      <c r="J48" s="608">
        <v>0</v>
      </c>
      <c r="K48" s="1198">
        <v>2500</v>
      </c>
      <c r="L48" s="628">
        <v>0</v>
      </c>
      <c r="M48" s="628">
        <v>0</v>
      </c>
      <c r="N48" s="628">
        <v>0</v>
      </c>
      <c r="O48" s="628">
        <f t="shared" si="14"/>
        <v>2186500</v>
      </c>
      <c r="P48" s="628" t="s">
        <v>10561</v>
      </c>
      <c r="Q48" s="684" t="s">
        <v>1315</v>
      </c>
      <c r="S48" s="682">
        <f t="shared" si="2"/>
        <v>2184000</v>
      </c>
      <c r="T48" s="682">
        <f t="shared" si="3"/>
        <v>10736748</v>
      </c>
      <c r="U48" s="616"/>
      <c r="V48" s="616"/>
    </row>
    <row r="49" spans="1:22" s="602" customFormat="1" ht="15.6" x14ac:dyDescent="0.3">
      <c r="A49" s="625">
        <v>45</v>
      </c>
      <c r="B49" s="627">
        <v>46078</v>
      </c>
      <c r="C49" s="607" t="s">
        <v>10556</v>
      </c>
      <c r="D49" s="607" t="s">
        <v>10558</v>
      </c>
      <c r="E49" s="625">
        <v>3993683650</v>
      </c>
      <c r="F49" s="628">
        <v>20000</v>
      </c>
      <c r="G49" s="628">
        <v>5200000</v>
      </c>
      <c r="H49" s="628">
        <v>0</v>
      </c>
      <c r="I49" s="628">
        <f t="shared" si="13"/>
        <v>1040000</v>
      </c>
      <c r="J49" s="608">
        <v>0</v>
      </c>
      <c r="K49" s="1198">
        <v>2500</v>
      </c>
      <c r="L49" s="628">
        <v>0</v>
      </c>
      <c r="M49" s="628">
        <v>0</v>
      </c>
      <c r="N49" s="628">
        <v>0</v>
      </c>
      <c r="O49" s="628">
        <f t="shared" si="14"/>
        <v>6242500</v>
      </c>
      <c r="P49" s="628" t="s">
        <v>10559</v>
      </c>
      <c r="Q49" s="684" t="s">
        <v>1315</v>
      </c>
      <c r="S49" s="682">
        <f t="shared" si="2"/>
        <v>6240000</v>
      </c>
      <c r="T49" s="682">
        <f t="shared" si="3"/>
        <v>16976748</v>
      </c>
      <c r="U49" s="616">
        <f>'Summary-Royalty'!M25</f>
        <v>14066701.828680625</v>
      </c>
      <c r="V49" s="616">
        <f t="shared" ref="V49:V50" si="15">T49-U49</f>
        <v>2910046.1713193748</v>
      </c>
    </row>
    <row r="50" spans="1:22" s="602" customFormat="1" ht="15.6" x14ac:dyDescent="0.3">
      <c r="A50" s="625">
        <v>46</v>
      </c>
      <c r="B50" s="627">
        <v>46098</v>
      </c>
      <c r="C50" s="607" t="s">
        <v>10556</v>
      </c>
      <c r="D50" s="609" t="s">
        <v>10555</v>
      </c>
      <c r="E50" s="625">
        <v>9221276196</v>
      </c>
      <c r="F50" s="628">
        <v>45808</v>
      </c>
      <c r="G50" s="628">
        <v>1374240</v>
      </c>
      <c r="H50" s="628">
        <v>0</v>
      </c>
      <c r="I50" s="628">
        <f t="shared" si="13"/>
        <v>274848</v>
      </c>
      <c r="J50" s="608">
        <v>0</v>
      </c>
      <c r="K50" s="1198">
        <v>2500</v>
      </c>
      <c r="L50" s="628">
        <v>0</v>
      </c>
      <c r="M50" s="628">
        <v>0</v>
      </c>
      <c r="N50" s="628">
        <v>0</v>
      </c>
      <c r="O50" s="628">
        <f t="shared" ref="O50" si="16">SUM(G50:N50)</f>
        <v>1651588</v>
      </c>
      <c r="P50" s="628" t="s">
        <v>10557</v>
      </c>
      <c r="Q50" s="684" t="s">
        <v>946</v>
      </c>
      <c r="S50" s="682">
        <f t="shared" si="2"/>
        <v>1649088</v>
      </c>
      <c r="T50" s="682">
        <f>S50</f>
        <v>1649088</v>
      </c>
      <c r="U50" s="616">
        <f>'Summary-Royalty'!M26</f>
        <v>4560214.0482718516</v>
      </c>
      <c r="V50" s="616">
        <f t="shared" si="15"/>
        <v>-2911126.0482718516</v>
      </c>
    </row>
    <row r="51" spans="1:22" s="602" customFormat="1" ht="15.6" x14ac:dyDescent="0.3">
      <c r="A51" s="625">
        <v>47</v>
      </c>
      <c r="B51" s="627">
        <v>46148</v>
      </c>
      <c r="C51" s="607" t="s">
        <v>10556</v>
      </c>
      <c r="D51" s="849" t="s">
        <v>10564</v>
      </c>
      <c r="E51" s="625">
        <v>4819348618</v>
      </c>
      <c r="F51" s="628">
        <v>10000</v>
      </c>
      <c r="G51" s="628">
        <v>1820000</v>
      </c>
      <c r="H51" s="628">
        <v>0</v>
      </c>
      <c r="I51" s="628">
        <f t="shared" ref="I51:I58" si="17">ROUND(G51*10%,0)*2</f>
        <v>364000</v>
      </c>
      <c r="J51" s="608">
        <v>0</v>
      </c>
      <c r="K51" s="1198">
        <v>2500</v>
      </c>
      <c r="L51" s="628">
        <v>0</v>
      </c>
      <c r="M51" s="628">
        <v>0</v>
      </c>
      <c r="N51" s="628">
        <v>0</v>
      </c>
      <c r="O51" s="628">
        <f t="shared" ref="O51:O53" si="18">SUM(G51:N51)</f>
        <v>2186500</v>
      </c>
      <c r="P51" s="628" t="s">
        <v>10566</v>
      </c>
      <c r="Q51" s="684" t="s">
        <v>1579</v>
      </c>
      <c r="S51" s="682">
        <f t="shared" si="2"/>
        <v>2184000</v>
      </c>
      <c r="T51" s="682">
        <f t="shared" ref="T51:T54" si="19">S51</f>
        <v>2184000</v>
      </c>
      <c r="U51" s="616"/>
      <c r="V51" s="616"/>
    </row>
    <row r="52" spans="1:22" s="602" customFormat="1" ht="15.6" x14ac:dyDescent="0.3">
      <c r="A52" s="625">
        <v>48</v>
      </c>
      <c r="B52" s="627">
        <v>46148</v>
      </c>
      <c r="C52" s="607" t="s">
        <v>10556</v>
      </c>
      <c r="D52" s="849" t="s">
        <v>10564</v>
      </c>
      <c r="E52" s="625">
        <v>8779692876</v>
      </c>
      <c r="F52" s="628">
        <v>3000</v>
      </c>
      <c r="G52" s="628">
        <v>546000</v>
      </c>
      <c r="H52" s="628">
        <v>0</v>
      </c>
      <c r="I52" s="628">
        <f t="shared" si="17"/>
        <v>109200</v>
      </c>
      <c r="J52" s="608">
        <v>0</v>
      </c>
      <c r="K52" s="1198">
        <v>2000</v>
      </c>
      <c r="L52" s="628">
        <v>0</v>
      </c>
      <c r="M52" s="628">
        <v>0</v>
      </c>
      <c r="N52" s="628">
        <v>0</v>
      </c>
      <c r="O52" s="628">
        <f t="shared" si="18"/>
        <v>657200</v>
      </c>
      <c r="P52" s="628" t="s">
        <v>10566</v>
      </c>
      <c r="Q52" s="684" t="s">
        <v>1579</v>
      </c>
      <c r="S52" s="682">
        <f t="shared" si="2"/>
        <v>655200</v>
      </c>
      <c r="T52" s="682">
        <f>S52+T51</f>
        <v>2839200</v>
      </c>
      <c r="U52" s="616"/>
      <c r="V52" s="616"/>
    </row>
    <row r="53" spans="1:22" s="602" customFormat="1" ht="15.6" x14ac:dyDescent="0.3">
      <c r="A53" s="625">
        <v>49</v>
      </c>
      <c r="B53" s="627">
        <v>46160</v>
      </c>
      <c r="C53" s="607" t="s">
        <v>10556</v>
      </c>
      <c r="D53" s="849" t="s">
        <v>10567</v>
      </c>
      <c r="E53" s="625">
        <v>5722892266</v>
      </c>
      <c r="F53" s="628">
        <v>20000</v>
      </c>
      <c r="G53" s="628">
        <v>3640000</v>
      </c>
      <c r="H53" s="628">
        <v>0</v>
      </c>
      <c r="I53" s="628">
        <f t="shared" si="17"/>
        <v>728000</v>
      </c>
      <c r="J53" s="608">
        <f>G53*2%</f>
        <v>72800</v>
      </c>
      <c r="K53" s="1198">
        <v>2500</v>
      </c>
      <c r="L53" s="628">
        <v>0</v>
      </c>
      <c r="M53" s="628">
        <v>0</v>
      </c>
      <c r="N53" s="628">
        <v>0</v>
      </c>
      <c r="O53" s="628">
        <f t="shared" si="18"/>
        <v>4443300</v>
      </c>
      <c r="P53" s="628" t="s">
        <v>10566</v>
      </c>
      <c r="Q53" s="684" t="s">
        <v>1579</v>
      </c>
      <c r="S53" s="682">
        <f>G53+I53+J53</f>
        <v>4440800</v>
      </c>
      <c r="T53" s="682">
        <f>S53+T52</f>
        <v>7280000</v>
      </c>
      <c r="U53" s="616">
        <f>'Summary-Royalty'!M27</f>
        <v>7280000.7599700894</v>
      </c>
      <c r="V53" s="616">
        <f t="shared" ref="V53" si="20">T53-U53</f>
        <v>-0.75997008942067623</v>
      </c>
    </row>
    <row r="54" spans="1:22" s="602" customFormat="1" ht="15.6" x14ac:dyDescent="0.3">
      <c r="A54" s="625">
        <v>50</v>
      </c>
      <c r="B54" s="627">
        <v>46196</v>
      </c>
      <c r="C54" s="607" t="s">
        <v>10556</v>
      </c>
      <c r="D54" s="849" t="s">
        <v>10560</v>
      </c>
      <c r="E54" s="625">
        <v>5776005000</v>
      </c>
      <c r="F54" s="628">
        <v>5000</v>
      </c>
      <c r="G54" s="628">
        <v>700000</v>
      </c>
      <c r="H54" s="628">
        <v>0</v>
      </c>
      <c r="I54" s="628">
        <f t="shared" si="17"/>
        <v>140000</v>
      </c>
      <c r="J54" s="608">
        <f>G54*2%</f>
        <v>14000</v>
      </c>
      <c r="K54" s="1198">
        <v>2000</v>
      </c>
      <c r="L54" s="628">
        <v>0</v>
      </c>
      <c r="M54" s="628">
        <v>0</v>
      </c>
      <c r="N54" s="628">
        <v>0</v>
      </c>
      <c r="O54" s="628">
        <f t="shared" ref="O54" si="21">SUM(G54:N54)</f>
        <v>856000</v>
      </c>
      <c r="P54" s="628" t="s">
        <v>10566</v>
      </c>
      <c r="Q54" s="684" t="s">
        <v>949</v>
      </c>
      <c r="S54" s="682">
        <f>G54+I54+J54</f>
        <v>854000</v>
      </c>
      <c r="T54" s="682">
        <f t="shared" si="19"/>
        <v>854000</v>
      </c>
      <c r="U54" s="616"/>
      <c r="V54" s="616"/>
    </row>
    <row r="55" spans="1:22" s="602" customFormat="1" ht="15.6" x14ac:dyDescent="0.3">
      <c r="A55" s="625">
        <v>51</v>
      </c>
      <c r="B55" s="627">
        <v>46204</v>
      </c>
      <c r="C55" s="607" t="s">
        <v>10556</v>
      </c>
      <c r="D55" s="849" t="s">
        <v>10558</v>
      </c>
      <c r="E55" s="625">
        <v>9070305952</v>
      </c>
      <c r="F55" s="628">
        <v>10500</v>
      </c>
      <c r="G55" s="628">
        <v>2730000</v>
      </c>
      <c r="H55" s="628">
        <v>0</v>
      </c>
      <c r="I55" s="628">
        <f t="shared" si="17"/>
        <v>546000</v>
      </c>
      <c r="J55" s="608">
        <f t="shared" ref="J55:J58" si="22">G55*2%</f>
        <v>54600</v>
      </c>
      <c r="K55" s="1198">
        <v>2500</v>
      </c>
      <c r="L55" s="628">
        <f>SUM(G55:J55)*18%</f>
        <v>599508</v>
      </c>
      <c r="M55" s="628">
        <v>0</v>
      </c>
      <c r="N55" s="628">
        <v>0</v>
      </c>
      <c r="O55" s="628">
        <f t="shared" ref="O55:O57" si="23">SUM(G55:N55)</f>
        <v>3932608</v>
      </c>
      <c r="P55" s="628" t="s">
        <v>10559</v>
      </c>
      <c r="Q55" s="1307"/>
      <c r="S55" s="682"/>
      <c r="T55" s="682"/>
      <c r="U55" s="616"/>
      <c r="V55" s="616"/>
    </row>
    <row r="56" spans="1:22" s="602" customFormat="1" ht="15.6" x14ac:dyDescent="0.3">
      <c r="A56" s="625">
        <v>52</v>
      </c>
      <c r="B56" s="627">
        <v>46204</v>
      </c>
      <c r="C56" s="607" t="s">
        <v>10556</v>
      </c>
      <c r="D56" s="849" t="s">
        <v>10558</v>
      </c>
      <c r="E56" s="625">
        <v>5278883871</v>
      </c>
      <c r="F56" s="628">
        <v>3920</v>
      </c>
      <c r="G56" s="628">
        <v>1019200</v>
      </c>
      <c r="H56" s="628">
        <v>0</v>
      </c>
      <c r="I56" s="628">
        <f t="shared" si="17"/>
        <v>203840</v>
      </c>
      <c r="J56" s="608">
        <f t="shared" si="22"/>
        <v>20384</v>
      </c>
      <c r="K56" s="1198">
        <v>2500</v>
      </c>
      <c r="L56" s="628">
        <f t="shared" ref="L56:L58" si="24">SUM(G56:J56)*18%</f>
        <v>223816.31999999998</v>
      </c>
      <c r="M56" s="628">
        <v>0</v>
      </c>
      <c r="N56" s="628">
        <v>0</v>
      </c>
      <c r="O56" s="628">
        <f t="shared" si="23"/>
        <v>1469740.32</v>
      </c>
      <c r="P56" s="628" t="s">
        <v>10559</v>
      </c>
      <c r="Q56" s="1307"/>
      <c r="S56" s="682"/>
      <c r="T56" s="682"/>
      <c r="U56" s="616"/>
      <c r="V56" s="616"/>
    </row>
    <row r="57" spans="1:22" s="602" customFormat="1" ht="15.6" x14ac:dyDescent="0.3">
      <c r="A57" s="625">
        <v>53</v>
      </c>
      <c r="B57" s="627">
        <v>46204</v>
      </c>
      <c r="C57" s="607" t="s">
        <v>10556</v>
      </c>
      <c r="D57" s="849" t="s">
        <v>10558</v>
      </c>
      <c r="E57" s="625">
        <v>6000185414</v>
      </c>
      <c r="F57" s="628">
        <v>5000</v>
      </c>
      <c r="G57" s="628">
        <v>910000</v>
      </c>
      <c r="H57" s="628">
        <v>0</v>
      </c>
      <c r="I57" s="628">
        <f t="shared" si="17"/>
        <v>182000</v>
      </c>
      <c r="J57" s="608">
        <f t="shared" si="22"/>
        <v>18200</v>
      </c>
      <c r="K57" s="1198">
        <v>2000</v>
      </c>
      <c r="L57" s="628">
        <f t="shared" si="24"/>
        <v>199836</v>
      </c>
      <c r="M57" s="628">
        <v>0</v>
      </c>
      <c r="N57" s="628">
        <v>0</v>
      </c>
      <c r="O57" s="628">
        <f t="shared" si="23"/>
        <v>1312036</v>
      </c>
      <c r="P57" s="628" t="s">
        <v>10566</v>
      </c>
      <c r="Q57" s="1307"/>
      <c r="S57" s="682"/>
      <c r="T57" s="682"/>
      <c r="U57" s="616"/>
      <c r="V57" s="616"/>
    </row>
    <row r="58" spans="1:22" s="602" customFormat="1" ht="15.6" x14ac:dyDescent="0.3">
      <c r="A58" s="625">
        <v>54</v>
      </c>
      <c r="B58" s="627">
        <v>46220</v>
      </c>
      <c r="C58" s="607" t="s">
        <v>10556</v>
      </c>
      <c r="D58" s="849" t="s">
        <v>10560</v>
      </c>
      <c r="E58" s="625">
        <v>5102995962</v>
      </c>
      <c r="F58" s="628">
        <v>10000</v>
      </c>
      <c r="G58" s="628">
        <v>1400000</v>
      </c>
      <c r="H58" s="628">
        <v>0</v>
      </c>
      <c r="I58" s="628">
        <f t="shared" si="17"/>
        <v>280000</v>
      </c>
      <c r="J58" s="610">
        <f t="shared" si="22"/>
        <v>28000</v>
      </c>
      <c r="K58" s="1198">
        <v>2500</v>
      </c>
      <c r="L58" s="628">
        <f t="shared" si="24"/>
        <v>307440</v>
      </c>
      <c r="M58" s="628">
        <v>0</v>
      </c>
      <c r="N58" s="628">
        <v>0</v>
      </c>
      <c r="O58" s="628">
        <f t="shared" ref="O58" si="25">SUM(G58:N58)</f>
        <v>2017940</v>
      </c>
      <c r="P58" s="628" t="s">
        <v>10561</v>
      </c>
      <c r="Q58" s="1307"/>
      <c r="S58" s="682"/>
      <c r="T58" s="682"/>
      <c r="U58" s="616"/>
      <c r="V58" s="616"/>
    </row>
    <row r="59" spans="1:22" s="602" customFormat="1" ht="15.6" x14ac:dyDescent="0.3">
      <c r="A59" s="625"/>
      <c r="B59" s="609"/>
      <c r="C59" s="609"/>
      <c r="D59" s="609"/>
      <c r="E59" s="609"/>
      <c r="F59" s="610"/>
      <c r="G59" s="610"/>
      <c r="H59" s="610"/>
      <c r="I59" s="610"/>
      <c r="J59" s="610"/>
      <c r="K59" s="610"/>
      <c r="L59" s="610"/>
      <c r="M59" s="610"/>
      <c r="N59" s="610"/>
      <c r="O59" s="610"/>
      <c r="P59" s="610"/>
      <c r="Q59" s="610"/>
      <c r="U59" s="616"/>
      <c r="V59" s="616"/>
    </row>
    <row r="60" spans="1:22" s="602" customFormat="1" ht="15.6" x14ac:dyDescent="0.3">
      <c r="A60" s="612"/>
      <c r="B60" s="612"/>
      <c r="C60" s="613" t="s">
        <v>165</v>
      </c>
      <c r="D60" s="613"/>
      <c r="E60" s="613"/>
      <c r="F60" s="614"/>
      <c r="G60" s="614">
        <f t="shared" ref="G60:O60" si="26">SUM(G6:G59)</f>
        <v>112079400</v>
      </c>
      <c r="H60" s="614">
        <f t="shared" si="26"/>
        <v>0</v>
      </c>
      <c r="I60" s="614">
        <f t="shared" si="26"/>
        <v>22415882</v>
      </c>
      <c r="J60" s="614">
        <f t="shared" si="26"/>
        <v>207984</v>
      </c>
      <c r="K60" s="614">
        <f t="shared" si="26"/>
        <v>113000</v>
      </c>
      <c r="L60" s="614">
        <f t="shared" si="26"/>
        <v>1623100.32</v>
      </c>
      <c r="M60" s="614">
        <f t="shared" si="26"/>
        <v>149175</v>
      </c>
      <c r="N60" s="614">
        <f t="shared" si="26"/>
        <v>1150500</v>
      </c>
      <c r="O60" s="614">
        <f t="shared" si="26"/>
        <v>137739041.31999999</v>
      </c>
      <c r="P60" s="614"/>
      <c r="Q60" s="614"/>
      <c r="S60" s="616">
        <f>SUM(S6:S59)</f>
        <v>127311042</v>
      </c>
      <c r="U60" s="616">
        <f>SUM(U6:U59)</f>
        <v>126458121.65481888</v>
      </c>
      <c r="V60" s="616">
        <f>SUM(V6:V50)</f>
        <v>-1078.8948488100432</v>
      </c>
    </row>
    <row r="61" spans="1:22" s="602" customFormat="1" ht="15.6" x14ac:dyDescent="0.3">
      <c r="U61" s="616"/>
      <c r="V61" s="616"/>
    </row>
    <row r="62" spans="1:22" s="602" customFormat="1" ht="15.6" x14ac:dyDescent="0.3">
      <c r="D62" s="682"/>
      <c r="L62" s="1901" t="s">
        <v>10472</v>
      </c>
      <c r="M62" s="1901"/>
      <c r="N62" s="1901"/>
      <c r="O62" s="626">
        <f>O60</f>
        <v>137739041.31999999</v>
      </c>
      <c r="P62" s="682"/>
      <c r="Q62" s="682"/>
      <c r="U62" s="616">
        <f>S60-U60</f>
        <v>852920.34518112242</v>
      </c>
      <c r="V62" s="616"/>
    </row>
    <row r="63" spans="1:22" ht="15.6" x14ac:dyDescent="0.3">
      <c r="D63" s="682"/>
      <c r="G63" s="1007"/>
      <c r="L63" s="1901" t="s">
        <v>10568</v>
      </c>
      <c r="M63" s="1901"/>
      <c r="N63" s="1901"/>
      <c r="O63" s="626">
        <f>'Summary-Royalty'!M30</f>
        <v>127312122.49380192</v>
      </c>
    </row>
    <row r="64" spans="1:22" ht="15.6" x14ac:dyDescent="0.3">
      <c r="D64" s="1007"/>
      <c r="L64" s="1901" t="s">
        <v>10370</v>
      </c>
      <c r="M64" s="1901"/>
      <c r="N64" s="1901"/>
      <c r="O64" s="626">
        <f>O62-O63</f>
        <v>10426918.826198071</v>
      </c>
      <c r="P64" s="1007"/>
    </row>
    <row r="65" spans="7:18" x14ac:dyDescent="0.3">
      <c r="O65" s="1007"/>
      <c r="P65" s="1007"/>
    </row>
    <row r="66" spans="7:18" x14ac:dyDescent="0.3">
      <c r="O66" s="1007"/>
    </row>
    <row r="68" spans="7:18" x14ac:dyDescent="0.3">
      <c r="G68" s="1007">
        <f>G60+I60+J60</f>
        <v>134703266</v>
      </c>
      <c r="I68" s="1007"/>
      <c r="J68" s="1007"/>
      <c r="M68" s="1007"/>
    </row>
    <row r="69" spans="7:18" x14ac:dyDescent="0.3">
      <c r="G69" s="663"/>
      <c r="I69" s="663"/>
      <c r="J69" s="663"/>
      <c r="R69" s="1007"/>
    </row>
    <row r="70" spans="7:18" x14ac:dyDescent="0.3">
      <c r="G70" s="1007">
        <f>'Summary-Royalty'!M30</f>
        <v>127312122.49380192</v>
      </c>
      <c r="I70" s="1007"/>
      <c r="J70" s="1007"/>
    </row>
    <row r="71" spans="7:18" x14ac:dyDescent="0.3">
      <c r="G71" s="1007"/>
      <c r="I71" s="1007"/>
      <c r="J71" s="1007"/>
    </row>
    <row r="72" spans="7:18" x14ac:dyDescent="0.3">
      <c r="G72" s="1007">
        <f>G68-G70</f>
        <v>7391143.5061980784</v>
      </c>
    </row>
    <row r="73" spans="7:18" x14ac:dyDescent="0.3">
      <c r="G73" s="1007"/>
      <c r="I73" s="1007"/>
      <c r="J73" s="1007"/>
    </row>
  </sheetData>
  <autoFilter ref="A4:Q60" xr:uid="{1029A9B6-0407-4B32-81C7-DDB5E728AFDB}"/>
  <mergeCells count="12">
    <mergeCell ref="L64:N64"/>
    <mergeCell ref="F3:F4"/>
    <mergeCell ref="G3:O3"/>
    <mergeCell ref="P3:P4"/>
    <mergeCell ref="L62:N62"/>
    <mergeCell ref="L63:N63"/>
    <mergeCell ref="Q3:Q4"/>
    <mergeCell ref="A3:A4"/>
    <mergeCell ref="B3:B4"/>
    <mergeCell ref="C3:C4"/>
    <mergeCell ref="D3:D4"/>
    <mergeCell ref="E3:E4"/>
  </mergeCells>
  <phoneticPr fontId="23" type="noConversion"/>
  <conditionalFormatting sqref="E5:E58">
    <cfRule type="duplicateValues" dxfId="3" priority="1856"/>
  </conditionalFormatting>
  <conditionalFormatting sqref="E5:E59">
    <cfRule type="duplicateValues" dxfId="2" priority="1673"/>
  </conditionalFormatting>
  <printOptions horizontalCentered="1"/>
  <pageMargins left="0.31496062992125984" right="0.31496062992125984" top="0.35433070866141736" bottom="0.35433070866141736" header="0.31496062992125984" footer="0.31496062992125984"/>
  <pageSetup paperSize="9" scale="47" orientation="portrait" r:id="rId1"/>
  <ignoredErrors>
    <ignoredError sqref="G60:N60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B194-D3D4-4644-B9F9-BAB2842C21C0}">
  <sheetPr codeName="Sheet17">
    <pageSetUpPr fitToPage="1"/>
  </sheetPr>
  <dimension ref="A1:BA44"/>
  <sheetViews>
    <sheetView view="pageBreakPreview" zoomScale="6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23" sqref="G23"/>
    </sheetView>
  </sheetViews>
  <sheetFormatPr defaultRowHeight="14.4" x14ac:dyDescent="0.3"/>
  <cols>
    <col min="1" max="1" width="7.44140625" customWidth="1"/>
    <col min="2" max="2" width="44.44140625" customWidth="1"/>
    <col min="3" max="3" width="15.88671875" bestFit="1" customWidth="1"/>
    <col min="4" max="4" width="11.44140625" customWidth="1"/>
    <col min="5" max="53" width="5.5546875" customWidth="1"/>
  </cols>
  <sheetData>
    <row r="1" spans="1:53" ht="15.6" x14ac:dyDescent="0.3">
      <c r="A1" s="1902" t="s">
        <v>175</v>
      </c>
      <c r="B1" s="1904" t="s">
        <v>176</v>
      </c>
      <c r="C1" s="1906" t="s">
        <v>177</v>
      </c>
      <c r="D1" s="1908" t="s">
        <v>179</v>
      </c>
      <c r="E1" s="445" t="s">
        <v>10569</v>
      </c>
      <c r="F1" s="445"/>
      <c r="G1" s="445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7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7"/>
    </row>
    <row r="2" spans="1:53" ht="42.6" x14ac:dyDescent="0.3">
      <c r="A2" s="1903"/>
      <c r="B2" s="1905"/>
      <c r="C2" s="1907"/>
      <c r="D2" s="1909"/>
      <c r="E2" s="448">
        <v>45444</v>
      </c>
      <c r="F2" s="448">
        <v>45474</v>
      </c>
      <c r="G2" s="448">
        <v>45505</v>
      </c>
      <c r="H2" s="448">
        <v>45536</v>
      </c>
      <c r="I2" s="448">
        <v>45566</v>
      </c>
      <c r="J2" s="448">
        <v>45597</v>
      </c>
      <c r="K2" s="448">
        <v>45627</v>
      </c>
      <c r="L2" s="448">
        <v>45658</v>
      </c>
      <c r="M2" s="448">
        <v>45689</v>
      </c>
      <c r="N2" s="448">
        <v>45717</v>
      </c>
      <c r="O2" s="448">
        <v>45748</v>
      </c>
      <c r="P2" s="448">
        <v>45778</v>
      </c>
      <c r="Q2" s="448">
        <v>45809</v>
      </c>
      <c r="R2" s="448">
        <v>45839</v>
      </c>
      <c r="S2" s="448">
        <v>45870</v>
      </c>
      <c r="T2" s="448">
        <v>45901</v>
      </c>
      <c r="U2" s="448">
        <v>45931</v>
      </c>
      <c r="V2" s="448">
        <v>45962</v>
      </c>
      <c r="W2" s="448">
        <v>45992</v>
      </c>
      <c r="X2" s="448">
        <v>46023</v>
      </c>
      <c r="Y2" s="448">
        <v>46054</v>
      </c>
      <c r="Z2" s="448">
        <v>46082</v>
      </c>
      <c r="AA2" s="448">
        <v>46113</v>
      </c>
      <c r="AB2" s="448">
        <v>46143</v>
      </c>
      <c r="AC2" s="448">
        <v>46174</v>
      </c>
      <c r="AD2" s="448">
        <v>46204</v>
      </c>
      <c r="AE2" s="448">
        <v>46235</v>
      </c>
      <c r="AF2" s="448">
        <v>46266</v>
      </c>
      <c r="AG2" s="448">
        <v>46296</v>
      </c>
      <c r="AH2" s="448">
        <v>46327</v>
      </c>
      <c r="AI2" s="448">
        <v>46357</v>
      </c>
      <c r="AJ2" s="448">
        <v>46388</v>
      </c>
      <c r="AK2" s="448">
        <v>46419</v>
      </c>
      <c r="AL2" s="448">
        <v>46447</v>
      </c>
      <c r="AM2" s="448">
        <v>46478</v>
      </c>
      <c r="AN2" s="448">
        <v>46508</v>
      </c>
      <c r="AO2" s="448">
        <v>46539</v>
      </c>
      <c r="AP2" s="448">
        <v>46569</v>
      </c>
      <c r="AQ2" s="448">
        <v>46600</v>
      </c>
      <c r="AR2" s="448">
        <v>46631</v>
      </c>
      <c r="AS2" s="448">
        <v>46661</v>
      </c>
      <c r="AT2" s="448">
        <v>46692</v>
      </c>
      <c r="AU2" s="448">
        <v>46722</v>
      </c>
      <c r="AV2" s="448">
        <v>46753</v>
      </c>
      <c r="AW2" s="448">
        <v>46784</v>
      </c>
      <c r="AX2" s="448">
        <v>46813</v>
      </c>
      <c r="AY2" s="448">
        <v>46844</v>
      </c>
      <c r="AZ2" s="448">
        <v>46874</v>
      </c>
      <c r="BA2" s="448" t="s">
        <v>6047</v>
      </c>
    </row>
    <row r="3" spans="1:53" ht="15.6" x14ac:dyDescent="0.3">
      <c r="A3" s="449">
        <v>103</v>
      </c>
      <c r="B3" s="450" t="s">
        <v>220</v>
      </c>
      <c r="C3" s="451"/>
      <c r="D3" s="452"/>
      <c r="E3" s="453"/>
      <c r="F3" s="453"/>
      <c r="G3" s="453"/>
      <c r="H3" s="453"/>
      <c r="I3" s="453"/>
      <c r="J3" s="453"/>
      <c r="K3" s="453"/>
      <c r="L3" s="453"/>
      <c r="M3" s="453"/>
      <c r="N3" s="453"/>
      <c r="O3" s="453"/>
      <c r="P3" s="453"/>
      <c r="Q3" s="453"/>
      <c r="R3" s="453"/>
      <c r="S3" s="453"/>
      <c r="T3" s="453"/>
      <c r="U3" s="453"/>
      <c r="V3" s="453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  <c r="BA3" s="454"/>
    </row>
    <row r="4" spans="1:53" ht="15.6" x14ac:dyDescent="0.3">
      <c r="A4" s="455" t="s">
        <v>32</v>
      </c>
      <c r="B4" s="456" t="s">
        <v>221</v>
      </c>
      <c r="C4" s="45" t="s">
        <v>222</v>
      </c>
      <c r="D4" s="457">
        <f>48/3</f>
        <v>16</v>
      </c>
      <c r="E4" s="457"/>
      <c r="F4" s="457"/>
      <c r="G4" s="496">
        <v>1</v>
      </c>
      <c r="H4" s="457"/>
      <c r="I4" s="457"/>
      <c r="J4" s="457"/>
      <c r="K4" s="495">
        <v>1</v>
      </c>
      <c r="L4" s="457"/>
      <c r="M4" s="457"/>
      <c r="N4" s="495">
        <v>1</v>
      </c>
      <c r="O4" s="457"/>
      <c r="P4" s="457"/>
      <c r="Q4" s="457">
        <v>1</v>
      </c>
      <c r="R4" s="457"/>
      <c r="S4" s="457"/>
      <c r="T4" s="457">
        <v>1</v>
      </c>
      <c r="U4" s="457"/>
      <c r="V4" s="457"/>
      <c r="W4" s="457">
        <v>1</v>
      </c>
      <c r="X4" s="457"/>
      <c r="Y4" s="457"/>
      <c r="Z4" s="457">
        <v>1</v>
      </c>
      <c r="AA4" s="457"/>
      <c r="AB4" s="457"/>
      <c r="AC4" s="457">
        <v>1</v>
      </c>
      <c r="AD4" s="457"/>
      <c r="AE4" s="457"/>
      <c r="AF4" s="457">
        <v>1</v>
      </c>
      <c r="AG4" s="457"/>
      <c r="AH4" s="457"/>
      <c r="AI4" s="457">
        <v>1</v>
      </c>
      <c r="AJ4" s="457"/>
      <c r="AK4" s="457"/>
      <c r="AL4" s="457">
        <v>1</v>
      </c>
      <c r="AM4" s="457"/>
      <c r="AN4" s="457"/>
      <c r="AO4" s="457">
        <v>1</v>
      </c>
      <c r="AP4" s="457"/>
      <c r="AQ4" s="457"/>
      <c r="AR4" s="457">
        <v>1</v>
      </c>
      <c r="AS4" s="457"/>
      <c r="AT4" s="457"/>
      <c r="AU4" s="457">
        <v>1</v>
      </c>
      <c r="AV4" s="457"/>
      <c r="AW4" s="457"/>
      <c r="AX4" s="457">
        <v>1</v>
      </c>
      <c r="AY4" s="457"/>
      <c r="AZ4" s="457">
        <v>1</v>
      </c>
      <c r="BA4" s="457">
        <f>D4-SUM(E4:AZ4)</f>
        <v>0</v>
      </c>
    </row>
    <row r="5" spans="1:53" ht="15.6" x14ac:dyDescent="0.3">
      <c r="A5" s="278" t="s">
        <v>34</v>
      </c>
      <c r="B5" s="10" t="s">
        <v>223</v>
      </c>
      <c r="C5" s="11"/>
      <c r="D5" s="458"/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458"/>
      <c r="T5" s="458"/>
      <c r="U5" s="458"/>
      <c r="V5" s="458"/>
      <c r="W5" s="458"/>
      <c r="X5" s="458"/>
      <c r="Y5" s="458"/>
      <c r="Z5" s="458"/>
      <c r="AA5" s="458"/>
      <c r="AB5" s="458"/>
      <c r="AC5" s="458"/>
      <c r="AD5" s="458"/>
      <c r="AE5" s="458"/>
      <c r="AF5" s="458"/>
      <c r="AG5" s="458"/>
      <c r="AH5" s="458"/>
      <c r="AI5" s="458"/>
      <c r="AJ5" s="458"/>
      <c r="AK5" s="458"/>
      <c r="AL5" s="458"/>
      <c r="AM5" s="458"/>
      <c r="AN5" s="458"/>
      <c r="AO5" s="458"/>
      <c r="AP5" s="458"/>
      <c r="AQ5" s="458"/>
      <c r="AR5" s="458"/>
      <c r="AS5" s="458"/>
      <c r="AT5" s="458"/>
      <c r="AU5" s="458"/>
      <c r="AV5" s="458"/>
      <c r="AW5" s="458"/>
      <c r="AX5" s="458"/>
      <c r="AY5" s="458"/>
      <c r="AZ5" s="458"/>
      <c r="BA5" s="457"/>
    </row>
    <row r="6" spans="1:53" ht="15.6" x14ac:dyDescent="0.3">
      <c r="A6" s="19" t="s">
        <v>90</v>
      </c>
      <c r="B6" s="9" t="s">
        <v>224</v>
      </c>
      <c r="C6" s="11" t="s">
        <v>10570</v>
      </c>
      <c r="D6" s="458">
        <f>6*48/3</f>
        <v>96</v>
      </c>
      <c r="E6" s="458"/>
      <c r="F6" s="458"/>
      <c r="G6" s="495">
        <v>6</v>
      </c>
      <c r="H6" s="458"/>
      <c r="I6" s="458"/>
      <c r="J6" s="458"/>
      <c r="K6" s="495">
        <v>6</v>
      </c>
      <c r="L6" s="458"/>
      <c r="M6" s="458"/>
      <c r="N6" s="495">
        <v>6</v>
      </c>
      <c r="O6" s="458"/>
      <c r="P6" s="458"/>
      <c r="Q6" s="458">
        <v>6</v>
      </c>
      <c r="R6" s="458"/>
      <c r="S6" s="458"/>
      <c r="T6" s="458">
        <v>6</v>
      </c>
      <c r="U6" s="458"/>
      <c r="V6" s="458"/>
      <c r="W6" s="458">
        <v>6</v>
      </c>
      <c r="X6" s="458"/>
      <c r="Y6" s="458"/>
      <c r="Z6" s="458">
        <v>6</v>
      </c>
      <c r="AA6" s="458"/>
      <c r="AB6" s="458"/>
      <c r="AC6" s="458">
        <v>6</v>
      </c>
      <c r="AD6" s="458"/>
      <c r="AE6" s="458"/>
      <c r="AF6" s="458">
        <v>6</v>
      </c>
      <c r="AG6" s="458"/>
      <c r="AH6" s="458"/>
      <c r="AI6" s="458">
        <v>6</v>
      </c>
      <c r="AJ6" s="458"/>
      <c r="AK6" s="458"/>
      <c r="AL6" s="458">
        <v>6</v>
      </c>
      <c r="AM6" s="458"/>
      <c r="AN6" s="458"/>
      <c r="AO6" s="458">
        <v>6</v>
      </c>
      <c r="AP6" s="458"/>
      <c r="AQ6" s="458"/>
      <c r="AR6" s="458">
        <v>6</v>
      </c>
      <c r="AS6" s="458"/>
      <c r="AT6" s="458"/>
      <c r="AU6" s="458">
        <v>6</v>
      </c>
      <c r="AV6" s="458"/>
      <c r="AW6" s="458"/>
      <c r="AX6" s="458">
        <v>6</v>
      </c>
      <c r="AY6" s="458"/>
      <c r="AZ6" s="458">
        <v>6</v>
      </c>
      <c r="BA6" s="457">
        <f t="shared" ref="BA6:BA41" si="0">D6-SUM(E6:AZ6)</f>
        <v>0</v>
      </c>
    </row>
    <row r="7" spans="1:53" ht="15.6" x14ac:dyDescent="0.3">
      <c r="A7" s="19" t="s">
        <v>197</v>
      </c>
      <c r="B7" s="9" t="s">
        <v>226</v>
      </c>
      <c r="C7" s="11" t="s">
        <v>10570</v>
      </c>
      <c r="D7" s="458">
        <f>2*48/3</f>
        <v>32</v>
      </c>
      <c r="E7" s="458"/>
      <c r="F7" s="458"/>
      <c r="G7" s="458"/>
      <c r="H7" s="458"/>
      <c r="I7" s="495">
        <v>2</v>
      </c>
      <c r="J7" s="458"/>
      <c r="K7" s="495">
        <v>2</v>
      </c>
      <c r="L7" s="458"/>
      <c r="M7" s="458"/>
      <c r="N7" s="495">
        <v>2</v>
      </c>
      <c r="O7" s="458"/>
      <c r="P7" s="458"/>
      <c r="Q7" s="458">
        <v>2</v>
      </c>
      <c r="R7" s="458"/>
      <c r="S7" s="458"/>
      <c r="T7" s="458">
        <v>2</v>
      </c>
      <c r="U7" s="458"/>
      <c r="V7" s="458"/>
      <c r="W7" s="458">
        <v>2</v>
      </c>
      <c r="X7" s="458"/>
      <c r="Y7" s="458"/>
      <c r="Z7" s="458">
        <v>2</v>
      </c>
      <c r="AA7" s="458"/>
      <c r="AB7" s="458"/>
      <c r="AC7" s="458">
        <v>2</v>
      </c>
      <c r="AD7" s="458"/>
      <c r="AE7" s="458"/>
      <c r="AF7" s="458">
        <v>2</v>
      </c>
      <c r="AG7" s="458"/>
      <c r="AH7" s="458"/>
      <c r="AI7" s="458">
        <v>2</v>
      </c>
      <c r="AJ7" s="458"/>
      <c r="AK7" s="458"/>
      <c r="AL7" s="458">
        <v>2</v>
      </c>
      <c r="AM7" s="458"/>
      <c r="AN7" s="458"/>
      <c r="AO7" s="458">
        <v>2</v>
      </c>
      <c r="AP7" s="458"/>
      <c r="AQ7" s="458"/>
      <c r="AR7" s="458">
        <v>2</v>
      </c>
      <c r="AS7" s="458"/>
      <c r="AT7" s="458"/>
      <c r="AU7" s="458">
        <v>2</v>
      </c>
      <c r="AV7" s="458"/>
      <c r="AW7" s="458"/>
      <c r="AX7" s="458">
        <v>2</v>
      </c>
      <c r="AY7" s="458"/>
      <c r="AZ7" s="458">
        <v>2</v>
      </c>
      <c r="BA7" s="457">
        <f t="shared" si="0"/>
        <v>0</v>
      </c>
    </row>
    <row r="8" spans="1:53" ht="15.6" x14ac:dyDescent="0.3">
      <c r="A8" s="19" t="s">
        <v>208</v>
      </c>
      <c r="B8" s="9" t="s">
        <v>227</v>
      </c>
      <c r="C8" s="11" t="s">
        <v>10570</v>
      </c>
      <c r="D8" s="458">
        <f>1*48/3</f>
        <v>16</v>
      </c>
      <c r="E8" s="458"/>
      <c r="F8" s="458"/>
      <c r="G8" s="457"/>
      <c r="H8" s="457"/>
      <c r="I8" s="495">
        <v>1</v>
      </c>
      <c r="J8" s="457"/>
      <c r="K8" s="495">
        <v>1</v>
      </c>
      <c r="L8" s="457"/>
      <c r="M8" s="457"/>
      <c r="N8" s="495">
        <v>1</v>
      </c>
      <c r="O8" s="457"/>
      <c r="P8" s="457"/>
      <c r="Q8" s="457">
        <v>1</v>
      </c>
      <c r="R8" s="457"/>
      <c r="S8" s="457"/>
      <c r="T8" s="457">
        <v>1</v>
      </c>
      <c r="U8" s="457"/>
      <c r="V8" s="457"/>
      <c r="W8" s="457">
        <v>1</v>
      </c>
      <c r="X8" s="457"/>
      <c r="Y8" s="457"/>
      <c r="Z8" s="457">
        <v>1</v>
      </c>
      <c r="AA8" s="457"/>
      <c r="AB8" s="457"/>
      <c r="AC8" s="457">
        <v>1</v>
      </c>
      <c r="AD8" s="457"/>
      <c r="AE8" s="457"/>
      <c r="AF8" s="457">
        <v>1</v>
      </c>
      <c r="AG8" s="457"/>
      <c r="AH8" s="457"/>
      <c r="AI8" s="457">
        <v>1</v>
      </c>
      <c r="AJ8" s="457"/>
      <c r="AK8" s="457"/>
      <c r="AL8" s="457">
        <v>1</v>
      </c>
      <c r="AM8" s="457"/>
      <c r="AN8" s="457"/>
      <c r="AO8" s="457">
        <v>1</v>
      </c>
      <c r="AP8" s="457"/>
      <c r="AQ8" s="457"/>
      <c r="AR8" s="457">
        <v>1</v>
      </c>
      <c r="AS8" s="457"/>
      <c r="AT8" s="457"/>
      <c r="AU8" s="457">
        <v>1</v>
      </c>
      <c r="AV8" s="457"/>
      <c r="AW8" s="457"/>
      <c r="AX8" s="457">
        <v>1</v>
      </c>
      <c r="AY8" s="457"/>
      <c r="AZ8" s="457">
        <v>1</v>
      </c>
      <c r="BA8" s="457">
        <f t="shared" si="0"/>
        <v>0</v>
      </c>
    </row>
    <row r="9" spans="1:53" ht="15.6" x14ac:dyDescent="0.3">
      <c r="A9" s="278" t="s">
        <v>37</v>
      </c>
      <c r="B9" s="10" t="s">
        <v>228</v>
      </c>
      <c r="C9" s="11" t="s">
        <v>222</v>
      </c>
      <c r="D9" s="458">
        <f>48/3</f>
        <v>16</v>
      </c>
      <c r="E9" s="458"/>
      <c r="F9" s="458"/>
      <c r="G9" s="496">
        <v>1</v>
      </c>
      <c r="H9" s="457"/>
      <c r="I9" s="457"/>
      <c r="J9" s="457"/>
      <c r="K9" s="495">
        <v>1</v>
      </c>
      <c r="L9" s="457"/>
      <c r="M9" s="457"/>
      <c r="N9" s="495">
        <v>1</v>
      </c>
      <c r="O9" s="457"/>
      <c r="P9" s="457"/>
      <c r="Q9" s="457">
        <v>1</v>
      </c>
      <c r="R9" s="457"/>
      <c r="S9" s="457"/>
      <c r="T9" s="457">
        <v>1</v>
      </c>
      <c r="U9" s="457"/>
      <c r="V9" s="457"/>
      <c r="W9" s="457">
        <v>1</v>
      </c>
      <c r="X9" s="457"/>
      <c r="Y9" s="457"/>
      <c r="Z9" s="457">
        <v>1</v>
      </c>
      <c r="AA9" s="457"/>
      <c r="AB9" s="457"/>
      <c r="AC9" s="457">
        <v>1</v>
      </c>
      <c r="AD9" s="457"/>
      <c r="AE9" s="457"/>
      <c r="AF9" s="457">
        <v>1</v>
      </c>
      <c r="AG9" s="457"/>
      <c r="AH9" s="457"/>
      <c r="AI9" s="457">
        <v>1</v>
      </c>
      <c r="AJ9" s="457"/>
      <c r="AK9" s="457"/>
      <c r="AL9" s="457">
        <v>1</v>
      </c>
      <c r="AM9" s="457"/>
      <c r="AN9" s="457"/>
      <c r="AO9" s="457">
        <v>1</v>
      </c>
      <c r="AP9" s="457"/>
      <c r="AQ9" s="457"/>
      <c r="AR9" s="457">
        <v>1</v>
      </c>
      <c r="AS9" s="457"/>
      <c r="AT9" s="457"/>
      <c r="AU9" s="457">
        <v>1</v>
      </c>
      <c r="AV9" s="457"/>
      <c r="AW9" s="457"/>
      <c r="AX9" s="457">
        <v>1</v>
      </c>
      <c r="AY9" s="457"/>
      <c r="AZ9" s="457">
        <v>1</v>
      </c>
      <c r="BA9" s="457">
        <f t="shared" si="0"/>
        <v>0</v>
      </c>
    </row>
    <row r="10" spans="1:53" ht="15.6" x14ac:dyDescent="0.3">
      <c r="A10" s="278" t="s">
        <v>39</v>
      </c>
      <c r="B10" s="10" t="s">
        <v>229</v>
      </c>
      <c r="C10" s="11" t="s">
        <v>222</v>
      </c>
      <c r="D10" s="458">
        <f>48/3</f>
        <v>16</v>
      </c>
      <c r="E10" s="458"/>
      <c r="F10" s="458"/>
      <c r="G10" s="496">
        <v>1</v>
      </c>
      <c r="H10" s="457"/>
      <c r="I10" s="457"/>
      <c r="J10" s="457"/>
      <c r="K10" s="495">
        <v>1</v>
      </c>
      <c r="L10" s="457"/>
      <c r="M10" s="457"/>
      <c r="N10" s="495">
        <v>1</v>
      </c>
      <c r="O10" s="457"/>
      <c r="P10" s="457"/>
      <c r="Q10" s="457">
        <v>1</v>
      </c>
      <c r="R10" s="457"/>
      <c r="S10" s="457"/>
      <c r="T10" s="457">
        <v>1</v>
      </c>
      <c r="U10" s="457"/>
      <c r="V10" s="457"/>
      <c r="W10" s="457">
        <v>1</v>
      </c>
      <c r="X10" s="457"/>
      <c r="Y10" s="457"/>
      <c r="Z10" s="457">
        <v>1</v>
      </c>
      <c r="AA10" s="457"/>
      <c r="AB10" s="457"/>
      <c r="AC10" s="457">
        <v>1</v>
      </c>
      <c r="AD10" s="457"/>
      <c r="AE10" s="457"/>
      <c r="AF10" s="457">
        <v>1</v>
      </c>
      <c r="AG10" s="457"/>
      <c r="AH10" s="457"/>
      <c r="AI10" s="457">
        <v>1</v>
      </c>
      <c r="AJ10" s="457"/>
      <c r="AK10" s="457"/>
      <c r="AL10" s="457">
        <v>1</v>
      </c>
      <c r="AM10" s="457"/>
      <c r="AN10" s="457"/>
      <c r="AO10" s="457">
        <v>1</v>
      </c>
      <c r="AP10" s="457"/>
      <c r="AQ10" s="457"/>
      <c r="AR10" s="457">
        <v>1</v>
      </c>
      <c r="AS10" s="457"/>
      <c r="AT10" s="457"/>
      <c r="AU10" s="457">
        <v>1</v>
      </c>
      <c r="AV10" s="457"/>
      <c r="AW10" s="457"/>
      <c r="AX10" s="457">
        <v>1</v>
      </c>
      <c r="AY10" s="457"/>
      <c r="AZ10" s="457">
        <v>1</v>
      </c>
      <c r="BA10" s="457">
        <f t="shared" si="0"/>
        <v>0</v>
      </c>
    </row>
    <row r="11" spans="1:53" ht="15.6" x14ac:dyDescent="0.3">
      <c r="A11" s="459" t="s">
        <v>41</v>
      </c>
      <c r="B11" s="52" t="s">
        <v>215</v>
      </c>
      <c r="C11" s="50" t="s">
        <v>222</v>
      </c>
      <c r="D11" s="460">
        <f>48/3</f>
        <v>16</v>
      </c>
      <c r="E11" s="460"/>
      <c r="F11" s="460"/>
      <c r="G11" s="497">
        <v>1</v>
      </c>
      <c r="H11" s="461"/>
      <c r="I11" s="461"/>
      <c r="J11" s="461"/>
      <c r="K11" s="495">
        <v>1</v>
      </c>
      <c r="L11" s="461"/>
      <c r="M11" s="461"/>
      <c r="N11" s="495">
        <v>1</v>
      </c>
      <c r="O11" s="461"/>
      <c r="P11" s="461"/>
      <c r="Q11" s="461">
        <v>1</v>
      </c>
      <c r="R11" s="461"/>
      <c r="S11" s="461"/>
      <c r="T11" s="461">
        <v>1</v>
      </c>
      <c r="U11" s="461"/>
      <c r="V11" s="461"/>
      <c r="W11" s="461">
        <v>1</v>
      </c>
      <c r="X11" s="461"/>
      <c r="Y11" s="461"/>
      <c r="Z11" s="461">
        <v>1</v>
      </c>
      <c r="AA11" s="461"/>
      <c r="AB11" s="461"/>
      <c r="AC11" s="461">
        <v>1</v>
      </c>
      <c r="AD11" s="461"/>
      <c r="AE11" s="461"/>
      <c r="AF11" s="461">
        <v>1</v>
      </c>
      <c r="AG11" s="461"/>
      <c r="AH11" s="461"/>
      <c r="AI11" s="461">
        <v>1</v>
      </c>
      <c r="AJ11" s="461"/>
      <c r="AK11" s="461"/>
      <c r="AL11" s="461">
        <v>1</v>
      </c>
      <c r="AM11" s="461"/>
      <c r="AN11" s="461"/>
      <c r="AO11" s="461">
        <v>1</v>
      </c>
      <c r="AP11" s="461"/>
      <c r="AQ11" s="461"/>
      <c r="AR11" s="461">
        <v>1</v>
      </c>
      <c r="AS11" s="461"/>
      <c r="AT11" s="461"/>
      <c r="AU11" s="461">
        <v>1</v>
      </c>
      <c r="AV11" s="461"/>
      <c r="AW11" s="461"/>
      <c r="AX11" s="461">
        <v>1</v>
      </c>
      <c r="AY11" s="461"/>
      <c r="AZ11" s="461">
        <v>1</v>
      </c>
      <c r="BA11" s="461">
        <f t="shared" si="0"/>
        <v>0</v>
      </c>
    </row>
    <row r="12" spans="1:53" ht="15.6" x14ac:dyDescent="0.3">
      <c r="A12" s="449">
        <v>104</v>
      </c>
      <c r="B12" s="450" t="s">
        <v>230</v>
      </c>
      <c r="C12" s="451"/>
      <c r="D12" s="462"/>
      <c r="E12" s="453"/>
      <c r="F12" s="453"/>
      <c r="G12" s="453"/>
      <c r="H12" s="453"/>
      <c r="I12" s="453"/>
      <c r="J12" s="453"/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3"/>
      <c r="V12" s="453"/>
      <c r="W12" s="453"/>
      <c r="X12" s="453"/>
      <c r="Y12" s="453"/>
      <c r="Z12" s="453"/>
      <c r="AA12" s="453"/>
      <c r="AB12" s="453"/>
      <c r="AC12" s="453"/>
      <c r="AD12" s="453"/>
      <c r="AE12" s="453"/>
      <c r="AF12" s="453"/>
      <c r="AG12" s="453"/>
      <c r="AH12" s="453"/>
      <c r="AI12" s="453"/>
      <c r="AJ12" s="453"/>
      <c r="AK12" s="453"/>
      <c r="AL12" s="453"/>
      <c r="AM12" s="453"/>
      <c r="AN12" s="453"/>
      <c r="AO12" s="453"/>
      <c r="AP12" s="453"/>
      <c r="AQ12" s="453"/>
      <c r="AR12" s="453"/>
      <c r="AS12" s="453"/>
      <c r="AT12" s="453"/>
      <c r="AU12" s="453"/>
      <c r="AV12" s="453"/>
      <c r="AW12" s="453"/>
      <c r="AX12" s="453"/>
      <c r="AY12" s="453"/>
      <c r="AZ12" s="453"/>
      <c r="BA12" s="454"/>
    </row>
    <row r="13" spans="1:53" ht="15.6" x14ac:dyDescent="0.3">
      <c r="A13" s="455" t="s">
        <v>32</v>
      </c>
      <c r="B13" s="463" t="s">
        <v>1024</v>
      </c>
      <c r="C13" s="45" t="s">
        <v>232</v>
      </c>
      <c r="D13" s="464">
        <f>48/6</f>
        <v>8</v>
      </c>
      <c r="E13" s="458"/>
      <c r="F13" s="458"/>
      <c r="G13" s="458"/>
      <c r="H13" s="458"/>
      <c r="I13" s="458"/>
      <c r="J13" s="458"/>
      <c r="K13" s="458">
        <v>1</v>
      </c>
      <c r="L13" s="458"/>
      <c r="M13" s="458"/>
      <c r="N13" s="458"/>
      <c r="O13" s="458"/>
      <c r="P13" s="458"/>
      <c r="Q13" s="458">
        <v>1</v>
      </c>
      <c r="R13" s="458"/>
      <c r="S13" s="458"/>
      <c r="T13" s="458"/>
      <c r="U13" s="458"/>
      <c r="V13" s="458"/>
      <c r="W13" s="458">
        <v>1</v>
      </c>
      <c r="X13" s="458"/>
      <c r="Y13" s="458"/>
      <c r="Z13" s="458"/>
      <c r="AA13" s="458"/>
      <c r="AB13" s="458"/>
      <c r="AC13" s="458">
        <v>1</v>
      </c>
      <c r="AD13" s="458"/>
      <c r="AE13" s="458"/>
      <c r="AF13" s="458"/>
      <c r="AG13" s="458"/>
      <c r="AH13" s="458"/>
      <c r="AI13" s="458">
        <v>1</v>
      </c>
      <c r="AJ13" s="458"/>
      <c r="AK13" s="458"/>
      <c r="AL13" s="458"/>
      <c r="AM13" s="458"/>
      <c r="AN13" s="458"/>
      <c r="AO13" s="458">
        <v>1</v>
      </c>
      <c r="AP13" s="458"/>
      <c r="AQ13" s="458"/>
      <c r="AR13" s="458"/>
      <c r="AS13" s="458"/>
      <c r="AT13" s="458"/>
      <c r="AU13" s="458">
        <v>1</v>
      </c>
      <c r="AV13" s="458"/>
      <c r="AW13" s="458"/>
      <c r="AX13" s="458"/>
      <c r="AY13" s="458"/>
      <c r="AZ13" s="458">
        <v>1</v>
      </c>
      <c r="BA13" s="457">
        <f t="shared" si="0"/>
        <v>0</v>
      </c>
    </row>
    <row r="14" spans="1:53" ht="15.6" x14ac:dyDescent="0.3">
      <c r="A14" s="278" t="s">
        <v>34</v>
      </c>
      <c r="B14" s="465" t="s">
        <v>10571</v>
      </c>
      <c r="C14" s="11"/>
      <c r="D14" s="466"/>
      <c r="E14" s="458"/>
      <c r="F14" s="458"/>
      <c r="G14" s="458"/>
      <c r="H14" s="458"/>
      <c r="I14" s="458"/>
      <c r="J14" s="458"/>
      <c r="K14" s="458"/>
      <c r="L14" s="458"/>
      <c r="M14" s="458"/>
      <c r="N14" s="458"/>
      <c r="O14" s="458"/>
      <c r="P14" s="458"/>
      <c r="Q14" s="458"/>
      <c r="R14" s="458"/>
      <c r="S14" s="458"/>
      <c r="T14" s="458"/>
      <c r="U14" s="458"/>
      <c r="V14" s="458"/>
      <c r="W14" s="458"/>
      <c r="X14" s="458"/>
      <c r="Y14" s="458"/>
      <c r="Z14" s="458"/>
      <c r="AA14" s="458"/>
      <c r="AB14" s="458"/>
      <c r="AC14" s="458"/>
      <c r="AD14" s="458"/>
      <c r="AE14" s="458"/>
      <c r="AF14" s="458"/>
      <c r="AG14" s="458"/>
      <c r="AH14" s="458"/>
      <c r="AI14" s="458"/>
      <c r="AJ14" s="458"/>
      <c r="AK14" s="458"/>
      <c r="AL14" s="458"/>
      <c r="AM14" s="458"/>
      <c r="AN14" s="458"/>
      <c r="AO14" s="458"/>
      <c r="AP14" s="458"/>
      <c r="AQ14" s="458"/>
      <c r="AR14" s="458"/>
      <c r="AS14" s="458"/>
      <c r="AT14" s="458"/>
      <c r="AU14" s="458"/>
      <c r="AV14" s="458"/>
      <c r="AW14" s="458"/>
      <c r="AX14" s="458"/>
      <c r="AY14" s="458"/>
      <c r="AZ14" s="458"/>
      <c r="BA14" s="457"/>
    </row>
    <row r="15" spans="1:53" ht="15.6" x14ac:dyDescent="0.3">
      <c r="A15" s="19" t="s">
        <v>90</v>
      </c>
      <c r="B15" s="52" t="s">
        <v>234</v>
      </c>
      <c r="C15" s="50" t="s">
        <v>235</v>
      </c>
      <c r="D15" s="466">
        <v>24</v>
      </c>
      <c r="E15" s="458"/>
      <c r="F15" s="495">
        <v>1</v>
      </c>
      <c r="G15" s="458"/>
      <c r="H15" s="458"/>
      <c r="I15" s="458">
        <v>1</v>
      </c>
      <c r="J15" s="458"/>
      <c r="K15" s="458">
        <v>1</v>
      </c>
      <c r="L15" s="458"/>
      <c r="M15" s="458">
        <v>1</v>
      </c>
      <c r="N15" s="458"/>
      <c r="O15" s="458">
        <v>1</v>
      </c>
      <c r="P15" s="458"/>
      <c r="Q15" s="458">
        <v>1</v>
      </c>
      <c r="R15" s="458"/>
      <c r="S15" s="458">
        <v>1</v>
      </c>
      <c r="T15" s="458"/>
      <c r="U15" s="458">
        <v>1</v>
      </c>
      <c r="V15" s="458"/>
      <c r="W15" s="458">
        <v>1</v>
      </c>
      <c r="X15" s="458"/>
      <c r="Y15" s="458">
        <v>1</v>
      </c>
      <c r="Z15" s="458"/>
      <c r="AA15" s="458">
        <v>1</v>
      </c>
      <c r="AB15" s="458"/>
      <c r="AC15" s="458">
        <v>1</v>
      </c>
      <c r="AD15" s="458"/>
      <c r="AE15" s="458">
        <v>1</v>
      </c>
      <c r="AF15" s="458"/>
      <c r="AG15" s="458">
        <v>1</v>
      </c>
      <c r="AH15" s="458"/>
      <c r="AI15" s="458">
        <v>1</v>
      </c>
      <c r="AJ15" s="458"/>
      <c r="AK15" s="458">
        <v>1</v>
      </c>
      <c r="AL15" s="458"/>
      <c r="AM15" s="458">
        <v>1</v>
      </c>
      <c r="AN15" s="458"/>
      <c r="AO15" s="458">
        <v>1</v>
      </c>
      <c r="AP15" s="458"/>
      <c r="AQ15" s="458">
        <v>1</v>
      </c>
      <c r="AR15" s="458"/>
      <c r="AS15" s="458">
        <v>1</v>
      </c>
      <c r="AT15" s="458"/>
      <c r="AU15" s="458">
        <v>1</v>
      </c>
      <c r="AV15" s="458"/>
      <c r="AW15" s="458">
        <v>1</v>
      </c>
      <c r="AX15" s="458"/>
      <c r="AY15" s="458"/>
      <c r="AZ15" s="458">
        <v>1</v>
      </c>
      <c r="BA15" s="457">
        <f t="shared" si="0"/>
        <v>1</v>
      </c>
    </row>
    <row r="16" spans="1:53" ht="15.6" x14ac:dyDescent="0.3">
      <c r="A16" s="19" t="s">
        <v>197</v>
      </c>
      <c r="B16" s="52" t="s">
        <v>236</v>
      </c>
      <c r="C16" s="50" t="s">
        <v>235</v>
      </c>
      <c r="D16" s="466">
        <v>24</v>
      </c>
      <c r="E16" s="458"/>
      <c r="F16" s="495">
        <v>1</v>
      </c>
      <c r="G16" s="458"/>
      <c r="H16" s="458"/>
      <c r="I16" s="458">
        <v>1</v>
      </c>
      <c r="J16" s="458"/>
      <c r="K16" s="458">
        <v>1</v>
      </c>
      <c r="L16" s="458"/>
      <c r="M16" s="458">
        <v>1</v>
      </c>
      <c r="N16" s="458"/>
      <c r="O16" s="458">
        <v>1</v>
      </c>
      <c r="P16" s="458"/>
      <c r="Q16" s="458">
        <v>1</v>
      </c>
      <c r="R16" s="458"/>
      <c r="S16" s="458">
        <v>1</v>
      </c>
      <c r="T16" s="458"/>
      <c r="U16" s="458">
        <v>1</v>
      </c>
      <c r="V16" s="458"/>
      <c r="W16" s="458">
        <v>1</v>
      </c>
      <c r="X16" s="458"/>
      <c r="Y16" s="458">
        <v>1</v>
      </c>
      <c r="Z16" s="458"/>
      <c r="AA16" s="458">
        <v>1</v>
      </c>
      <c r="AB16" s="458"/>
      <c r="AC16" s="458">
        <v>1</v>
      </c>
      <c r="AD16" s="458"/>
      <c r="AE16" s="458">
        <v>1</v>
      </c>
      <c r="AF16" s="458"/>
      <c r="AG16" s="458">
        <v>1</v>
      </c>
      <c r="AH16" s="458"/>
      <c r="AI16" s="458">
        <v>1</v>
      </c>
      <c r="AJ16" s="458"/>
      <c r="AK16" s="458">
        <v>1</v>
      </c>
      <c r="AL16" s="458"/>
      <c r="AM16" s="458">
        <v>1</v>
      </c>
      <c r="AN16" s="458"/>
      <c r="AO16" s="458">
        <v>1</v>
      </c>
      <c r="AP16" s="458"/>
      <c r="AQ16" s="458">
        <v>1</v>
      </c>
      <c r="AR16" s="458"/>
      <c r="AS16" s="458">
        <v>1</v>
      </c>
      <c r="AT16" s="458"/>
      <c r="AU16" s="458">
        <v>1</v>
      </c>
      <c r="AV16" s="458"/>
      <c r="AW16" s="458">
        <v>1</v>
      </c>
      <c r="AX16" s="458"/>
      <c r="AY16" s="458"/>
      <c r="AZ16" s="458">
        <v>1</v>
      </c>
      <c r="BA16" s="457">
        <f t="shared" si="0"/>
        <v>1</v>
      </c>
    </row>
    <row r="17" spans="1:53" ht="15.6" x14ac:dyDescent="0.3">
      <c r="A17" s="19" t="s">
        <v>208</v>
      </c>
      <c r="B17" s="52" t="s">
        <v>237</v>
      </c>
      <c r="C17" s="50" t="s">
        <v>235</v>
      </c>
      <c r="D17" s="466">
        <v>24</v>
      </c>
      <c r="E17" s="458"/>
      <c r="F17" s="495">
        <v>1</v>
      </c>
      <c r="G17" s="458"/>
      <c r="H17" s="458"/>
      <c r="I17" s="458">
        <v>1</v>
      </c>
      <c r="J17" s="458"/>
      <c r="K17" s="458">
        <v>1</v>
      </c>
      <c r="L17" s="458"/>
      <c r="M17" s="458">
        <v>1</v>
      </c>
      <c r="N17" s="458"/>
      <c r="O17" s="458">
        <v>1</v>
      </c>
      <c r="P17" s="458"/>
      <c r="Q17" s="458">
        <v>1</v>
      </c>
      <c r="R17" s="458"/>
      <c r="S17" s="458">
        <v>1</v>
      </c>
      <c r="T17" s="458"/>
      <c r="U17" s="458">
        <v>1</v>
      </c>
      <c r="V17" s="458"/>
      <c r="W17" s="458">
        <v>1</v>
      </c>
      <c r="X17" s="458"/>
      <c r="Y17" s="458">
        <v>1</v>
      </c>
      <c r="Z17" s="458"/>
      <c r="AA17" s="458">
        <v>1</v>
      </c>
      <c r="AB17" s="458"/>
      <c r="AC17" s="458">
        <v>1</v>
      </c>
      <c r="AD17" s="458"/>
      <c r="AE17" s="458">
        <v>1</v>
      </c>
      <c r="AF17" s="458"/>
      <c r="AG17" s="458">
        <v>1</v>
      </c>
      <c r="AH17" s="458"/>
      <c r="AI17" s="458">
        <v>1</v>
      </c>
      <c r="AJ17" s="458"/>
      <c r="AK17" s="458">
        <v>1</v>
      </c>
      <c r="AL17" s="458"/>
      <c r="AM17" s="458">
        <v>1</v>
      </c>
      <c r="AN17" s="458"/>
      <c r="AO17" s="458">
        <v>1</v>
      </c>
      <c r="AP17" s="458"/>
      <c r="AQ17" s="458">
        <v>1</v>
      </c>
      <c r="AR17" s="458"/>
      <c r="AS17" s="458">
        <v>1</v>
      </c>
      <c r="AT17" s="458"/>
      <c r="AU17" s="458">
        <v>1</v>
      </c>
      <c r="AV17" s="458"/>
      <c r="AW17" s="458">
        <v>1</v>
      </c>
      <c r="AX17" s="458"/>
      <c r="AY17" s="458"/>
      <c r="AZ17" s="458">
        <v>1</v>
      </c>
      <c r="BA17" s="457">
        <f t="shared" si="0"/>
        <v>1</v>
      </c>
    </row>
    <row r="18" spans="1:53" ht="15.6" x14ac:dyDescent="0.3">
      <c r="A18" s="19" t="s">
        <v>238</v>
      </c>
      <c r="B18" s="52" t="s">
        <v>239</v>
      </c>
      <c r="C18" s="50" t="s">
        <v>232</v>
      </c>
      <c r="D18" s="466">
        <v>8</v>
      </c>
      <c r="E18" s="458"/>
      <c r="F18" s="458"/>
      <c r="G18" s="458"/>
      <c r="H18" s="458"/>
      <c r="I18" s="458"/>
      <c r="J18" s="458"/>
      <c r="K18" s="458">
        <v>1</v>
      </c>
      <c r="L18" s="458"/>
      <c r="M18" s="458"/>
      <c r="N18" s="458"/>
      <c r="O18" s="458"/>
      <c r="P18" s="458"/>
      <c r="Q18" s="458">
        <v>1</v>
      </c>
      <c r="R18" s="458"/>
      <c r="S18" s="458"/>
      <c r="T18" s="458"/>
      <c r="U18" s="458"/>
      <c r="V18" s="458"/>
      <c r="W18" s="458">
        <v>1</v>
      </c>
      <c r="X18" s="458"/>
      <c r="Y18" s="458"/>
      <c r="Z18" s="458"/>
      <c r="AA18" s="458"/>
      <c r="AB18" s="458"/>
      <c r="AC18" s="458">
        <v>1</v>
      </c>
      <c r="AD18" s="458"/>
      <c r="AE18" s="458"/>
      <c r="AF18" s="458"/>
      <c r="AG18" s="458"/>
      <c r="AH18" s="458"/>
      <c r="AI18" s="458">
        <v>1</v>
      </c>
      <c r="AJ18" s="458"/>
      <c r="AK18" s="458"/>
      <c r="AL18" s="458"/>
      <c r="AM18" s="458"/>
      <c r="AN18" s="458"/>
      <c r="AO18" s="458">
        <v>1</v>
      </c>
      <c r="AP18" s="458"/>
      <c r="AQ18" s="458"/>
      <c r="AR18" s="458"/>
      <c r="AS18" s="458"/>
      <c r="AT18" s="458"/>
      <c r="AU18" s="458">
        <v>1</v>
      </c>
      <c r="AV18" s="458"/>
      <c r="AW18" s="458"/>
      <c r="AX18" s="458"/>
      <c r="AY18" s="458"/>
      <c r="AZ18" s="458">
        <v>1</v>
      </c>
      <c r="BA18" s="457">
        <f t="shared" si="0"/>
        <v>0</v>
      </c>
    </row>
    <row r="19" spans="1:53" ht="15.6" x14ac:dyDescent="0.3">
      <c r="A19" s="19" t="s">
        <v>240</v>
      </c>
      <c r="B19" s="52" t="s">
        <v>10572</v>
      </c>
      <c r="C19" s="50" t="s">
        <v>232</v>
      </c>
      <c r="D19" s="466">
        <v>8</v>
      </c>
      <c r="E19" s="458"/>
      <c r="F19" s="458"/>
      <c r="G19" s="458"/>
      <c r="H19" s="458"/>
      <c r="I19" s="458"/>
      <c r="J19" s="458"/>
      <c r="K19" s="458">
        <v>1</v>
      </c>
      <c r="L19" s="458"/>
      <c r="M19" s="458"/>
      <c r="N19" s="458"/>
      <c r="O19" s="458"/>
      <c r="P19" s="458"/>
      <c r="Q19" s="458">
        <v>1</v>
      </c>
      <c r="R19" s="458"/>
      <c r="S19" s="458"/>
      <c r="T19" s="458"/>
      <c r="U19" s="458"/>
      <c r="V19" s="458"/>
      <c r="W19" s="458">
        <v>1</v>
      </c>
      <c r="X19" s="458"/>
      <c r="Y19" s="458"/>
      <c r="Z19" s="458"/>
      <c r="AA19" s="458"/>
      <c r="AB19" s="458"/>
      <c r="AC19" s="458">
        <v>1</v>
      </c>
      <c r="AD19" s="458"/>
      <c r="AE19" s="458"/>
      <c r="AF19" s="458"/>
      <c r="AG19" s="458"/>
      <c r="AH19" s="458"/>
      <c r="AI19" s="458">
        <v>1</v>
      </c>
      <c r="AJ19" s="458"/>
      <c r="AK19" s="458"/>
      <c r="AL19" s="458"/>
      <c r="AM19" s="458"/>
      <c r="AN19" s="458"/>
      <c r="AO19" s="458">
        <v>1</v>
      </c>
      <c r="AP19" s="458"/>
      <c r="AQ19" s="458"/>
      <c r="AR19" s="458"/>
      <c r="AS19" s="458"/>
      <c r="AT19" s="458"/>
      <c r="AU19" s="458">
        <v>1</v>
      </c>
      <c r="AV19" s="458"/>
      <c r="AW19" s="458"/>
      <c r="AX19" s="458"/>
      <c r="AY19" s="458"/>
      <c r="AZ19" s="458">
        <v>1</v>
      </c>
      <c r="BA19" s="457">
        <f t="shared" si="0"/>
        <v>0</v>
      </c>
    </row>
    <row r="20" spans="1:53" ht="15.6" x14ac:dyDescent="0.3">
      <c r="A20" s="278" t="s">
        <v>37</v>
      </c>
      <c r="B20" s="465" t="s">
        <v>1078</v>
      </c>
      <c r="C20" s="50" t="s">
        <v>232</v>
      </c>
      <c r="D20" s="466">
        <v>8</v>
      </c>
      <c r="E20" s="458"/>
      <c r="F20" s="458"/>
      <c r="G20" s="458"/>
      <c r="H20" s="458"/>
      <c r="I20" s="458"/>
      <c r="J20" s="458"/>
      <c r="K20" s="458">
        <v>1</v>
      </c>
      <c r="L20" s="458"/>
      <c r="M20" s="458"/>
      <c r="N20" s="458"/>
      <c r="O20" s="458"/>
      <c r="P20" s="458"/>
      <c r="Q20" s="458">
        <v>1</v>
      </c>
      <c r="R20" s="458"/>
      <c r="S20" s="458"/>
      <c r="T20" s="458"/>
      <c r="U20" s="458"/>
      <c r="V20" s="458"/>
      <c r="W20" s="458">
        <v>1</v>
      </c>
      <c r="X20" s="458"/>
      <c r="Y20" s="458"/>
      <c r="Z20" s="458"/>
      <c r="AA20" s="458"/>
      <c r="AB20" s="458"/>
      <c r="AC20" s="458">
        <v>1</v>
      </c>
      <c r="AD20" s="458"/>
      <c r="AE20" s="458"/>
      <c r="AF20" s="458"/>
      <c r="AG20" s="458"/>
      <c r="AH20" s="458"/>
      <c r="AI20" s="458">
        <v>1</v>
      </c>
      <c r="AJ20" s="458"/>
      <c r="AK20" s="458"/>
      <c r="AL20" s="458"/>
      <c r="AM20" s="458"/>
      <c r="AN20" s="458"/>
      <c r="AO20" s="458">
        <v>1</v>
      </c>
      <c r="AP20" s="458"/>
      <c r="AQ20" s="458"/>
      <c r="AR20" s="458"/>
      <c r="AS20" s="458"/>
      <c r="AT20" s="458"/>
      <c r="AU20" s="458">
        <v>1</v>
      </c>
      <c r="AV20" s="458"/>
      <c r="AW20" s="458"/>
      <c r="AX20" s="458"/>
      <c r="AY20" s="458"/>
      <c r="AZ20" s="458">
        <v>1</v>
      </c>
      <c r="BA20" s="457">
        <f t="shared" si="0"/>
        <v>0</v>
      </c>
    </row>
    <row r="21" spans="1:53" ht="15.6" x14ac:dyDescent="0.3">
      <c r="A21" s="278" t="s">
        <v>39</v>
      </c>
      <c r="B21" s="467" t="s">
        <v>1082</v>
      </c>
      <c r="C21" s="50" t="s">
        <v>232</v>
      </c>
      <c r="D21" s="466">
        <v>8</v>
      </c>
      <c r="E21" s="458"/>
      <c r="F21" s="458"/>
      <c r="G21" s="458"/>
      <c r="H21" s="458"/>
      <c r="I21" s="458"/>
      <c r="J21" s="458"/>
      <c r="K21" s="458">
        <v>1</v>
      </c>
      <c r="L21" s="458"/>
      <c r="M21" s="458"/>
      <c r="N21" s="458"/>
      <c r="O21" s="458"/>
      <c r="P21" s="458"/>
      <c r="Q21" s="458">
        <v>1</v>
      </c>
      <c r="R21" s="458"/>
      <c r="S21" s="458"/>
      <c r="T21" s="458"/>
      <c r="U21" s="458"/>
      <c r="V21" s="458"/>
      <c r="W21" s="458">
        <v>1</v>
      </c>
      <c r="X21" s="458"/>
      <c r="Y21" s="458"/>
      <c r="Z21" s="458"/>
      <c r="AA21" s="458"/>
      <c r="AB21" s="458"/>
      <c r="AC21" s="458">
        <v>1</v>
      </c>
      <c r="AD21" s="458"/>
      <c r="AE21" s="458"/>
      <c r="AF21" s="458"/>
      <c r="AG21" s="458"/>
      <c r="AH21" s="458"/>
      <c r="AI21" s="458">
        <v>1</v>
      </c>
      <c r="AJ21" s="458"/>
      <c r="AK21" s="458"/>
      <c r="AL21" s="458"/>
      <c r="AM21" s="458"/>
      <c r="AN21" s="458"/>
      <c r="AO21" s="458">
        <v>1</v>
      </c>
      <c r="AP21" s="458"/>
      <c r="AQ21" s="458"/>
      <c r="AR21" s="458"/>
      <c r="AS21" s="458"/>
      <c r="AT21" s="458"/>
      <c r="AU21" s="458">
        <v>1</v>
      </c>
      <c r="AV21" s="458"/>
      <c r="AW21" s="458"/>
      <c r="AX21" s="458"/>
      <c r="AY21" s="458"/>
      <c r="AZ21" s="458">
        <v>1</v>
      </c>
      <c r="BA21" s="457">
        <f t="shared" si="0"/>
        <v>0</v>
      </c>
    </row>
    <row r="22" spans="1:53" ht="15.6" x14ac:dyDescent="0.3">
      <c r="A22" s="278" t="s">
        <v>41</v>
      </c>
      <c r="B22" s="465" t="s">
        <v>244</v>
      </c>
      <c r="C22" s="50"/>
      <c r="D22" s="466"/>
      <c r="E22" s="458"/>
      <c r="F22" s="458"/>
      <c r="G22" s="458"/>
      <c r="H22" s="458"/>
      <c r="I22" s="458"/>
      <c r="J22" s="458"/>
      <c r="K22" s="458"/>
      <c r="L22" s="458"/>
      <c r="M22" s="458"/>
      <c r="N22" s="458"/>
      <c r="O22" s="458"/>
      <c r="P22" s="458"/>
      <c r="Q22" s="458"/>
      <c r="R22" s="458"/>
      <c r="S22" s="458"/>
      <c r="T22" s="458"/>
      <c r="U22" s="458"/>
      <c r="V22" s="458"/>
      <c r="W22" s="458"/>
      <c r="X22" s="458"/>
      <c r="Y22" s="458"/>
      <c r="Z22" s="458"/>
      <c r="AA22" s="458"/>
      <c r="AB22" s="458"/>
      <c r="AC22" s="458"/>
      <c r="AD22" s="458"/>
      <c r="AE22" s="458"/>
      <c r="AF22" s="458"/>
      <c r="AG22" s="458"/>
      <c r="AH22" s="458"/>
      <c r="AI22" s="458"/>
      <c r="AJ22" s="458"/>
      <c r="AK22" s="458"/>
      <c r="AL22" s="458"/>
      <c r="AM22" s="458"/>
      <c r="AN22" s="458"/>
      <c r="AO22" s="458"/>
      <c r="AP22" s="458"/>
      <c r="AQ22" s="458"/>
      <c r="AR22" s="458"/>
      <c r="AS22" s="458"/>
      <c r="AT22" s="458"/>
      <c r="AU22" s="458"/>
      <c r="AV22" s="458"/>
      <c r="AW22" s="458"/>
      <c r="AX22" s="458"/>
      <c r="AY22" s="458"/>
      <c r="AZ22" s="458"/>
      <c r="BA22" s="457"/>
    </row>
    <row r="23" spans="1:53" ht="15.6" x14ac:dyDescent="0.3">
      <c r="A23" s="19" t="s">
        <v>197</v>
      </c>
      <c r="B23" s="468" t="s">
        <v>10573</v>
      </c>
      <c r="C23" s="50" t="s">
        <v>10570</v>
      </c>
      <c r="D23" s="466">
        <f>30*48/3</f>
        <v>480</v>
      </c>
      <c r="E23" s="458"/>
      <c r="F23" s="458"/>
      <c r="G23" s="458">
        <v>30</v>
      </c>
      <c r="H23" s="458"/>
      <c r="I23" s="458"/>
      <c r="J23" s="458"/>
      <c r="K23" s="458">
        <v>30</v>
      </c>
      <c r="L23" s="458"/>
      <c r="M23" s="458"/>
      <c r="N23" s="458">
        <v>30</v>
      </c>
      <c r="O23" s="458"/>
      <c r="P23" s="458"/>
      <c r="Q23" s="458">
        <v>30</v>
      </c>
      <c r="R23" s="458"/>
      <c r="S23" s="458"/>
      <c r="T23" s="458">
        <v>30</v>
      </c>
      <c r="U23" s="458"/>
      <c r="V23" s="458"/>
      <c r="W23" s="458">
        <v>30</v>
      </c>
      <c r="X23" s="458"/>
      <c r="Y23" s="458"/>
      <c r="Z23" s="458">
        <v>30</v>
      </c>
      <c r="AA23" s="458"/>
      <c r="AB23" s="458"/>
      <c r="AC23" s="458">
        <v>30</v>
      </c>
      <c r="AD23" s="458"/>
      <c r="AE23" s="458"/>
      <c r="AF23" s="458">
        <v>30</v>
      </c>
      <c r="AG23" s="458"/>
      <c r="AH23" s="458"/>
      <c r="AI23" s="458">
        <v>30</v>
      </c>
      <c r="AJ23" s="458"/>
      <c r="AK23" s="458"/>
      <c r="AL23" s="458">
        <v>30</v>
      </c>
      <c r="AM23" s="458"/>
      <c r="AN23" s="458"/>
      <c r="AO23" s="458">
        <v>30</v>
      </c>
      <c r="AP23" s="458"/>
      <c r="AQ23" s="458"/>
      <c r="AR23" s="458">
        <v>30</v>
      </c>
      <c r="AS23" s="458"/>
      <c r="AT23" s="458"/>
      <c r="AU23" s="458">
        <v>30</v>
      </c>
      <c r="AV23" s="458"/>
      <c r="AW23" s="458"/>
      <c r="AX23" s="458">
        <v>30</v>
      </c>
      <c r="AY23" s="458"/>
      <c r="AZ23" s="458">
        <v>30</v>
      </c>
      <c r="BA23" s="457">
        <f t="shared" si="0"/>
        <v>0</v>
      </c>
    </row>
    <row r="24" spans="1:53" ht="15.6" x14ac:dyDescent="0.3">
      <c r="A24" s="278" t="s">
        <v>86</v>
      </c>
      <c r="B24" s="465" t="s">
        <v>10574</v>
      </c>
      <c r="C24" s="50"/>
      <c r="D24" s="466"/>
      <c r="E24" s="458"/>
      <c r="F24" s="458"/>
      <c r="G24" s="458"/>
      <c r="H24" s="458"/>
      <c r="I24" s="458"/>
      <c r="J24" s="458"/>
      <c r="K24" s="458"/>
      <c r="L24" s="458"/>
      <c r="M24" s="458"/>
      <c r="N24" s="458"/>
      <c r="O24" s="458"/>
      <c r="P24" s="458"/>
      <c r="Q24" s="458"/>
      <c r="R24" s="458"/>
      <c r="S24" s="458"/>
      <c r="T24" s="458"/>
      <c r="U24" s="458"/>
      <c r="V24" s="458"/>
      <c r="W24" s="458"/>
      <c r="X24" s="458"/>
      <c r="Y24" s="458"/>
      <c r="Z24" s="458"/>
      <c r="AA24" s="458"/>
      <c r="AB24" s="458"/>
      <c r="AC24" s="458"/>
      <c r="AD24" s="458"/>
      <c r="AE24" s="458"/>
      <c r="AF24" s="458"/>
      <c r="AG24" s="458"/>
      <c r="AH24" s="458"/>
      <c r="AI24" s="458"/>
      <c r="AJ24" s="458"/>
      <c r="AK24" s="458"/>
      <c r="AL24" s="458"/>
      <c r="AM24" s="458"/>
      <c r="AN24" s="458"/>
      <c r="AO24" s="458"/>
      <c r="AP24" s="458"/>
      <c r="AQ24" s="458"/>
      <c r="AR24" s="458"/>
      <c r="AS24" s="458"/>
      <c r="AT24" s="458"/>
      <c r="AU24" s="458"/>
      <c r="AV24" s="458"/>
      <c r="AW24" s="458"/>
      <c r="AX24" s="458"/>
      <c r="AY24" s="458"/>
      <c r="AZ24" s="458"/>
      <c r="BA24" s="457"/>
    </row>
    <row r="25" spans="1:53" ht="15.6" x14ac:dyDescent="0.3">
      <c r="A25" s="19" t="s">
        <v>90</v>
      </c>
      <c r="B25" s="468" t="s">
        <v>249</v>
      </c>
      <c r="C25" s="50" t="s">
        <v>222</v>
      </c>
      <c r="D25" s="457">
        <f t="shared" ref="D25:D30" si="1">48/3</f>
        <v>16</v>
      </c>
      <c r="E25" s="457"/>
      <c r="F25" s="457"/>
      <c r="G25" s="496">
        <v>1</v>
      </c>
      <c r="H25" s="457"/>
      <c r="I25" s="457"/>
      <c r="J25" s="457"/>
      <c r="K25" s="457">
        <v>1</v>
      </c>
      <c r="L25" s="457"/>
      <c r="M25" s="457"/>
      <c r="N25" s="457">
        <v>1</v>
      </c>
      <c r="O25" s="457"/>
      <c r="P25" s="457"/>
      <c r="Q25" s="457">
        <v>1</v>
      </c>
      <c r="R25" s="457"/>
      <c r="S25" s="457"/>
      <c r="T25" s="457">
        <v>1</v>
      </c>
      <c r="U25" s="457"/>
      <c r="V25" s="457"/>
      <c r="W25" s="457">
        <v>1</v>
      </c>
      <c r="X25" s="457"/>
      <c r="Y25" s="457"/>
      <c r="Z25" s="457">
        <v>1</v>
      </c>
      <c r="AA25" s="457"/>
      <c r="AB25" s="457"/>
      <c r="AC25" s="457">
        <v>1</v>
      </c>
      <c r="AD25" s="457"/>
      <c r="AE25" s="457"/>
      <c r="AF25" s="457">
        <v>1</v>
      </c>
      <c r="AG25" s="457"/>
      <c r="AH25" s="457"/>
      <c r="AI25" s="457">
        <v>1</v>
      </c>
      <c r="AJ25" s="457"/>
      <c r="AK25" s="457"/>
      <c r="AL25" s="457">
        <v>1</v>
      </c>
      <c r="AM25" s="457"/>
      <c r="AN25" s="457"/>
      <c r="AO25" s="457">
        <v>1</v>
      </c>
      <c r="AP25" s="457"/>
      <c r="AQ25" s="457"/>
      <c r="AR25" s="457">
        <v>1</v>
      </c>
      <c r="AS25" s="457"/>
      <c r="AT25" s="457"/>
      <c r="AU25" s="457">
        <v>1</v>
      </c>
      <c r="AV25" s="457"/>
      <c r="AW25" s="457"/>
      <c r="AX25" s="457">
        <v>1</v>
      </c>
      <c r="AY25" s="457"/>
      <c r="AZ25" s="457">
        <v>1</v>
      </c>
      <c r="BA25" s="457">
        <f t="shared" si="0"/>
        <v>0</v>
      </c>
    </row>
    <row r="26" spans="1:53" ht="15.6" x14ac:dyDescent="0.3">
      <c r="A26" s="19" t="s">
        <v>197</v>
      </c>
      <c r="B26" s="468" t="s">
        <v>250</v>
      </c>
      <c r="C26" s="50" t="s">
        <v>222</v>
      </c>
      <c r="D26" s="457">
        <f t="shared" si="1"/>
        <v>16</v>
      </c>
      <c r="E26" s="457"/>
      <c r="F26" s="457"/>
      <c r="G26" s="496">
        <v>1</v>
      </c>
      <c r="H26" s="457"/>
      <c r="I26" s="457"/>
      <c r="J26" s="457"/>
      <c r="K26" s="457">
        <v>1</v>
      </c>
      <c r="L26" s="457"/>
      <c r="M26" s="457"/>
      <c r="N26" s="457">
        <v>1</v>
      </c>
      <c r="O26" s="457"/>
      <c r="P26" s="457"/>
      <c r="Q26" s="457">
        <v>1</v>
      </c>
      <c r="R26" s="457"/>
      <c r="S26" s="457"/>
      <c r="T26" s="457">
        <v>1</v>
      </c>
      <c r="U26" s="457"/>
      <c r="V26" s="457"/>
      <c r="W26" s="457">
        <v>1</v>
      </c>
      <c r="X26" s="457"/>
      <c r="Y26" s="457"/>
      <c r="Z26" s="457">
        <v>1</v>
      </c>
      <c r="AA26" s="457"/>
      <c r="AB26" s="457"/>
      <c r="AC26" s="457">
        <v>1</v>
      </c>
      <c r="AD26" s="457"/>
      <c r="AE26" s="457"/>
      <c r="AF26" s="457">
        <v>1</v>
      </c>
      <c r="AG26" s="457"/>
      <c r="AH26" s="457"/>
      <c r="AI26" s="457">
        <v>1</v>
      </c>
      <c r="AJ26" s="457"/>
      <c r="AK26" s="457"/>
      <c r="AL26" s="457">
        <v>1</v>
      </c>
      <c r="AM26" s="457"/>
      <c r="AN26" s="457"/>
      <c r="AO26" s="457">
        <v>1</v>
      </c>
      <c r="AP26" s="457"/>
      <c r="AQ26" s="457"/>
      <c r="AR26" s="457">
        <v>1</v>
      </c>
      <c r="AS26" s="457"/>
      <c r="AT26" s="457"/>
      <c r="AU26" s="457">
        <v>1</v>
      </c>
      <c r="AV26" s="457"/>
      <c r="AW26" s="457"/>
      <c r="AX26" s="457">
        <v>1</v>
      </c>
      <c r="AY26" s="457"/>
      <c r="AZ26" s="457">
        <v>1</v>
      </c>
      <c r="BA26" s="457">
        <f t="shared" si="0"/>
        <v>0</v>
      </c>
    </row>
    <row r="27" spans="1:53" ht="15.6" x14ac:dyDescent="0.3">
      <c r="A27" s="19" t="s">
        <v>208</v>
      </c>
      <c r="B27" s="468" t="s">
        <v>251</v>
      </c>
      <c r="C27" s="50" t="s">
        <v>222</v>
      </c>
      <c r="D27" s="457">
        <f t="shared" si="1"/>
        <v>16</v>
      </c>
      <c r="E27" s="457"/>
      <c r="F27" s="457"/>
      <c r="G27" s="496">
        <v>1</v>
      </c>
      <c r="H27" s="457"/>
      <c r="I27" s="457"/>
      <c r="J27" s="457"/>
      <c r="K27" s="457">
        <v>1</v>
      </c>
      <c r="L27" s="457"/>
      <c r="M27" s="457"/>
      <c r="N27" s="457">
        <v>1</v>
      </c>
      <c r="O27" s="457"/>
      <c r="P27" s="457"/>
      <c r="Q27" s="457">
        <v>1</v>
      </c>
      <c r="R27" s="457"/>
      <c r="S27" s="457"/>
      <c r="T27" s="457">
        <v>1</v>
      </c>
      <c r="U27" s="457"/>
      <c r="V27" s="457"/>
      <c r="W27" s="457">
        <v>1</v>
      </c>
      <c r="X27" s="457"/>
      <c r="Y27" s="457"/>
      <c r="Z27" s="457">
        <v>1</v>
      </c>
      <c r="AA27" s="457"/>
      <c r="AB27" s="457"/>
      <c r="AC27" s="457">
        <v>1</v>
      </c>
      <c r="AD27" s="457"/>
      <c r="AE27" s="457"/>
      <c r="AF27" s="457">
        <v>1</v>
      </c>
      <c r="AG27" s="457"/>
      <c r="AH27" s="457"/>
      <c r="AI27" s="457">
        <v>1</v>
      </c>
      <c r="AJ27" s="457"/>
      <c r="AK27" s="457"/>
      <c r="AL27" s="457">
        <v>1</v>
      </c>
      <c r="AM27" s="457"/>
      <c r="AN27" s="457"/>
      <c r="AO27" s="457">
        <v>1</v>
      </c>
      <c r="AP27" s="457"/>
      <c r="AQ27" s="457"/>
      <c r="AR27" s="457">
        <v>1</v>
      </c>
      <c r="AS27" s="457"/>
      <c r="AT27" s="457"/>
      <c r="AU27" s="457">
        <v>1</v>
      </c>
      <c r="AV27" s="457"/>
      <c r="AW27" s="457"/>
      <c r="AX27" s="457">
        <v>1</v>
      </c>
      <c r="AY27" s="457"/>
      <c r="AZ27" s="457">
        <v>1</v>
      </c>
      <c r="BA27" s="457">
        <f t="shared" si="0"/>
        <v>0</v>
      </c>
    </row>
    <row r="28" spans="1:53" ht="15.6" x14ac:dyDescent="0.3">
      <c r="A28" s="19" t="s">
        <v>238</v>
      </c>
      <c r="B28" s="468" t="s">
        <v>252</v>
      </c>
      <c r="C28" s="50" t="s">
        <v>222</v>
      </c>
      <c r="D28" s="457">
        <f t="shared" si="1"/>
        <v>16</v>
      </c>
      <c r="E28" s="457"/>
      <c r="F28" s="457"/>
      <c r="G28" s="496">
        <v>1</v>
      </c>
      <c r="H28" s="457"/>
      <c r="I28" s="457"/>
      <c r="J28" s="457"/>
      <c r="K28" s="457">
        <v>1</v>
      </c>
      <c r="L28" s="457"/>
      <c r="M28" s="457"/>
      <c r="N28" s="457">
        <v>1</v>
      </c>
      <c r="O28" s="457"/>
      <c r="P28" s="457"/>
      <c r="Q28" s="457">
        <v>1</v>
      </c>
      <c r="R28" s="457"/>
      <c r="S28" s="457"/>
      <c r="T28" s="457">
        <v>1</v>
      </c>
      <c r="U28" s="457"/>
      <c r="V28" s="457"/>
      <c r="W28" s="457">
        <v>1</v>
      </c>
      <c r="X28" s="457"/>
      <c r="Y28" s="457"/>
      <c r="Z28" s="457">
        <v>1</v>
      </c>
      <c r="AA28" s="457"/>
      <c r="AB28" s="457"/>
      <c r="AC28" s="457">
        <v>1</v>
      </c>
      <c r="AD28" s="457"/>
      <c r="AE28" s="457"/>
      <c r="AF28" s="457">
        <v>1</v>
      </c>
      <c r="AG28" s="457"/>
      <c r="AH28" s="457"/>
      <c r="AI28" s="457">
        <v>1</v>
      </c>
      <c r="AJ28" s="457"/>
      <c r="AK28" s="457"/>
      <c r="AL28" s="457">
        <v>1</v>
      </c>
      <c r="AM28" s="457"/>
      <c r="AN28" s="457"/>
      <c r="AO28" s="457">
        <v>1</v>
      </c>
      <c r="AP28" s="457"/>
      <c r="AQ28" s="457"/>
      <c r="AR28" s="457">
        <v>1</v>
      </c>
      <c r="AS28" s="457"/>
      <c r="AT28" s="457"/>
      <c r="AU28" s="457">
        <v>1</v>
      </c>
      <c r="AV28" s="457"/>
      <c r="AW28" s="457"/>
      <c r="AX28" s="457">
        <v>1</v>
      </c>
      <c r="AY28" s="457"/>
      <c r="AZ28" s="457">
        <v>1</v>
      </c>
      <c r="BA28" s="457">
        <f t="shared" si="0"/>
        <v>0</v>
      </c>
    </row>
    <row r="29" spans="1:53" ht="15.6" x14ac:dyDescent="0.3">
      <c r="A29" s="19" t="s">
        <v>240</v>
      </c>
      <c r="B29" s="468" t="s">
        <v>253</v>
      </c>
      <c r="C29" s="50" t="s">
        <v>222</v>
      </c>
      <c r="D29" s="457">
        <f t="shared" si="1"/>
        <v>16</v>
      </c>
      <c r="E29" s="457"/>
      <c r="F29" s="457"/>
      <c r="G29" s="496">
        <v>1</v>
      </c>
      <c r="H29" s="457"/>
      <c r="I29" s="457"/>
      <c r="J29" s="457"/>
      <c r="K29" s="457">
        <v>1</v>
      </c>
      <c r="L29" s="457"/>
      <c r="M29" s="457"/>
      <c r="N29" s="457">
        <v>1</v>
      </c>
      <c r="O29" s="457"/>
      <c r="P29" s="457"/>
      <c r="Q29" s="457">
        <v>1</v>
      </c>
      <c r="R29" s="457"/>
      <c r="S29" s="457"/>
      <c r="T29" s="457">
        <v>1</v>
      </c>
      <c r="U29" s="457"/>
      <c r="V29" s="457"/>
      <c r="W29" s="457">
        <v>1</v>
      </c>
      <c r="X29" s="457"/>
      <c r="Y29" s="457"/>
      <c r="Z29" s="457">
        <v>1</v>
      </c>
      <c r="AA29" s="457"/>
      <c r="AB29" s="457"/>
      <c r="AC29" s="457">
        <v>1</v>
      </c>
      <c r="AD29" s="457"/>
      <c r="AE29" s="457"/>
      <c r="AF29" s="457">
        <v>1</v>
      </c>
      <c r="AG29" s="457"/>
      <c r="AH29" s="457"/>
      <c r="AI29" s="457">
        <v>1</v>
      </c>
      <c r="AJ29" s="457"/>
      <c r="AK29" s="457"/>
      <c r="AL29" s="457">
        <v>1</v>
      </c>
      <c r="AM29" s="457"/>
      <c r="AN29" s="457"/>
      <c r="AO29" s="457">
        <v>1</v>
      </c>
      <c r="AP29" s="457"/>
      <c r="AQ29" s="457"/>
      <c r="AR29" s="457">
        <v>1</v>
      </c>
      <c r="AS29" s="457"/>
      <c r="AT29" s="457"/>
      <c r="AU29" s="457">
        <v>1</v>
      </c>
      <c r="AV29" s="457"/>
      <c r="AW29" s="457"/>
      <c r="AX29" s="457">
        <v>1</v>
      </c>
      <c r="AY29" s="457"/>
      <c r="AZ29" s="457">
        <v>1</v>
      </c>
      <c r="BA29" s="457">
        <f t="shared" si="0"/>
        <v>0</v>
      </c>
    </row>
    <row r="30" spans="1:53" ht="15.6" x14ac:dyDescent="0.3">
      <c r="A30" s="19" t="s">
        <v>254</v>
      </c>
      <c r="B30" s="468" t="s">
        <v>255</v>
      </c>
      <c r="C30" s="50" t="s">
        <v>222</v>
      </c>
      <c r="D30" s="457">
        <f t="shared" si="1"/>
        <v>16</v>
      </c>
      <c r="E30" s="457"/>
      <c r="F30" s="457"/>
      <c r="G30" s="496">
        <v>1</v>
      </c>
      <c r="H30" s="457"/>
      <c r="I30" s="457"/>
      <c r="J30" s="457"/>
      <c r="K30" s="457">
        <v>1</v>
      </c>
      <c r="L30" s="457"/>
      <c r="M30" s="457"/>
      <c r="N30" s="457">
        <v>1</v>
      </c>
      <c r="O30" s="457"/>
      <c r="P30" s="457"/>
      <c r="Q30" s="457">
        <v>1</v>
      </c>
      <c r="R30" s="457"/>
      <c r="S30" s="457"/>
      <c r="T30" s="457">
        <v>1</v>
      </c>
      <c r="U30" s="457"/>
      <c r="V30" s="457"/>
      <c r="W30" s="457">
        <v>1</v>
      </c>
      <c r="X30" s="457"/>
      <c r="Y30" s="457"/>
      <c r="Z30" s="457">
        <v>1</v>
      </c>
      <c r="AA30" s="457"/>
      <c r="AB30" s="457"/>
      <c r="AC30" s="457">
        <v>1</v>
      </c>
      <c r="AD30" s="457"/>
      <c r="AE30" s="457"/>
      <c r="AF30" s="457">
        <v>1</v>
      </c>
      <c r="AG30" s="457"/>
      <c r="AH30" s="457"/>
      <c r="AI30" s="457">
        <v>1</v>
      </c>
      <c r="AJ30" s="457"/>
      <c r="AK30" s="457"/>
      <c r="AL30" s="457">
        <v>1</v>
      </c>
      <c r="AM30" s="457"/>
      <c r="AN30" s="457"/>
      <c r="AO30" s="457">
        <v>1</v>
      </c>
      <c r="AP30" s="457"/>
      <c r="AQ30" s="457"/>
      <c r="AR30" s="457">
        <v>1</v>
      </c>
      <c r="AS30" s="457"/>
      <c r="AT30" s="457"/>
      <c r="AU30" s="457">
        <v>1</v>
      </c>
      <c r="AV30" s="457"/>
      <c r="AW30" s="457"/>
      <c r="AX30" s="457">
        <v>1</v>
      </c>
      <c r="AY30" s="457"/>
      <c r="AZ30" s="457">
        <v>1</v>
      </c>
      <c r="BA30" s="457">
        <f t="shared" si="0"/>
        <v>0</v>
      </c>
    </row>
    <row r="31" spans="1:53" ht="15.6" x14ac:dyDescent="0.3">
      <c r="A31" s="278" t="s">
        <v>88</v>
      </c>
      <c r="B31" s="465" t="s">
        <v>10575</v>
      </c>
      <c r="C31" s="50"/>
      <c r="D31" s="466"/>
      <c r="E31" s="458"/>
      <c r="F31" s="458"/>
      <c r="G31" s="458"/>
      <c r="H31" s="458"/>
      <c r="I31" s="458"/>
      <c r="J31" s="458"/>
      <c r="K31" s="458"/>
      <c r="L31" s="458"/>
      <c r="M31" s="458"/>
      <c r="N31" s="458"/>
      <c r="O31" s="458"/>
      <c r="P31" s="458"/>
      <c r="Q31" s="458"/>
      <c r="R31" s="458"/>
      <c r="S31" s="458"/>
      <c r="T31" s="458"/>
      <c r="U31" s="458"/>
      <c r="V31" s="458"/>
      <c r="W31" s="458"/>
      <c r="X31" s="458"/>
      <c r="Y31" s="458"/>
      <c r="Z31" s="458"/>
      <c r="AA31" s="458"/>
      <c r="AB31" s="458"/>
      <c r="AC31" s="458"/>
      <c r="AD31" s="458"/>
      <c r="AE31" s="458"/>
      <c r="AF31" s="458"/>
      <c r="AG31" s="458"/>
      <c r="AH31" s="458"/>
      <c r="AI31" s="458"/>
      <c r="AJ31" s="458"/>
      <c r="AK31" s="458"/>
      <c r="AL31" s="458"/>
      <c r="AM31" s="458"/>
      <c r="AN31" s="458"/>
      <c r="AO31" s="458"/>
      <c r="AP31" s="458"/>
      <c r="AQ31" s="458"/>
      <c r="AR31" s="458"/>
      <c r="AS31" s="458"/>
      <c r="AT31" s="458"/>
      <c r="AU31" s="458"/>
      <c r="AV31" s="458"/>
      <c r="AW31" s="458"/>
      <c r="AX31" s="458"/>
      <c r="AY31" s="458"/>
      <c r="AZ31" s="458"/>
      <c r="BA31" s="457"/>
    </row>
    <row r="32" spans="1:53" ht="15.6" x14ac:dyDescent="0.3">
      <c r="A32" s="19" t="s">
        <v>90</v>
      </c>
      <c r="B32" s="468" t="s">
        <v>257</v>
      </c>
      <c r="C32" s="50"/>
      <c r="D32" s="466"/>
      <c r="E32" s="458"/>
      <c r="F32" s="458"/>
      <c r="G32" s="458"/>
      <c r="H32" s="458"/>
      <c r="I32" s="458"/>
      <c r="J32" s="458"/>
      <c r="K32" s="458"/>
      <c r="L32" s="458"/>
      <c r="M32" s="458"/>
      <c r="N32" s="458"/>
      <c r="O32" s="458"/>
      <c r="P32" s="458"/>
      <c r="Q32" s="458"/>
      <c r="R32" s="458"/>
      <c r="S32" s="458"/>
      <c r="T32" s="458"/>
      <c r="U32" s="458"/>
      <c r="V32" s="458"/>
      <c r="W32" s="458"/>
      <c r="X32" s="458"/>
      <c r="Y32" s="458"/>
      <c r="Z32" s="458"/>
      <c r="AA32" s="458"/>
      <c r="AB32" s="458"/>
      <c r="AC32" s="458"/>
      <c r="AD32" s="458"/>
      <c r="AE32" s="458"/>
      <c r="AF32" s="458"/>
      <c r="AG32" s="458"/>
      <c r="AH32" s="458"/>
      <c r="AI32" s="458"/>
      <c r="AJ32" s="458"/>
      <c r="AK32" s="458"/>
      <c r="AL32" s="458"/>
      <c r="AM32" s="458"/>
      <c r="AN32" s="458"/>
      <c r="AO32" s="458"/>
      <c r="AP32" s="458"/>
      <c r="AQ32" s="458"/>
      <c r="AR32" s="458"/>
      <c r="AS32" s="458"/>
      <c r="AT32" s="458"/>
      <c r="AU32" s="458"/>
      <c r="AV32" s="458"/>
      <c r="AW32" s="458"/>
      <c r="AX32" s="458"/>
      <c r="AY32" s="458"/>
      <c r="AZ32" s="458"/>
      <c r="BA32" s="457"/>
    </row>
    <row r="33" spans="1:53" ht="15.6" x14ac:dyDescent="0.3">
      <c r="A33" s="5">
        <v>2</v>
      </c>
      <c r="B33" s="468" t="s">
        <v>259</v>
      </c>
      <c r="C33" s="11" t="s">
        <v>10570</v>
      </c>
      <c r="D33" s="466">
        <f>4*48/3</f>
        <v>64</v>
      </c>
      <c r="E33" s="458"/>
      <c r="F33" s="458"/>
      <c r="G33" s="458">
        <v>4</v>
      </c>
      <c r="H33" s="458"/>
      <c r="I33" s="458"/>
      <c r="J33" s="458"/>
      <c r="K33" s="458">
        <v>4</v>
      </c>
      <c r="L33" s="458"/>
      <c r="M33" s="458"/>
      <c r="N33" s="458">
        <v>4</v>
      </c>
      <c r="O33" s="458"/>
      <c r="P33" s="458"/>
      <c r="Q33" s="458">
        <v>4</v>
      </c>
      <c r="R33" s="458"/>
      <c r="S33" s="458"/>
      <c r="T33" s="458">
        <v>4</v>
      </c>
      <c r="U33" s="458"/>
      <c r="V33" s="458"/>
      <c r="W33" s="458">
        <v>4</v>
      </c>
      <c r="X33" s="458"/>
      <c r="Y33" s="458"/>
      <c r="Z33" s="458">
        <v>4</v>
      </c>
      <c r="AA33" s="458"/>
      <c r="AB33" s="458"/>
      <c r="AC33" s="458">
        <v>4</v>
      </c>
      <c r="AD33" s="458"/>
      <c r="AE33" s="458"/>
      <c r="AF33" s="458">
        <v>4</v>
      </c>
      <c r="AG33" s="458"/>
      <c r="AH33" s="458"/>
      <c r="AI33" s="458">
        <v>4</v>
      </c>
      <c r="AJ33" s="458"/>
      <c r="AK33" s="458"/>
      <c r="AL33" s="458">
        <v>4</v>
      </c>
      <c r="AM33" s="458"/>
      <c r="AN33" s="458"/>
      <c r="AO33" s="458">
        <v>4</v>
      </c>
      <c r="AP33" s="458"/>
      <c r="AQ33" s="458"/>
      <c r="AR33" s="458">
        <v>4</v>
      </c>
      <c r="AS33" s="458"/>
      <c r="AT33" s="458"/>
      <c r="AU33" s="458">
        <v>4</v>
      </c>
      <c r="AV33" s="458"/>
      <c r="AW33" s="458"/>
      <c r="AX33" s="458">
        <v>4</v>
      </c>
      <c r="AY33" s="458"/>
      <c r="AZ33" s="458">
        <v>4</v>
      </c>
      <c r="BA33" s="457">
        <f t="shared" si="0"/>
        <v>0</v>
      </c>
    </row>
    <row r="34" spans="1:53" ht="15.6" x14ac:dyDescent="0.3">
      <c r="A34" s="19" t="s">
        <v>197</v>
      </c>
      <c r="B34" s="468" t="s">
        <v>260</v>
      </c>
      <c r="C34" s="50"/>
      <c r="D34" s="466"/>
      <c r="E34" s="458"/>
      <c r="F34" s="458"/>
      <c r="G34" s="458"/>
      <c r="H34" s="458"/>
      <c r="I34" s="458"/>
      <c r="J34" s="458"/>
      <c r="K34" s="458"/>
      <c r="L34" s="458"/>
      <c r="M34" s="458"/>
      <c r="N34" s="458"/>
      <c r="O34" s="458"/>
      <c r="P34" s="458"/>
      <c r="Q34" s="458"/>
      <c r="R34" s="458"/>
      <c r="S34" s="458"/>
      <c r="T34" s="458"/>
      <c r="U34" s="458"/>
      <c r="V34" s="458"/>
      <c r="W34" s="458"/>
      <c r="X34" s="458"/>
      <c r="Y34" s="458"/>
      <c r="Z34" s="458"/>
      <c r="AA34" s="458"/>
      <c r="AB34" s="458"/>
      <c r="AC34" s="458"/>
      <c r="AD34" s="458"/>
      <c r="AE34" s="458"/>
      <c r="AF34" s="458"/>
      <c r="AG34" s="458"/>
      <c r="AH34" s="458"/>
      <c r="AI34" s="458"/>
      <c r="AJ34" s="458"/>
      <c r="AK34" s="458"/>
      <c r="AL34" s="458"/>
      <c r="AM34" s="458"/>
      <c r="AN34" s="458"/>
      <c r="AO34" s="458"/>
      <c r="AP34" s="458"/>
      <c r="AQ34" s="458"/>
      <c r="AR34" s="458"/>
      <c r="AS34" s="458"/>
      <c r="AT34" s="458"/>
      <c r="AU34" s="458"/>
      <c r="AV34" s="458"/>
      <c r="AW34" s="458"/>
      <c r="AX34" s="458"/>
      <c r="AY34" s="458"/>
      <c r="AZ34" s="458"/>
      <c r="BA34" s="457">
        <f t="shared" si="0"/>
        <v>0</v>
      </c>
    </row>
    <row r="35" spans="1:53" ht="15.6" x14ac:dyDescent="0.3">
      <c r="A35" s="5">
        <v>2</v>
      </c>
      <c r="B35" s="468" t="s">
        <v>259</v>
      </c>
      <c r="C35" s="11" t="s">
        <v>10570</v>
      </c>
      <c r="D35" s="466">
        <f>4*48/3</f>
        <v>64</v>
      </c>
      <c r="E35" s="458"/>
      <c r="F35" s="458"/>
      <c r="G35" s="458">
        <v>4</v>
      </c>
      <c r="H35" s="458"/>
      <c r="I35" s="458"/>
      <c r="J35" s="458"/>
      <c r="K35" s="458">
        <v>4</v>
      </c>
      <c r="L35" s="458"/>
      <c r="M35" s="458"/>
      <c r="N35" s="458">
        <v>4</v>
      </c>
      <c r="O35" s="458"/>
      <c r="P35" s="458"/>
      <c r="Q35" s="458">
        <v>4</v>
      </c>
      <c r="R35" s="458"/>
      <c r="S35" s="458"/>
      <c r="T35" s="458">
        <v>4</v>
      </c>
      <c r="U35" s="458"/>
      <c r="V35" s="458"/>
      <c r="W35" s="458">
        <v>4</v>
      </c>
      <c r="X35" s="458"/>
      <c r="Y35" s="458"/>
      <c r="Z35" s="458">
        <v>4</v>
      </c>
      <c r="AA35" s="458"/>
      <c r="AB35" s="458"/>
      <c r="AC35" s="458">
        <v>4</v>
      </c>
      <c r="AD35" s="458"/>
      <c r="AE35" s="458"/>
      <c r="AF35" s="458">
        <v>4</v>
      </c>
      <c r="AG35" s="458"/>
      <c r="AH35" s="458"/>
      <c r="AI35" s="458">
        <v>4</v>
      </c>
      <c r="AJ35" s="458"/>
      <c r="AK35" s="458"/>
      <c r="AL35" s="458">
        <v>4</v>
      </c>
      <c r="AM35" s="458"/>
      <c r="AN35" s="458"/>
      <c r="AO35" s="458">
        <v>4</v>
      </c>
      <c r="AP35" s="458"/>
      <c r="AQ35" s="458"/>
      <c r="AR35" s="458">
        <v>4</v>
      </c>
      <c r="AS35" s="458"/>
      <c r="AT35" s="458"/>
      <c r="AU35" s="458">
        <v>4</v>
      </c>
      <c r="AV35" s="458"/>
      <c r="AW35" s="458"/>
      <c r="AX35" s="458">
        <v>4</v>
      </c>
      <c r="AY35" s="458"/>
      <c r="AZ35" s="458">
        <v>4</v>
      </c>
      <c r="BA35" s="457">
        <f t="shared" si="0"/>
        <v>0</v>
      </c>
    </row>
    <row r="36" spans="1:53" ht="15.6" x14ac:dyDescent="0.3">
      <c r="A36" s="19" t="s">
        <v>208</v>
      </c>
      <c r="B36" s="468" t="s">
        <v>261</v>
      </c>
      <c r="C36" s="50"/>
      <c r="D36" s="466"/>
      <c r="E36" s="458"/>
      <c r="F36" s="458"/>
      <c r="G36" s="458"/>
      <c r="H36" s="458"/>
      <c r="I36" s="458"/>
      <c r="J36" s="458"/>
      <c r="K36" s="458"/>
      <c r="L36" s="458"/>
      <c r="M36" s="458"/>
      <c r="N36" s="458"/>
      <c r="O36" s="458"/>
      <c r="P36" s="458"/>
      <c r="Q36" s="458"/>
      <c r="R36" s="458"/>
      <c r="S36" s="458"/>
      <c r="T36" s="458"/>
      <c r="U36" s="458"/>
      <c r="V36" s="458"/>
      <c r="W36" s="458"/>
      <c r="X36" s="458"/>
      <c r="Y36" s="458"/>
      <c r="Z36" s="458"/>
      <c r="AA36" s="458"/>
      <c r="AB36" s="458"/>
      <c r="AC36" s="458"/>
      <c r="AD36" s="458"/>
      <c r="AE36" s="458"/>
      <c r="AF36" s="458"/>
      <c r="AG36" s="458"/>
      <c r="AH36" s="458"/>
      <c r="AI36" s="458"/>
      <c r="AJ36" s="458"/>
      <c r="AK36" s="458"/>
      <c r="AL36" s="458"/>
      <c r="AM36" s="458"/>
      <c r="AN36" s="458"/>
      <c r="AO36" s="458"/>
      <c r="AP36" s="458"/>
      <c r="AQ36" s="458"/>
      <c r="AR36" s="458"/>
      <c r="AS36" s="458"/>
      <c r="AT36" s="458"/>
      <c r="AU36" s="458"/>
      <c r="AV36" s="458"/>
      <c r="AW36" s="458"/>
      <c r="AX36" s="458"/>
      <c r="AY36" s="458"/>
      <c r="AZ36" s="458"/>
      <c r="BA36" s="457">
        <f t="shared" si="0"/>
        <v>0</v>
      </c>
    </row>
    <row r="37" spans="1:53" ht="15.6" x14ac:dyDescent="0.3">
      <c r="A37" s="5">
        <v>2</v>
      </c>
      <c r="B37" s="468" t="s">
        <v>259</v>
      </c>
      <c r="C37" s="11" t="s">
        <v>10570</v>
      </c>
      <c r="D37" s="466">
        <f>4*48/3</f>
        <v>64</v>
      </c>
      <c r="E37" s="458"/>
      <c r="F37" s="458"/>
      <c r="G37" s="458">
        <v>4</v>
      </c>
      <c r="H37" s="458"/>
      <c r="I37" s="458"/>
      <c r="J37" s="458"/>
      <c r="K37" s="458">
        <v>4</v>
      </c>
      <c r="L37" s="458"/>
      <c r="M37" s="458"/>
      <c r="N37" s="458">
        <v>4</v>
      </c>
      <c r="O37" s="458"/>
      <c r="P37" s="458"/>
      <c r="Q37" s="458">
        <v>4</v>
      </c>
      <c r="R37" s="458"/>
      <c r="S37" s="458"/>
      <c r="T37" s="458">
        <v>4</v>
      </c>
      <c r="U37" s="458"/>
      <c r="V37" s="458"/>
      <c r="W37" s="458">
        <v>4</v>
      </c>
      <c r="X37" s="458"/>
      <c r="Y37" s="458"/>
      <c r="Z37" s="458">
        <v>4</v>
      </c>
      <c r="AA37" s="458"/>
      <c r="AB37" s="458"/>
      <c r="AC37" s="458">
        <v>4</v>
      </c>
      <c r="AD37" s="458"/>
      <c r="AE37" s="458"/>
      <c r="AF37" s="458">
        <v>4</v>
      </c>
      <c r="AG37" s="458"/>
      <c r="AH37" s="458"/>
      <c r="AI37" s="458">
        <v>4</v>
      </c>
      <c r="AJ37" s="458"/>
      <c r="AK37" s="458"/>
      <c r="AL37" s="458">
        <v>4</v>
      </c>
      <c r="AM37" s="458"/>
      <c r="AN37" s="458"/>
      <c r="AO37" s="458">
        <v>4</v>
      </c>
      <c r="AP37" s="458"/>
      <c r="AQ37" s="458"/>
      <c r="AR37" s="458">
        <v>4</v>
      </c>
      <c r="AS37" s="458"/>
      <c r="AT37" s="458"/>
      <c r="AU37" s="458">
        <v>4</v>
      </c>
      <c r="AV37" s="458"/>
      <c r="AW37" s="458"/>
      <c r="AX37" s="458">
        <v>4</v>
      </c>
      <c r="AY37" s="458"/>
      <c r="AZ37" s="458">
        <v>4</v>
      </c>
      <c r="BA37" s="457">
        <f t="shared" si="0"/>
        <v>0</v>
      </c>
    </row>
    <row r="38" spans="1:53" ht="15.6" x14ac:dyDescent="0.3">
      <c r="A38" s="19" t="s">
        <v>238</v>
      </c>
      <c r="B38" s="468" t="s">
        <v>262</v>
      </c>
      <c r="C38" s="50"/>
      <c r="D38" s="466"/>
      <c r="E38" s="458"/>
      <c r="F38" s="458"/>
      <c r="G38" s="458"/>
      <c r="H38" s="458"/>
      <c r="I38" s="458"/>
      <c r="J38" s="458"/>
      <c r="K38" s="458"/>
      <c r="L38" s="458"/>
      <c r="M38" s="458"/>
      <c r="N38" s="458"/>
      <c r="O38" s="458"/>
      <c r="P38" s="458"/>
      <c r="Q38" s="458"/>
      <c r="R38" s="458"/>
      <c r="S38" s="458"/>
      <c r="T38" s="458"/>
      <c r="U38" s="458"/>
      <c r="V38" s="458"/>
      <c r="W38" s="458"/>
      <c r="X38" s="458"/>
      <c r="Y38" s="458"/>
      <c r="Z38" s="458"/>
      <c r="AA38" s="458"/>
      <c r="AB38" s="458"/>
      <c r="AC38" s="458"/>
      <c r="AD38" s="458"/>
      <c r="AE38" s="458"/>
      <c r="AF38" s="458"/>
      <c r="AG38" s="458"/>
      <c r="AH38" s="458"/>
      <c r="AI38" s="458"/>
      <c r="AJ38" s="458"/>
      <c r="AK38" s="458"/>
      <c r="AL38" s="458"/>
      <c r="AM38" s="458"/>
      <c r="AN38" s="458"/>
      <c r="AO38" s="458"/>
      <c r="AP38" s="458"/>
      <c r="AQ38" s="458"/>
      <c r="AR38" s="458"/>
      <c r="AS38" s="458"/>
      <c r="AT38" s="458"/>
      <c r="AU38" s="458"/>
      <c r="AV38" s="458"/>
      <c r="AW38" s="458"/>
      <c r="AX38" s="458"/>
      <c r="AY38" s="458"/>
      <c r="AZ38" s="458"/>
      <c r="BA38" s="457">
        <f t="shared" si="0"/>
        <v>0</v>
      </c>
    </row>
    <row r="39" spans="1:53" ht="15.6" x14ac:dyDescent="0.3">
      <c r="A39" s="5">
        <v>2</v>
      </c>
      <c r="B39" s="468" t="s">
        <v>259</v>
      </c>
      <c r="C39" s="11" t="s">
        <v>10570</v>
      </c>
      <c r="D39" s="466">
        <f>2*48/3</f>
        <v>32</v>
      </c>
      <c r="E39" s="458"/>
      <c r="F39" s="458"/>
      <c r="G39" s="458">
        <v>2</v>
      </c>
      <c r="H39" s="458"/>
      <c r="I39" s="458"/>
      <c r="J39" s="458"/>
      <c r="K39" s="458">
        <v>2</v>
      </c>
      <c r="L39" s="458"/>
      <c r="M39" s="458"/>
      <c r="N39" s="458">
        <v>2</v>
      </c>
      <c r="O39" s="458"/>
      <c r="P39" s="458"/>
      <c r="Q39" s="458">
        <v>2</v>
      </c>
      <c r="R39" s="458"/>
      <c r="S39" s="458"/>
      <c r="T39" s="458">
        <v>2</v>
      </c>
      <c r="U39" s="458"/>
      <c r="V39" s="458"/>
      <c r="W39" s="458">
        <v>2</v>
      </c>
      <c r="X39" s="458"/>
      <c r="Y39" s="458"/>
      <c r="Z39" s="458">
        <v>2</v>
      </c>
      <c r="AA39" s="458"/>
      <c r="AB39" s="458"/>
      <c r="AC39" s="458">
        <v>2</v>
      </c>
      <c r="AD39" s="458"/>
      <c r="AE39" s="458"/>
      <c r="AF39" s="458">
        <v>2</v>
      </c>
      <c r="AG39" s="458"/>
      <c r="AH39" s="458"/>
      <c r="AI39" s="458">
        <v>2</v>
      </c>
      <c r="AJ39" s="458"/>
      <c r="AK39" s="458"/>
      <c r="AL39" s="458">
        <v>2</v>
      </c>
      <c r="AM39" s="458"/>
      <c r="AN39" s="458"/>
      <c r="AO39" s="458">
        <v>2</v>
      </c>
      <c r="AP39" s="458"/>
      <c r="AQ39" s="458"/>
      <c r="AR39" s="458">
        <v>2</v>
      </c>
      <c r="AS39" s="458"/>
      <c r="AT39" s="458"/>
      <c r="AU39" s="458">
        <v>2</v>
      </c>
      <c r="AV39" s="458"/>
      <c r="AW39" s="458"/>
      <c r="AX39" s="458">
        <v>2</v>
      </c>
      <c r="AY39" s="458"/>
      <c r="AZ39" s="458">
        <v>2</v>
      </c>
      <c r="BA39" s="457">
        <f t="shared" si="0"/>
        <v>0</v>
      </c>
    </row>
    <row r="40" spans="1:53" ht="15.6" x14ac:dyDescent="0.3">
      <c r="A40" s="19" t="s">
        <v>240</v>
      </c>
      <c r="B40" s="468" t="s">
        <v>263</v>
      </c>
      <c r="C40" s="50"/>
      <c r="D40" s="466"/>
      <c r="E40" s="458"/>
      <c r="F40" s="458"/>
      <c r="G40" s="458"/>
      <c r="H40" s="458"/>
      <c r="I40" s="458"/>
      <c r="J40" s="458"/>
      <c r="K40" s="458"/>
      <c r="L40" s="458"/>
      <c r="M40" s="458"/>
      <c r="N40" s="458"/>
      <c r="O40" s="458"/>
      <c r="P40" s="458"/>
      <c r="Q40" s="458"/>
      <c r="R40" s="458"/>
      <c r="S40" s="458"/>
      <c r="T40" s="458"/>
      <c r="U40" s="458"/>
      <c r="V40" s="458"/>
      <c r="W40" s="458"/>
      <c r="X40" s="458"/>
      <c r="Y40" s="458"/>
      <c r="Z40" s="458"/>
      <c r="AA40" s="458"/>
      <c r="AB40" s="458"/>
      <c r="AC40" s="458"/>
      <c r="AD40" s="458"/>
      <c r="AE40" s="458"/>
      <c r="AF40" s="458"/>
      <c r="AG40" s="458"/>
      <c r="AH40" s="458"/>
      <c r="AI40" s="458"/>
      <c r="AJ40" s="458"/>
      <c r="AK40" s="458"/>
      <c r="AL40" s="458"/>
      <c r="AM40" s="458"/>
      <c r="AN40" s="458"/>
      <c r="AO40" s="458"/>
      <c r="AP40" s="458"/>
      <c r="AQ40" s="458"/>
      <c r="AR40" s="458"/>
      <c r="AS40" s="458"/>
      <c r="AT40" s="458"/>
      <c r="AU40" s="458"/>
      <c r="AV40" s="458"/>
      <c r="AW40" s="458"/>
      <c r="AX40" s="458"/>
      <c r="AY40" s="458"/>
      <c r="AZ40" s="458"/>
      <c r="BA40" s="457">
        <f t="shared" si="0"/>
        <v>0</v>
      </c>
    </row>
    <row r="41" spans="1:53" ht="15.6" x14ac:dyDescent="0.3">
      <c r="A41" s="5">
        <v>2</v>
      </c>
      <c r="B41" s="468" t="s">
        <v>259</v>
      </c>
      <c r="C41" s="11" t="s">
        <v>10570</v>
      </c>
      <c r="D41" s="466">
        <v>16</v>
      </c>
      <c r="E41" s="458"/>
      <c r="F41" s="458"/>
      <c r="G41" s="495">
        <v>1</v>
      </c>
      <c r="H41" s="458"/>
      <c r="I41" s="458"/>
      <c r="J41" s="458"/>
      <c r="K41" s="458">
        <v>1</v>
      </c>
      <c r="L41" s="458"/>
      <c r="M41" s="458"/>
      <c r="N41" s="458">
        <v>1</v>
      </c>
      <c r="O41" s="458"/>
      <c r="P41" s="458"/>
      <c r="Q41" s="458">
        <v>1</v>
      </c>
      <c r="R41" s="458"/>
      <c r="S41" s="458"/>
      <c r="T41" s="458">
        <v>1</v>
      </c>
      <c r="U41" s="458"/>
      <c r="V41" s="458"/>
      <c r="W41" s="458">
        <v>1</v>
      </c>
      <c r="X41" s="458"/>
      <c r="Y41" s="458"/>
      <c r="Z41" s="458">
        <v>1</v>
      </c>
      <c r="AA41" s="458"/>
      <c r="AB41" s="458"/>
      <c r="AC41" s="458">
        <v>1</v>
      </c>
      <c r="AD41" s="458"/>
      <c r="AE41" s="458"/>
      <c r="AF41" s="458">
        <v>1</v>
      </c>
      <c r="AG41" s="458"/>
      <c r="AH41" s="458"/>
      <c r="AI41" s="458">
        <v>1</v>
      </c>
      <c r="AJ41" s="458"/>
      <c r="AK41" s="458"/>
      <c r="AL41" s="458">
        <v>1</v>
      </c>
      <c r="AM41" s="458"/>
      <c r="AN41" s="458"/>
      <c r="AO41" s="458">
        <v>1</v>
      </c>
      <c r="AP41" s="458"/>
      <c r="AQ41" s="458"/>
      <c r="AR41" s="458">
        <v>1</v>
      </c>
      <c r="AS41" s="458"/>
      <c r="AT41" s="458"/>
      <c r="AU41" s="458">
        <v>1</v>
      </c>
      <c r="AV41" s="458"/>
      <c r="AW41" s="458"/>
      <c r="AX41" s="458">
        <v>1</v>
      </c>
      <c r="AY41" s="458"/>
      <c r="AZ41" s="458">
        <v>1</v>
      </c>
      <c r="BA41" s="458">
        <f t="shared" si="0"/>
        <v>0</v>
      </c>
    </row>
    <row r="42" spans="1:53" ht="15.6" x14ac:dyDescent="0.3">
      <c r="A42" s="469"/>
      <c r="B42" s="468"/>
      <c r="C42" s="50"/>
      <c r="D42" s="466"/>
      <c r="E42" s="460"/>
      <c r="F42" s="460"/>
      <c r="G42" s="460"/>
      <c r="H42" s="460"/>
      <c r="I42" s="460"/>
      <c r="J42" s="460"/>
      <c r="K42" s="460"/>
      <c r="L42" s="460"/>
      <c r="M42" s="460"/>
      <c r="N42" s="460"/>
      <c r="O42" s="460"/>
      <c r="P42" s="460"/>
      <c r="Q42" s="460"/>
      <c r="R42" s="460"/>
      <c r="S42" s="460"/>
      <c r="T42" s="460"/>
      <c r="U42" s="460"/>
      <c r="V42" s="460"/>
      <c r="W42" s="460"/>
      <c r="X42" s="460"/>
      <c r="Y42" s="460"/>
      <c r="Z42" s="460"/>
      <c r="AA42" s="460"/>
      <c r="AB42" s="460"/>
      <c r="AC42" s="460"/>
      <c r="AD42" s="460"/>
      <c r="AE42" s="460"/>
      <c r="AF42" s="460"/>
      <c r="AG42" s="460"/>
      <c r="AH42" s="460"/>
      <c r="AI42" s="460"/>
      <c r="AJ42" s="460"/>
      <c r="AK42" s="460"/>
      <c r="AL42" s="460"/>
      <c r="AM42" s="460"/>
      <c r="AN42" s="460"/>
      <c r="AO42" s="460"/>
      <c r="AP42" s="460"/>
      <c r="AQ42" s="460"/>
      <c r="AR42" s="460"/>
      <c r="AS42" s="460"/>
      <c r="AT42" s="460"/>
      <c r="AU42" s="460"/>
      <c r="AV42" s="460"/>
      <c r="AW42" s="460"/>
      <c r="AX42" s="460"/>
      <c r="AY42" s="460"/>
      <c r="AZ42" s="460"/>
      <c r="BA42" s="460"/>
    </row>
    <row r="43" spans="1:53" ht="15.6" x14ac:dyDescent="0.3">
      <c r="A43" s="469"/>
      <c r="B43" s="468"/>
      <c r="C43" s="50"/>
      <c r="D43" s="466"/>
      <c r="E43" s="460"/>
      <c r="F43" s="460"/>
      <c r="G43" s="460"/>
      <c r="H43" s="460"/>
      <c r="I43" s="460"/>
      <c r="J43" s="460"/>
      <c r="K43" s="460"/>
      <c r="L43" s="460"/>
      <c r="M43" s="460"/>
      <c r="N43" s="460"/>
      <c r="O43" s="460"/>
      <c r="P43" s="460"/>
      <c r="Q43" s="460"/>
      <c r="R43" s="460"/>
      <c r="S43" s="460"/>
      <c r="T43" s="460"/>
      <c r="U43" s="460"/>
      <c r="V43" s="460"/>
      <c r="W43" s="460"/>
      <c r="X43" s="460"/>
      <c r="Y43" s="460"/>
      <c r="Z43" s="460"/>
      <c r="AA43" s="460"/>
      <c r="AB43" s="460"/>
      <c r="AC43" s="460"/>
      <c r="AD43" s="460"/>
      <c r="AE43" s="460"/>
      <c r="AF43" s="460"/>
      <c r="AG43" s="460"/>
      <c r="AH43" s="460"/>
      <c r="AI43" s="460"/>
      <c r="AJ43" s="460"/>
      <c r="AK43" s="460"/>
      <c r="AL43" s="460"/>
      <c r="AM43" s="460"/>
      <c r="AN43" s="460"/>
      <c r="AO43" s="460"/>
      <c r="AP43" s="460"/>
      <c r="AQ43" s="460"/>
      <c r="AR43" s="460"/>
      <c r="AS43" s="460"/>
      <c r="AT43" s="460"/>
      <c r="AU43" s="460"/>
      <c r="AV43" s="460"/>
      <c r="AW43" s="460"/>
      <c r="AX43" s="460"/>
      <c r="AY43" s="460"/>
      <c r="AZ43" s="460"/>
      <c r="BA43" s="460"/>
    </row>
    <row r="44" spans="1:53" ht="15.6" x14ac:dyDescent="0.3">
      <c r="A44" s="470"/>
      <c r="B44" s="471"/>
      <c r="C44" s="33"/>
      <c r="D44" s="472"/>
      <c r="E44" s="473"/>
      <c r="F44" s="473"/>
      <c r="G44" s="473"/>
      <c r="H44" s="473"/>
      <c r="I44" s="473"/>
      <c r="J44" s="473"/>
      <c r="K44" s="473"/>
      <c r="L44" s="473"/>
      <c r="M44" s="473"/>
      <c r="N44" s="473"/>
      <c r="O44" s="473"/>
      <c r="P44" s="473"/>
      <c r="Q44" s="473"/>
      <c r="R44" s="473"/>
      <c r="S44" s="473"/>
      <c r="T44" s="473"/>
      <c r="U44" s="473"/>
      <c r="V44" s="473"/>
      <c r="W44" s="473"/>
      <c r="X44" s="473"/>
      <c r="Y44" s="473"/>
      <c r="Z44" s="473"/>
      <c r="AA44" s="473"/>
      <c r="AB44" s="473"/>
      <c r="AC44" s="473"/>
      <c r="AD44" s="473"/>
      <c r="AE44" s="473"/>
      <c r="AF44" s="473"/>
      <c r="AG44" s="473"/>
      <c r="AH44" s="473"/>
      <c r="AI44" s="473"/>
      <c r="AJ44" s="473"/>
      <c r="AK44" s="473"/>
      <c r="AL44" s="473"/>
      <c r="AM44" s="473"/>
      <c r="AN44" s="473"/>
      <c r="AO44" s="473"/>
      <c r="AP44" s="473"/>
      <c r="AQ44" s="473"/>
      <c r="AR44" s="473"/>
      <c r="AS44" s="473"/>
      <c r="AT44" s="473"/>
      <c r="AU44" s="473"/>
      <c r="AV44" s="473"/>
      <c r="AW44" s="473"/>
      <c r="AX44" s="473"/>
      <c r="AY44" s="473"/>
      <c r="AZ44" s="473"/>
      <c r="BA44" s="473"/>
    </row>
  </sheetData>
  <mergeCells count="4">
    <mergeCell ref="A1:A2"/>
    <mergeCell ref="B1:B2"/>
    <mergeCell ref="C1:C2"/>
    <mergeCell ref="D1:D2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40" orientation="landscape" r:id="rId1"/>
  <headerFooter>
    <oddFooter>&amp;L_x000D_&amp;1#&amp;"Calibri"&amp;8&amp;K000000 Sensitivity: LNT Construction General Business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36F7-F7D1-4857-9784-CBEB67929B7B}">
  <sheetPr codeName="Sheet29">
    <pageSetUpPr fitToPage="1"/>
  </sheetPr>
  <dimension ref="A1:O239"/>
  <sheetViews>
    <sheetView view="pageBreakPreview" zoomScale="70" zoomScaleNormal="80" zoomScaleSheetLayoutView="70" workbookViewId="0">
      <pane ySplit="2" topLeftCell="A97" activePane="bottomLeft" state="frozen"/>
      <selection activeCell="A286" sqref="A286:XFD297"/>
      <selection pane="bottomLeft" activeCell="K134" sqref="K134"/>
    </sheetView>
  </sheetViews>
  <sheetFormatPr defaultColWidth="9.109375" defaultRowHeight="14.4" x14ac:dyDescent="0.3"/>
  <cols>
    <col min="1" max="1" width="28.5546875" style="644" customWidth="1"/>
    <col min="2" max="2" width="14" style="132" bestFit="1" customWidth="1"/>
    <col min="3" max="3" width="44.5546875" style="132" customWidth="1"/>
    <col min="4" max="4" width="14.44140625" style="425" bestFit="1" customWidth="1"/>
    <col min="5" max="5" width="10.44140625" style="642" bestFit="1" customWidth="1"/>
    <col min="6" max="6" width="10.88671875" style="643" customWidth="1"/>
    <col min="7" max="7" width="28.5546875" style="747" bestFit="1" customWidth="1"/>
    <col min="8" max="8" width="11.44140625" style="1085" customWidth="1"/>
    <col min="9" max="9" width="9.109375" style="425"/>
    <col min="10" max="10" width="11.44140625" style="1085" customWidth="1"/>
    <col min="11" max="11" width="25.44140625" style="132" bestFit="1" customWidth="1"/>
    <col min="12" max="12" width="14.44140625" style="1092" customWidth="1"/>
    <col min="13" max="13" width="11.109375" style="1092" bestFit="1" customWidth="1"/>
    <col min="14" max="14" width="16.44140625" style="425" bestFit="1" customWidth="1"/>
    <col min="15" max="15" width="9.109375" style="1048"/>
    <col min="16" max="16384" width="9.109375" style="132"/>
  </cols>
  <sheetData>
    <row r="1" spans="1:15" x14ac:dyDescent="0.3">
      <c r="N1" s="1092">
        <f>8876332097+413149</f>
        <v>8876745246</v>
      </c>
      <c r="O1" s="1093">
        <f>N1/26885400000</f>
        <v>0.3301697295186235</v>
      </c>
    </row>
    <row r="2" spans="1:15" s="58" customFormat="1" x14ac:dyDescent="0.3">
      <c r="A2" s="1175"/>
      <c r="B2" s="741" t="s">
        <v>498</v>
      </c>
      <c r="C2" s="741" t="s">
        <v>176</v>
      </c>
      <c r="D2" s="741" t="s">
        <v>500</v>
      </c>
      <c r="E2" s="741" t="s">
        <v>501</v>
      </c>
      <c r="F2" s="742" t="s">
        <v>502</v>
      </c>
      <c r="G2" s="743" t="s">
        <v>503</v>
      </c>
      <c r="H2" s="1082" t="s">
        <v>504</v>
      </c>
      <c r="I2" s="741" t="s">
        <v>505</v>
      </c>
      <c r="J2" s="1082" t="s">
        <v>506</v>
      </c>
      <c r="K2" s="741" t="s">
        <v>507</v>
      </c>
      <c r="L2" s="1090"/>
      <c r="M2" s="1090"/>
      <c r="N2" s="741"/>
      <c r="O2" s="1047"/>
    </row>
    <row r="3" spans="1:15" s="481" customFormat="1" x14ac:dyDescent="0.3">
      <c r="A3" s="644"/>
      <c r="B3" s="521" t="s">
        <v>1471</v>
      </c>
      <c r="C3" s="521" t="s">
        <v>1472</v>
      </c>
      <c r="D3" s="638" t="s">
        <v>190</v>
      </c>
      <c r="E3" s="639"/>
      <c r="F3" s="1110">
        <v>0.84615384615384615</v>
      </c>
      <c r="G3" s="745" t="s">
        <v>1478</v>
      </c>
      <c r="H3" s="1083">
        <v>46058</v>
      </c>
      <c r="I3" s="638" t="s">
        <v>1053</v>
      </c>
      <c r="J3" s="1083">
        <v>46058</v>
      </c>
      <c r="K3" s="521" t="s">
        <v>1479</v>
      </c>
      <c r="L3" s="1050"/>
      <c r="M3" s="1050"/>
      <c r="N3" s="1087"/>
      <c r="O3" s="1094">
        <f t="shared" ref="O3:O34" si="0">N3/26885400000+$O$1</f>
        <v>0.3301697295186235</v>
      </c>
    </row>
    <row r="4" spans="1:15" s="481" customFormat="1" x14ac:dyDescent="0.3">
      <c r="A4" s="644"/>
      <c r="B4" s="521" t="s">
        <v>1690</v>
      </c>
      <c r="C4" s="521" t="s">
        <v>1691</v>
      </c>
      <c r="D4" s="638" t="s">
        <v>190</v>
      </c>
      <c r="E4" s="639"/>
      <c r="F4" s="1110">
        <v>0.16</v>
      </c>
      <c r="G4" s="1173" t="s">
        <v>1696</v>
      </c>
      <c r="H4" s="1083">
        <v>46063</v>
      </c>
      <c r="I4" s="638" t="s">
        <v>1053</v>
      </c>
      <c r="J4" s="1083">
        <v>46063</v>
      </c>
      <c r="K4" s="521" t="s">
        <v>1697</v>
      </c>
      <c r="L4" s="1050"/>
      <c r="M4" s="1050"/>
      <c r="N4" s="1087"/>
      <c r="O4" s="1094">
        <f t="shared" si="0"/>
        <v>0.3301697295186235</v>
      </c>
    </row>
    <row r="5" spans="1:15" s="481" customFormat="1" x14ac:dyDescent="0.3">
      <c r="A5" s="644"/>
      <c r="B5" s="521" t="s">
        <v>1471</v>
      </c>
      <c r="C5" s="521" t="s">
        <v>1472</v>
      </c>
      <c r="D5" s="638" t="s">
        <v>190</v>
      </c>
      <c r="E5" s="639"/>
      <c r="F5" s="1110">
        <v>0.15384615384615385</v>
      </c>
      <c r="G5" s="745" t="s">
        <v>1480</v>
      </c>
      <c r="H5" s="1083">
        <v>46090</v>
      </c>
      <c r="I5" s="638" t="s">
        <v>1053</v>
      </c>
      <c r="J5" s="1083">
        <v>46090</v>
      </c>
      <c r="K5" s="521" t="s">
        <v>1481</v>
      </c>
      <c r="L5" s="1050"/>
      <c r="M5" s="1050"/>
      <c r="N5" s="1087"/>
      <c r="O5" s="1094">
        <f t="shared" si="0"/>
        <v>0.3301697295186235</v>
      </c>
    </row>
    <row r="6" spans="1:15" s="481" customFormat="1" x14ac:dyDescent="0.3">
      <c r="A6" s="644"/>
      <c r="B6" s="521" t="s">
        <v>1737</v>
      </c>
      <c r="C6" s="521" t="s">
        <v>1738</v>
      </c>
      <c r="D6" s="638" t="s">
        <v>190</v>
      </c>
      <c r="E6" s="639"/>
      <c r="F6" s="1110">
        <v>0.16666666666666666</v>
      </c>
      <c r="G6" s="1173" t="s">
        <v>1744</v>
      </c>
      <c r="H6" s="1083">
        <v>46095</v>
      </c>
      <c r="I6" s="638" t="s">
        <v>1053</v>
      </c>
      <c r="J6" s="1083">
        <v>46095</v>
      </c>
      <c r="K6" s="521" t="s">
        <v>1726</v>
      </c>
      <c r="L6" s="1050"/>
      <c r="M6" s="1050"/>
      <c r="N6" s="1087"/>
      <c r="O6" s="1094">
        <f t="shared" si="0"/>
        <v>0.3301697295186235</v>
      </c>
    </row>
    <row r="7" spans="1:15" x14ac:dyDescent="0.3">
      <c r="B7" s="521" t="s">
        <v>759</v>
      </c>
      <c r="C7" s="521" t="s">
        <v>384</v>
      </c>
      <c r="D7" s="638" t="s">
        <v>333</v>
      </c>
      <c r="E7" s="639"/>
      <c r="F7" s="1110">
        <v>450.47800000000001</v>
      </c>
      <c r="G7" s="1173" t="s">
        <v>6040</v>
      </c>
      <c r="H7" s="1083">
        <v>46112</v>
      </c>
      <c r="I7" s="638" t="s">
        <v>1053</v>
      </c>
      <c r="J7" s="1083">
        <v>46112</v>
      </c>
      <c r="K7" s="521"/>
      <c r="L7" s="1050"/>
      <c r="M7" s="1050"/>
      <c r="N7" s="1087"/>
      <c r="O7" s="1094">
        <f t="shared" si="0"/>
        <v>0.3301697295186235</v>
      </c>
    </row>
    <row r="8" spans="1:15" x14ac:dyDescent="0.3">
      <c r="A8" s="644" t="s">
        <v>10576</v>
      </c>
      <c r="B8" s="521" t="s">
        <v>522</v>
      </c>
      <c r="C8" s="521" t="s">
        <v>523</v>
      </c>
      <c r="D8" s="638" t="s">
        <v>190</v>
      </c>
      <c r="E8" s="639" t="s">
        <v>515</v>
      </c>
      <c r="F8" s="1110">
        <v>1</v>
      </c>
      <c r="G8" s="1173" t="s">
        <v>10577</v>
      </c>
      <c r="H8" s="1084">
        <v>46113</v>
      </c>
      <c r="I8" s="638" t="s">
        <v>1053</v>
      </c>
      <c r="J8" s="1083">
        <v>46113</v>
      </c>
      <c r="K8" s="521" t="s">
        <v>9229</v>
      </c>
      <c r="L8" s="1138" t="s">
        <v>10578</v>
      </c>
      <c r="M8" s="1138"/>
      <c r="N8" s="1087"/>
      <c r="O8" s="1094">
        <f t="shared" si="0"/>
        <v>0.3301697295186235</v>
      </c>
    </row>
    <row r="9" spans="1:15" s="481" customFormat="1" x14ac:dyDescent="0.3">
      <c r="A9" s="644"/>
      <c r="B9" s="521" t="s">
        <v>540</v>
      </c>
      <c r="C9" s="521" t="s">
        <v>376</v>
      </c>
      <c r="D9" s="638" t="s">
        <v>320</v>
      </c>
      <c r="E9" s="639" t="s">
        <v>510</v>
      </c>
      <c r="F9" s="1110">
        <v>0.52500000000000002</v>
      </c>
      <c r="G9" s="745" t="s">
        <v>10579</v>
      </c>
      <c r="H9" s="1083">
        <v>46113</v>
      </c>
      <c r="I9" s="638" t="s">
        <v>1053</v>
      </c>
      <c r="J9" s="1083">
        <v>46114</v>
      </c>
      <c r="K9" s="521" t="s">
        <v>4711</v>
      </c>
      <c r="L9" s="1050"/>
      <c r="M9" s="1050"/>
      <c r="N9" s="1087"/>
      <c r="O9" s="1094">
        <f t="shared" si="0"/>
        <v>0.3301697295186235</v>
      </c>
    </row>
    <row r="10" spans="1:15" s="481" customFormat="1" x14ac:dyDescent="0.3">
      <c r="A10" s="644"/>
      <c r="B10" s="521" t="s">
        <v>522</v>
      </c>
      <c r="C10" s="521" t="s">
        <v>523</v>
      </c>
      <c r="D10" s="638" t="s">
        <v>190</v>
      </c>
      <c r="E10" s="639" t="s">
        <v>515</v>
      </c>
      <c r="F10" s="1110">
        <v>1</v>
      </c>
      <c r="G10" s="1173" t="s">
        <v>10580</v>
      </c>
      <c r="H10" s="1084">
        <v>46114</v>
      </c>
      <c r="I10" s="638" t="s">
        <v>1053</v>
      </c>
      <c r="J10" s="1083">
        <v>46114</v>
      </c>
      <c r="K10" s="521" t="s">
        <v>9224</v>
      </c>
      <c r="L10" s="1138"/>
      <c r="M10" s="1138"/>
      <c r="N10" s="1087"/>
      <c r="O10" s="1094">
        <f t="shared" si="0"/>
        <v>0.3301697295186235</v>
      </c>
    </row>
    <row r="11" spans="1:15" s="481" customFormat="1" x14ac:dyDescent="0.3">
      <c r="A11" s="644"/>
      <c r="B11" s="521" t="s">
        <v>3116</v>
      </c>
      <c r="C11" s="521" t="s">
        <v>372</v>
      </c>
      <c r="D11" s="638" t="s">
        <v>320</v>
      </c>
      <c r="E11" s="639" t="s">
        <v>510</v>
      </c>
      <c r="F11" s="1110">
        <v>2.8</v>
      </c>
      <c r="G11" s="745" t="s">
        <v>10581</v>
      </c>
      <c r="H11" s="1083">
        <v>46116</v>
      </c>
      <c r="I11" s="638" t="s">
        <v>1053</v>
      </c>
      <c r="J11" s="1083">
        <v>46117</v>
      </c>
      <c r="K11" s="521" t="s">
        <v>4078</v>
      </c>
      <c r="L11" s="1050"/>
      <c r="M11" s="1050"/>
      <c r="N11" s="1087"/>
      <c r="O11" s="1094">
        <f t="shared" si="0"/>
        <v>0.3301697295186235</v>
      </c>
    </row>
    <row r="12" spans="1:15" s="481" customFormat="1" x14ac:dyDescent="0.3">
      <c r="A12" s="644"/>
      <c r="B12" s="521" t="s">
        <v>561</v>
      </c>
      <c r="C12" s="521" t="s">
        <v>509</v>
      </c>
      <c r="D12" s="638" t="s">
        <v>190</v>
      </c>
      <c r="E12" s="639" t="s">
        <v>510</v>
      </c>
      <c r="F12" s="1110">
        <v>1</v>
      </c>
      <c r="G12" s="745" t="s">
        <v>10582</v>
      </c>
      <c r="H12" s="1083">
        <v>46118</v>
      </c>
      <c r="I12" s="638" t="s">
        <v>1053</v>
      </c>
      <c r="J12" s="1083">
        <v>46119</v>
      </c>
      <c r="K12" s="521" t="s">
        <v>5594</v>
      </c>
      <c r="L12" s="1050"/>
      <c r="M12" s="1050"/>
      <c r="N12" s="1087"/>
      <c r="O12" s="1094">
        <f t="shared" si="0"/>
        <v>0.3301697295186235</v>
      </c>
    </row>
    <row r="13" spans="1:15" s="644" customFormat="1" x14ac:dyDescent="0.3">
      <c r="B13" s="521" t="s">
        <v>540</v>
      </c>
      <c r="C13" s="521" t="s">
        <v>376</v>
      </c>
      <c r="D13" s="638" t="s">
        <v>320</v>
      </c>
      <c r="E13" s="639" t="s">
        <v>515</v>
      </c>
      <c r="F13" s="1110">
        <v>0.51500000000000001</v>
      </c>
      <c r="G13" s="745" t="s">
        <v>10583</v>
      </c>
      <c r="H13" s="1083">
        <v>46116</v>
      </c>
      <c r="I13" s="638" t="s">
        <v>1053</v>
      </c>
      <c r="J13" s="1083">
        <v>46120</v>
      </c>
      <c r="K13" s="521" t="s">
        <v>4678</v>
      </c>
      <c r="L13" s="1050"/>
      <c r="M13" s="1050"/>
      <c r="N13" s="1087"/>
      <c r="O13" s="1094">
        <f t="shared" si="0"/>
        <v>0.3301697295186235</v>
      </c>
    </row>
    <row r="14" spans="1:15" s="644" customFormat="1" x14ac:dyDescent="0.3">
      <c r="A14" s="644" t="s">
        <v>10584</v>
      </c>
      <c r="B14" s="521" t="s">
        <v>508</v>
      </c>
      <c r="C14" s="521" t="s">
        <v>509</v>
      </c>
      <c r="D14" s="638" t="s">
        <v>190</v>
      </c>
      <c r="E14" s="639" t="s">
        <v>515</v>
      </c>
      <c r="F14" s="1110">
        <v>1</v>
      </c>
      <c r="G14" s="745" t="s">
        <v>10585</v>
      </c>
      <c r="H14" s="1083">
        <v>46118</v>
      </c>
      <c r="I14" s="638" t="s">
        <v>1053</v>
      </c>
      <c r="J14" s="1083">
        <v>46120</v>
      </c>
      <c r="K14" s="521" t="s">
        <v>5703</v>
      </c>
      <c r="L14" s="1050"/>
      <c r="M14" s="1050"/>
      <c r="N14" s="1087"/>
      <c r="O14" s="1094">
        <f t="shared" si="0"/>
        <v>0.3301697295186235</v>
      </c>
    </row>
    <row r="15" spans="1:15" s="481" customFormat="1" x14ac:dyDescent="0.3">
      <c r="A15" s="644"/>
      <c r="B15" s="521" t="s">
        <v>508</v>
      </c>
      <c r="C15" s="521" t="s">
        <v>509</v>
      </c>
      <c r="D15" s="638" t="s">
        <v>190</v>
      </c>
      <c r="E15" s="639" t="s">
        <v>510</v>
      </c>
      <c r="F15" s="1110">
        <v>1</v>
      </c>
      <c r="G15" s="745" t="s">
        <v>10586</v>
      </c>
      <c r="H15" s="1083">
        <v>46118</v>
      </c>
      <c r="I15" s="638" t="s">
        <v>1053</v>
      </c>
      <c r="J15" s="1083">
        <v>46120</v>
      </c>
      <c r="K15" s="521" t="s">
        <v>5608</v>
      </c>
      <c r="L15" s="1050"/>
      <c r="M15" s="1050"/>
      <c r="N15" s="1087"/>
      <c r="O15" s="1094">
        <f t="shared" si="0"/>
        <v>0.3301697295186235</v>
      </c>
    </row>
    <row r="16" spans="1:15" s="481" customFormat="1" x14ac:dyDescent="0.3">
      <c r="A16" s="644"/>
      <c r="B16" s="521" t="s">
        <v>540</v>
      </c>
      <c r="C16" s="521" t="s">
        <v>376</v>
      </c>
      <c r="D16" s="638" t="s">
        <v>320</v>
      </c>
      <c r="E16" s="639" t="s">
        <v>515</v>
      </c>
      <c r="F16" s="1110">
        <v>0.63</v>
      </c>
      <c r="G16" s="745" t="s">
        <v>10587</v>
      </c>
      <c r="H16" s="1083">
        <v>46118</v>
      </c>
      <c r="I16" s="638" t="s">
        <v>1053</v>
      </c>
      <c r="J16" s="1083">
        <v>46120</v>
      </c>
      <c r="K16" s="521" t="s">
        <v>4657</v>
      </c>
      <c r="L16" s="1050"/>
      <c r="M16" s="1050"/>
      <c r="N16" s="1087"/>
      <c r="O16" s="1094">
        <f t="shared" si="0"/>
        <v>0.3301697295186235</v>
      </c>
    </row>
    <row r="17" spans="1:15" s="481" customFormat="1" x14ac:dyDescent="0.3">
      <c r="A17" s="644"/>
      <c r="B17" s="521" t="s">
        <v>530</v>
      </c>
      <c r="C17" s="521" t="s">
        <v>400</v>
      </c>
      <c r="D17" s="638" t="s">
        <v>190</v>
      </c>
      <c r="E17" s="639" t="s">
        <v>515</v>
      </c>
      <c r="F17" s="1110">
        <v>2</v>
      </c>
      <c r="G17" s="745" t="s">
        <v>9801</v>
      </c>
      <c r="H17" s="1083">
        <v>46120</v>
      </c>
      <c r="I17" s="638" t="s">
        <v>1053</v>
      </c>
      <c r="J17" s="1083">
        <v>46120</v>
      </c>
      <c r="K17" s="521" t="s">
        <v>9802</v>
      </c>
      <c r="L17" s="1050"/>
      <c r="M17" s="1050"/>
      <c r="N17" s="1087"/>
      <c r="O17" s="1094">
        <f t="shared" si="0"/>
        <v>0.3301697295186235</v>
      </c>
    </row>
    <row r="18" spans="1:15" s="481" customFormat="1" x14ac:dyDescent="0.3">
      <c r="A18" s="644"/>
      <c r="B18" s="521" t="s">
        <v>530</v>
      </c>
      <c r="C18" s="521" t="s">
        <v>400</v>
      </c>
      <c r="D18" s="638" t="s">
        <v>190</v>
      </c>
      <c r="E18" s="639" t="s">
        <v>515</v>
      </c>
      <c r="F18" s="1110">
        <v>2</v>
      </c>
      <c r="G18" s="745" t="s">
        <v>9803</v>
      </c>
      <c r="H18" s="1083">
        <v>46120</v>
      </c>
      <c r="I18" s="638" t="s">
        <v>1053</v>
      </c>
      <c r="J18" s="1083">
        <v>46120</v>
      </c>
      <c r="K18" s="521" t="s">
        <v>9804</v>
      </c>
      <c r="L18" s="1050"/>
      <c r="M18" s="1050"/>
      <c r="N18" s="1087"/>
      <c r="O18" s="1094">
        <f t="shared" si="0"/>
        <v>0.3301697295186235</v>
      </c>
    </row>
    <row r="19" spans="1:15" s="481" customFormat="1" x14ac:dyDescent="0.3">
      <c r="A19" s="644"/>
      <c r="B19" s="521" t="s">
        <v>508</v>
      </c>
      <c r="C19" s="521" t="s">
        <v>509</v>
      </c>
      <c r="D19" s="638" t="s">
        <v>190</v>
      </c>
      <c r="E19" s="639" t="s">
        <v>515</v>
      </c>
      <c r="F19" s="1110">
        <v>1</v>
      </c>
      <c r="G19" s="745" t="s">
        <v>10588</v>
      </c>
      <c r="H19" s="1083">
        <v>46118</v>
      </c>
      <c r="I19" s="638" t="s">
        <v>1053</v>
      </c>
      <c r="J19" s="1083">
        <v>46121</v>
      </c>
      <c r="K19" s="521" t="s">
        <v>5665</v>
      </c>
      <c r="L19" s="1050"/>
      <c r="M19" s="1050"/>
      <c r="N19" s="1087"/>
      <c r="O19" s="1094">
        <f t="shared" si="0"/>
        <v>0.3301697295186235</v>
      </c>
    </row>
    <row r="20" spans="1:15" s="481" customFormat="1" x14ac:dyDescent="0.3">
      <c r="A20" s="644"/>
      <c r="B20" s="521" t="s">
        <v>508</v>
      </c>
      <c r="C20" s="521" t="s">
        <v>509</v>
      </c>
      <c r="D20" s="638" t="s">
        <v>190</v>
      </c>
      <c r="E20" s="639" t="s">
        <v>510</v>
      </c>
      <c r="F20" s="1110">
        <v>1</v>
      </c>
      <c r="G20" s="745" t="s">
        <v>10589</v>
      </c>
      <c r="H20" s="1083">
        <v>46119</v>
      </c>
      <c r="I20" s="638" t="s">
        <v>1053</v>
      </c>
      <c r="J20" s="1083">
        <v>46121</v>
      </c>
      <c r="K20" s="521" t="s">
        <v>5641</v>
      </c>
      <c r="L20" s="1050"/>
      <c r="M20" s="1050"/>
      <c r="N20" s="1087"/>
      <c r="O20" s="1094">
        <f t="shared" si="0"/>
        <v>0.3301697295186235</v>
      </c>
    </row>
    <row r="21" spans="1:15" s="481" customFormat="1" x14ac:dyDescent="0.3">
      <c r="A21" s="644"/>
      <c r="B21" s="521" t="s">
        <v>508</v>
      </c>
      <c r="C21" s="521" t="s">
        <v>509</v>
      </c>
      <c r="D21" s="638" t="s">
        <v>190</v>
      </c>
      <c r="E21" s="639" t="s">
        <v>515</v>
      </c>
      <c r="F21" s="1110">
        <v>1</v>
      </c>
      <c r="G21" s="1173" t="s">
        <v>10590</v>
      </c>
      <c r="H21" s="1084">
        <v>46119</v>
      </c>
      <c r="I21" s="638" t="s">
        <v>1053</v>
      </c>
      <c r="J21" s="1083">
        <v>46121</v>
      </c>
      <c r="K21" s="521" t="s">
        <v>5674</v>
      </c>
      <c r="L21" s="1138"/>
      <c r="M21" s="1138"/>
      <c r="N21" s="1087"/>
      <c r="O21" s="1094">
        <f t="shared" si="0"/>
        <v>0.3301697295186235</v>
      </c>
    </row>
    <row r="22" spans="1:15" s="481" customFormat="1" x14ac:dyDescent="0.3">
      <c r="A22" s="644"/>
      <c r="B22" s="521" t="s">
        <v>561</v>
      </c>
      <c r="C22" s="521" t="s">
        <v>509</v>
      </c>
      <c r="D22" s="638" t="s">
        <v>190</v>
      </c>
      <c r="E22" s="639" t="s">
        <v>515</v>
      </c>
      <c r="F22" s="1110">
        <v>1</v>
      </c>
      <c r="G22" s="745" t="s">
        <v>10591</v>
      </c>
      <c r="H22" s="1083">
        <v>46120</v>
      </c>
      <c r="I22" s="638" t="s">
        <v>1053</v>
      </c>
      <c r="J22" s="1083">
        <v>46122</v>
      </c>
      <c r="K22" s="521" t="s">
        <v>5680</v>
      </c>
      <c r="L22" s="1050"/>
      <c r="M22" s="1050"/>
      <c r="N22" s="1087"/>
      <c r="O22" s="1094">
        <f t="shared" si="0"/>
        <v>0.3301697295186235</v>
      </c>
    </row>
    <row r="23" spans="1:15" s="481" customFormat="1" x14ac:dyDescent="0.3">
      <c r="A23" s="644"/>
      <c r="B23" s="521" t="s">
        <v>540</v>
      </c>
      <c r="C23" s="521" t="s">
        <v>376</v>
      </c>
      <c r="D23" s="638" t="s">
        <v>320</v>
      </c>
      <c r="E23" s="639" t="s">
        <v>510</v>
      </c>
      <c r="F23" s="1110">
        <v>4</v>
      </c>
      <c r="G23" s="745" t="s">
        <v>10592</v>
      </c>
      <c r="H23" s="1083">
        <v>46117</v>
      </c>
      <c r="I23" s="638" t="s">
        <v>1053</v>
      </c>
      <c r="J23" s="1083">
        <v>46123</v>
      </c>
      <c r="K23" s="521" t="s">
        <v>4693</v>
      </c>
      <c r="L23" s="1050"/>
      <c r="M23" s="1050"/>
      <c r="N23" s="1087"/>
      <c r="O23" s="1094">
        <f t="shared" si="0"/>
        <v>0.3301697295186235</v>
      </c>
    </row>
    <row r="24" spans="1:15" x14ac:dyDescent="0.3">
      <c r="B24" s="521" t="s">
        <v>3116</v>
      </c>
      <c r="C24" s="521" t="s">
        <v>372</v>
      </c>
      <c r="D24" s="638" t="s">
        <v>320</v>
      </c>
      <c r="E24" s="639" t="s">
        <v>510</v>
      </c>
      <c r="F24" s="1110">
        <v>2.7</v>
      </c>
      <c r="G24" s="745" t="s">
        <v>10593</v>
      </c>
      <c r="H24" s="1083">
        <v>46119</v>
      </c>
      <c r="I24" s="638" t="s">
        <v>1053</v>
      </c>
      <c r="J24" s="1083">
        <v>46123</v>
      </c>
      <c r="K24" s="521" t="s">
        <v>3867</v>
      </c>
      <c r="L24" s="1050"/>
      <c r="M24" s="1050"/>
      <c r="N24" s="1087"/>
      <c r="O24" s="1094">
        <f t="shared" si="0"/>
        <v>0.3301697295186235</v>
      </c>
    </row>
    <row r="25" spans="1:15" s="481" customFormat="1" x14ac:dyDescent="0.3">
      <c r="A25" s="644"/>
      <c r="B25" s="521" t="s">
        <v>603</v>
      </c>
      <c r="C25" s="521" t="s">
        <v>604</v>
      </c>
      <c r="D25" s="638" t="s">
        <v>190</v>
      </c>
      <c r="E25" s="639" t="s">
        <v>515</v>
      </c>
      <c r="F25" s="1110">
        <v>4</v>
      </c>
      <c r="G25" s="745" t="s">
        <v>9357</v>
      </c>
      <c r="H25" s="1083">
        <v>46119</v>
      </c>
      <c r="I25" s="638" t="s">
        <v>1053</v>
      </c>
      <c r="J25" s="1083">
        <v>46123</v>
      </c>
      <c r="K25" s="521" t="s">
        <v>9358</v>
      </c>
      <c r="L25" s="1050"/>
      <c r="M25" s="1050"/>
      <c r="N25" s="1087"/>
      <c r="O25" s="1094">
        <f t="shared" si="0"/>
        <v>0.3301697295186235</v>
      </c>
    </row>
    <row r="26" spans="1:15" s="481" customFormat="1" x14ac:dyDescent="0.3">
      <c r="A26" s="644"/>
      <c r="B26" s="521" t="s">
        <v>551</v>
      </c>
      <c r="C26" s="521" t="s">
        <v>552</v>
      </c>
      <c r="D26" s="638" t="s">
        <v>190</v>
      </c>
      <c r="E26" s="639" t="s">
        <v>515</v>
      </c>
      <c r="F26" s="1110">
        <v>1</v>
      </c>
      <c r="G26" s="745" t="s">
        <v>10594</v>
      </c>
      <c r="H26" s="1083">
        <v>46122</v>
      </c>
      <c r="I26" s="638" t="s">
        <v>1053</v>
      </c>
      <c r="J26" s="1083">
        <v>46123</v>
      </c>
      <c r="K26" s="521" t="s">
        <v>9260</v>
      </c>
      <c r="L26" s="1050"/>
      <c r="M26" s="1050"/>
      <c r="N26" s="1087"/>
      <c r="O26" s="1094">
        <f t="shared" si="0"/>
        <v>0.3301697295186235</v>
      </c>
    </row>
    <row r="27" spans="1:15" x14ac:dyDescent="0.3">
      <c r="B27" s="521" t="s">
        <v>530</v>
      </c>
      <c r="C27" s="521" t="s">
        <v>400</v>
      </c>
      <c r="D27" s="638" t="s">
        <v>190</v>
      </c>
      <c r="E27" s="639" t="s">
        <v>515</v>
      </c>
      <c r="F27" s="1110">
        <v>2</v>
      </c>
      <c r="G27" s="745" t="s">
        <v>9805</v>
      </c>
      <c r="H27" s="1083">
        <v>46123</v>
      </c>
      <c r="I27" s="638" t="s">
        <v>1053</v>
      </c>
      <c r="J27" s="1083">
        <v>46123</v>
      </c>
      <c r="K27" s="521" t="s">
        <v>9806</v>
      </c>
      <c r="L27" s="1050"/>
      <c r="M27" s="1050"/>
      <c r="N27" s="1087"/>
      <c r="O27" s="1094">
        <f t="shared" si="0"/>
        <v>0.3301697295186235</v>
      </c>
    </row>
    <row r="28" spans="1:15" x14ac:dyDescent="0.3">
      <c r="A28" s="644" t="s">
        <v>10584</v>
      </c>
      <c r="B28" s="521" t="s">
        <v>561</v>
      </c>
      <c r="C28" s="521" t="s">
        <v>509</v>
      </c>
      <c r="D28" s="638" t="s">
        <v>190</v>
      </c>
      <c r="E28" s="639" t="s">
        <v>515</v>
      </c>
      <c r="F28" s="1110">
        <v>1</v>
      </c>
      <c r="G28" s="745" t="s">
        <v>10595</v>
      </c>
      <c r="H28" s="1083">
        <v>46122</v>
      </c>
      <c r="I28" s="638" t="s">
        <v>1053</v>
      </c>
      <c r="J28" s="1083">
        <v>46124</v>
      </c>
      <c r="K28" s="521" t="s">
        <v>5701</v>
      </c>
      <c r="L28" s="1050"/>
      <c r="M28" s="1050"/>
      <c r="N28" s="1087"/>
      <c r="O28" s="1094">
        <f t="shared" si="0"/>
        <v>0.3301697295186235</v>
      </c>
    </row>
    <row r="29" spans="1:15" x14ac:dyDescent="0.3">
      <c r="B29" s="521" t="s">
        <v>561</v>
      </c>
      <c r="C29" s="521" t="s">
        <v>509</v>
      </c>
      <c r="D29" s="638" t="s">
        <v>190</v>
      </c>
      <c r="E29" s="639" t="s">
        <v>515</v>
      </c>
      <c r="F29" s="1110">
        <v>1</v>
      </c>
      <c r="G29" s="1173" t="s">
        <v>10596</v>
      </c>
      <c r="H29" s="1083">
        <v>46122</v>
      </c>
      <c r="I29" s="638" t="s">
        <v>1053</v>
      </c>
      <c r="J29" s="1083">
        <v>46124</v>
      </c>
      <c r="K29" s="521" t="s">
        <v>5668</v>
      </c>
      <c r="L29" s="1050"/>
      <c r="M29" s="1050"/>
      <c r="N29" s="1087"/>
      <c r="O29" s="1094">
        <f t="shared" si="0"/>
        <v>0.3301697295186235</v>
      </c>
    </row>
    <row r="30" spans="1:15" x14ac:dyDescent="0.3">
      <c r="B30" s="521" t="s">
        <v>561</v>
      </c>
      <c r="C30" s="521" t="s">
        <v>509</v>
      </c>
      <c r="D30" s="638" t="s">
        <v>190</v>
      </c>
      <c r="E30" s="639" t="s">
        <v>510</v>
      </c>
      <c r="F30" s="1110">
        <v>1</v>
      </c>
      <c r="G30" s="745" t="s">
        <v>10597</v>
      </c>
      <c r="H30" s="1083">
        <v>46122</v>
      </c>
      <c r="I30" s="638" t="s">
        <v>1053</v>
      </c>
      <c r="J30" s="1083">
        <v>46124</v>
      </c>
      <c r="K30" s="521" t="s">
        <v>5619</v>
      </c>
      <c r="L30" s="1050"/>
      <c r="M30" s="1050"/>
      <c r="N30" s="1087"/>
      <c r="O30" s="1094">
        <f t="shared" si="0"/>
        <v>0.3301697295186235</v>
      </c>
    </row>
    <row r="31" spans="1:15" x14ac:dyDescent="0.3">
      <c r="B31" s="521" t="s">
        <v>561</v>
      </c>
      <c r="C31" s="521" t="s">
        <v>509</v>
      </c>
      <c r="D31" s="638" t="s">
        <v>190</v>
      </c>
      <c r="E31" s="639" t="s">
        <v>510</v>
      </c>
      <c r="F31" s="1110">
        <v>1</v>
      </c>
      <c r="G31" s="1173" t="s">
        <v>10598</v>
      </c>
      <c r="H31" s="1083">
        <v>46123</v>
      </c>
      <c r="I31" s="638" t="s">
        <v>1053</v>
      </c>
      <c r="J31" s="1083">
        <v>46124</v>
      </c>
      <c r="K31" s="521" t="s">
        <v>5644</v>
      </c>
      <c r="L31" s="1050"/>
      <c r="M31" s="1050"/>
      <c r="N31" s="1087"/>
      <c r="O31" s="1094">
        <f t="shared" si="0"/>
        <v>0.3301697295186235</v>
      </c>
    </row>
    <row r="32" spans="1:15" x14ac:dyDescent="0.3">
      <c r="B32" s="521" t="s">
        <v>3116</v>
      </c>
      <c r="C32" s="521" t="s">
        <v>372</v>
      </c>
      <c r="D32" s="638" t="s">
        <v>320</v>
      </c>
      <c r="E32" s="639" t="s">
        <v>510</v>
      </c>
      <c r="F32" s="1110">
        <v>2.5</v>
      </c>
      <c r="G32" s="745" t="s">
        <v>10599</v>
      </c>
      <c r="H32" s="1083">
        <v>46122</v>
      </c>
      <c r="I32" s="638" t="s">
        <v>1053</v>
      </c>
      <c r="J32" s="1083">
        <v>46125</v>
      </c>
      <c r="K32" s="521" t="s">
        <v>3870</v>
      </c>
      <c r="L32" s="1050"/>
      <c r="M32" s="1050"/>
      <c r="N32" s="1087"/>
      <c r="O32" s="1094">
        <f t="shared" si="0"/>
        <v>0.3301697295186235</v>
      </c>
    </row>
    <row r="33" spans="1:15" x14ac:dyDescent="0.3">
      <c r="B33" s="521" t="s">
        <v>3116</v>
      </c>
      <c r="C33" s="521" t="s">
        <v>372</v>
      </c>
      <c r="D33" s="638" t="s">
        <v>320</v>
      </c>
      <c r="E33" s="639" t="s">
        <v>510</v>
      </c>
      <c r="F33" s="1110">
        <v>1.05</v>
      </c>
      <c r="G33" s="745" t="s">
        <v>10600</v>
      </c>
      <c r="H33" s="1083">
        <v>46123</v>
      </c>
      <c r="I33" s="638" t="s">
        <v>1053</v>
      </c>
      <c r="J33" s="1083">
        <v>46125</v>
      </c>
      <c r="K33" s="521" t="s">
        <v>4580</v>
      </c>
      <c r="L33" s="1050"/>
      <c r="M33" s="1050"/>
      <c r="N33" s="1087"/>
      <c r="O33" s="1094">
        <f t="shared" si="0"/>
        <v>0.3301697295186235</v>
      </c>
    </row>
    <row r="34" spans="1:15" x14ac:dyDescent="0.3">
      <c r="B34" s="521" t="s">
        <v>508</v>
      </c>
      <c r="C34" s="521" t="s">
        <v>509</v>
      </c>
      <c r="D34" s="638" t="s">
        <v>190</v>
      </c>
      <c r="E34" s="639" t="s">
        <v>510</v>
      </c>
      <c r="F34" s="1110">
        <v>1</v>
      </c>
      <c r="G34" s="745" t="s">
        <v>10601</v>
      </c>
      <c r="H34" s="1083">
        <v>46124</v>
      </c>
      <c r="I34" s="638" t="s">
        <v>1053</v>
      </c>
      <c r="J34" s="1083">
        <v>46125</v>
      </c>
      <c r="K34" s="521" t="s">
        <v>5611</v>
      </c>
      <c r="L34" s="1050"/>
      <c r="M34" s="1050"/>
      <c r="N34" s="1087"/>
      <c r="O34" s="1094">
        <f t="shared" si="0"/>
        <v>0.3301697295186235</v>
      </c>
    </row>
    <row r="35" spans="1:15" x14ac:dyDescent="0.3">
      <c r="B35" s="521" t="s">
        <v>1690</v>
      </c>
      <c r="C35" s="521" t="s">
        <v>1691</v>
      </c>
      <c r="D35" s="638" t="s">
        <v>190</v>
      </c>
      <c r="E35" s="639"/>
      <c r="F35" s="1110">
        <v>0.08</v>
      </c>
      <c r="G35" s="1173" t="s">
        <v>1698</v>
      </c>
      <c r="H35" s="1083">
        <v>46125</v>
      </c>
      <c r="I35" s="638" t="s">
        <v>1053</v>
      </c>
      <c r="J35" s="1083">
        <v>46125</v>
      </c>
      <c r="K35" s="521" t="s">
        <v>1699</v>
      </c>
      <c r="L35" s="1050"/>
      <c r="M35" s="1050"/>
      <c r="N35" s="1087"/>
      <c r="O35" s="1094">
        <f t="shared" ref="O35:O66" si="1">N35/26885400000+$O$1</f>
        <v>0.3301697295186235</v>
      </c>
    </row>
    <row r="36" spans="1:15" x14ac:dyDescent="0.3">
      <c r="B36" s="521" t="s">
        <v>1690</v>
      </c>
      <c r="C36" s="521" t="s">
        <v>1691</v>
      </c>
      <c r="D36" s="638" t="s">
        <v>190</v>
      </c>
      <c r="E36" s="639"/>
      <c r="F36" s="1110">
        <v>0.16</v>
      </c>
      <c r="G36" s="1173" t="s">
        <v>1700</v>
      </c>
      <c r="H36" s="1084">
        <v>46125</v>
      </c>
      <c r="I36" s="638" t="s">
        <v>1053</v>
      </c>
      <c r="J36" s="1083">
        <v>46125</v>
      </c>
      <c r="K36" s="521" t="s">
        <v>1701</v>
      </c>
      <c r="L36" s="1138"/>
      <c r="M36" s="1138"/>
      <c r="N36" s="1087"/>
      <c r="O36" s="1094">
        <f t="shared" si="1"/>
        <v>0.3301697295186235</v>
      </c>
    </row>
    <row r="37" spans="1:15" x14ac:dyDescent="0.3">
      <c r="B37" s="521" t="s">
        <v>1690</v>
      </c>
      <c r="C37" s="521" t="s">
        <v>1691</v>
      </c>
      <c r="D37" s="638" t="s">
        <v>190</v>
      </c>
      <c r="E37" s="639"/>
      <c r="F37" s="1110">
        <v>0.12</v>
      </c>
      <c r="G37" s="745" t="s">
        <v>1702</v>
      </c>
      <c r="H37" s="1083">
        <v>46125</v>
      </c>
      <c r="I37" s="638" t="s">
        <v>1053</v>
      </c>
      <c r="J37" s="1083">
        <v>46125</v>
      </c>
      <c r="K37" s="521" t="s">
        <v>1703</v>
      </c>
      <c r="L37" s="1050"/>
      <c r="M37" s="1050"/>
      <c r="N37" s="1087"/>
      <c r="O37" s="1094">
        <f t="shared" si="1"/>
        <v>0.3301697295186235</v>
      </c>
    </row>
    <row r="38" spans="1:15" x14ac:dyDescent="0.3">
      <c r="B38" s="521" t="s">
        <v>508</v>
      </c>
      <c r="C38" s="521" t="s">
        <v>509</v>
      </c>
      <c r="D38" s="638" t="s">
        <v>190</v>
      </c>
      <c r="E38" s="639" t="s">
        <v>515</v>
      </c>
      <c r="F38" s="1110">
        <v>1</v>
      </c>
      <c r="G38" s="1173" t="s">
        <v>10602</v>
      </c>
      <c r="H38" s="1084">
        <v>46123</v>
      </c>
      <c r="I38" s="638" t="s">
        <v>1053</v>
      </c>
      <c r="J38" s="1083">
        <v>46126</v>
      </c>
      <c r="K38" s="521" t="s">
        <v>5677</v>
      </c>
      <c r="L38" s="1138"/>
      <c r="M38" s="1138"/>
      <c r="N38" s="1087"/>
      <c r="O38" s="1094">
        <f t="shared" si="1"/>
        <v>0.3301697295186235</v>
      </c>
    </row>
    <row r="39" spans="1:15" x14ac:dyDescent="0.3">
      <c r="B39" s="521" t="s">
        <v>741</v>
      </c>
      <c r="C39" s="521" t="s">
        <v>742</v>
      </c>
      <c r="D39" s="638" t="s">
        <v>190</v>
      </c>
      <c r="E39" s="639" t="s">
        <v>510</v>
      </c>
      <c r="F39" s="1110">
        <v>1</v>
      </c>
      <c r="G39" s="745" t="s">
        <v>10603</v>
      </c>
      <c r="H39" s="1083">
        <v>46124</v>
      </c>
      <c r="I39" s="638" t="s">
        <v>1053</v>
      </c>
      <c r="J39" s="1083">
        <v>46126</v>
      </c>
      <c r="K39" s="521" t="s">
        <v>8941</v>
      </c>
      <c r="L39" s="1050"/>
      <c r="M39" s="1050"/>
      <c r="N39" s="1087"/>
      <c r="O39" s="1094">
        <f t="shared" si="1"/>
        <v>0.3301697295186235</v>
      </c>
    </row>
    <row r="40" spans="1:15" x14ac:dyDescent="0.3">
      <c r="B40" s="521" t="s">
        <v>508</v>
      </c>
      <c r="C40" s="521" t="s">
        <v>509</v>
      </c>
      <c r="D40" s="638" t="s">
        <v>190</v>
      </c>
      <c r="E40" s="639" t="s">
        <v>510</v>
      </c>
      <c r="F40" s="1110">
        <v>1</v>
      </c>
      <c r="G40" s="1173" t="s">
        <v>10604</v>
      </c>
      <c r="H40" s="1083">
        <v>46125</v>
      </c>
      <c r="I40" s="638" t="s">
        <v>1053</v>
      </c>
      <c r="J40" s="1083">
        <v>46126</v>
      </c>
      <c r="K40" s="521" t="s">
        <v>5597</v>
      </c>
      <c r="L40" s="1050"/>
      <c r="M40" s="1050"/>
      <c r="N40" s="1087"/>
      <c r="O40" s="1094">
        <f t="shared" si="1"/>
        <v>0.3301697295186235</v>
      </c>
    </row>
    <row r="41" spans="1:15" x14ac:dyDescent="0.3">
      <c r="B41" s="521" t="s">
        <v>576</v>
      </c>
      <c r="C41" s="521" t="s">
        <v>577</v>
      </c>
      <c r="D41" s="638" t="s">
        <v>190</v>
      </c>
      <c r="E41" s="639"/>
      <c r="F41" s="1110">
        <v>1</v>
      </c>
      <c r="G41" s="745" t="s">
        <v>10605</v>
      </c>
      <c r="H41" s="1083">
        <v>46126</v>
      </c>
      <c r="I41" s="638" t="s">
        <v>1053</v>
      </c>
      <c r="J41" s="1083">
        <v>46126</v>
      </c>
      <c r="K41" s="521" t="s">
        <v>9379</v>
      </c>
      <c r="L41" s="1050"/>
      <c r="M41" s="1050"/>
      <c r="N41" s="1087"/>
      <c r="O41" s="1094">
        <f t="shared" si="1"/>
        <v>0.3301697295186235</v>
      </c>
    </row>
    <row r="42" spans="1:15" x14ac:dyDescent="0.3">
      <c r="B42" s="521" t="s">
        <v>576</v>
      </c>
      <c r="C42" s="521" t="s">
        <v>577</v>
      </c>
      <c r="D42" s="638" t="s">
        <v>190</v>
      </c>
      <c r="E42" s="639"/>
      <c r="F42" s="1110">
        <v>1</v>
      </c>
      <c r="G42" s="745" t="s">
        <v>10606</v>
      </c>
      <c r="H42" s="1083">
        <v>46126</v>
      </c>
      <c r="I42" s="638" t="s">
        <v>1053</v>
      </c>
      <c r="J42" s="1083">
        <v>46126</v>
      </c>
      <c r="K42" s="521" t="s">
        <v>9382</v>
      </c>
      <c r="L42" s="1050"/>
      <c r="M42" s="1050"/>
      <c r="N42" s="1087"/>
      <c r="O42" s="1094">
        <f t="shared" si="1"/>
        <v>0.3301697295186235</v>
      </c>
    </row>
    <row r="43" spans="1:15" x14ac:dyDescent="0.3">
      <c r="B43" s="521" t="s">
        <v>3116</v>
      </c>
      <c r="C43" s="521" t="s">
        <v>372</v>
      </c>
      <c r="D43" s="638" t="s">
        <v>320</v>
      </c>
      <c r="E43" s="639" t="s">
        <v>510</v>
      </c>
      <c r="F43" s="1110">
        <v>2.8</v>
      </c>
      <c r="G43" s="745" t="s">
        <v>10607</v>
      </c>
      <c r="H43" s="1083">
        <v>46123</v>
      </c>
      <c r="I43" s="638" t="s">
        <v>1053</v>
      </c>
      <c r="J43" s="1083">
        <v>46127</v>
      </c>
      <c r="K43" s="521" t="s">
        <v>3935</v>
      </c>
      <c r="L43" s="1050"/>
      <c r="M43" s="1050"/>
      <c r="N43" s="1087"/>
      <c r="O43" s="1094">
        <f t="shared" si="1"/>
        <v>0.3301697295186235</v>
      </c>
    </row>
    <row r="44" spans="1:15" x14ac:dyDescent="0.3">
      <c r="B44" s="521" t="s">
        <v>508</v>
      </c>
      <c r="C44" s="521" t="s">
        <v>509</v>
      </c>
      <c r="D44" s="638" t="s">
        <v>190</v>
      </c>
      <c r="E44" s="639" t="s">
        <v>515</v>
      </c>
      <c r="F44" s="1110">
        <v>1</v>
      </c>
      <c r="G44" s="745" t="s">
        <v>10608</v>
      </c>
      <c r="H44" s="1083">
        <v>46125</v>
      </c>
      <c r="I44" s="638" t="s">
        <v>1053</v>
      </c>
      <c r="J44" s="1083">
        <v>46127</v>
      </c>
      <c r="K44" s="521" t="s">
        <v>5671</v>
      </c>
      <c r="L44" s="1050"/>
      <c r="M44" s="1050"/>
      <c r="N44" s="1087"/>
      <c r="O44" s="1094">
        <f t="shared" si="1"/>
        <v>0.3301697295186235</v>
      </c>
    </row>
    <row r="45" spans="1:15" x14ac:dyDescent="0.3">
      <c r="B45" s="521" t="s">
        <v>518</v>
      </c>
      <c r="C45" s="521" t="s">
        <v>519</v>
      </c>
      <c r="D45" s="638" t="s">
        <v>190</v>
      </c>
      <c r="E45" s="639" t="s">
        <v>515</v>
      </c>
      <c r="F45" s="1110">
        <v>1</v>
      </c>
      <c r="G45" s="745" t="s">
        <v>10609</v>
      </c>
      <c r="H45" s="1083">
        <v>46125</v>
      </c>
      <c r="I45" s="638" t="s">
        <v>1053</v>
      </c>
      <c r="J45" s="1083">
        <v>46127</v>
      </c>
      <c r="K45" s="521" t="s">
        <v>8762</v>
      </c>
      <c r="L45" s="1050"/>
      <c r="M45" s="1050"/>
      <c r="N45" s="1087"/>
      <c r="O45" s="1094">
        <f t="shared" si="1"/>
        <v>0.3301697295186235</v>
      </c>
    </row>
    <row r="46" spans="1:15" x14ac:dyDescent="0.3">
      <c r="B46" s="521" t="s">
        <v>3116</v>
      </c>
      <c r="C46" s="521" t="s">
        <v>372</v>
      </c>
      <c r="D46" s="638" t="s">
        <v>320</v>
      </c>
      <c r="E46" s="639" t="s">
        <v>510</v>
      </c>
      <c r="F46" s="1110">
        <v>2.2000000000000002</v>
      </c>
      <c r="G46" s="745" t="s">
        <v>10610</v>
      </c>
      <c r="H46" s="1083">
        <v>46125</v>
      </c>
      <c r="I46" s="638" t="s">
        <v>1053</v>
      </c>
      <c r="J46" s="1083">
        <v>46127</v>
      </c>
      <c r="K46" s="521" t="s">
        <v>4148</v>
      </c>
      <c r="L46" s="1050"/>
      <c r="M46" s="1050"/>
      <c r="N46" s="1087"/>
      <c r="O46" s="1094">
        <f t="shared" si="1"/>
        <v>0.3301697295186235</v>
      </c>
    </row>
    <row r="47" spans="1:15" x14ac:dyDescent="0.3">
      <c r="A47" s="644" t="s">
        <v>10584</v>
      </c>
      <c r="B47" s="521" t="s">
        <v>508</v>
      </c>
      <c r="C47" s="521" t="s">
        <v>509</v>
      </c>
      <c r="D47" s="638" t="s">
        <v>190</v>
      </c>
      <c r="E47" s="639" t="s">
        <v>515</v>
      </c>
      <c r="F47" s="1110">
        <v>1</v>
      </c>
      <c r="G47" s="745" t="s">
        <v>10611</v>
      </c>
      <c r="H47" s="1083">
        <v>46125</v>
      </c>
      <c r="I47" s="638" t="s">
        <v>1053</v>
      </c>
      <c r="J47" s="1083">
        <v>46128</v>
      </c>
      <c r="K47" s="521" t="s">
        <v>5699</v>
      </c>
      <c r="L47" s="1050"/>
      <c r="M47" s="1050"/>
      <c r="N47" s="1087"/>
      <c r="O47" s="1094">
        <f t="shared" si="1"/>
        <v>0.3301697295186235</v>
      </c>
    </row>
    <row r="48" spans="1:15" x14ac:dyDescent="0.3">
      <c r="B48" s="521" t="s">
        <v>551</v>
      </c>
      <c r="C48" s="521" t="s">
        <v>552</v>
      </c>
      <c r="D48" s="638" t="s">
        <v>190</v>
      </c>
      <c r="E48" s="639" t="s">
        <v>515</v>
      </c>
      <c r="F48" s="1110">
        <v>1</v>
      </c>
      <c r="G48" s="745" t="s">
        <v>10612</v>
      </c>
      <c r="H48" s="1083">
        <v>46125</v>
      </c>
      <c r="I48" s="638" t="s">
        <v>1053</v>
      </c>
      <c r="J48" s="1083">
        <v>46128</v>
      </c>
      <c r="K48" s="521" t="s">
        <v>9263</v>
      </c>
      <c r="L48" s="1050"/>
      <c r="M48" s="1050"/>
      <c r="N48" s="1087"/>
      <c r="O48" s="1094">
        <f t="shared" si="1"/>
        <v>0.3301697295186235</v>
      </c>
    </row>
    <row r="49" spans="1:15" x14ac:dyDescent="0.3">
      <c r="B49" s="521" t="s">
        <v>508</v>
      </c>
      <c r="C49" s="521" t="s">
        <v>509</v>
      </c>
      <c r="D49" s="638" t="s">
        <v>190</v>
      </c>
      <c r="E49" s="639" t="s">
        <v>510</v>
      </c>
      <c r="F49" s="1110">
        <v>1</v>
      </c>
      <c r="G49" s="745" t="s">
        <v>10613</v>
      </c>
      <c r="H49" s="1083">
        <v>46126</v>
      </c>
      <c r="I49" s="638" t="s">
        <v>1053</v>
      </c>
      <c r="J49" s="1083">
        <v>46128</v>
      </c>
      <c r="K49" s="521" t="s">
        <v>5647</v>
      </c>
      <c r="L49" s="1050"/>
      <c r="M49" s="1050"/>
      <c r="N49" s="1087"/>
      <c r="O49" s="1094">
        <f t="shared" si="1"/>
        <v>0.3301697295186235</v>
      </c>
    </row>
    <row r="50" spans="1:15" x14ac:dyDescent="0.3">
      <c r="B50" s="521" t="s">
        <v>540</v>
      </c>
      <c r="C50" s="521" t="s">
        <v>376</v>
      </c>
      <c r="D50" s="638" t="s">
        <v>320</v>
      </c>
      <c r="E50" s="639" t="s">
        <v>510</v>
      </c>
      <c r="F50" s="1110">
        <v>2</v>
      </c>
      <c r="G50" s="745" t="s">
        <v>10614</v>
      </c>
      <c r="H50" s="1083">
        <v>46127</v>
      </c>
      <c r="I50" s="638" t="s">
        <v>1053</v>
      </c>
      <c r="J50" s="1083">
        <v>46128</v>
      </c>
      <c r="K50" s="521" t="s">
        <v>4696</v>
      </c>
      <c r="L50" s="1050"/>
      <c r="M50" s="1050"/>
      <c r="N50" s="1087"/>
      <c r="O50" s="1094">
        <f t="shared" si="1"/>
        <v>0.3301697295186235</v>
      </c>
    </row>
    <row r="51" spans="1:15" x14ac:dyDescent="0.3">
      <c r="B51" s="521" t="s">
        <v>741</v>
      </c>
      <c r="C51" s="521" t="s">
        <v>742</v>
      </c>
      <c r="D51" s="638" t="s">
        <v>190</v>
      </c>
      <c r="E51" s="639" t="s">
        <v>510</v>
      </c>
      <c r="F51" s="1110">
        <v>1</v>
      </c>
      <c r="G51" s="745" t="s">
        <v>10615</v>
      </c>
      <c r="H51" s="1083">
        <v>46128</v>
      </c>
      <c r="I51" s="638" t="s">
        <v>1053</v>
      </c>
      <c r="J51" s="1083">
        <v>46128</v>
      </c>
      <c r="K51" s="521" t="s">
        <v>8944</v>
      </c>
      <c r="L51" s="1050"/>
      <c r="M51" s="1050"/>
      <c r="N51" s="1087"/>
      <c r="O51" s="1094">
        <f t="shared" si="1"/>
        <v>0.3301697295186235</v>
      </c>
    </row>
    <row r="52" spans="1:15" x14ac:dyDescent="0.3">
      <c r="B52" s="521" t="s">
        <v>576</v>
      </c>
      <c r="C52" s="521" t="s">
        <v>577</v>
      </c>
      <c r="D52" s="638" t="s">
        <v>190</v>
      </c>
      <c r="E52" s="639"/>
      <c r="F52" s="1110">
        <v>1</v>
      </c>
      <c r="G52" s="745" t="s">
        <v>10616</v>
      </c>
      <c r="H52" s="1083">
        <v>46128</v>
      </c>
      <c r="I52" s="638" t="s">
        <v>1053</v>
      </c>
      <c r="J52" s="1083">
        <v>46128</v>
      </c>
      <c r="K52" s="521" t="s">
        <v>9385</v>
      </c>
      <c r="L52" s="1050"/>
      <c r="M52" s="1050"/>
      <c r="N52" s="1087"/>
      <c r="O52" s="1094">
        <f t="shared" si="1"/>
        <v>0.3301697295186235</v>
      </c>
    </row>
    <row r="53" spans="1:15" x14ac:dyDescent="0.3">
      <c r="B53" s="521" t="s">
        <v>576</v>
      </c>
      <c r="C53" s="521" t="s">
        <v>577</v>
      </c>
      <c r="D53" s="638" t="s">
        <v>190</v>
      </c>
      <c r="E53" s="639"/>
      <c r="F53" s="1110">
        <v>1</v>
      </c>
      <c r="G53" s="745" t="s">
        <v>10617</v>
      </c>
      <c r="H53" s="1083">
        <v>46128</v>
      </c>
      <c r="I53" s="638" t="s">
        <v>1053</v>
      </c>
      <c r="J53" s="1084">
        <v>46128</v>
      </c>
      <c r="K53" s="521" t="s">
        <v>9390</v>
      </c>
      <c r="L53" s="1050"/>
      <c r="M53" s="1050"/>
      <c r="N53" s="1087"/>
      <c r="O53" s="1094">
        <f t="shared" si="1"/>
        <v>0.3301697295186235</v>
      </c>
    </row>
    <row r="54" spans="1:15" x14ac:dyDescent="0.3">
      <c r="B54" s="521" t="s">
        <v>603</v>
      </c>
      <c r="C54" s="521" t="s">
        <v>604</v>
      </c>
      <c r="D54" s="638" t="s">
        <v>190</v>
      </c>
      <c r="E54" s="639" t="s">
        <v>515</v>
      </c>
      <c r="F54" s="1110">
        <v>4</v>
      </c>
      <c r="G54" s="745" t="s">
        <v>9359</v>
      </c>
      <c r="H54" s="1083">
        <v>46125</v>
      </c>
      <c r="I54" s="638" t="s">
        <v>1053</v>
      </c>
      <c r="J54" s="1083">
        <v>46129</v>
      </c>
      <c r="K54" s="521" t="s">
        <v>9360</v>
      </c>
      <c r="L54" s="1050"/>
      <c r="M54" s="1050"/>
      <c r="N54" s="1087"/>
      <c r="O54" s="1094">
        <f t="shared" si="1"/>
        <v>0.3301697295186235</v>
      </c>
    </row>
    <row r="55" spans="1:15" x14ac:dyDescent="0.3">
      <c r="B55" s="521" t="s">
        <v>518</v>
      </c>
      <c r="C55" s="521" t="s">
        <v>519</v>
      </c>
      <c r="D55" s="638" t="s">
        <v>190</v>
      </c>
      <c r="E55" s="639" t="s">
        <v>515</v>
      </c>
      <c r="F55" s="1110">
        <v>1</v>
      </c>
      <c r="G55" s="745" t="s">
        <v>10618</v>
      </c>
      <c r="H55" s="1083">
        <v>46126</v>
      </c>
      <c r="I55" s="638" t="s">
        <v>1053</v>
      </c>
      <c r="J55" s="1083">
        <v>46129</v>
      </c>
      <c r="K55" s="521" t="s">
        <v>8766</v>
      </c>
      <c r="L55" s="1050"/>
      <c r="M55" s="1050"/>
      <c r="N55" s="1087"/>
      <c r="O55" s="1094">
        <f t="shared" si="1"/>
        <v>0.3301697295186235</v>
      </c>
    </row>
    <row r="56" spans="1:15" x14ac:dyDescent="0.3">
      <c r="B56" s="521" t="s">
        <v>508</v>
      </c>
      <c r="C56" s="521" t="s">
        <v>509</v>
      </c>
      <c r="D56" s="638" t="s">
        <v>190</v>
      </c>
      <c r="E56" s="639" t="s">
        <v>510</v>
      </c>
      <c r="F56" s="1110">
        <v>1</v>
      </c>
      <c r="G56" s="745" t="s">
        <v>10619</v>
      </c>
      <c r="H56" s="1083">
        <v>46127</v>
      </c>
      <c r="I56" s="638" t="s">
        <v>1053</v>
      </c>
      <c r="J56" s="1083">
        <v>46129</v>
      </c>
      <c r="K56" s="521" t="s">
        <v>5622</v>
      </c>
      <c r="L56" s="1050"/>
      <c r="M56" s="1050"/>
      <c r="N56" s="1087"/>
      <c r="O56" s="1094">
        <f t="shared" si="1"/>
        <v>0.3301697295186235</v>
      </c>
    </row>
    <row r="57" spans="1:15" x14ac:dyDescent="0.3">
      <c r="B57" s="521" t="s">
        <v>508</v>
      </c>
      <c r="C57" s="521" t="s">
        <v>509</v>
      </c>
      <c r="D57" s="638" t="s">
        <v>190</v>
      </c>
      <c r="E57" s="639" t="s">
        <v>510</v>
      </c>
      <c r="F57" s="1110">
        <v>1</v>
      </c>
      <c r="G57" s="1173" t="s">
        <v>10620</v>
      </c>
      <c r="H57" s="1083">
        <v>46128</v>
      </c>
      <c r="I57" s="638" t="s">
        <v>1053</v>
      </c>
      <c r="J57" s="1084">
        <v>46129</v>
      </c>
      <c r="K57" s="521" t="s">
        <v>5614</v>
      </c>
      <c r="L57" s="1050"/>
      <c r="M57" s="1050"/>
      <c r="N57" s="1087"/>
      <c r="O57" s="1094">
        <f t="shared" si="1"/>
        <v>0.3301697295186235</v>
      </c>
    </row>
    <row r="58" spans="1:15" x14ac:dyDescent="0.3">
      <c r="B58" s="521" t="s">
        <v>508</v>
      </c>
      <c r="C58" s="521" t="s">
        <v>509</v>
      </c>
      <c r="D58" s="638" t="s">
        <v>190</v>
      </c>
      <c r="E58" s="639" t="s">
        <v>510</v>
      </c>
      <c r="F58" s="1110">
        <v>1</v>
      </c>
      <c r="G58" s="745" t="s">
        <v>10621</v>
      </c>
      <c r="H58" s="1083">
        <v>46129</v>
      </c>
      <c r="I58" s="638" t="s">
        <v>1053</v>
      </c>
      <c r="J58" s="1083">
        <v>46130</v>
      </c>
      <c r="K58" s="521" t="s">
        <v>5600</v>
      </c>
      <c r="L58" s="1050"/>
      <c r="M58" s="1050"/>
      <c r="N58" s="1087"/>
      <c r="O58" s="1094">
        <f t="shared" si="1"/>
        <v>0.3301697295186235</v>
      </c>
    </row>
    <row r="59" spans="1:15" x14ac:dyDescent="0.3">
      <c r="B59" s="521" t="s">
        <v>561</v>
      </c>
      <c r="C59" s="521" t="s">
        <v>509</v>
      </c>
      <c r="D59" s="638" t="s">
        <v>190</v>
      </c>
      <c r="E59" s="639" t="s">
        <v>510</v>
      </c>
      <c r="F59" s="1110">
        <v>1</v>
      </c>
      <c r="G59" s="745" t="s">
        <v>10622</v>
      </c>
      <c r="H59" s="1083">
        <v>46129</v>
      </c>
      <c r="I59" s="638" t="s">
        <v>1053</v>
      </c>
      <c r="J59" s="1083">
        <v>46130</v>
      </c>
      <c r="K59" s="521" t="s">
        <v>5650</v>
      </c>
      <c r="L59" s="1050"/>
      <c r="M59" s="1050"/>
      <c r="N59" s="1087"/>
      <c r="O59" s="1094">
        <f t="shared" si="1"/>
        <v>0.3301697295186235</v>
      </c>
    </row>
    <row r="60" spans="1:15" x14ac:dyDescent="0.3">
      <c r="B60" s="521" t="s">
        <v>561</v>
      </c>
      <c r="C60" s="521" t="s">
        <v>509</v>
      </c>
      <c r="D60" s="638" t="s">
        <v>190</v>
      </c>
      <c r="E60" s="639" t="s">
        <v>515</v>
      </c>
      <c r="F60" s="1110">
        <v>1</v>
      </c>
      <c r="G60" s="745" t="s">
        <v>10623</v>
      </c>
      <c r="H60" s="1083">
        <v>46129</v>
      </c>
      <c r="I60" s="638" t="s">
        <v>1053</v>
      </c>
      <c r="J60" s="1083">
        <v>46130</v>
      </c>
      <c r="K60" s="521" t="s">
        <v>5696</v>
      </c>
      <c r="L60" s="1050"/>
      <c r="M60" s="1050"/>
      <c r="N60" s="1087"/>
      <c r="O60" s="1094">
        <f t="shared" si="1"/>
        <v>0.3301697295186235</v>
      </c>
    </row>
    <row r="61" spans="1:15" x14ac:dyDescent="0.3">
      <c r="B61" s="521" t="s">
        <v>4584</v>
      </c>
      <c r="C61" s="521" t="s">
        <v>373</v>
      </c>
      <c r="D61" s="638" t="s">
        <v>190</v>
      </c>
      <c r="E61" s="639" t="s">
        <v>515</v>
      </c>
      <c r="F61" s="1110">
        <v>1</v>
      </c>
      <c r="G61" s="745" t="s">
        <v>4596</v>
      </c>
      <c r="H61" s="1083">
        <v>46130</v>
      </c>
      <c r="I61" s="638" t="s">
        <v>1053</v>
      </c>
      <c r="J61" s="1083">
        <v>46130</v>
      </c>
      <c r="K61" s="521" t="s">
        <v>4597</v>
      </c>
      <c r="L61" s="1050"/>
      <c r="M61" s="1050"/>
      <c r="N61" s="1087"/>
      <c r="O61" s="1094">
        <f t="shared" si="1"/>
        <v>0.3301697295186235</v>
      </c>
    </row>
    <row r="62" spans="1:15" x14ac:dyDescent="0.3">
      <c r="A62" s="644" t="s">
        <v>10584</v>
      </c>
      <c r="B62" s="521" t="s">
        <v>508</v>
      </c>
      <c r="C62" s="521" t="s">
        <v>509</v>
      </c>
      <c r="D62" s="638" t="s">
        <v>190</v>
      </c>
      <c r="E62" s="639" t="s">
        <v>515</v>
      </c>
      <c r="F62" s="1110">
        <v>1</v>
      </c>
      <c r="G62" s="745" t="s">
        <v>10624</v>
      </c>
      <c r="H62" s="1083">
        <v>46129</v>
      </c>
      <c r="I62" s="638" t="s">
        <v>1053</v>
      </c>
      <c r="J62" s="1083">
        <v>46131</v>
      </c>
      <c r="K62" s="521" t="s">
        <v>5706</v>
      </c>
      <c r="L62" s="1050"/>
      <c r="M62" s="1050"/>
      <c r="N62" s="1087"/>
      <c r="O62" s="1094">
        <f t="shared" si="1"/>
        <v>0.3301697295186235</v>
      </c>
    </row>
    <row r="63" spans="1:15" x14ac:dyDescent="0.3">
      <c r="B63" s="521" t="s">
        <v>551</v>
      </c>
      <c r="C63" s="521" t="s">
        <v>552</v>
      </c>
      <c r="D63" s="638" t="s">
        <v>190</v>
      </c>
      <c r="E63" s="639" t="s">
        <v>515</v>
      </c>
      <c r="F63" s="1110">
        <v>1</v>
      </c>
      <c r="G63" s="745" t="s">
        <v>10625</v>
      </c>
      <c r="H63" s="1083">
        <v>46129</v>
      </c>
      <c r="I63" s="638" t="s">
        <v>1053</v>
      </c>
      <c r="J63" s="1083">
        <v>46131</v>
      </c>
      <c r="K63" s="521" t="s">
        <v>9266</v>
      </c>
      <c r="L63" s="1050"/>
      <c r="M63" s="1050"/>
      <c r="N63" s="1087"/>
      <c r="O63" s="1094">
        <f t="shared" si="1"/>
        <v>0.3301697295186235</v>
      </c>
    </row>
    <row r="64" spans="1:15" x14ac:dyDescent="0.3">
      <c r="B64" s="888" t="s">
        <v>3116</v>
      </c>
      <c r="C64" s="888" t="s">
        <v>372</v>
      </c>
      <c r="D64" s="582" t="s">
        <v>320</v>
      </c>
      <c r="E64" s="889" t="s">
        <v>510</v>
      </c>
      <c r="F64" s="1110">
        <v>2.5</v>
      </c>
      <c r="G64" s="1173" t="s">
        <v>10626</v>
      </c>
      <c r="H64" s="1084">
        <v>46128</v>
      </c>
      <c r="I64" s="582" t="s">
        <v>1053</v>
      </c>
      <c r="J64" s="1084">
        <v>46132</v>
      </c>
      <c r="K64" s="888" t="s">
        <v>3938</v>
      </c>
      <c r="L64" s="1091"/>
      <c r="M64" s="1050"/>
      <c r="N64" s="1087"/>
      <c r="O64" s="1094">
        <f t="shared" si="1"/>
        <v>0.3301697295186235</v>
      </c>
    </row>
    <row r="65" spans="1:15" x14ac:dyDescent="0.3">
      <c r="B65" s="521" t="s">
        <v>518</v>
      </c>
      <c r="C65" s="521" t="s">
        <v>519</v>
      </c>
      <c r="D65" s="638" t="s">
        <v>190</v>
      </c>
      <c r="E65" s="639" t="s">
        <v>515</v>
      </c>
      <c r="F65" s="1110">
        <v>1</v>
      </c>
      <c r="G65" s="745" t="s">
        <v>10627</v>
      </c>
      <c r="H65" s="1083">
        <v>46130</v>
      </c>
      <c r="I65" s="638" t="s">
        <v>1053</v>
      </c>
      <c r="J65" s="1083">
        <v>46132</v>
      </c>
      <c r="K65" s="521" t="s">
        <v>8776</v>
      </c>
      <c r="L65" s="1050"/>
      <c r="M65" s="1050"/>
      <c r="N65" s="1087"/>
      <c r="O65" s="1094">
        <f t="shared" si="1"/>
        <v>0.3301697295186235</v>
      </c>
    </row>
    <row r="66" spans="1:15" x14ac:dyDescent="0.3">
      <c r="B66" s="521" t="s">
        <v>561</v>
      </c>
      <c r="C66" s="521" t="s">
        <v>509</v>
      </c>
      <c r="D66" s="638" t="s">
        <v>190</v>
      </c>
      <c r="E66" s="639" t="s">
        <v>510</v>
      </c>
      <c r="F66" s="1110">
        <v>1</v>
      </c>
      <c r="G66" s="745" t="s">
        <v>10628</v>
      </c>
      <c r="H66" s="1083">
        <v>46130</v>
      </c>
      <c r="I66" s="638" t="s">
        <v>1053</v>
      </c>
      <c r="J66" s="1083">
        <v>46133</v>
      </c>
      <c r="K66" s="521" t="s">
        <v>5625</v>
      </c>
      <c r="L66" s="1050"/>
      <c r="M66" s="1050"/>
      <c r="N66" s="1087"/>
      <c r="O66" s="1094">
        <f t="shared" si="1"/>
        <v>0.3301697295186235</v>
      </c>
    </row>
    <row r="67" spans="1:15" x14ac:dyDescent="0.3">
      <c r="B67" s="521" t="s">
        <v>598</v>
      </c>
      <c r="C67" s="521" t="s">
        <v>476</v>
      </c>
      <c r="D67" s="638" t="s">
        <v>190</v>
      </c>
      <c r="E67" s="639" t="s">
        <v>510</v>
      </c>
      <c r="F67" s="1110">
        <v>0.5</v>
      </c>
      <c r="G67" s="745" t="s">
        <v>10629</v>
      </c>
      <c r="H67" s="1083">
        <v>46130</v>
      </c>
      <c r="I67" s="638" t="s">
        <v>1053</v>
      </c>
      <c r="J67" s="1083">
        <v>46133</v>
      </c>
      <c r="K67" s="521" t="s">
        <v>10630</v>
      </c>
      <c r="L67" s="1050"/>
      <c r="M67" s="1050"/>
      <c r="N67" s="1087"/>
      <c r="O67" s="1094">
        <f t="shared" ref="O67:O80" si="2">N67/26885400000+$O$1</f>
        <v>0.3301697295186235</v>
      </c>
    </row>
    <row r="68" spans="1:15" s="481" customFormat="1" x14ac:dyDescent="0.3">
      <c r="A68" s="644"/>
      <c r="B68" s="521" t="s">
        <v>522</v>
      </c>
      <c r="C68" s="521" t="s">
        <v>523</v>
      </c>
      <c r="D68" s="638" t="s">
        <v>190</v>
      </c>
      <c r="E68" s="639" t="s">
        <v>515</v>
      </c>
      <c r="F68" s="1110">
        <v>1</v>
      </c>
      <c r="G68" s="745" t="s">
        <v>10631</v>
      </c>
      <c r="H68" s="1083">
        <v>46132</v>
      </c>
      <c r="I68" s="638" t="s">
        <v>1053</v>
      </c>
      <c r="J68" s="1083">
        <v>46133</v>
      </c>
      <c r="K68" s="521" t="s">
        <v>9243</v>
      </c>
      <c r="L68" s="1050"/>
      <c r="M68" s="1050"/>
      <c r="N68" s="1087"/>
      <c r="O68" s="1094">
        <f t="shared" si="2"/>
        <v>0.3301697295186235</v>
      </c>
    </row>
    <row r="69" spans="1:15" s="481" customFormat="1" ht="28.8" x14ac:dyDescent="0.3">
      <c r="A69" s="644"/>
      <c r="B69" s="521" t="s">
        <v>1030</v>
      </c>
      <c r="C69" s="521" t="s">
        <v>1031</v>
      </c>
      <c r="D69" s="638" t="s">
        <v>235</v>
      </c>
      <c r="E69" s="639" t="s">
        <v>510</v>
      </c>
      <c r="F69" s="1110">
        <v>0.5</v>
      </c>
      <c r="G69" s="745" t="s">
        <v>1052</v>
      </c>
      <c r="H69" s="1083">
        <v>46133</v>
      </c>
      <c r="I69" s="638" t="s">
        <v>1053</v>
      </c>
      <c r="J69" s="1083">
        <v>46133</v>
      </c>
      <c r="K69" s="521"/>
      <c r="L69" s="1050"/>
      <c r="M69" s="1050"/>
      <c r="N69" s="1087"/>
      <c r="O69" s="1094">
        <f t="shared" si="2"/>
        <v>0.3301697295186235</v>
      </c>
    </row>
    <row r="70" spans="1:15" s="481" customFormat="1" ht="28.8" x14ac:dyDescent="0.3">
      <c r="A70" s="644"/>
      <c r="B70" s="521" t="s">
        <v>1057</v>
      </c>
      <c r="C70" s="521" t="s">
        <v>1058</v>
      </c>
      <c r="D70" s="638" t="s">
        <v>235</v>
      </c>
      <c r="E70" s="639" t="s">
        <v>510</v>
      </c>
      <c r="F70" s="1110">
        <v>0.5</v>
      </c>
      <c r="G70" s="1173" t="s">
        <v>1052</v>
      </c>
      <c r="H70" s="1084">
        <v>46133</v>
      </c>
      <c r="I70" s="638" t="s">
        <v>1053</v>
      </c>
      <c r="J70" s="1083">
        <v>46133</v>
      </c>
      <c r="K70" s="521"/>
      <c r="L70" s="1138"/>
      <c r="M70" s="1138"/>
      <c r="N70" s="1087"/>
      <c r="O70" s="1094">
        <f t="shared" si="2"/>
        <v>0.3301697295186235</v>
      </c>
    </row>
    <row r="71" spans="1:15" s="481" customFormat="1" ht="28.8" x14ac:dyDescent="0.3">
      <c r="A71" s="644"/>
      <c r="B71" s="521" t="s">
        <v>1059</v>
      </c>
      <c r="C71" s="521" t="s">
        <v>1060</v>
      </c>
      <c r="D71" s="638" t="s">
        <v>235</v>
      </c>
      <c r="E71" s="639" t="s">
        <v>510</v>
      </c>
      <c r="F71" s="1110">
        <v>0.5</v>
      </c>
      <c r="G71" s="745" t="s">
        <v>1052</v>
      </c>
      <c r="H71" s="1083">
        <v>46133</v>
      </c>
      <c r="I71" s="638" t="s">
        <v>1053</v>
      </c>
      <c r="J71" s="1083">
        <v>46133</v>
      </c>
      <c r="K71" s="521"/>
      <c r="L71" s="1050"/>
      <c r="M71" s="1050"/>
      <c r="N71" s="1087"/>
      <c r="O71" s="1094">
        <f t="shared" si="2"/>
        <v>0.3301697295186235</v>
      </c>
    </row>
    <row r="72" spans="1:15" s="481" customFormat="1" ht="28.8" x14ac:dyDescent="0.3">
      <c r="A72" s="644"/>
      <c r="B72" s="521" t="s">
        <v>1030</v>
      </c>
      <c r="C72" s="521" t="s">
        <v>1031</v>
      </c>
      <c r="D72" s="638" t="s">
        <v>235</v>
      </c>
      <c r="E72" s="639" t="s">
        <v>515</v>
      </c>
      <c r="F72" s="1110">
        <v>0.5</v>
      </c>
      <c r="G72" s="1173" t="s">
        <v>1054</v>
      </c>
      <c r="H72" s="1084">
        <v>46133</v>
      </c>
      <c r="I72" s="638" t="s">
        <v>1053</v>
      </c>
      <c r="J72" s="1083">
        <v>46133</v>
      </c>
      <c r="K72" s="521"/>
      <c r="L72" s="1138"/>
      <c r="M72" s="1138"/>
      <c r="N72" s="1087"/>
      <c r="O72" s="1094">
        <f t="shared" si="2"/>
        <v>0.3301697295186235</v>
      </c>
    </row>
    <row r="73" spans="1:15" ht="28.8" x14ac:dyDescent="0.3">
      <c r="B73" s="521" t="s">
        <v>1057</v>
      </c>
      <c r="C73" s="521" t="s">
        <v>1058</v>
      </c>
      <c r="D73" s="638" t="s">
        <v>235</v>
      </c>
      <c r="E73" s="639" t="s">
        <v>515</v>
      </c>
      <c r="F73" s="1110">
        <v>0.5</v>
      </c>
      <c r="G73" s="745" t="s">
        <v>1054</v>
      </c>
      <c r="H73" s="1083">
        <v>46133</v>
      </c>
      <c r="I73" s="638" t="s">
        <v>1053</v>
      </c>
      <c r="J73" s="1083">
        <v>46133</v>
      </c>
      <c r="K73" s="521"/>
      <c r="L73" s="1050"/>
      <c r="M73" s="1050"/>
      <c r="N73" s="1087"/>
      <c r="O73" s="1094">
        <f t="shared" si="2"/>
        <v>0.3301697295186235</v>
      </c>
    </row>
    <row r="74" spans="1:15" ht="28.8" x14ac:dyDescent="0.3">
      <c r="B74" s="521" t="s">
        <v>1059</v>
      </c>
      <c r="C74" s="521" t="s">
        <v>1060</v>
      </c>
      <c r="D74" s="638" t="s">
        <v>235</v>
      </c>
      <c r="E74" s="639" t="s">
        <v>515</v>
      </c>
      <c r="F74" s="1110">
        <v>0.5</v>
      </c>
      <c r="G74" s="1173" t="s">
        <v>1054</v>
      </c>
      <c r="H74" s="1083">
        <v>46133</v>
      </c>
      <c r="I74" s="638" t="s">
        <v>1053</v>
      </c>
      <c r="J74" s="1083">
        <v>46133</v>
      </c>
      <c r="K74" s="521"/>
      <c r="L74" s="1050"/>
      <c r="M74" s="1050"/>
      <c r="N74" s="1087"/>
      <c r="O74" s="1094">
        <f t="shared" si="2"/>
        <v>0.3301697295186235</v>
      </c>
    </row>
    <row r="75" spans="1:15" x14ac:dyDescent="0.3">
      <c r="B75" s="521" t="s">
        <v>508</v>
      </c>
      <c r="C75" s="521" t="s">
        <v>509</v>
      </c>
      <c r="D75" s="638" t="s">
        <v>190</v>
      </c>
      <c r="E75" s="639" t="s">
        <v>510</v>
      </c>
      <c r="F75" s="1110">
        <v>1</v>
      </c>
      <c r="G75" s="745" t="s">
        <v>10632</v>
      </c>
      <c r="H75" s="1083">
        <v>46130</v>
      </c>
      <c r="I75" s="638" t="s">
        <v>1053</v>
      </c>
      <c r="J75" s="1083">
        <v>46134</v>
      </c>
      <c r="K75" s="521" t="s">
        <v>5617</v>
      </c>
      <c r="L75" s="1050"/>
      <c r="M75" s="1050"/>
      <c r="N75" s="1087"/>
      <c r="O75" s="1094">
        <f t="shared" si="2"/>
        <v>0.3301697295186235</v>
      </c>
    </row>
    <row r="76" spans="1:15" x14ac:dyDescent="0.3">
      <c r="B76" s="521" t="s">
        <v>741</v>
      </c>
      <c r="C76" s="521" t="s">
        <v>742</v>
      </c>
      <c r="D76" s="638" t="s">
        <v>190</v>
      </c>
      <c r="E76" s="639" t="s">
        <v>510</v>
      </c>
      <c r="F76" s="1110">
        <v>1</v>
      </c>
      <c r="G76" s="745" t="s">
        <v>10633</v>
      </c>
      <c r="H76" s="1083">
        <v>46131</v>
      </c>
      <c r="I76" s="638" t="s">
        <v>1053</v>
      </c>
      <c r="J76" s="1083">
        <v>46134</v>
      </c>
      <c r="K76" s="521" t="s">
        <v>8948</v>
      </c>
      <c r="L76" s="1050"/>
      <c r="M76" s="1050"/>
      <c r="N76" s="1087"/>
      <c r="O76" s="1094">
        <f t="shared" si="2"/>
        <v>0.3301697295186235</v>
      </c>
    </row>
    <row r="77" spans="1:15" s="644" customFormat="1" x14ac:dyDescent="0.3">
      <c r="B77" s="521" t="s">
        <v>508</v>
      </c>
      <c r="C77" s="521" t="s">
        <v>509</v>
      </c>
      <c r="D77" s="638" t="s">
        <v>190</v>
      </c>
      <c r="E77" s="639" t="s">
        <v>510</v>
      </c>
      <c r="F77" s="1110">
        <v>1</v>
      </c>
      <c r="G77" s="745" t="s">
        <v>10634</v>
      </c>
      <c r="H77" s="1083">
        <v>46132</v>
      </c>
      <c r="I77" s="638" t="s">
        <v>1053</v>
      </c>
      <c r="J77" s="1083">
        <v>46134</v>
      </c>
      <c r="K77" s="521" t="s">
        <v>5653</v>
      </c>
      <c r="L77" s="1050"/>
      <c r="M77" s="1050"/>
      <c r="N77" s="1087"/>
      <c r="O77" s="1094">
        <f t="shared" si="2"/>
        <v>0.3301697295186235</v>
      </c>
    </row>
    <row r="78" spans="1:15" s="644" customFormat="1" x14ac:dyDescent="0.3">
      <c r="B78" s="521" t="s">
        <v>551</v>
      </c>
      <c r="C78" s="521" t="s">
        <v>552</v>
      </c>
      <c r="D78" s="638" t="s">
        <v>190</v>
      </c>
      <c r="E78" s="639" t="s">
        <v>515</v>
      </c>
      <c r="F78" s="1110">
        <v>1</v>
      </c>
      <c r="G78" s="745" t="s">
        <v>10635</v>
      </c>
      <c r="H78" s="1083">
        <v>46133</v>
      </c>
      <c r="I78" s="638" t="s">
        <v>1053</v>
      </c>
      <c r="J78" s="1083">
        <v>46134</v>
      </c>
      <c r="K78" s="521" t="s">
        <v>9269</v>
      </c>
      <c r="L78" s="1050"/>
      <c r="M78" s="1050"/>
      <c r="N78" s="1087"/>
      <c r="O78" s="1094">
        <f t="shared" si="2"/>
        <v>0.3301697295186235</v>
      </c>
    </row>
    <row r="79" spans="1:15" x14ac:dyDescent="0.3">
      <c r="B79" s="521" t="s">
        <v>522</v>
      </c>
      <c r="C79" s="521" t="s">
        <v>523</v>
      </c>
      <c r="D79" s="638" t="s">
        <v>190</v>
      </c>
      <c r="E79" s="639" t="s">
        <v>515</v>
      </c>
      <c r="F79" s="1110">
        <v>1</v>
      </c>
      <c r="G79" s="745" t="s">
        <v>10636</v>
      </c>
      <c r="H79" s="1083">
        <v>46134</v>
      </c>
      <c r="I79" s="638" t="s">
        <v>1053</v>
      </c>
      <c r="J79" s="1083">
        <v>46134</v>
      </c>
      <c r="K79" s="521" t="s">
        <v>9210</v>
      </c>
      <c r="L79" s="1050"/>
      <c r="M79" s="1050"/>
      <c r="N79" s="1087"/>
      <c r="O79" s="1094">
        <f t="shared" si="2"/>
        <v>0.3301697295186235</v>
      </c>
    </row>
    <row r="80" spans="1:15" x14ac:dyDescent="0.3">
      <c r="B80" s="521" t="s">
        <v>522</v>
      </c>
      <c r="C80" s="521" t="s">
        <v>523</v>
      </c>
      <c r="D80" s="638" t="s">
        <v>190</v>
      </c>
      <c r="E80" s="639" t="s">
        <v>515</v>
      </c>
      <c r="F80" s="1110">
        <v>1</v>
      </c>
      <c r="G80" s="745" t="s">
        <v>10637</v>
      </c>
      <c r="H80" s="1083">
        <v>46134</v>
      </c>
      <c r="I80" s="638" t="s">
        <v>1053</v>
      </c>
      <c r="J80" s="1083">
        <v>46134</v>
      </c>
      <c r="K80" s="521" t="s">
        <v>9222</v>
      </c>
      <c r="L80" s="1050"/>
      <c r="M80" s="1050"/>
      <c r="N80" s="1087"/>
      <c r="O80" s="1094">
        <f t="shared" si="2"/>
        <v>0.3301697295186235</v>
      </c>
    </row>
    <row r="81" spans="2:15" x14ac:dyDescent="0.3">
      <c r="B81" s="521" t="s">
        <v>603</v>
      </c>
      <c r="C81" s="521" t="s">
        <v>604</v>
      </c>
      <c r="D81" s="638" t="s">
        <v>190</v>
      </c>
      <c r="E81" s="639" t="s">
        <v>515</v>
      </c>
      <c r="F81" s="1110">
        <v>4</v>
      </c>
      <c r="G81" s="745" t="s">
        <v>9361</v>
      </c>
      <c r="H81" s="1083">
        <v>46130</v>
      </c>
      <c r="I81" s="638" t="s">
        <v>1053</v>
      </c>
      <c r="J81" s="1083">
        <v>46135</v>
      </c>
      <c r="K81" s="521" t="s">
        <v>9362</v>
      </c>
      <c r="L81" s="1050"/>
      <c r="M81" s="1050"/>
      <c r="N81" s="1087"/>
      <c r="O81" s="1094"/>
    </row>
    <row r="82" spans="2:15" x14ac:dyDescent="0.3">
      <c r="B82" s="521" t="s">
        <v>508</v>
      </c>
      <c r="C82" s="521" t="s">
        <v>509</v>
      </c>
      <c r="D82" s="638" t="s">
        <v>190</v>
      </c>
      <c r="E82" s="639" t="s">
        <v>515</v>
      </c>
      <c r="F82" s="1110">
        <v>1</v>
      </c>
      <c r="G82" s="745" t="s">
        <v>10638</v>
      </c>
      <c r="H82" s="1084">
        <v>46132</v>
      </c>
      <c r="I82" s="638" t="s">
        <v>1053</v>
      </c>
      <c r="J82" s="1083">
        <v>46135</v>
      </c>
      <c r="K82" s="521" t="s">
        <v>5693</v>
      </c>
      <c r="L82" s="1050"/>
      <c r="M82" s="1050"/>
      <c r="N82" s="1087"/>
      <c r="O82" s="1094">
        <f t="shared" ref="O82:O113" si="3">N82/26885400000+$O$1</f>
        <v>0.3301697295186235</v>
      </c>
    </row>
    <row r="83" spans="2:15" x14ac:dyDescent="0.3">
      <c r="B83" s="521" t="s">
        <v>3116</v>
      </c>
      <c r="C83" s="521" t="s">
        <v>372</v>
      </c>
      <c r="D83" s="638" t="s">
        <v>320</v>
      </c>
      <c r="E83" s="639" t="s">
        <v>510</v>
      </c>
      <c r="F83" s="1110">
        <v>1.6</v>
      </c>
      <c r="G83" s="745" t="s">
        <v>10639</v>
      </c>
      <c r="H83" s="1083">
        <v>46132</v>
      </c>
      <c r="I83" s="638" t="s">
        <v>1053</v>
      </c>
      <c r="J83" s="1083">
        <v>46135</v>
      </c>
      <c r="K83" s="521" t="s">
        <v>4523</v>
      </c>
      <c r="L83" s="1050"/>
      <c r="M83" s="1050"/>
      <c r="N83" s="1087"/>
      <c r="O83" s="1094">
        <f t="shared" si="3"/>
        <v>0.3301697295186235</v>
      </c>
    </row>
    <row r="84" spans="2:15" x14ac:dyDescent="0.3">
      <c r="B84" s="521" t="s">
        <v>508</v>
      </c>
      <c r="C84" s="521" t="s">
        <v>509</v>
      </c>
      <c r="D84" s="638" t="s">
        <v>190</v>
      </c>
      <c r="E84" s="639" t="s">
        <v>510</v>
      </c>
      <c r="F84" s="1110">
        <v>1</v>
      </c>
      <c r="G84" s="1173" t="s">
        <v>10640</v>
      </c>
      <c r="H84" s="1083">
        <v>46133</v>
      </c>
      <c r="I84" s="638" t="s">
        <v>1053</v>
      </c>
      <c r="J84" s="1083">
        <v>46135</v>
      </c>
      <c r="K84" s="521" t="s">
        <v>5627</v>
      </c>
      <c r="L84" s="1050"/>
      <c r="M84" s="1050"/>
      <c r="N84" s="1087"/>
      <c r="O84" s="1094">
        <f t="shared" si="3"/>
        <v>0.3301697295186235</v>
      </c>
    </row>
    <row r="85" spans="2:15" x14ac:dyDescent="0.3">
      <c r="B85" s="521" t="s">
        <v>3116</v>
      </c>
      <c r="C85" s="521" t="s">
        <v>372</v>
      </c>
      <c r="D85" s="638" t="s">
        <v>320</v>
      </c>
      <c r="E85" s="639" t="s">
        <v>510</v>
      </c>
      <c r="F85" s="1110">
        <v>2.8</v>
      </c>
      <c r="G85" s="745" t="s">
        <v>10641</v>
      </c>
      <c r="H85" s="1083">
        <v>46133</v>
      </c>
      <c r="I85" s="638" t="s">
        <v>1053</v>
      </c>
      <c r="J85" s="1083">
        <v>46136</v>
      </c>
      <c r="K85" s="521" t="s">
        <v>4220</v>
      </c>
      <c r="L85" s="1050"/>
      <c r="M85" s="1050"/>
      <c r="N85" s="1087"/>
      <c r="O85" s="1094">
        <f t="shared" si="3"/>
        <v>0.3301697295186235</v>
      </c>
    </row>
    <row r="86" spans="2:15" x14ac:dyDescent="0.3">
      <c r="B86" s="521" t="s">
        <v>518</v>
      </c>
      <c r="C86" s="521" t="s">
        <v>519</v>
      </c>
      <c r="D86" s="638" t="s">
        <v>190</v>
      </c>
      <c r="E86" s="639" t="s">
        <v>515</v>
      </c>
      <c r="F86" s="1110">
        <v>1</v>
      </c>
      <c r="G86" s="745" t="s">
        <v>10642</v>
      </c>
      <c r="H86" s="1083">
        <v>46133</v>
      </c>
      <c r="I86" s="638" t="s">
        <v>1053</v>
      </c>
      <c r="J86" s="1083">
        <v>46136</v>
      </c>
      <c r="K86" s="521" t="s">
        <v>8779</v>
      </c>
      <c r="L86" s="1050"/>
      <c r="M86" s="1050"/>
      <c r="N86" s="1087"/>
      <c r="O86" s="1094">
        <f t="shared" si="3"/>
        <v>0.3301697295186235</v>
      </c>
    </row>
    <row r="87" spans="2:15" x14ac:dyDescent="0.3">
      <c r="B87" s="521" t="s">
        <v>522</v>
      </c>
      <c r="C87" s="521" t="s">
        <v>523</v>
      </c>
      <c r="D87" s="638" t="s">
        <v>190</v>
      </c>
      <c r="E87" s="639" t="s">
        <v>515</v>
      </c>
      <c r="F87" s="1110">
        <v>1</v>
      </c>
      <c r="G87" s="1173" t="s">
        <v>10643</v>
      </c>
      <c r="H87" s="1084">
        <v>46136</v>
      </c>
      <c r="I87" s="638" t="s">
        <v>1053</v>
      </c>
      <c r="J87" s="1083">
        <v>46136</v>
      </c>
      <c r="K87" s="521" t="s">
        <v>9237</v>
      </c>
      <c r="L87" s="1138"/>
      <c r="M87" s="1138"/>
      <c r="N87" s="1087"/>
      <c r="O87" s="1094">
        <f t="shared" si="3"/>
        <v>0.3301697295186235</v>
      </c>
    </row>
    <row r="88" spans="2:15" x14ac:dyDescent="0.3">
      <c r="B88" s="521" t="s">
        <v>561</v>
      </c>
      <c r="C88" s="521" t="s">
        <v>509</v>
      </c>
      <c r="D88" s="638" t="s">
        <v>190</v>
      </c>
      <c r="E88" s="639" t="s">
        <v>510</v>
      </c>
      <c r="F88" s="1110">
        <v>1</v>
      </c>
      <c r="G88" s="745" t="s">
        <v>10644</v>
      </c>
      <c r="H88" s="1084">
        <v>46135</v>
      </c>
      <c r="I88" s="638" t="s">
        <v>1053</v>
      </c>
      <c r="J88" s="1083">
        <v>46137</v>
      </c>
      <c r="K88" s="521" t="s">
        <v>5656</v>
      </c>
      <c r="L88" s="1050"/>
      <c r="M88" s="1050"/>
      <c r="N88" s="1087"/>
      <c r="O88" s="1094">
        <f t="shared" si="3"/>
        <v>0.3301697295186235</v>
      </c>
    </row>
    <row r="89" spans="2:15" x14ac:dyDescent="0.3">
      <c r="B89" s="521" t="s">
        <v>540</v>
      </c>
      <c r="C89" s="521" t="s">
        <v>376</v>
      </c>
      <c r="D89" s="638" t="s">
        <v>320</v>
      </c>
      <c r="E89" s="639" t="s">
        <v>515</v>
      </c>
      <c r="F89" s="1110">
        <v>4</v>
      </c>
      <c r="G89" s="745" t="s">
        <v>10645</v>
      </c>
      <c r="H89" s="1083">
        <v>46129</v>
      </c>
      <c r="I89" s="638" t="s">
        <v>1053</v>
      </c>
      <c r="J89" s="1083">
        <v>46138</v>
      </c>
      <c r="K89" s="521" t="s">
        <v>4649</v>
      </c>
      <c r="L89" s="1050"/>
      <c r="M89" s="1050"/>
      <c r="N89" s="1087"/>
      <c r="O89" s="1094">
        <f t="shared" si="3"/>
        <v>0.3301697295186235</v>
      </c>
    </row>
    <row r="90" spans="2:15" x14ac:dyDescent="0.3">
      <c r="B90" s="521" t="s">
        <v>683</v>
      </c>
      <c r="C90" s="521" t="s">
        <v>374</v>
      </c>
      <c r="D90" s="638" t="s">
        <v>190</v>
      </c>
      <c r="E90" s="639" t="s">
        <v>515</v>
      </c>
      <c r="F90" s="1110">
        <v>1</v>
      </c>
      <c r="G90" s="1173" t="s">
        <v>10646</v>
      </c>
      <c r="H90" s="1083">
        <v>46135</v>
      </c>
      <c r="I90" s="638" t="s">
        <v>1053</v>
      </c>
      <c r="J90" s="1083">
        <v>46138</v>
      </c>
      <c r="K90" s="521" t="s">
        <v>4620</v>
      </c>
      <c r="L90" s="1050"/>
      <c r="M90" s="1050"/>
      <c r="N90" s="1087"/>
      <c r="O90" s="1094">
        <f t="shared" si="3"/>
        <v>0.3301697295186235</v>
      </c>
    </row>
    <row r="91" spans="2:15" x14ac:dyDescent="0.3">
      <c r="B91" s="521" t="s">
        <v>561</v>
      </c>
      <c r="C91" s="521" t="s">
        <v>509</v>
      </c>
      <c r="D91" s="638" t="s">
        <v>190</v>
      </c>
      <c r="E91" s="639" t="s">
        <v>510</v>
      </c>
      <c r="F91" s="1110">
        <v>1</v>
      </c>
      <c r="G91" s="745" t="s">
        <v>10647</v>
      </c>
      <c r="H91" s="1083">
        <v>46136</v>
      </c>
      <c r="I91" s="638" t="s">
        <v>1053</v>
      </c>
      <c r="J91" s="1083">
        <v>46138</v>
      </c>
      <c r="K91" s="521" t="s">
        <v>5630</v>
      </c>
      <c r="L91" s="1050"/>
      <c r="M91" s="1050"/>
      <c r="N91" s="1087"/>
      <c r="O91" s="1094">
        <f t="shared" si="3"/>
        <v>0.3301697295186235</v>
      </c>
    </row>
    <row r="92" spans="2:15" x14ac:dyDescent="0.3">
      <c r="B92" s="521" t="s">
        <v>561</v>
      </c>
      <c r="C92" s="521" t="s">
        <v>509</v>
      </c>
      <c r="D92" s="638" t="s">
        <v>190</v>
      </c>
      <c r="E92" s="639" t="s">
        <v>515</v>
      </c>
      <c r="F92" s="1110">
        <v>1</v>
      </c>
      <c r="G92" s="1173" t="s">
        <v>10648</v>
      </c>
      <c r="H92" s="1084">
        <v>46136</v>
      </c>
      <c r="I92" s="638" t="s">
        <v>1053</v>
      </c>
      <c r="J92" s="1083">
        <v>46138</v>
      </c>
      <c r="K92" s="521" t="s">
        <v>5690</v>
      </c>
      <c r="L92" s="1138"/>
      <c r="M92" s="1138"/>
      <c r="N92" s="1087"/>
      <c r="O92" s="1094">
        <f t="shared" si="3"/>
        <v>0.3301697295186235</v>
      </c>
    </row>
    <row r="93" spans="2:15" x14ac:dyDescent="0.3">
      <c r="B93" s="521" t="s">
        <v>3116</v>
      </c>
      <c r="C93" s="521" t="s">
        <v>372</v>
      </c>
      <c r="D93" s="638" t="s">
        <v>320</v>
      </c>
      <c r="E93" s="639" t="s">
        <v>510</v>
      </c>
      <c r="F93" s="1110">
        <v>1.85</v>
      </c>
      <c r="G93" s="745" t="s">
        <v>10649</v>
      </c>
      <c r="H93" s="1083">
        <v>46136</v>
      </c>
      <c r="I93" s="638" t="s">
        <v>1053</v>
      </c>
      <c r="J93" s="1084">
        <v>46138</v>
      </c>
      <c r="K93" s="521" t="s">
        <v>4563</v>
      </c>
      <c r="L93" s="1050"/>
      <c r="M93" s="1050"/>
      <c r="N93" s="1087"/>
      <c r="O93" s="1094">
        <f t="shared" si="3"/>
        <v>0.3301697295186235</v>
      </c>
    </row>
    <row r="94" spans="2:15" s="644" customFormat="1" x14ac:dyDescent="0.3">
      <c r="B94" s="521" t="s">
        <v>522</v>
      </c>
      <c r="C94" s="521" t="s">
        <v>523</v>
      </c>
      <c r="D94" s="638" t="s">
        <v>190</v>
      </c>
      <c r="E94" s="639" t="s">
        <v>515</v>
      </c>
      <c r="F94" s="1110">
        <v>1</v>
      </c>
      <c r="G94" s="745" t="s">
        <v>10650</v>
      </c>
      <c r="H94" s="1083">
        <v>46137</v>
      </c>
      <c r="I94" s="638" t="s">
        <v>1053</v>
      </c>
      <c r="J94" s="1083">
        <v>46138</v>
      </c>
      <c r="K94" s="521" t="s">
        <v>9232</v>
      </c>
      <c r="L94" s="1050"/>
      <c r="M94" s="1050"/>
      <c r="N94" s="1087"/>
      <c r="O94" s="1094">
        <f t="shared" si="3"/>
        <v>0.3301697295186235</v>
      </c>
    </row>
    <row r="95" spans="2:15" x14ac:dyDescent="0.3">
      <c r="B95" s="521" t="s">
        <v>522</v>
      </c>
      <c r="C95" s="521" t="s">
        <v>523</v>
      </c>
      <c r="D95" s="638" t="s">
        <v>190</v>
      </c>
      <c r="E95" s="639" t="s">
        <v>515</v>
      </c>
      <c r="F95" s="1110">
        <v>1</v>
      </c>
      <c r="G95" s="1173" t="s">
        <v>10651</v>
      </c>
      <c r="H95" s="1083">
        <v>46137</v>
      </c>
      <c r="I95" s="638" t="s">
        <v>1053</v>
      </c>
      <c r="J95" s="1083">
        <v>46138</v>
      </c>
      <c r="K95" s="521" t="s">
        <v>9219</v>
      </c>
      <c r="L95" s="1050"/>
      <c r="M95" s="1050"/>
      <c r="N95" s="1087"/>
      <c r="O95" s="1094">
        <f t="shared" si="3"/>
        <v>0.3301697295186235</v>
      </c>
    </row>
    <row r="96" spans="2:15" x14ac:dyDescent="0.3">
      <c r="B96" s="521" t="s">
        <v>522</v>
      </c>
      <c r="C96" s="521" t="s">
        <v>523</v>
      </c>
      <c r="D96" s="638" t="s">
        <v>190</v>
      </c>
      <c r="E96" s="639" t="s">
        <v>515</v>
      </c>
      <c r="F96" s="1110">
        <v>1</v>
      </c>
      <c r="G96" s="745" t="s">
        <v>10652</v>
      </c>
      <c r="H96" s="1083">
        <v>46138</v>
      </c>
      <c r="I96" s="638" t="s">
        <v>1053</v>
      </c>
      <c r="J96" s="1083">
        <v>46138</v>
      </c>
      <c r="K96" s="521" t="s">
        <v>9213</v>
      </c>
      <c r="L96" s="1050"/>
      <c r="M96" s="1050"/>
      <c r="N96" s="1087"/>
      <c r="O96" s="1094">
        <f t="shared" si="3"/>
        <v>0.3301697295186235</v>
      </c>
    </row>
    <row r="97" spans="2:15" x14ac:dyDescent="0.3">
      <c r="B97" s="521" t="s">
        <v>522</v>
      </c>
      <c r="C97" s="521" t="s">
        <v>523</v>
      </c>
      <c r="D97" s="638" t="s">
        <v>190</v>
      </c>
      <c r="E97" s="639" t="s">
        <v>515</v>
      </c>
      <c r="F97" s="1110">
        <v>1</v>
      </c>
      <c r="G97" s="745" t="s">
        <v>10653</v>
      </c>
      <c r="H97" s="1083">
        <v>46138</v>
      </c>
      <c r="I97" s="638" t="s">
        <v>1053</v>
      </c>
      <c r="J97" s="1083">
        <v>46138</v>
      </c>
      <c r="K97" s="521" t="s">
        <v>9216</v>
      </c>
      <c r="L97" s="1050"/>
      <c r="M97" s="1050"/>
      <c r="N97" s="1087"/>
      <c r="O97" s="1094">
        <f t="shared" si="3"/>
        <v>0.3301697295186235</v>
      </c>
    </row>
    <row r="98" spans="2:15" x14ac:dyDescent="0.3">
      <c r="B98" s="888" t="s">
        <v>3116</v>
      </c>
      <c r="C98" s="888" t="s">
        <v>372</v>
      </c>
      <c r="D98" s="582" t="s">
        <v>320</v>
      </c>
      <c r="E98" s="889" t="s">
        <v>510</v>
      </c>
      <c r="F98" s="1110">
        <v>2.5</v>
      </c>
      <c r="G98" s="1173" t="s">
        <v>10654</v>
      </c>
      <c r="H98" s="1084">
        <v>46136</v>
      </c>
      <c r="I98" s="582" t="s">
        <v>1053</v>
      </c>
      <c r="J98" s="1083">
        <v>46139</v>
      </c>
      <c r="K98" s="888" t="s">
        <v>4005</v>
      </c>
      <c r="L98" s="1050"/>
      <c r="M98" s="1050"/>
      <c r="N98" s="1087"/>
      <c r="O98" s="1094">
        <f t="shared" si="3"/>
        <v>0.3301697295186235</v>
      </c>
    </row>
    <row r="99" spans="2:15" x14ac:dyDescent="0.3">
      <c r="B99" s="521" t="s">
        <v>551</v>
      </c>
      <c r="C99" s="521" t="s">
        <v>552</v>
      </c>
      <c r="D99" s="638" t="s">
        <v>190</v>
      </c>
      <c r="E99" s="639" t="s">
        <v>515</v>
      </c>
      <c r="F99" s="1110">
        <v>1</v>
      </c>
      <c r="G99" s="1173" t="s">
        <v>10655</v>
      </c>
      <c r="H99" s="1084">
        <v>46137</v>
      </c>
      <c r="I99" s="638" t="s">
        <v>1053</v>
      </c>
      <c r="J99" s="1083">
        <v>46139</v>
      </c>
      <c r="K99" s="521" t="s">
        <v>9272</v>
      </c>
      <c r="L99" s="1138"/>
      <c r="M99" s="1138"/>
      <c r="N99" s="1087"/>
      <c r="O99" s="1094">
        <f t="shared" si="3"/>
        <v>0.3301697295186235</v>
      </c>
    </row>
    <row r="100" spans="2:15" x14ac:dyDescent="0.3">
      <c r="B100" s="521" t="s">
        <v>513</v>
      </c>
      <c r="C100" s="521" t="s">
        <v>514</v>
      </c>
      <c r="D100" s="638" t="s">
        <v>324</v>
      </c>
      <c r="E100" s="639" t="s">
        <v>515</v>
      </c>
      <c r="F100" s="1110">
        <v>1</v>
      </c>
      <c r="G100" s="1173" t="s">
        <v>9757</v>
      </c>
      <c r="H100" s="1084">
        <v>46138</v>
      </c>
      <c r="I100" s="638" t="s">
        <v>1053</v>
      </c>
      <c r="J100" s="1083">
        <v>46139</v>
      </c>
      <c r="K100" s="521" t="s">
        <v>9758</v>
      </c>
      <c r="L100" s="1138"/>
      <c r="M100" s="1138"/>
      <c r="N100" s="1087"/>
      <c r="O100" s="1094">
        <f t="shared" si="3"/>
        <v>0.3301697295186235</v>
      </c>
    </row>
    <row r="101" spans="2:15" x14ac:dyDescent="0.3">
      <c r="B101" s="521" t="s">
        <v>1414</v>
      </c>
      <c r="C101" s="521" t="s">
        <v>1415</v>
      </c>
      <c r="D101" s="638" t="s">
        <v>267</v>
      </c>
      <c r="E101" s="639"/>
      <c r="F101" s="1110">
        <v>0.15</v>
      </c>
      <c r="G101" s="745" t="s">
        <v>1419</v>
      </c>
      <c r="H101" s="1083">
        <v>46139</v>
      </c>
      <c r="I101" s="638" t="s">
        <v>1053</v>
      </c>
      <c r="J101" s="1083">
        <v>46139</v>
      </c>
      <c r="K101" s="521" t="s">
        <v>1413</v>
      </c>
      <c r="L101" s="1050"/>
      <c r="M101" s="1050"/>
      <c r="N101" s="1087"/>
      <c r="O101" s="1094">
        <f t="shared" si="3"/>
        <v>0.3301697295186235</v>
      </c>
    </row>
    <row r="102" spans="2:15" x14ac:dyDescent="0.3">
      <c r="B102" s="521" t="s">
        <v>508</v>
      </c>
      <c r="C102" s="521" t="s">
        <v>509</v>
      </c>
      <c r="D102" s="638" t="s">
        <v>190</v>
      </c>
      <c r="E102" s="639" t="s">
        <v>510</v>
      </c>
      <c r="F102" s="1110">
        <v>1</v>
      </c>
      <c r="G102" s="1173" t="s">
        <v>10656</v>
      </c>
      <c r="H102" s="1083">
        <v>46137</v>
      </c>
      <c r="I102" s="638" t="s">
        <v>1053</v>
      </c>
      <c r="J102" s="1083">
        <v>46140</v>
      </c>
      <c r="K102" s="521" t="s">
        <v>5603</v>
      </c>
      <c r="L102" s="1050"/>
      <c r="M102" s="1050"/>
      <c r="N102" s="1087"/>
      <c r="O102" s="1094">
        <f t="shared" si="3"/>
        <v>0.3301697295186235</v>
      </c>
    </row>
    <row r="103" spans="2:15" x14ac:dyDescent="0.3">
      <c r="B103" s="521" t="s">
        <v>526</v>
      </c>
      <c r="C103" s="521" t="s">
        <v>527</v>
      </c>
      <c r="D103" s="638" t="s">
        <v>324</v>
      </c>
      <c r="E103" s="639" t="s">
        <v>515</v>
      </c>
      <c r="F103" s="1110">
        <v>3</v>
      </c>
      <c r="G103" s="745" t="s">
        <v>9777</v>
      </c>
      <c r="H103" s="1083">
        <v>46140</v>
      </c>
      <c r="I103" s="638" t="s">
        <v>1053</v>
      </c>
      <c r="J103" s="1083">
        <v>46140</v>
      </c>
      <c r="K103" s="521" t="s">
        <v>9778</v>
      </c>
      <c r="L103" s="1050"/>
      <c r="M103" s="1050"/>
      <c r="N103" s="1087"/>
      <c r="O103" s="1094">
        <f t="shared" si="3"/>
        <v>0.3301697295186235</v>
      </c>
    </row>
    <row r="104" spans="2:15" x14ac:dyDescent="0.3">
      <c r="B104" s="521" t="s">
        <v>526</v>
      </c>
      <c r="C104" s="521" t="s">
        <v>527</v>
      </c>
      <c r="D104" s="638" t="s">
        <v>324</v>
      </c>
      <c r="E104" s="639" t="s">
        <v>515</v>
      </c>
      <c r="F104" s="1110">
        <v>3</v>
      </c>
      <c r="G104" s="745" t="s">
        <v>9779</v>
      </c>
      <c r="H104" s="1083">
        <v>46140</v>
      </c>
      <c r="I104" s="638" t="s">
        <v>1053</v>
      </c>
      <c r="J104" s="1083">
        <v>46140</v>
      </c>
      <c r="K104" s="521" t="s">
        <v>9780</v>
      </c>
      <c r="L104" s="1050"/>
      <c r="M104" s="1050"/>
      <c r="N104" s="1087"/>
      <c r="O104" s="1094">
        <f t="shared" si="3"/>
        <v>0.3301697295186235</v>
      </c>
    </row>
    <row r="105" spans="2:15" x14ac:dyDescent="0.3">
      <c r="B105" s="521" t="s">
        <v>540</v>
      </c>
      <c r="C105" s="521" t="s">
        <v>376</v>
      </c>
      <c r="D105" s="638" t="s">
        <v>320</v>
      </c>
      <c r="E105" s="639" t="s">
        <v>510</v>
      </c>
      <c r="F105" s="1110">
        <v>2</v>
      </c>
      <c r="G105" s="745" t="s">
        <v>10657</v>
      </c>
      <c r="H105" s="1083">
        <v>46140</v>
      </c>
      <c r="I105" s="638" t="s">
        <v>1053</v>
      </c>
      <c r="J105" s="1083">
        <v>46140</v>
      </c>
      <c r="K105" s="521" t="s">
        <v>4698</v>
      </c>
      <c r="L105" s="1050"/>
      <c r="M105" s="1050"/>
      <c r="N105" s="1087"/>
      <c r="O105" s="1094">
        <f t="shared" si="3"/>
        <v>0.3301697295186235</v>
      </c>
    </row>
    <row r="106" spans="2:15" x14ac:dyDescent="0.3">
      <c r="B106" s="521" t="s">
        <v>530</v>
      </c>
      <c r="C106" s="521" t="s">
        <v>400</v>
      </c>
      <c r="D106" s="638" t="s">
        <v>190</v>
      </c>
      <c r="E106" s="639" t="s">
        <v>515</v>
      </c>
      <c r="F106" s="1110">
        <v>2</v>
      </c>
      <c r="G106" s="745" t="s">
        <v>9807</v>
      </c>
      <c r="H106" s="1083">
        <v>46140</v>
      </c>
      <c r="I106" s="638" t="s">
        <v>1053</v>
      </c>
      <c r="J106" s="1083">
        <v>46140</v>
      </c>
      <c r="K106" s="521" t="s">
        <v>9808</v>
      </c>
      <c r="L106" s="1050"/>
      <c r="M106" s="1050"/>
      <c r="N106" s="1087"/>
      <c r="O106" s="1094">
        <f t="shared" si="3"/>
        <v>0.3301697295186235</v>
      </c>
    </row>
    <row r="107" spans="2:15" x14ac:dyDescent="0.3">
      <c r="B107" s="521" t="s">
        <v>508</v>
      </c>
      <c r="C107" s="521" t="s">
        <v>509</v>
      </c>
      <c r="D107" s="638" t="s">
        <v>190</v>
      </c>
      <c r="E107" s="639" t="s">
        <v>515</v>
      </c>
      <c r="F107" s="1110">
        <v>1</v>
      </c>
      <c r="G107" s="745" t="s">
        <v>10658</v>
      </c>
      <c r="H107" s="1083">
        <v>46139</v>
      </c>
      <c r="I107" s="638" t="s">
        <v>1053</v>
      </c>
      <c r="J107" s="1083">
        <v>46141</v>
      </c>
      <c r="K107" s="521" t="s">
        <v>5687</v>
      </c>
      <c r="L107" s="1050"/>
      <c r="M107" s="1050"/>
      <c r="N107" s="1087"/>
      <c r="O107" s="1094">
        <f t="shared" si="3"/>
        <v>0.3301697295186235</v>
      </c>
    </row>
    <row r="108" spans="2:15" x14ac:dyDescent="0.3">
      <c r="B108" s="521" t="s">
        <v>508</v>
      </c>
      <c r="C108" s="521" t="s">
        <v>509</v>
      </c>
      <c r="D108" s="638" t="s">
        <v>190</v>
      </c>
      <c r="E108" s="639" t="s">
        <v>510</v>
      </c>
      <c r="F108" s="1110">
        <v>1</v>
      </c>
      <c r="G108" s="745" t="s">
        <v>10659</v>
      </c>
      <c r="H108" s="1083">
        <v>46139</v>
      </c>
      <c r="I108" s="638" t="s">
        <v>1053</v>
      </c>
      <c r="J108" s="1083">
        <v>46141</v>
      </c>
      <c r="K108" s="521" t="s">
        <v>5633</v>
      </c>
      <c r="L108" s="1050"/>
      <c r="M108" s="1050"/>
      <c r="N108" s="1087"/>
      <c r="O108" s="1094">
        <f t="shared" si="3"/>
        <v>0.3301697295186235</v>
      </c>
    </row>
    <row r="109" spans="2:15" x14ac:dyDescent="0.3">
      <c r="B109" s="521" t="s">
        <v>508</v>
      </c>
      <c r="C109" s="521" t="s">
        <v>509</v>
      </c>
      <c r="D109" s="638" t="s">
        <v>190</v>
      </c>
      <c r="E109" s="639" t="s">
        <v>510</v>
      </c>
      <c r="F109" s="1110">
        <v>1</v>
      </c>
      <c r="G109" s="745" t="s">
        <v>10660</v>
      </c>
      <c r="H109" s="1083">
        <v>46139</v>
      </c>
      <c r="I109" s="638" t="s">
        <v>1053</v>
      </c>
      <c r="J109" s="1083">
        <v>46141</v>
      </c>
      <c r="K109" s="521" t="s">
        <v>5658</v>
      </c>
      <c r="L109" s="1050"/>
      <c r="M109" s="1050"/>
      <c r="N109" s="1087"/>
      <c r="O109" s="1094">
        <f t="shared" si="3"/>
        <v>0.3301697295186235</v>
      </c>
    </row>
    <row r="110" spans="2:15" x14ac:dyDescent="0.3">
      <c r="B110" s="521" t="s">
        <v>513</v>
      </c>
      <c r="C110" s="521" t="s">
        <v>514</v>
      </c>
      <c r="D110" s="638" t="s">
        <v>324</v>
      </c>
      <c r="E110" s="639" t="s">
        <v>515</v>
      </c>
      <c r="F110" s="1110">
        <v>1</v>
      </c>
      <c r="G110" s="745" t="s">
        <v>9753</v>
      </c>
      <c r="H110" s="1083">
        <v>46140</v>
      </c>
      <c r="I110" s="638" t="s">
        <v>1053</v>
      </c>
      <c r="J110" s="1083">
        <v>46141</v>
      </c>
      <c r="K110" s="521" t="s">
        <v>9754</v>
      </c>
      <c r="L110" s="1050"/>
      <c r="M110" s="1050"/>
      <c r="N110" s="1087"/>
      <c r="O110" s="1094">
        <f t="shared" si="3"/>
        <v>0.3301697295186235</v>
      </c>
    </row>
    <row r="111" spans="2:15" x14ac:dyDescent="0.3">
      <c r="B111" s="521" t="s">
        <v>561</v>
      </c>
      <c r="C111" s="521" t="s">
        <v>509</v>
      </c>
      <c r="D111" s="638" t="s">
        <v>190</v>
      </c>
      <c r="E111" s="639" t="s">
        <v>515</v>
      </c>
      <c r="F111" s="1110">
        <v>1</v>
      </c>
      <c r="G111" s="745" t="s">
        <v>10661</v>
      </c>
      <c r="H111" s="1083">
        <v>46139</v>
      </c>
      <c r="I111" s="638" t="s">
        <v>1053</v>
      </c>
      <c r="J111" s="1083">
        <v>46142</v>
      </c>
      <c r="K111" s="521" t="s">
        <v>5661</v>
      </c>
      <c r="L111" s="1050"/>
      <c r="M111" s="1050"/>
      <c r="N111" s="1087"/>
      <c r="O111" s="1094">
        <f t="shared" si="3"/>
        <v>0.3301697295186235</v>
      </c>
    </row>
    <row r="112" spans="2:15" x14ac:dyDescent="0.3">
      <c r="B112" s="521" t="s">
        <v>518</v>
      </c>
      <c r="C112" s="521" t="s">
        <v>519</v>
      </c>
      <c r="D112" s="638" t="s">
        <v>190</v>
      </c>
      <c r="E112" s="639" t="s">
        <v>515</v>
      </c>
      <c r="F112" s="1110">
        <v>1</v>
      </c>
      <c r="G112" s="745" t="s">
        <v>10662</v>
      </c>
      <c r="H112" s="1083">
        <v>46139</v>
      </c>
      <c r="I112" s="638" t="s">
        <v>1053</v>
      </c>
      <c r="J112" s="1083">
        <v>46142</v>
      </c>
      <c r="K112" s="521" t="s">
        <v>8770</v>
      </c>
      <c r="L112" s="1050"/>
      <c r="M112" s="1050"/>
      <c r="N112" s="1087"/>
      <c r="O112" s="1094">
        <f t="shared" si="3"/>
        <v>0.3301697295186235</v>
      </c>
    </row>
    <row r="113" spans="1:15" x14ac:dyDescent="0.3">
      <c r="B113" s="521" t="s">
        <v>551</v>
      </c>
      <c r="C113" s="521" t="s">
        <v>552</v>
      </c>
      <c r="D113" s="638" t="s">
        <v>190</v>
      </c>
      <c r="E113" s="639" t="s">
        <v>515</v>
      </c>
      <c r="F113" s="1110">
        <v>1</v>
      </c>
      <c r="G113" s="745" t="s">
        <v>10663</v>
      </c>
      <c r="H113" s="1083">
        <v>46140</v>
      </c>
      <c r="I113" s="638" t="s">
        <v>1053</v>
      </c>
      <c r="J113" s="1083">
        <v>46142</v>
      </c>
      <c r="K113" s="521" t="s">
        <v>9275</v>
      </c>
      <c r="L113" s="1050"/>
      <c r="M113" s="1050"/>
      <c r="N113" s="1087"/>
      <c r="O113" s="1094">
        <f t="shared" si="3"/>
        <v>0.3301697295186235</v>
      </c>
    </row>
    <row r="114" spans="1:15" x14ac:dyDescent="0.3">
      <c r="B114" s="521" t="s">
        <v>540</v>
      </c>
      <c r="C114" s="521" t="s">
        <v>376</v>
      </c>
      <c r="D114" s="638" t="s">
        <v>320</v>
      </c>
      <c r="E114" s="639" t="s">
        <v>515</v>
      </c>
      <c r="F114" s="1110">
        <v>4</v>
      </c>
      <c r="G114" s="745" t="s">
        <v>10664</v>
      </c>
      <c r="H114" s="1083">
        <v>46140</v>
      </c>
      <c r="I114" s="638" t="s">
        <v>1053</v>
      </c>
      <c r="J114" s="1083">
        <v>46142</v>
      </c>
      <c r="K114" s="521" t="s">
        <v>4668</v>
      </c>
      <c r="L114" s="1050"/>
      <c r="M114" s="1050"/>
      <c r="N114" s="1087"/>
      <c r="O114" s="1094">
        <f t="shared" ref="O114:O145" si="4">N114/26885400000+$O$1</f>
        <v>0.3301697295186235</v>
      </c>
    </row>
    <row r="115" spans="1:15" x14ac:dyDescent="0.3">
      <c r="A115" s="644" t="s">
        <v>10584</v>
      </c>
      <c r="B115" s="521" t="s">
        <v>508</v>
      </c>
      <c r="C115" s="521" t="s">
        <v>509</v>
      </c>
      <c r="D115" s="638" t="s">
        <v>190</v>
      </c>
      <c r="E115" s="639" t="s">
        <v>515</v>
      </c>
      <c r="F115" s="1110">
        <v>1</v>
      </c>
      <c r="G115" s="745" t="s">
        <v>10665</v>
      </c>
      <c r="H115" s="1083">
        <v>46141</v>
      </c>
      <c r="I115" s="638" t="s">
        <v>1053</v>
      </c>
      <c r="J115" s="1083">
        <v>46142</v>
      </c>
      <c r="K115" s="521" t="s">
        <v>5709</v>
      </c>
      <c r="L115" s="1050"/>
      <c r="M115" s="1050"/>
      <c r="N115" s="1087"/>
      <c r="O115" s="1094">
        <f t="shared" si="4"/>
        <v>0.3301697295186235</v>
      </c>
    </row>
    <row r="116" spans="1:15" x14ac:dyDescent="0.3">
      <c r="B116" s="521" t="s">
        <v>508</v>
      </c>
      <c r="C116" s="521" t="s">
        <v>509</v>
      </c>
      <c r="D116" s="638" t="s">
        <v>190</v>
      </c>
      <c r="E116" s="639" t="s">
        <v>510</v>
      </c>
      <c r="F116" s="1110">
        <v>1</v>
      </c>
      <c r="G116" s="1173" t="s">
        <v>10666</v>
      </c>
      <c r="H116" s="1084">
        <v>46141</v>
      </c>
      <c r="I116" s="638" t="s">
        <v>1053</v>
      </c>
      <c r="J116" s="1084">
        <v>46142</v>
      </c>
      <c r="K116" s="521" t="s">
        <v>5606</v>
      </c>
      <c r="L116" s="1138"/>
      <c r="M116" s="1138"/>
      <c r="N116" s="1087"/>
      <c r="O116" s="1094">
        <f t="shared" si="4"/>
        <v>0.3301697295186235</v>
      </c>
    </row>
    <row r="117" spans="1:15" x14ac:dyDescent="0.3">
      <c r="B117" s="521" t="s">
        <v>508</v>
      </c>
      <c r="C117" s="521" t="s">
        <v>509</v>
      </c>
      <c r="D117" s="638" t="s">
        <v>190</v>
      </c>
      <c r="E117" s="639" t="s">
        <v>510</v>
      </c>
      <c r="F117" s="1110">
        <v>1</v>
      </c>
      <c r="G117" s="745" t="s">
        <v>10667</v>
      </c>
      <c r="H117" s="1083">
        <v>46141</v>
      </c>
      <c r="I117" s="638" t="s">
        <v>1053</v>
      </c>
      <c r="J117" s="1083">
        <v>46142</v>
      </c>
      <c r="K117" s="521" t="s">
        <v>5639</v>
      </c>
      <c r="L117" s="1050"/>
      <c r="M117" s="1050"/>
      <c r="N117" s="1087"/>
      <c r="O117" s="1094">
        <f t="shared" si="4"/>
        <v>0.3301697295186235</v>
      </c>
    </row>
    <row r="118" spans="1:15" x14ac:dyDescent="0.3">
      <c r="B118" s="521" t="s">
        <v>3116</v>
      </c>
      <c r="C118" s="521" t="s">
        <v>372</v>
      </c>
      <c r="D118" s="638" t="s">
        <v>320</v>
      </c>
      <c r="E118" s="639" t="s">
        <v>510</v>
      </c>
      <c r="F118" s="1110">
        <v>2.7</v>
      </c>
      <c r="G118" s="745" t="s">
        <v>10668</v>
      </c>
      <c r="H118" s="1083">
        <v>46141</v>
      </c>
      <c r="I118" s="638" t="s">
        <v>1053</v>
      </c>
      <c r="J118" s="1083">
        <v>46142</v>
      </c>
      <c r="K118" s="521" t="s">
        <v>4008</v>
      </c>
      <c r="L118" s="1050"/>
      <c r="M118" s="1050"/>
      <c r="N118" s="1087"/>
      <c r="O118" s="1094">
        <f t="shared" si="4"/>
        <v>0.3301697295186235</v>
      </c>
    </row>
    <row r="119" spans="1:15" x14ac:dyDescent="0.3">
      <c r="B119" s="521" t="s">
        <v>522</v>
      </c>
      <c r="C119" s="521" t="s">
        <v>523</v>
      </c>
      <c r="D119" s="638" t="s">
        <v>190</v>
      </c>
      <c r="E119" s="639" t="s">
        <v>515</v>
      </c>
      <c r="F119" s="1110">
        <v>1</v>
      </c>
      <c r="G119" s="745" t="s">
        <v>10669</v>
      </c>
      <c r="H119" s="1083">
        <v>46141</v>
      </c>
      <c r="I119" s="638" t="s">
        <v>1053</v>
      </c>
      <c r="J119" s="1083">
        <v>46142</v>
      </c>
      <c r="K119" s="521" t="s">
        <v>9254</v>
      </c>
      <c r="L119" s="1050"/>
      <c r="M119" s="1050"/>
      <c r="N119" s="1087"/>
      <c r="O119" s="1094">
        <f t="shared" si="4"/>
        <v>0.3301697295186235</v>
      </c>
    </row>
    <row r="120" spans="1:15" x14ac:dyDescent="0.3">
      <c r="B120" s="521" t="s">
        <v>513</v>
      </c>
      <c r="C120" s="521" t="s">
        <v>514</v>
      </c>
      <c r="D120" s="638" t="s">
        <v>324</v>
      </c>
      <c r="E120" s="639" t="s">
        <v>515</v>
      </c>
      <c r="F120" s="1110">
        <v>1</v>
      </c>
      <c r="G120" s="745" t="s">
        <v>9755</v>
      </c>
      <c r="H120" s="1083">
        <v>46141</v>
      </c>
      <c r="I120" s="638" t="s">
        <v>1053</v>
      </c>
      <c r="J120" s="1083">
        <v>46142</v>
      </c>
      <c r="K120" s="521" t="s">
        <v>9756</v>
      </c>
      <c r="L120" s="1050"/>
      <c r="M120" s="1050"/>
      <c r="N120" s="1087"/>
      <c r="O120" s="1094">
        <f t="shared" si="4"/>
        <v>0.3301697295186235</v>
      </c>
    </row>
    <row r="121" spans="1:15" x14ac:dyDescent="0.3">
      <c r="B121" s="521" t="s">
        <v>551</v>
      </c>
      <c r="C121" s="521" t="s">
        <v>552</v>
      </c>
      <c r="D121" s="638" t="s">
        <v>190</v>
      </c>
      <c r="E121" s="639" t="s">
        <v>515</v>
      </c>
      <c r="F121" s="1110">
        <v>1</v>
      </c>
      <c r="G121" s="745" t="s">
        <v>10670</v>
      </c>
      <c r="H121" s="1083">
        <v>46141</v>
      </c>
      <c r="I121" s="638" t="s">
        <v>1053</v>
      </c>
      <c r="J121" s="1083">
        <v>46142</v>
      </c>
      <c r="K121" s="521" t="s">
        <v>9278</v>
      </c>
      <c r="L121" s="1050"/>
      <c r="M121" s="1050"/>
      <c r="N121" s="1087"/>
      <c r="O121" s="1094">
        <f t="shared" si="4"/>
        <v>0.3301697295186235</v>
      </c>
    </row>
    <row r="122" spans="1:15" x14ac:dyDescent="0.3">
      <c r="A122" s="644" t="s">
        <v>10584</v>
      </c>
      <c r="B122" s="521" t="s">
        <v>508</v>
      </c>
      <c r="C122" s="521" t="s">
        <v>509</v>
      </c>
      <c r="D122" s="638" t="s">
        <v>190</v>
      </c>
      <c r="E122" s="639" t="s">
        <v>515</v>
      </c>
      <c r="F122" s="1110">
        <v>1</v>
      </c>
      <c r="G122" s="745" t="s">
        <v>10671</v>
      </c>
      <c r="H122" s="1083">
        <v>46142</v>
      </c>
      <c r="I122" s="638" t="s">
        <v>1053</v>
      </c>
      <c r="J122" s="1083">
        <v>46142</v>
      </c>
      <c r="K122" s="521" t="s">
        <v>5711</v>
      </c>
      <c r="L122" s="1050"/>
      <c r="M122" s="1050"/>
      <c r="N122" s="1087"/>
      <c r="O122" s="1094">
        <f t="shared" si="4"/>
        <v>0.3301697295186235</v>
      </c>
    </row>
    <row r="123" spans="1:15" x14ac:dyDescent="0.3">
      <c r="B123" s="521" t="s">
        <v>561</v>
      </c>
      <c r="C123" s="521" t="s">
        <v>509</v>
      </c>
      <c r="D123" s="638" t="s">
        <v>190</v>
      </c>
      <c r="E123" s="639" t="s">
        <v>515</v>
      </c>
      <c r="F123" s="1110">
        <v>1</v>
      </c>
      <c r="G123" s="1173" t="s">
        <v>10672</v>
      </c>
      <c r="H123" s="1083">
        <v>46142</v>
      </c>
      <c r="I123" s="638" t="s">
        <v>1053</v>
      </c>
      <c r="J123" s="1083">
        <v>46142</v>
      </c>
      <c r="K123" s="637" t="s">
        <v>5684</v>
      </c>
      <c r="L123" s="1050"/>
      <c r="M123" s="1050"/>
      <c r="N123" s="1087"/>
      <c r="O123" s="1094">
        <f t="shared" si="4"/>
        <v>0.3301697295186235</v>
      </c>
    </row>
    <row r="124" spans="1:15" x14ac:dyDescent="0.3">
      <c r="B124" s="521" t="s">
        <v>508</v>
      </c>
      <c r="C124" s="521" t="s">
        <v>509</v>
      </c>
      <c r="D124" s="638" t="s">
        <v>190</v>
      </c>
      <c r="E124" s="639" t="s">
        <v>515</v>
      </c>
      <c r="F124" s="1110">
        <v>1</v>
      </c>
      <c r="G124" s="745" t="s">
        <v>10673</v>
      </c>
      <c r="H124" s="1083">
        <v>46142</v>
      </c>
      <c r="I124" s="638" t="s">
        <v>1053</v>
      </c>
      <c r="J124" s="1083">
        <v>46142</v>
      </c>
      <c r="K124" s="521" t="s">
        <v>5682</v>
      </c>
      <c r="L124" s="1050"/>
      <c r="M124" s="1050"/>
      <c r="N124" s="1087"/>
      <c r="O124" s="1094">
        <f t="shared" si="4"/>
        <v>0.3301697295186235</v>
      </c>
    </row>
    <row r="125" spans="1:15" x14ac:dyDescent="0.3">
      <c r="B125" s="521" t="s">
        <v>508</v>
      </c>
      <c r="C125" s="521" t="s">
        <v>509</v>
      </c>
      <c r="D125" s="638" t="s">
        <v>190</v>
      </c>
      <c r="E125" s="639" t="s">
        <v>515</v>
      </c>
      <c r="F125" s="1110">
        <v>1</v>
      </c>
      <c r="G125" s="745" t="s">
        <v>10674</v>
      </c>
      <c r="H125" s="1083">
        <v>46142</v>
      </c>
      <c r="I125" s="638" t="s">
        <v>1053</v>
      </c>
      <c r="J125" s="1083">
        <v>46142</v>
      </c>
      <c r="K125" s="521" t="s">
        <v>5663</v>
      </c>
      <c r="L125" s="1050"/>
      <c r="M125" s="1050"/>
      <c r="N125" s="1087"/>
      <c r="O125" s="1094">
        <f t="shared" si="4"/>
        <v>0.3301697295186235</v>
      </c>
    </row>
    <row r="126" spans="1:15" x14ac:dyDescent="0.3">
      <c r="B126" s="521" t="s">
        <v>561</v>
      </c>
      <c r="C126" s="521" t="s">
        <v>509</v>
      </c>
      <c r="D126" s="638" t="s">
        <v>190</v>
      </c>
      <c r="E126" s="639" t="s">
        <v>510</v>
      </c>
      <c r="F126" s="1110">
        <v>1</v>
      </c>
      <c r="G126" s="745" t="s">
        <v>10675</v>
      </c>
      <c r="H126" s="1083">
        <v>46142</v>
      </c>
      <c r="I126" s="638" t="s">
        <v>1053</v>
      </c>
      <c r="J126" s="1083">
        <v>46142</v>
      </c>
      <c r="K126" s="521" t="s">
        <v>5636</v>
      </c>
      <c r="L126" s="1050"/>
      <c r="M126" s="1050"/>
      <c r="N126" s="1087"/>
      <c r="O126" s="1094">
        <f t="shared" si="4"/>
        <v>0.3301697295186235</v>
      </c>
    </row>
    <row r="127" spans="1:15" x14ac:dyDescent="0.3">
      <c r="B127" s="521" t="s">
        <v>1085</v>
      </c>
      <c r="C127" s="521" t="s">
        <v>1086</v>
      </c>
      <c r="D127" s="638" t="s">
        <v>190</v>
      </c>
      <c r="E127" s="639"/>
      <c r="F127" s="1110">
        <v>10</v>
      </c>
      <c r="G127" s="1173" t="s">
        <v>1088</v>
      </c>
      <c r="H127" s="1084">
        <v>46142</v>
      </c>
      <c r="I127" s="638" t="s">
        <v>1053</v>
      </c>
      <c r="J127" s="1083">
        <v>46142</v>
      </c>
      <c r="K127" s="521"/>
      <c r="L127" s="1138"/>
      <c r="M127" s="1138"/>
      <c r="N127" s="1087"/>
      <c r="O127" s="1094">
        <f t="shared" si="4"/>
        <v>0.3301697295186235</v>
      </c>
    </row>
    <row r="128" spans="1:15" x14ac:dyDescent="0.3">
      <c r="B128" s="521" t="s">
        <v>518</v>
      </c>
      <c r="C128" s="521" t="s">
        <v>519</v>
      </c>
      <c r="D128" s="638" t="s">
        <v>190</v>
      </c>
      <c r="E128" s="639" t="s">
        <v>515</v>
      </c>
      <c r="F128" s="1110">
        <v>1</v>
      </c>
      <c r="G128" s="745" t="s">
        <v>10676</v>
      </c>
      <c r="H128" s="1083">
        <v>46142</v>
      </c>
      <c r="I128" s="638" t="s">
        <v>1053</v>
      </c>
      <c r="J128" s="1083">
        <v>46142</v>
      </c>
      <c r="K128" s="521" t="s">
        <v>8773</v>
      </c>
      <c r="L128" s="1050"/>
      <c r="M128" s="1050"/>
      <c r="N128" s="1087"/>
      <c r="O128" s="1094">
        <f t="shared" si="4"/>
        <v>0.3301697295186235</v>
      </c>
    </row>
    <row r="129" spans="2:15" x14ac:dyDescent="0.3">
      <c r="B129" s="521" t="s">
        <v>3116</v>
      </c>
      <c r="C129" s="521" t="s">
        <v>372</v>
      </c>
      <c r="D129" s="638" t="s">
        <v>320</v>
      </c>
      <c r="E129" s="639" t="s">
        <v>510</v>
      </c>
      <c r="F129" s="1110">
        <v>2.5</v>
      </c>
      <c r="G129" s="1173" t="s">
        <v>10677</v>
      </c>
      <c r="H129" s="1083">
        <v>46142</v>
      </c>
      <c r="I129" s="638" t="s">
        <v>1053</v>
      </c>
      <c r="J129" s="1083">
        <v>46142</v>
      </c>
      <c r="K129" s="521" t="s">
        <v>4075</v>
      </c>
      <c r="L129" s="1050"/>
      <c r="M129" s="1050"/>
      <c r="N129" s="1087"/>
      <c r="O129" s="1094">
        <f t="shared" si="4"/>
        <v>0.3301697295186235</v>
      </c>
    </row>
    <row r="130" spans="2:15" x14ac:dyDescent="0.3">
      <c r="B130" s="521" t="s">
        <v>603</v>
      </c>
      <c r="C130" s="521" t="s">
        <v>604</v>
      </c>
      <c r="D130" s="638" t="s">
        <v>190</v>
      </c>
      <c r="E130" s="639" t="s">
        <v>515</v>
      </c>
      <c r="F130" s="1110">
        <v>4</v>
      </c>
      <c r="G130" s="745" t="s">
        <v>9363</v>
      </c>
      <c r="H130" s="1083">
        <v>46142</v>
      </c>
      <c r="I130" s="638" t="s">
        <v>1053</v>
      </c>
      <c r="J130" s="1083">
        <v>46142</v>
      </c>
      <c r="K130" s="521" t="s">
        <v>9364</v>
      </c>
      <c r="L130" s="1050" t="s">
        <v>10578</v>
      </c>
      <c r="M130" s="1050"/>
      <c r="N130" s="1087"/>
      <c r="O130" s="1094">
        <f t="shared" si="4"/>
        <v>0.3301697295186235</v>
      </c>
    </row>
    <row r="131" spans="2:15" x14ac:dyDescent="0.3">
      <c r="B131" s="521" t="s">
        <v>9977</v>
      </c>
      <c r="C131" s="521" t="s">
        <v>9978</v>
      </c>
      <c r="D131" s="638" t="s">
        <v>190</v>
      </c>
      <c r="E131" s="639" t="s">
        <v>510</v>
      </c>
      <c r="F131" s="1110">
        <v>1</v>
      </c>
      <c r="G131" s="745" t="s">
        <v>9981</v>
      </c>
      <c r="H131" s="1083">
        <v>46142</v>
      </c>
      <c r="I131" s="638" t="s">
        <v>1053</v>
      </c>
      <c r="J131" s="1083">
        <v>46142</v>
      </c>
      <c r="K131" s="521" t="s">
        <v>9936</v>
      </c>
      <c r="L131" s="1050"/>
      <c r="M131" s="1050"/>
      <c r="N131" s="1087"/>
      <c r="O131" s="1094">
        <f t="shared" si="4"/>
        <v>0.3301697295186235</v>
      </c>
    </row>
    <row r="132" spans="2:15" x14ac:dyDescent="0.3">
      <c r="B132" s="888" t="s">
        <v>9967</v>
      </c>
      <c r="C132" s="888" t="s">
        <v>9968</v>
      </c>
      <c r="D132" s="582" t="s">
        <v>190</v>
      </c>
      <c r="E132" s="889" t="s">
        <v>510</v>
      </c>
      <c r="F132" s="1110">
        <v>0.5</v>
      </c>
      <c r="G132" s="1173" t="s">
        <v>10678</v>
      </c>
      <c r="H132" s="1084">
        <v>46142</v>
      </c>
      <c r="I132" s="582" t="s">
        <v>1053</v>
      </c>
      <c r="J132" s="1084">
        <v>46142</v>
      </c>
      <c r="K132" s="888" t="s">
        <v>9970</v>
      </c>
      <c r="L132" s="1091"/>
      <c r="M132" s="1091"/>
      <c r="N132" s="1111"/>
      <c r="O132" s="1094">
        <f t="shared" si="4"/>
        <v>0.3301697295186235</v>
      </c>
    </row>
    <row r="133" spans="2:15" x14ac:dyDescent="0.3">
      <c r="B133" s="521" t="s">
        <v>9967</v>
      </c>
      <c r="C133" s="521" t="s">
        <v>9968</v>
      </c>
      <c r="D133" s="638" t="s">
        <v>190</v>
      </c>
      <c r="E133" s="639" t="s">
        <v>510</v>
      </c>
      <c r="F133" s="1110">
        <v>0.5</v>
      </c>
      <c r="G133" s="745" t="s">
        <v>10679</v>
      </c>
      <c r="H133" s="1083">
        <v>46142</v>
      </c>
      <c r="I133" s="638" t="s">
        <v>1053</v>
      </c>
      <c r="J133" s="1084">
        <v>46142</v>
      </c>
      <c r="K133" s="521" t="s">
        <v>9972</v>
      </c>
      <c r="L133" s="1050"/>
      <c r="M133" s="1050"/>
      <c r="N133" s="1087"/>
      <c r="O133" s="1094">
        <f t="shared" si="4"/>
        <v>0.3301697295186235</v>
      </c>
    </row>
    <row r="134" spans="2:15" x14ac:dyDescent="0.3">
      <c r="B134" s="888" t="s">
        <v>4584</v>
      </c>
      <c r="C134" s="888" t="s">
        <v>373</v>
      </c>
      <c r="D134" s="582" t="s">
        <v>190</v>
      </c>
      <c r="E134" s="889" t="s">
        <v>510</v>
      </c>
      <c r="F134" s="1110">
        <v>1</v>
      </c>
      <c r="G134" s="1173" t="s">
        <v>4598</v>
      </c>
      <c r="H134" s="1084">
        <v>46142</v>
      </c>
      <c r="I134" s="582" t="s">
        <v>1053</v>
      </c>
      <c r="J134" s="1084">
        <v>46142</v>
      </c>
      <c r="K134" s="888" t="s">
        <v>4599</v>
      </c>
      <c r="L134" s="1091"/>
      <c r="M134" s="1091"/>
      <c r="N134" s="1111"/>
      <c r="O134" s="1094">
        <f t="shared" si="4"/>
        <v>0.3301697295186235</v>
      </c>
    </row>
    <row r="135" spans="2:15" x14ac:dyDescent="0.3">
      <c r="B135" s="521" t="s">
        <v>566</v>
      </c>
      <c r="C135" s="521" t="s">
        <v>567</v>
      </c>
      <c r="D135" s="638" t="s">
        <v>320</v>
      </c>
      <c r="E135" s="639" t="s">
        <v>510</v>
      </c>
      <c r="F135" s="1110">
        <v>2.5</v>
      </c>
      <c r="G135" s="1173" t="s">
        <v>10680</v>
      </c>
      <c r="H135" s="1084">
        <v>46142</v>
      </c>
      <c r="I135" s="638" t="s">
        <v>1053</v>
      </c>
      <c r="J135" s="1083">
        <v>46142</v>
      </c>
      <c r="K135" s="521" t="s">
        <v>6103</v>
      </c>
      <c r="L135" s="1138"/>
      <c r="M135" s="1138"/>
      <c r="N135" s="1087"/>
      <c r="O135" s="1094">
        <f t="shared" si="4"/>
        <v>0.3301697295186235</v>
      </c>
    </row>
    <row r="136" spans="2:15" x14ac:dyDescent="0.3">
      <c r="B136" s="521" t="s">
        <v>3116</v>
      </c>
      <c r="C136" s="521" t="s">
        <v>372</v>
      </c>
      <c r="D136" s="638" t="s">
        <v>320</v>
      </c>
      <c r="E136" s="639" t="s">
        <v>510</v>
      </c>
      <c r="F136" s="1110">
        <v>2.5</v>
      </c>
      <c r="G136" s="745" t="s">
        <v>10681</v>
      </c>
      <c r="H136" s="1083">
        <v>46142</v>
      </c>
      <c r="I136" s="638" t="s">
        <v>1053</v>
      </c>
      <c r="J136" s="1083">
        <v>46142</v>
      </c>
      <c r="K136" s="521" t="s">
        <v>4417</v>
      </c>
      <c r="L136" s="1050"/>
      <c r="M136" s="1050"/>
      <c r="N136" s="1087"/>
      <c r="O136" s="1094">
        <f t="shared" si="4"/>
        <v>0.3301697295186235</v>
      </c>
    </row>
    <row r="137" spans="2:15" x14ac:dyDescent="0.3">
      <c r="B137" s="521" t="s">
        <v>9795</v>
      </c>
      <c r="C137" s="521" t="s">
        <v>442</v>
      </c>
      <c r="D137" s="638" t="s">
        <v>190</v>
      </c>
      <c r="E137" s="639"/>
      <c r="F137" s="1110">
        <v>60</v>
      </c>
      <c r="G137" s="745" t="s">
        <v>9798</v>
      </c>
      <c r="H137" s="1083"/>
      <c r="I137" s="638" t="s">
        <v>1053</v>
      </c>
      <c r="J137" s="1083"/>
      <c r="K137" s="521"/>
      <c r="L137" s="1050"/>
      <c r="M137" s="1050"/>
      <c r="N137" s="1087"/>
      <c r="O137" s="1094">
        <f t="shared" si="4"/>
        <v>0.3301697295186235</v>
      </c>
    </row>
    <row r="138" spans="2:15" x14ac:dyDescent="0.3">
      <c r="B138" s="521"/>
      <c r="C138" s="521"/>
      <c r="D138" s="638"/>
      <c r="E138" s="639"/>
      <c r="F138" s="1110"/>
      <c r="G138" s="745"/>
      <c r="H138" s="1083"/>
      <c r="I138" s="638"/>
      <c r="J138" s="1083"/>
      <c r="K138" s="521"/>
      <c r="L138" s="1050"/>
      <c r="M138" s="1050"/>
      <c r="N138" s="1087"/>
      <c r="O138" s="1094">
        <f t="shared" si="4"/>
        <v>0.3301697295186235</v>
      </c>
    </row>
    <row r="139" spans="2:15" x14ac:dyDescent="0.3">
      <c r="B139" s="521"/>
      <c r="C139" s="521"/>
      <c r="D139" s="638"/>
      <c r="E139" s="639"/>
      <c r="F139" s="1110">
        <v>45</v>
      </c>
      <c r="G139" s="1173"/>
      <c r="H139" s="1083"/>
      <c r="I139" s="638"/>
      <c r="J139" s="1083"/>
      <c r="K139" s="521"/>
      <c r="L139" s="1050"/>
      <c r="M139" s="1050"/>
      <c r="N139" s="1087"/>
      <c r="O139" s="1094">
        <f t="shared" si="4"/>
        <v>0.3301697295186235</v>
      </c>
    </row>
    <row r="140" spans="2:15" x14ac:dyDescent="0.3">
      <c r="B140" s="521"/>
      <c r="C140" s="521"/>
      <c r="D140" s="638"/>
      <c r="E140" s="639"/>
      <c r="F140" s="1110">
        <v>16</v>
      </c>
      <c r="G140" s="745"/>
      <c r="H140" s="1083"/>
      <c r="I140" s="638"/>
      <c r="J140" s="1083"/>
      <c r="K140" s="521"/>
      <c r="L140" s="1050"/>
      <c r="M140" s="1050"/>
      <c r="N140" s="1087"/>
      <c r="O140" s="1094">
        <f t="shared" si="4"/>
        <v>0.3301697295186235</v>
      </c>
    </row>
    <row r="141" spans="2:15" x14ac:dyDescent="0.3">
      <c r="B141" s="521"/>
      <c r="C141" s="521"/>
      <c r="D141" s="638"/>
      <c r="E141" s="639"/>
      <c r="F141" s="1110"/>
      <c r="G141" s="1173"/>
      <c r="H141" s="1084"/>
      <c r="I141" s="638"/>
      <c r="J141" s="1083"/>
      <c r="K141" s="521"/>
      <c r="L141" s="1138"/>
      <c r="M141" s="1138"/>
      <c r="N141" s="1087"/>
      <c r="O141" s="1094">
        <f t="shared" si="4"/>
        <v>0.3301697295186235</v>
      </c>
    </row>
    <row r="142" spans="2:15" x14ac:dyDescent="0.3">
      <c r="B142" s="521"/>
      <c r="C142" s="521"/>
      <c r="D142" s="638"/>
      <c r="E142" s="639"/>
      <c r="F142" s="1110"/>
      <c r="G142" s="745"/>
      <c r="H142" s="1083"/>
      <c r="I142" s="638"/>
      <c r="J142" s="1083"/>
      <c r="K142" s="521"/>
      <c r="L142" s="1138"/>
      <c r="M142" s="1050"/>
      <c r="N142" s="1087"/>
      <c r="O142" s="1094">
        <f t="shared" si="4"/>
        <v>0.3301697295186235</v>
      </c>
    </row>
    <row r="143" spans="2:15" x14ac:dyDescent="0.3">
      <c r="B143" s="521"/>
      <c r="C143" s="521"/>
      <c r="D143" s="638"/>
      <c r="E143" s="639"/>
      <c r="F143" s="1110"/>
      <c r="G143" s="745"/>
      <c r="H143" s="1083"/>
      <c r="I143" s="638"/>
      <c r="J143" s="1083"/>
      <c r="K143" s="521"/>
      <c r="L143" s="1138"/>
      <c r="M143" s="1050"/>
      <c r="N143" s="1087"/>
      <c r="O143" s="1094">
        <f t="shared" si="4"/>
        <v>0.3301697295186235</v>
      </c>
    </row>
    <row r="144" spans="2:15" x14ac:dyDescent="0.3">
      <c r="B144" s="521"/>
      <c r="C144" s="521"/>
      <c r="D144" s="638"/>
      <c r="E144" s="639"/>
      <c r="F144" s="1110"/>
      <c r="G144" s="745"/>
      <c r="H144" s="1083"/>
      <c r="I144" s="638"/>
      <c r="J144" s="1083"/>
      <c r="K144" s="521"/>
      <c r="L144" s="1050"/>
      <c r="M144" s="1050"/>
      <c r="N144" s="1087"/>
      <c r="O144" s="1094">
        <f t="shared" si="4"/>
        <v>0.3301697295186235</v>
      </c>
    </row>
    <row r="145" spans="1:15" x14ac:dyDescent="0.3">
      <c r="B145" s="521"/>
      <c r="C145" s="521"/>
      <c r="D145" s="638"/>
      <c r="E145" s="639"/>
      <c r="F145" s="1110"/>
      <c r="G145" s="1173"/>
      <c r="H145" s="1083"/>
      <c r="I145" s="638"/>
      <c r="J145" s="1083"/>
      <c r="K145" s="521"/>
      <c r="L145" s="1138"/>
      <c r="M145" s="1050"/>
      <c r="N145" s="1087"/>
      <c r="O145" s="1094">
        <f t="shared" si="4"/>
        <v>0.3301697295186235</v>
      </c>
    </row>
    <row r="146" spans="1:15" x14ac:dyDescent="0.3">
      <c r="B146" s="521"/>
      <c r="C146" s="521"/>
      <c r="D146" s="638"/>
      <c r="E146" s="639"/>
      <c r="F146" s="1110"/>
      <c r="G146" s="1173"/>
      <c r="H146" s="1083"/>
      <c r="I146" s="638"/>
      <c r="J146" s="1083"/>
      <c r="K146" s="521"/>
      <c r="L146" s="1138"/>
      <c r="M146" s="1050"/>
      <c r="N146" s="1087"/>
      <c r="O146" s="1094">
        <f t="shared" ref="O146:O177" si="5">N146/26885400000+$O$1</f>
        <v>0.3301697295186235</v>
      </c>
    </row>
    <row r="147" spans="1:15" x14ac:dyDescent="0.3">
      <c r="B147" s="521"/>
      <c r="C147" s="521"/>
      <c r="D147" s="638"/>
      <c r="E147" s="639"/>
      <c r="F147" s="1110"/>
      <c r="G147" s="745"/>
      <c r="H147" s="1083"/>
      <c r="I147" s="638"/>
      <c r="J147" s="1083"/>
      <c r="K147" s="521"/>
      <c r="L147" s="1050"/>
      <c r="M147" s="1050"/>
      <c r="N147" s="1087"/>
      <c r="O147" s="1094">
        <f t="shared" si="5"/>
        <v>0.3301697295186235</v>
      </c>
    </row>
    <row r="148" spans="1:15" x14ac:dyDescent="0.3">
      <c r="B148" s="521"/>
      <c r="C148" s="521"/>
      <c r="D148" s="638"/>
      <c r="E148" s="639"/>
      <c r="F148" s="1110"/>
      <c r="G148" s="1173"/>
      <c r="H148" s="1084"/>
      <c r="I148" s="638"/>
      <c r="J148" s="1083"/>
      <c r="K148" s="521"/>
      <c r="L148" s="1138"/>
      <c r="M148" s="1138"/>
      <c r="N148" s="1087"/>
      <c r="O148" s="1094">
        <f t="shared" si="5"/>
        <v>0.3301697295186235</v>
      </c>
    </row>
    <row r="149" spans="1:15" x14ac:dyDescent="0.3">
      <c r="B149" s="521"/>
      <c r="C149" s="521"/>
      <c r="D149" s="638"/>
      <c r="E149" s="639"/>
      <c r="F149" s="1110"/>
      <c r="G149" s="1173"/>
      <c r="H149" s="1083"/>
      <c r="I149" s="638"/>
      <c r="J149" s="1083"/>
      <c r="K149" s="521"/>
      <c r="L149" s="1050"/>
      <c r="M149" s="1050"/>
      <c r="N149" s="1087"/>
      <c r="O149" s="1094">
        <f t="shared" si="5"/>
        <v>0.3301697295186235</v>
      </c>
    </row>
    <row r="150" spans="1:15" x14ac:dyDescent="0.3">
      <c r="B150" s="521"/>
      <c r="C150" s="521"/>
      <c r="D150" s="638"/>
      <c r="E150" s="639"/>
      <c r="F150" s="1110"/>
      <c r="G150" s="1173"/>
      <c r="H150" s="1084"/>
      <c r="I150" s="638"/>
      <c r="J150" s="1083"/>
      <c r="K150" s="521"/>
      <c r="L150" s="1138"/>
      <c r="M150" s="1138"/>
      <c r="N150" s="1087"/>
      <c r="O150" s="1094">
        <f t="shared" si="5"/>
        <v>0.3301697295186235</v>
      </c>
    </row>
    <row r="151" spans="1:15" x14ac:dyDescent="0.3">
      <c r="B151" s="521"/>
      <c r="C151" s="521"/>
      <c r="D151" s="638"/>
      <c r="E151" s="639"/>
      <c r="F151" s="1110"/>
      <c r="G151" s="745"/>
      <c r="H151" s="1083"/>
      <c r="I151" s="638"/>
      <c r="J151" s="1083"/>
      <c r="K151" s="521"/>
      <c r="L151" s="1050"/>
      <c r="M151" s="1050"/>
      <c r="N151" s="1087"/>
      <c r="O151" s="1094">
        <f t="shared" si="5"/>
        <v>0.3301697295186235</v>
      </c>
    </row>
    <row r="152" spans="1:15" x14ac:dyDescent="0.3">
      <c r="B152" s="521"/>
      <c r="C152" s="521"/>
      <c r="D152" s="638"/>
      <c r="E152" s="639"/>
      <c r="F152" s="1110"/>
      <c r="G152" s="745"/>
      <c r="H152" s="1083"/>
      <c r="I152" s="638"/>
      <c r="J152" s="1083"/>
      <c r="K152" s="521"/>
      <c r="L152" s="1050"/>
      <c r="M152" s="1050"/>
      <c r="N152" s="1087"/>
      <c r="O152" s="1094">
        <f t="shared" si="5"/>
        <v>0.3301697295186235</v>
      </c>
    </row>
    <row r="153" spans="1:15" x14ac:dyDescent="0.3">
      <c r="B153" s="521"/>
      <c r="C153" s="521"/>
      <c r="D153" s="638"/>
      <c r="E153" s="639"/>
      <c r="F153" s="1110"/>
      <c r="G153" s="745"/>
      <c r="H153" s="1083"/>
      <c r="I153" s="638"/>
      <c r="J153" s="1083"/>
      <c r="K153" s="521"/>
      <c r="L153" s="1050"/>
      <c r="M153" s="1050"/>
      <c r="N153" s="1087"/>
      <c r="O153" s="1094">
        <f t="shared" si="5"/>
        <v>0.3301697295186235</v>
      </c>
    </row>
    <row r="154" spans="1:15" x14ac:dyDescent="0.3">
      <c r="B154" s="521"/>
      <c r="C154" s="521"/>
      <c r="D154" s="638"/>
      <c r="E154" s="639"/>
      <c r="F154" s="1110"/>
      <c r="G154" s="745"/>
      <c r="H154" s="1083"/>
      <c r="I154" s="638"/>
      <c r="J154" s="1083"/>
      <c r="K154" s="521"/>
      <c r="L154" s="1050"/>
      <c r="M154" s="1050"/>
      <c r="N154" s="1087"/>
      <c r="O154" s="1094">
        <f t="shared" si="5"/>
        <v>0.3301697295186235</v>
      </c>
    </row>
    <row r="155" spans="1:15" x14ac:dyDescent="0.3">
      <c r="B155" s="521"/>
      <c r="C155" s="521"/>
      <c r="D155" s="638"/>
      <c r="E155" s="639"/>
      <c r="F155" s="1110"/>
      <c r="G155" s="1173"/>
      <c r="H155" s="1083"/>
      <c r="I155" s="638"/>
      <c r="J155" s="1083"/>
      <c r="K155" s="521"/>
      <c r="L155" s="1050"/>
      <c r="M155" s="1050"/>
      <c r="N155" s="1087"/>
      <c r="O155" s="1094">
        <f t="shared" si="5"/>
        <v>0.3301697295186235</v>
      </c>
    </row>
    <row r="156" spans="1:15" x14ac:dyDescent="0.3">
      <c r="B156" s="521"/>
      <c r="C156" s="521"/>
      <c r="D156" s="638"/>
      <c r="E156" s="639"/>
      <c r="F156" s="1110"/>
      <c r="G156" s="745"/>
      <c r="H156" s="1083"/>
      <c r="I156" s="638"/>
      <c r="J156" s="1083"/>
      <c r="K156" s="521"/>
      <c r="L156" s="1050"/>
      <c r="M156" s="1050"/>
      <c r="N156" s="1087"/>
      <c r="O156" s="1094">
        <f t="shared" si="5"/>
        <v>0.3301697295186235</v>
      </c>
    </row>
    <row r="157" spans="1:15" x14ac:dyDescent="0.3">
      <c r="B157" s="521"/>
      <c r="C157" s="521"/>
      <c r="D157" s="638"/>
      <c r="E157" s="639"/>
      <c r="F157" s="1110"/>
      <c r="G157" s="745"/>
      <c r="H157" s="1083"/>
      <c r="I157" s="638"/>
      <c r="J157" s="1083"/>
      <c r="K157" s="521"/>
      <c r="L157" s="1050"/>
      <c r="M157" s="1050"/>
      <c r="N157" s="1087"/>
      <c r="O157" s="1094">
        <f t="shared" si="5"/>
        <v>0.3301697295186235</v>
      </c>
    </row>
    <row r="158" spans="1:15" x14ac:dyDescent="0.3">
      <c r="B158" s="521"/>
      <c r="C158" s="521"/>
      <c r="D158" s="638"/>
      <c r="E158" s="639"/>
      <c r="F158" s="1110"/>
      <c r="G158" s="745"/>
      <c r="H158" s="1083"/>
      <c r="I158" s="638"/>
      <c r="J158" s="1083"/>
      <c r="K158" s="521"/>
      <c r="L158" s="1050"/>
      <c r="M158" s="1050"/>
      <c r="N158" s="1087"/>
      <c r="O158" s="1094">
        <f t="shared" si="5"/>
        <v>0.3301697295186235</v>
      </c>
    </row>
    <row r="159" spans="1:15" x14ac:dyDescent="0.3">
      <c r="B159" s="521"/>
      <c r="C159" s="521"/>
      <c r="D159" s="638"/>
      <c r="E159" s="639"/>
      <c r="F159" s="1110"/>
      <c r="G159" s="745"/>
      <c r="H159" s="1083"/>
      <c r="I159" s="638"/>
      <c r="J159" s="1083"/>
      <c r="K159" s="521"/>
      <c r="L159" s="1050"/>
      <c r="M159" s="1050"/>
      <c r="N159" s="1087"/>
      <c r="O159" s="1094">
        <f t="shared" si="5"/>
        <v>0.3301697295186235</v>
      </c>
    </row>
    <row r="160" spans="1:15" x14ac:dyDescent="0.3">
      <c r="A160" s="644" t="s">
        <v>10576</v>
      </c>
      <c r="B160" s="521"/>
      <c r="C160" s="521"/>
      <c r="D160" s="638"/>
      <c r="E160" s="639"/>
      <c r="F160" s="1110"/>
      <c r="G160" s="1173"/>
      <c r="H160" s="1084"/>
      <c r="I160" s="638"/>
      <c r="J160" s="1174"/>
      <c r="K160" s="521"/>
      <c r="L160" s="1138"/>
      <c r="M160" s="1138"/>
      <c r="N160" s="1087"/>
      <c r="O160" s="1094">
        <f t="shared" si="5"/>
        <v>0.3301697295186235</v>
      </c>
    </row>
    <row r="161" spans="1:15" x14ac:dyDescent="0.3">
      <c r="B161" s="521"/>
      <c r="C161" s="521"/>
      <c r="D161" s="638"/>
      <c r="E161" s="639"/>
      <c r="F161" s="1110"/>
      <c r="G161" s="745"/>
      <c r="H161" s="1083"/>
      <c r="I161" s="638"/>
      <c r="J161" s="1174"/>
      <c r="K161" s="521"/>
      <c r="L161" s="1050"/>
      <c r="M161" s="1050"/>
      <c r="N161" s="1087"/>
      <c r="O161" s="1094">
        <f t="shared" si="5"/>
        <v>0.3301697295186235</v>
      </c>
    </row>
    <row r="162" spans="1:15" x14ac:dyDescent="0.3">
      <c r="B162" s="521"/>
      <c r="C162" s="521"/>
      <c r="D162" s="638"/>
      <c r="E162" s="639"/>
      <c r="F162" s="1110"/>
      <c r="G162" s="745"/>
      <c r="H162" s="746"/>
      <c r="I162" s="638"/>
      <c r="J162" s="746"/>
      <c r="K162" s="521"/>
      <c r="L162" s="1050"/>
      <c r="M162" s="1050"/>
      <c r="N162" s="1087"/>
      <c r="O162" s="1094">
        <f t="shared" si="5"/>
        <v>0.3301697295186235</v>
      </c>
    </row>
    <row r="163" spans="1:15" x14ac:dyDescent="0.3">
      <c r="B163" s="521"/>
      <c r="C163" s="521"/>
      <c r="D163" s="638"/>
      <c r="E163" s="639"/>
      <c r="F163" s="1110"/>
      <c r="G163" s="745"/>
      <c r="H163" s="746"/>
      <c r="I163" s="638"/>
      <c r="J163" s="746"/>
      <c r="K163" s="521"/>
      <c r="L163" s="1050"/>
      <c r="M163" s="1050"/>
      <c r="N163" s="1087"/>
      <c r="O163" s="1094">
        <f t="shared" si="5"/>
        <v>0.3301697295186235</v>
      </c>
    </row>
    <row r="164" spans="1:15" x14ac:dyDescent="0.3">
      <c r="B164" s="521"/>
      <c r="C164" s="521"/>
      <c r="D164" s="638"/>
      <c r="E164" s="639"/>
      <c r="F164" s="1110"/>
      <c r="G164" s="1173"/>
      <c r="H164" s="1083"/>
      <c r="I164" s="638"/>
      <c r="J164" s="1083"/>
      <c r="K164" s="521"/>
      <c r="L164" s="1050"/>
      <c r="M164" s="1050"/>
      <c r="N164" s="1087"/>
      <c r="O164" s="1094">
        <f t="shared" si="5"/>
        <v>0.3301697295186235</v>
      </c>
    </row>
    <row r="165" spans="1:15" x14ac:dyDescent="0.3">
      <c r="B165" s="521"/>
      <c r="C165" s="521"/>
      <c r="D165" s="638"/>
      <c r="E165" s="639"/>
      <c r="F165" s="1110"/>
      <c r="G165" s="1173"/>
      <c r="H165" s="1084"/>
      <c r="I165" s="638"/>
      <c r="J165" s="1083"/>
      <c r="K165" s="521"/>
      <c r="L165" s="1138"/>
      <c r="M165" s="1138"/>
      <c r="N165" s="1087"/>
      <c r="O165" s="1094">
        <f t="shared" si="5"/>
        <v>0.3301697295186235</v>
      </c>
    </row>
    <row r="166" spans="1:15" x14ac:dyDescent="0.3">
      <c r="B166" s="521"/>
      <c r="C166" s="521"/>
      <c r="D166" s="638"/>
      <c r="E166" s="639"/>
      <c r="F166" s="1110"/>
      <c r="G166" s="1173"/>
      <c r="H166" s="1083"/>
      <c r="I166" s="638"/>
      <c r="J166" s="1083"/>
      <c r="K166" s="521"/>
      <c r="L166" s="1050"/>
      <c r="M166" s="1050"/>
      <c r="N166" s="1087"/>
      <c r="O166" s="1094">
        <f t="shared" si="5"/>
        <v>0.3301697295186235</v>
      </c>
    </row>
    <row r="167" spans="1:15" x14ac:dyDescent="0.3">
      <c r="A167" s="644" t="s">
        <v>10576</v>
      </c>
      <c r="B167" s="521"/>
      <c r="C167" s="521"/>
      <c r="D167" s="638"/>
      <c r="E167" s="639"/>
      <c r="F167" s="1110"/>
      <c r="G167" s="745"/>
      <c r="H167" s="1083"/>
      <c r="I167" s="638"/>
      <c r="J167" s="1083"/>
      <c r="K167" s="521"/>
      <c r="L167" s="1050"/>
      <c r="M167" s="1050"/>
      <c r="N167" s="1087"/>
      <c r="O167" s="1094">
        <f t="shared" si="5"/>
        <v>0.3301697295186235</v>
      </c>
    </row>
    <row r="168" spans="1:15" x14ac:dyDescent="0.3">
      <c r="B168" s="521"/>
      <c r="C168" s="521"/>
      <c r="D168" s="638"/>
      <c r="E168" s="639"/>
      <c r="F168" s="1110"/>
      <c r="G168" s="1173"/>
      <c r="H168" s="1084"/>
      <c r="I168" s="638"/>
      <c r="J168" s="1083"/>
      <c r="K168" s="521"/>
      <c r="L168" s="1139"/>
      <c r="M168" s="1138"/>
      <c r="N168" s="1087"/>
      <c r="O168" s="1094">
        <f t="shared" si="5"/>
        <v>0.3301697295186235</v>
      </c>
    </row>
    <row r="169" spans="1:15" x14ac:dyDescent="0.3">
      <c r="B169" s="521"/>
      <c r="C169" s="521"/>
      <c r="D169" s="638"/>
      <c r="E169" s="639"/>
      <c r="F169" s="1110"/>
      <c r="G169" s="745"/>
      <c r="H169" s="1083"/>
      <c r="I169" s="638"/>
      <c r="J169" s="1083"/>
      <c r="K169" s="521"/>
      <c r="L169" s="1050"/>
      <c r="M169" s="1050"/>
      <c r="N169" s="1087"/>
      <c r="O169" s="1094">
        <f t="shared" si="5"/>
        <v>0.3301697295186235</v>
      </c>
    </row>
    <row r="170" spans="1:15" x14ac:dyDescent="0.3">
      <c r="A170" s="644" t="s">
        <v>10576</v>
      </c>
      <c r="B170" s="521"/>
      <c r="C170" s="521"/>
      <c r="D170" s="638"/>
      <c r="E170" s="639"/>
      <c r="F170" s="1110"/>
      <c r="G170" s="745"/>
      <c r="H170" s="1083"/>
      <c r="I170" s="638"/>
      <c r="J170" s="1083"/>
      <c r="K170" s="521"/>
      <c r="L170" s="1050"/>
      <c r="M170" s="1050"/>
      <c r="N170" s="1087"/>
      <c r="O170" s="1094">
        <f t="shared" si="5"/>
        <v>0.3301697295186235</v>
      </c>
    </row>
    <row r="171" spans="1:15" x14ac:dyDescent="0.3">
      <c r="B171" s="521"/>
      <c r="C171" s="521"/>
      <c r="D171" s="638"/>
      <c r="E171" s="639"/>
      <c r="F171" s="1110"/>
      <c r="G171" s="745"/>
      <c r="H171" s="1083"/>
      <c r="I171" s="638"/>
      <c r="J171" s="1083"/>
      <c r="K171" s="521"/>
      <c r="L171" s="1050"/>
      <c r="M171" s="1050"/>
      <c r="N171" s="1087"/>
      <c r="O171" s="1094">
        <f t="shared" si="5"/>
        <v>0.3301697295186235</v>
      </c>
    </row>
    <row r="172" spans="1:15" x14ac:dyDescent="0.3">
      <c r="B172" s="521"/>
      <c r="C172" s="521"/>
      <c r="D172" s="638"/>
      <c r="E172" s="639"/>
      <c r="F172" s="1110"/>
      <c r="G172" s="745"/>
      <c r="H172" s="1083"/>
      <c r="I172" s="638"/>
      <c r="J172" s="1083"/>
      <c r="K172" s="521"/>
      <c r="L172" s="1050"/>
      <c r="M172" s="1050"/>
      <c r="N172" s="1087"/>
      <c r="O172" s="1094">
        <f t="shared" si="5"/>
        <v>0.3301697295186235</v>
      </c>
    </row>
    <row r="173" spans="1:15" x14ac:dyDescent="0.3">
      <c r="B173" s="521"/>
      <c r="C173" s="521"/>
      <c r="D173" s="638"/>
      <c r="E173" s="639"/>
      <c r="F173" s="1110"/>
      <c r="G173" s="745"/>
      <c r="H173" s="1083"/>
      <c r="I173" s="638"/>
      <c r="J173" s="1083"/>
      <c r="K173" s="521"/>
      <c r="L173" s="1050"/>
      <c r="M173" s="1050"/>
      <c r="N173" s="1087"/>
      <c r="O173" s="1094">
        <f t="shared" si="5"/>
        <v>0.3301697295186235</v>
      </c>
    </row>
    <row r="174" spans="1:15" x14ac:dyDescent="0.3">
      <c r="B174" s="521"/>
      <c r="C174" s="521"/>
      <c r="D174" s="638"/>
      <c r="E174" s="639"/>
      <c r="F174" s="1110"/>
      <c r="G174" s="745"/>
      <c r="H174" s="1083"/>
      <c r="I174" s="638"/>
      <c r="J174" s="1083"/>
      <c r="K174" s="521"/>
      <c r="L174" s="1050"/>
      <c r="M174" s="1050"/>
      <c r="N174" s="1087"/>
      <c r="O174" s="1094">
        <f t="shared" si="5"/>
        <v>0.3301697295186235</v>
      </c>
    </row>
    <row r="175" spans="1:15" x14ac:dyDescent="0.3">
      <c r="B175" s="521"/>
      <c r="C175" s="521"/>
      <c r="D175" s="638"/>
      <c r="E175" s="639"/>
      <c r="F175" s="1110"/>
      <c r="G175" s="745"/>
      <c r="H175" s="1083"/>
      <c r="I175" s="638"/>
      <c r="J175" s="1083"/>
      <c r="K175" s="521"/>
      <c r="L175" s="1050"/>
      <c r="M175" s="1050"/>
      <c r="N175" s="1087"/>
      <c r="O175" s="1094">
        <f t="shared" si="5"/>
        <v>0.3301697295186235</v>
      </c>
    </row>
    <row r="176" spans="1:15" x14ac:dyDescent="0.3">
      <c r="B176" s="521"/>
      <c r="C176" s="521"/>
      <c r="D176" s="638"/>
      <c r="E176" s="639"/>
      <c r="F176" s="1110"/>
      <c r="G176" s="745"/>
      <c r="H176" s="1083"/>
      <c r="I176" s="638"/>
      <c r="J176" s="1083"/>
      <c r="K176" s="521"/>
      <c r="L176" s="1050"/>
      <c r="M176" s="1050"/>
      <c r="N176" s="1087"/>
      <c r="O176" s="1094">
        <f t="shared" si="5"/>
        <v>0.3301697295186235</v>
      </c>
    </row>
    <row r="177" spans="1:15" x14ac:dyDescent="0.3">
      <c r="B177" s="521"/>
      <c r="C177" s="521"/>
      <c r="D177" s="638"/>
      <c r="E177" s="639"/>
      <c r="F177" s="1110"/>
      <c r="G177" s="745"/>
      <c r="H177" s="1083"/>
      <c r="I177" s="638"/>
      <c r="J177" s="1083"/>
      <c r="K177" s="521"/>
      <c r="L177" s="1050"/>
      <c r="M177" s="1050"/>
      <c r="N177" s="1087"/>
      <c r="O177" s="1094">
        <f t="shared" si="5"/>
        <v>0.3301697295186235</v>
      </c>
    </row>
    <row r="178" spans="1:15" x14ac:dyDescent="0.3">
      <c r="B178" s="521"/>
      <c r="C178" s="521"/>
      <c r="D178" s="638"/>
      <c r="E178" s="639"/>
      <c r="F178" s="1110"/>
      <c r="G178" s="745"/>
      <c r="H178" s="1083"/>
      <c r="I178" s="638"/>
      <c r="J178" s="1083"/>
      <c r="K178" s="521"/>
      <c r="L178" s="1050"/>
      <c r="M178" s="1050"/>
      <c r="N178" s="1087"/>
      <c r="O178" s="1094">
        <f t="shared" ref="O178:O209" si="6">N178/26885400000+$O$1</f>
        <v>0.3301697295186235</v>
      </c>
    </row>
    <row r="179" spans="1:15" s="481" customFormat="1" x14ac:dyDescent="0.3">
      <c r="A179" s="644"/>
      <c r="B179" s="521"/>
      <c r="C179" s="521"/>
      <c r="D179" s="638"/>
      <c r="E179" s="639"/>
      <c r="F179" s="1110"/>
      <c r="G179" s="745"/>
      <c r="H179" s="1083"/>
      <c r="I179" s="638"/>
      <c r="J179" s="1083"/>
      <c r="K179" s="521"/>
      <c r="L179" s="1050"/>
      <c r="M179" s="1050"/>
      <c r="N179" s="1087"/>
      <c r="O179" s="1094">
        <f t="shared" si="6"/>
        <v>0.3301697295186235</v>
      </c>
    </row>
    <row r="180" spans="1:15" x14ac:dyDescent="0.3">
      <c r="B180" s="521"/>
      <c r="C180" s="521"/>
      <c r="D180" s="638"/>
      <c r="E180" s="639"/>
      <c r="F180" s="1110"/>
      <c r="G180" s="745"/>
      <c r="H180" s="1083"/>
      <c r="I180" s="638"/>
      <c r="J180" s="1083"/>
      <c r="K180" s="521"/>
      <c r="L180" s="1050"/>
      <c r="M180" s="1050"/>
      <c r="N180" s="1087"/>
      <c r="O180" s="1094">
        <f t="shared" si="6"/>
        <v>0.3301697295186235</v>
      </c>
    </row>
    <row r="181" spans="1:15" x14ac:dyDescent="0.3">
      <c r="B181" s="521"/>
      <c r="C181" s="521"/>
      <c r="D181" s="638"/>
      <c r="E181" s="639"/>
      <c r="F181" s="1110"/>
      <c r="G181" s="745"/>
      <c r="H181" s="1083"/>
      <c r="I181" s="638"/>
      <c r="J181" s="1083"/>
      <c r="K181" s="521"/>
      <c r="L181" s="1050"/>
      <c r="M181" s="1050"/>
      <c r="N181" s="1087"/>
      <c r="O181" s="1094">
        <f t="shared" si="6"/>
        <v>0.3301697295186235</v>
      </c>
    </row>
    <row r="182" spans="1:15" x14ac:dyDescent="0.3">
      <c r="B182" s="521"/>
      <c r="C182" s="521"/>
      <c r="D182" s="638"/>
      <c r="E182" s="639"/>
      <c r="F182" s="1110"/>
      <c r="G182" s="745"/>
      <c r="H182" s="1083"/>
      <c r="I182" s="638"/>
      <c r="J182" s="1083"/>
      <c r="K182" s="521"/>
      <c r="L182" s="1050"/>
      <c r="M182" s="1050"/>
      <c r="N182" s="1087"/>
      <c r="O182" s="1094">
        <f t="shared" si="6"/>
        <v>0.3301697295186235</v>
      </c>
    </row>
    <row r="183" spans="1:15" x14ac:dyDescent="0.3">
      <c r="B183" s="521"/>
      <c r="C183" s="521"/>
      <c r="D183" s="638"/>
      <c r="E183" s="639"/>
      <c r="F183" s="1110"/>
      <c r="G183" s="745"/>
      <c r="H183" s="1083"/>
      <c r="I183" s="638"/>
      <c r="J183" s="1083"/>
      <c r="K183" s="521"/>
      <c r="L183" s="1050"/>
      <c r="M183" s="1050"/>
      <c r="N183" s="1087"/>
      <c r="O183" s="1094">
        <f t="shared" si="6"/>
        <v>0.3301697295186235</v>
      </c>
    </row>
    <row r="184" spans="1:15" x14ac:dyDescent="0.3">
      <c r="B184" s="521"/>
      <c r="C184" s="521"/>
      <c r="D184" s="638"/>
      <c r="E184" s="639"/>
      <c r="F184" s="1110"/>
      <c r="G184" s="745"/>
      <c r="H184" s="1083"/>
      <c r="I184" s="638"/>
      <c r="J184" s="1083"/>
      <c r="K184" s="521"/>
      <c r="L184" s="1050"/>
      <c r="M184" s="1050"/>
      <c r="N184" s="1087"/>
      <c r="O184" s="1094">
        <f t="shared" si="6"/>
        <v>0.3301697295186235</v>
      </c>
    </row>
    <row r="185" spans="1:15" x14ac:dyDescent="0.3">
      <c r="B185" s="521"/>
      <c r="C185" s="521"/>
      <c r="D185" s="638"/>
      <c r="E185" s="639"/>
      <c r="F185" s="1110"/>
      <c r="G185" s="745"/>
      <c r="H185" s="1083"/>
      <c r="I185" s="638"/>
      <c r="J185" s="1083"/>
      <c r="K185" s="521"/>
      <c r="L185" s="1050"/>
      <c r="M185" s="1050"/>
      <c r="N185" s="1087"/>
      <c r="O185" s="1094">
        <f t="shared" si="6"/>
        <v>0.3301697295186235</v>
      </c>
    </row>
    <row r="186" spans="1:15" x14ac:dyDescent="0.3">
      <c r="B186" s="521"/>
      <c r="C186" s="521"/>
      <c r="D186" s="638"/>
      <c r="E186" s="639"/>
      <c r="F186" s="1110"/>
      <c r="G186" s="745"/>
      <c r="H186" s="1083"/>
      <c r="I186" s="638"/>
      <c r="J186" s="1083"/>
      <c r="K186" s="521"/>
      <c r="L186" s="1050"/>
      <c r="M186" s="1050"/>
      <c r="N186" s="1087"/>
      <c r="O186" s="1094">
        <f t="shared" si="6"/>
        <v>0.3301697295186235</v>
      </c>
    </row>
    <row r="187" spans="1:15" x14ac:dyDescent="0.3">
      <c r="B187" s="521"/>
      <c r="C187" s="521"/>
      <c r="D187" s="638"/>
      <c r="E187" s="639"/>
      <c r="F187" s="1110"/>
      <c r="G187" s="745"/>
      <c r="H187" s="1083"/>
      <c r="I187" s="638"/>
      <c r="J187" s="1083"/>
      <c r="K187" s="521"/>
      <c r="L187" s="1050"/>
      <c r="M187" s="1050"/>
      <c r="N187" s="1087"/>
      <c r="O187" s="1094">
        <f t="shared" si="6"/>
        <v>0.3301697295186235</v>
      </c>
    </row>
    <row r="188" spans="1:15" x14ac:dyDescent="0.3">
      <c r="B188" s="521"/>
      <c r="C188" s="521"/>
      <c r="D188" s="638"/>
      <c r="E188" s="639"/>
      <c r="F188" s="1110"/>
      <c r="G188" s="745"/>
      <c r="H188" s="1083"/>
      <c r="I188" s="638"/>
      <c r="J188" s="1083"/>
      <c r="K188" s="521"/>
      <c r="L188" s="1050"/>
      <c r="M188" s="1050"/>
      <c r="N188" s="1087"/>
      <c r="O188" s="1094">
        <f t="shared" si="6"/>
        <v>0.3301697295186235</v>
      </c>
    </row>
    <row r="189" spans="1:15" x14ac:dyDescent="0.3">
      <c r="B189" s="521"/>
      <c r="C189" s="521"/>
      <c r="D189" s="638"/>
      <c r="E189" s="639"/>
      <c r="F189" s="1110"/>
      <c r="G189" s="745"/>
      <c r="H189" s="1083"/>
      <c r="I189" s="638"/>
      <c r="J189" s="1083"/>
      <c r="K189" s="521"/>
      <c r="L189" s="1050"/>
      <c r="M189" s="1050"/>
      <c r="N189" s="1087"/>
      <c r="O189" s="1094">
        <f t="shared" si="6"/>
        <v>0.3301697295186235</v>
      </c>
    </row>
    <row r="190" spans="1:15" x14ac:dyDescent="0.3">
      <c r="B190" s="521"/>
      <c r="C190" s="521"/>
      <c r="D190" s="638"/>
      <c r="E190" s="639"/>
      <c r="F190" s="1110"/>
      <c r="G190" s="745"/>
      <c r="H190" s="1083"/>
      <c r="I190" s="638"/>
      <c r="J190" s="1083"/>
      <c r="K190" s="521"/>
      <c r="L190" s="1050"/>
      <c r="M190" s="1050"/>
      <c r="N190" s="1087"/>
      <c r="O190" s="1094">
        <f t="shared" si="6"/>
        <v>0.3301697295186235</v>
      </c>
    </row>
    <row r="191" spans="1:15" x14ac:dyDescent="0.3">
      <c r="B191" s="521"/>
      <c r="C191" s="521"/>
      <c r="D191" s="638"/>
      <c r="E191" s="639"/>
      <c r="F191" s="1110"/>
      <c r="G191" s="745"/>
      <c r="H191" s="1083"/>
      <c r="I191" s="638"/>
      <c r="J191" s="1083"/>
      <c r="K191" s="521"/>
      <c r="L191" s="1050"/>
      <c r="M191" s="1050"/>
      <c r="N191" s="1087"/>
      <c r="O191" s="1094">
        <f t="shared" si="6"/>
        <v>0.3301697295186235</v>
      </c>
    </row>
    <row r="192" spans="1:15" x14ac:dyDescent="0.3">
      <c r="B192" s="888"/>
      <c r="C192" s="888"/>
      <c r="D192" s="582"/>
      <c r="E192" s="639"/>
      <c r="F192" s="1110"/>
      <c r="G192" s="1173"/>
      <c r="H192" s="1084"/>
      <c r="I192" s="582"/>
      <c r="J192" s="1083"/>
      <c r="K192" s="888"/>
      <c r="L192" s="1050"/>
      <c r="M192" s="1050"/>
      <c r="N192" s="1087"/>
      <c r="O192" s="1094">
        <f t="shared" si="6"/>
        <v>0.3301697295186235</v>
      </c>
    </row>
    <row r="193" spans="2:15" x14ac:dyDescent="0.3">
      <c r="B193" s="521"/>
      <c r="C193" s="521"/>
      <c r="D193" s="638"/>
      <c r="E193" s="639"/>
      <c r="F193" s="1110"/>
      <c r="G193" s="745"/>
      <c r="H193" s="1083"/>
      <c r="I193" s="638"/>
      <c r="J193" s="1083"/>
      <c r="K193" s="521"/>
      <c r="L193" s="1050"/>
      <c r="M193" s="1050"/>
      <c r="N193" s="1087"/>
      <c r="O193" s="1094">
        <f t="shared" si="6"/>
        <v>0.3301697295186235</v>
      </c>
    </row>
    <row r="194" spans="2:15" x14ac:dyDescent="0.3">
      <c r="B194" s="521"/>
      <c r="C194" s="521"/>
      <c r="D194" s="638"/>
      <c r="E194" s="639"/>
      <c r="F194" s="1110"/>
      <c r="G194" s="745"/>
      <c r="H194" s="1083"/>
      <c r="I194" s="638"/>
      <c r="J194" s="1083"/>
      <c r="K194" s="521"/>
      <c r="L194" s="1050"/>
      <c r="M194" s="1050"/>
      <c r="N194" s="1087"/>
      <c r="O194" s="1094">
        <f t="shared" si="6"/>
        <v>0.3301697295186235</v>
      </c>
    </row>
    <row r="195" spans="2:15" x14ac:dyDescent="0.3">
      <c r="B195" s="521"/>
      <c r="C195" s="521"/>
      <c r="D195" s="638"/>
      <c r="E195" s="639"/>
      <c r="F195" s="1110"/>
      <c r="G195" s="745"/>
      <c r="H195" s="1083"/>
      <c r="I195" s="638"/>
      <c r="J195" s="1083"/>
      <c r="K195" s="521"/>
      <c r="L195" s="1050"/>
      <c r="M195" s="1050"/>
      <c r="N195" s="1087"/>
      <c r="O195" s="1094">
        <f t="shared" si="6"/>
        <v>0.3301697295186235</v>
      </c>
    </row>
    <row r="196" spans="2:15" x14ac:dyDescent="0.3">
      <c r="B196" s="521"/>
      <c r="C196" s="521"/>
      <c r="D196" s="638"/>
      <c r="E196" s="639"/>
      <c r="F196" s="1110"/>
      <c r="G196" s="745"/>
      <c r="H196" s="1083"/>
      <c r="I196" s="638"/>
      <c r="J196" s="1083"/>
      <c r="K196" s="521"/>
      <c r="L196" s="1050"/>
      <c r="M196" s="1050"/>
      <c r="N196" s="1087"/>
      <c r="O196" s="1094">
        <f t="shared" si="6"/>
        <v>0.3301697295186235</v>
      </c>
    </row>
    <row r="197" spans="2:15" x14ac:dyDescent="0.3">
      <c r="B197" s="888"/>
      <c r="C197" s="888"/>
      <c r="D197" s="582"/>
      <c r="E197" s="639"/>
      <c r="F197" s="1110"/>
      <c r="G197" s="1173"/>
      <c r="H197" s="1084"/>
      <c r="I197" s="582"/>
      <c r="J197" s="1083"/>
      <c r="K197" s="888"/>
      <c r="L197" s="1050"/>
      <c r="M197" s="1050"/>
      <c r="N197" s="1087"/>
      <c r="O197" s="1094">
        <f t="shared" si="6"/>
        <v>0.3301697295186235</v>
      </c>
    </row>
    <row r="198" spans="2:15" x14ac:dyDescent="0.3">
      <c r="B198" s="521"/>
      <c r="C198" s="521"/>
      <c r="D198" s="638"/>
      <c r="E198" s="639"/>
      <c r="F198" s="1110"/>
      <c r="G198" s="745"/>
      <c r="H198" s="1083"/>
      <c r="I198" s="638"/>
      <c r="J198" s="1083"/>
      <c r="K198" s="521"/>
      <c r="L198" s="1050"/>
      <c r="M198" s="1050"/>
      <c r="N198" s="1087"/>
      <c r="O198" s="1094">
        <f t="shared" si="6"/>
        <v>0.3301697295186235</v>
      </c>
    </row>
    <row r="199" spans="2:15" x14ac:dyDescent="0.3">
      <c r="B199" s="888"/>
      <c r="C199" s="888"/>
      <c r="D199" s="582"/>
      <c r="E199" s="889"/>
      <c r="F199" s="1110"/>
      <c r="G199" s="1173"/>
      <c r="H199" s="1084"/>
      <c r="I199" s="582"/>
      <c r="J199" s="1083"/>
      <c r="K199" s="888"/>
      <c r="L199" s="1091"/>
      <c r="M199" s="1050"/>
      <c r="N199" s="1087"/>
      <c r="O199" s="1094">
        <f t="shared" si="6"/>
        <v>0.3301697295186235</v>
      </c>
    </row>
    <row r="200" spans="2:15" x14ac:dyDescent="0.3">
      <c r="B200" s="521"/>
      <c r="C200" s="521"/>
      <c r="D200" s="638"/>
      <c r="E200" s="639"/>
      <c r="F200" s="641"/>
      <c r="G200" s="1173"/>
      <c r="H200" s="1083"/>
      <c r="I200" s="638"/>
      <c r="J200" s="1083"/>
      <c r="K200" s="521"/>
      <c r="L200" s="1050"/>
      <c r="M200" s="1050"/>
      <c r="N200" s="1087"/>
      <c r="O200" s="1094">
        <f t="shared" si="6"/>
        <v>0.3301697295186235</v>
      </c>
    </row>
    <row r="201" spans="2:15" x14ac:dyDescent="0.3">
      <c r="B201" s="521"/>
      <c r="C201" s="521"/>
      <c r="D201" s="638"/>
      <c r="E201" s="639"/>
      <c r="F201" s="641"/>
      <c r="G201" s="745"/>
      <c r="H201" s="1083"/>
      <c r="I201" s="638"/>
      <c r="J201" s="1083"/>
      <c r="K201" s="521"/>
      <c r="L201" s="1050"/>
      <c r="M201" s="1050"/>
      <c r="N201" s="1087"/>
      <c r="O201" s="1094">
        <f t="shared" si="6"/>
        <v>0.3301697295186235</v>
      </c>
    </row>
    <row r="202" spans="2:15" x14ac:dyDescent="0.3">
      <c r="B202" s="521"/>
      <c r="C202" s="521"/>
      <c r="D202" s="638"/>
      <c r="E202" s="639"/>
      <c r="F202" s="641"/>
      <c r="G202" s="745"/>
      <c r="H202" s="1083"/>
      <c r="I202" s="638"/>
      <c r="J202" s="1083"/>
      <c r="K202" s="521"/>
      <c r="L202" s="1050"/>
      <c r="M202" s="1050"/>
      <c r="N202" s="1087"/>
      <c r="O202" s="1094">
        <f t="shared" si="6"/>
        <v>0.3301697295186235</v>
      </c>
    </row>
    <row r="203" spans="2:15" x14ac:dyDescent="0.3">
      <c r="B203" s="521"/>
      <c r="C203" s="521"/>
      <c r="D203" s="638"/>
      <c r="E203" s="639"/>
      <c r="F203" s="641"/>
      <c r="G203" s="745"/>
      <c r="H203" s="1083"/>
      <c r="I203" s="638"/>
      <c r="J203" s="1083"/>
      <c r="K203" s="521"/>
      <c r="L203" s="1050"/>
      <c r="M203" s="1050"/>
      <c r="N203" s="1087"/>
      <c r="O203" s="1094">
        <f t="shared" si="6"/>
        <v>0.3301697295186235</v>
      </c>
    </row>
    <row r="204" spans="2:15" x14ac:dyDescent="0.3">
      <c r="B204" s="521"/>
      <c r="C204" s="521"/>
      <c r="D204" s="638"/>
      <c r="E204" s="639"/>
      <c r="F204" s="641"/>
      <c r="G204" s="745"/>
      <c r="H204" s="1083"/>
      <c r="I204" s="638"/>
      <c r="J204" s="1083"/>
      <c r="K204" s="521"/>
      <c r="L204" s="1050"/>
      <c r="M204" s="1050"/>
      <c r="N204" s="1087"/>
      <c r="O204" s="1094">
        <f t="shared" si="6"/>
        <v>0.3301697295186235</v>
      </c>
    </row>
    <row r="205" spans="2:15" x14ac:dyDescent="0.3">
      <c r="B205" s="521"/>
      <c r="C205" s="521"/>
      <c r="D205" s="638"/>
      <c r="E205" s="639"/>
      <c r="F205" s="641"/>
      <c r="G205" s="745"/>
      <c r="H205" s="1083"/>
      <c r="I205" s="638"/>
      <c r="J205" s="1084"/>
      <c r="K205" s="521"/>
      <c r="L205" s="1050"/>
      <c r="M205" s="1050"/>
      <c r="N205" s="1087"/>
      <c r="O205" s="1094">
        <f t="shared" si="6"/>
        <v>0.3301697295186235</v>
      </c>
    </row>
    <row r="206" spans="2:15" x14ac:dyDescent="0.3">
      <c r="B206" s="521"/>
      <c r="C206" s="521"/>
      <c r="D206" s="638"/>
      <c r="E206" s="639"/>
      <c r="F206" s="641"/>
      <c r="G206" s="745"/>
      <c r="H206" s="1083"/>
      <c r="I206" s="638"/>
      <c r="J206" s="1084"/>
      <c r="K206" s="521"/>
      <c r="L206" s="1050"/>
      <c r="M206" s="1050"/>
      <c r="N206" s="1087"/>
      <c r="O206" s="1094">
        <f t="shared" si="6"/>
        <v>0.3301697295186235</v>
      </c>
    </row>
    <row r="207" spans="2:15" x14ac:dyDescent="0.3">
      <c r="B207" s="521"/>
      <c r="C207" s="521"/>
      <c r="D207" s="638"/>
      <c r="E207" s="639"/>
      <c r="F207" s="641"/>
      <c r="G207" s="745"/>
      <c r="H207" s="1083"/>
      <c r="I207" s="638"/>
      <c r="J207" s="1083"/>
      <c r="K207" s="521"/>
      <c r="L207" s="1050"/>
      <c r="M207" s="1050"/>
      <c r="N207" s="1087"/>
      <c r="O207" s="1094">
        <f t="shared" si="6"/>
        <v>0.3301697295186235</v>
      </c>
    </row>
    <row r="208" spans="2:15" x14ac:dyDescent="0.3">
      <c r="B208" s="521"/>
      <c r="C208" s="521"/>
      <c r="D208" s="638"/>
      <c r="E208" s="639"/>
      <c r="F208" s="641"/>
      <c r="G208" s="745"/>
      <c r="H208" s="1083"/>
      <c r="I208" s="638"/>
      <c r="J208" s="1083"/>
      <c r="K208" s="521"/>
      <c r="L208" s="1050"/>
      <c r="M208" s="1050"/>
      <c r="N208" s="1087"/>
      <c r="O208" s="1094">
        <f t="shared" si="6"/>
        <v>0.3301697295186235</v>
      </c>
    </row>
    <row r="209" spans="2:15" x14ac:dyDescent="0.3">
      <c r="B209" s="521"/>
      <c r="C209" s="521"/>
      <c r="D209" s="638"/>
      <c r="E209" s="639"/>
      <c r="F209" s="641"/>
      <c r="G209" s="745"/>
      <c r="H209" s="1083"/>
      <c r="I209" s="638"/>
      <c r="J209" s="1083"/>
      <c r="K209" s="521"/>
      <c r="L209" s="1050"/>
      <c r="M209" s="1050"/>
      <c r="N209" s="1087"/>
      <c r="O209" s="1094">
        <f t="shared" si="6"/>
        <v>0.3301697295186235</v>
      </c>
    </row>
    <row r="210" spans="2:15" x14ac:dyDescent="0.3">
      <c r="B210" s="521"/>
      <c r="C210" s="521"/>
      <c r="D210" s="638"/>
      <c r="E210" s="639"/>
      <c r="F210" s="641"/>
      <c r="G210" s="745"/>
      <c r="H210" s="1083"/>
      <c r="I210" s="638"/>
      <c r="J210" s="1083"/>
      <c r="K210" s="521"/>
      <c r="L210" s="1050"/>
      <c r="M210" s="1050"/>
      <c r="N210" s="1087"/>
      <c r="O210" s="1094">
        <f t="shared" ref="O210:O235" si="7">N210/26885400000+$O$1</f>
        <v>0.3301697295186235</v>
      </c>
    </row>
    <row r="211" spans="2:15" x14ac:dyDescent="0.3">
      <c r="B211" s="521"/>
      <c r="C211" s="521"/>
      <c r="D211" s="638"/>
      <c r="E211" s="639"/>
      <c r="F211" s="641"/>
      <c r="G211" s="745"/>
      <c r="H211" s="1083"/>
      <c r="I211" s="638"/>
      <c r="J211" s="1083"/>
      <c r="K211" s="521"/>
      <c r="L211" s="1050"/>
      <c r="M211" s="1050"/>
      <c r="N211" s="1087"/>
      <c r="O211" s="1094">
        <f t="shared" si="7"/>
        <v>0.3301697295186235</v>
      </c>
    </row>
    <row r="212" spans="2:15" x14ac:dyDescent="0.3">
      <c r="B212" s="521"/>
      <c r="C212" s="521"/>
      <c r="D212" s="638"/>
      <c r="E212" s="639"/>
      <c r="F212" s="641"/>
      <c r="G212" s="745"/>
      <c r="H212" s="1083"/>
      <c r="I212" s="638"/>
      <c r="J212" s="1083"/>
      <c r="K212" s="521"/>
      <c r="L212" s="1050"/>
      <c r="M212" s="1050"/>
      <c r="N212" s="1087"/>
      <c r="O212" s="1094">
        <f t="shared" si="7"/>
        <v>0.3301697295186235</v>
      </c>
    </row>
    <row r="213" spans="2:15" x14ac:dyDescent="0.3">
      <c r="B213" s="521"/>
      <c r="C213" s="521"/>
      <c r="D213" s="638"/>
      <c r="E213" s="639"/>
      <c r="F213" s="641"/>
      <c r="G213" s="745"/>
      <c r="H213" s="1083"/>
      <c r="I213" s="638"/>
      <c r="J213" s="1083"/>
      <c r="K213" s="521"/>
      <c r="L213" s="1050"/>
      <c r="M213" s="1050"/>
      <c r="N213" s="1087"/>
      <c r="O213" s="1094">
        <f t="shared" si="7"/>
        <v>0.3301697295186235</v>
      </c>
    </row>
    <row r="214" spans="2:15" x14ac:dyDescent="0.3">
      <c r="B214" s="521"/>
      <c r="C214" s="521"/>
      <c r="D214" s="638"/>
      <c r="E214" s="639"/>
      <c r="F214" s="641"/>
      <c r="G214" s="745"/>
      <c r="H214" s="1083"/>
      <c r="I214" s="638"/>
      <c r="J214" s="1083"/>
      <c r="K214" s="521"/>
      <c r="L214" s="1050"/>
      <c r="M214" s="1050"/>
      <c r="N214" s="1087"/>
      <c r="O214" s="1094">
        <f t="shared" si="7"/>
        <v>0.3301697295186235</v>
      </c>
    </row>
    <row r="215" spans="2:15" x14ac:dyDescent="0.3">
      <c r="B215" s="521"/>
      <c r="C215" s="521"/>
      <c r="D215" s="638"/>
      <c r="E215" s="639"/>
      <c r="F215" s="641"/>
      <c r="G215" s="745"/>
      <c r="H215" s="1083"/>
      <c r="I215" s="638"/>
      <c r="J215" s="1083"/>
      <c r="K215" s="521"/>
      <c r="L215" s="1050"/>
      <c r="M215" s="1050"/>
      <c r="N215" s="1087"/>
      <c r="O215" s="1094">
        <f t="shared" si="7"/>
        <v>0.3301697295186235</v>
      </c>
    </row>
    <row r="216" spans="2:15" x14ac:dyDescent="0.3">
      <c r="B216" s="521"/>
      <c r="C216" s="521"/>
      <c r="D216" s="638"/>
      <c r="E216" s="639"/>
      <c r="F216" s="641"/>
      <c r="G216" s="745"/>
      <c r="H216" s="1083"/>
      <c r="I216" s="638"/>
      <c r="J216" s="1083"/>
      <c r="K216" s="521"/>
      <c r="L216" s="1050"/>
      <c r="M216" s="1050"/>
      <c r="N216" s="1087"/>
      <c r="O216" s="1094">
        <f t="shared" si="7"/>
        <v>0.3301697295186235</v>
      </c>
    </row>
    <row r="217" spans="2:15" x14ac:dyDescent="0.3">
      <c r="B217" s="521"/>
      <c r="C217" s="521"/>
      <c r="D217" s="638"/>
      <c r="E217" s="639"/>
      <c r="F217" s="641"/>
      <c r="G217" s="745"/>
      <c r="H217" s="1083"/>
      <c r="I217" s="638"/>
      <c r="J217" s="1083"/>
      <c r="K217" s="521"/>
      <c r="L217" s="1050"/>
      <c r="M217" s="1050"/>
      <c r="N217" s="1087"/>
      <c r="O217" s="1094">
        <f t="shared" si="7"/>
        <v>0.3301697295186235</v>
      </c>
    </row>
    <row r="218" spans="2:15" x14ac:dyDescent="0.3">
      <c r="B218" s="521"/>
      <c r="C218" s="521"/>
      <c r="D218" s="638"/>
      <c r="E218" s="639"/>
      <c r="F218" s="641"/>
      <c r="G218" s="745"/>
      <c r="H218" s="1083"/>
      <c r="I218" s="638"/>
      <c r="J218" s="1083"/>
      <c r="K218" s="521"/>
      <c r="L218" s="1050"/>
      <c r="M218" s="1050"/>
      <c r="N218" s="1087"/>
      <c r="O218" s="1094">
        <f t="shared" si="7"/>
        <v>0.3301697295186235</v>
      </c>
    </row>
    <row r="219" spans="2:15" x14ac:dyDescent="0.3">
      <c r="B219" s="521"/>
      <c r="C219" s="521"/>
      <c r="D219" s="638"/>
      <c r="E219" s="639"/>
      <c r="F219" s="641"/>
      <c r="G219" s="745"/>
      <c r="H219" s="1083"/>
      <c r="I219" s="638"/>
      <c r="J219" s="1083"/>
      <c r="K219" s="521"/>
      <c r="L219" s="1050"/>
      <c r="M219" s="1050"/>
      <c r="N219" s="1087"/>
      <c r="O219" s="1094">
        <f t="shared" si="7"/>
        <v>0.3301697295186235</v>
      </c>
    </row>
    <row r="220" spans="2:15" x14ac:dyDescent="0.3">
      <c r="B220" s="521"/>
      <c r="C220" s="521"/>
      <c r="D220" s="638"/>
      <c r="E220" s="639"/>
      <c r="F220" s="641"/>
      <c r="G220" s="745"/>
      <c r="H220" s="1083"/>
      <c r="I220" s="638"/>
      <c r="J220" s="1083"/>
      <c r="K220" s="521"/>
      <c r="L220" s="1050"/>
      <c r="M220" s="1050"/>
      <c r="N220" s="1087"/>
      <c r="O220" s="1094">
        <f t="shared" si="7"/>
        <v>0.3301697295186235</v>
      </c>
    </row>
    <row r="221" spans="2:15" x14ac:dyDescent="0.3">
      <c r="B221" s="521"/>
      <c r="C221" s="521"/>
      <c r="D221" s="638"/>
      <c r="E221" s="639"/>
      <c r="F221" s="641"/>
      <c r="G221" s="745"/>
      <c r="H221" s="1083"/>
      <c r="I221" s="638"/>
      <c r="J221" s="1083"/>
      <c r="K221" s="521"/>
      <c r="L221" s="1050"/>
      <c r="M221" s="1050"/>
      <c r="N221" s="1087"/>
      <c r="O221" s="1094">
        <f t="shared" si="7"/>
        <v>0.3301697295186235</v>
      </c>
    </row>
    <row r="222" spans="2:15" x14ac:dyDescent="0.3">
      <c r="B222" s="521"/>
      <c r="C222" s="521"/>
      <c r="D222" s="638"/>
      <c r="E222" s="639"/>
      <c r="F222" s="641"/>
      <c r="G222" s="745"/>
      <c r="H222" s="1083"/>
      <c r="I222" s="638"/>
      <c r="J222" s="1083"/>
      <c r="K222" s="521"/>
      <c r="L222" s="1050"/>
      <c r="M222" s="1050"/>
      <c r="N222" s="1087"/>
      <c r="O222" s="1094">
        <f t="shared" si="7"/>
        <v>0.3301697295186235</v>
      </c>
    </row>
    <row r="223" spans="2:15" x14ac:dyDescent="0.3">
      <c r="B223" s="521"/>
      <c r="C223" s="521"/>
      <c r="D223" s="638"/>
      <c r="E223" s="639"/>
      <c r="F223" s="641"/>
      <c r="G223" s="745"/>
      <c r="H223" s="1083"/>
      <c r="I223" s="638"/>
      <c r="J223" s="1083"/>
      <c r="K223" s="521"/>
      <c r="L223" s="1050"/>
      <c r="M223" s="1050"/>
      <c r="N223" s="1087"/>
      <c r="O223" s="1094">
        <f t="shared" si="7"/>
        <v>0.3301697295186235</v>
      </c>
    </row>
    <row r="224" spans="2:15" x14ac:dyDescent="0.3">
      <c r="B224" s="521"/>
      <c r="C224" s="521"/>
      <c r="D224" s="638"/>
      <c r="E224" s="639"/>
      <c r="F224" s="641"/>
      <c r="G224" s="745"/>
      <c r="H224" s="1083"/>
      <c r="I224" s="638"/>
      <c r="J224" s="1083"/>
      <c r="K224" s="521"/>
      <c r="L224" s="1050"/>
      <c r="M224" s="1050"/>
      <c r="N224" s="1087"/>
      <c r="O224" s="1094">
        <f t="shared" si="7"/>
        <v>0.3301697295186235</v>
      </c>
    </row>
    <row r="225" spans="2:15" x14ac:dyDescent="0.3">
      <c r="B225" s="521"/>
      <c r="C225" s="521"/>
      <c r="D225" s="638"/>
      <c r="E225" s="639"/>
      <c r="F225" s="641"/>
      <c r="G225" s="745"/>
      <c r="H225" s="1083"/>
      <c r="I225" s="638"/>
      <c r="J225" s="1083"/>
      <c r="K225" s="521"/>
      <c r="L225" s="1050"/>
      <c r="M225" s="1050"/>
      <c r="N225" s="1087"/>
      <c r="O225" s="1094">
        <f t="shared" si="7"/>
        <v>0.3301697295186235</v>
      </c>
    </row>
    <row r="226" spans="2:15" x14ac:dyDescent="0.3">
      <c r="B226" s="521"/>
      <c r="C226" s="521"/>
      <c r="D226" s="638"/>
      <c r="E226" s="639"/>
      <c r="F226" s="641"/>
      <c r="G226" s="745"/>
      <c r="H226" s="1083"/>
      <c r="I226" s="638"/>
      <c r="J226" s="1083"/>
      <c r="K226" s="521"/>
      <c r="L226" s="1050"/>
      <c r="M226" s="1050"/>
      <c r="N226" s="1087"/>
      <c r="O226" s="1094">
        <f t="shared" si="7"/>
        <v>0.3301697295186235</v>
      </c>
    </row>
    <row r="227" spans="2:15" x14ac:dyDescent="0.3">
      <c r="B227" s="888"/>
      <c r="C227" s="888"/>
      <c r="D227" s="582"/>
      <c r="E227" s="889"/>
      <c r="F227" s="890"/>
      <c r="G227" s="1173"/>
      <c r="H227" s="1084"/>
      <c r="I227" s="582"/>
      <c r="J227" s="1084"/>
      <c r="K227" s="888"/>
      <c r="L227" s="1050"/>
      <c r="M227" s="1050"/>
      <c r="N227" s="1087"/>
      <c r="O227" s="1094">
        <f t="shared" si="7"/>
        <v>0.3301697295186235</v>
      </c>
    </row>
    <row r="228" spans="2:15" x14ac:dyDescent="0.3">
      <c r="B228" s="521"/>
      <c r="C228" s="521"/>
      <c r="D228" s="638"/>
      <c r="E228" s="639"/>
      <c r="F228" s="641"/>
      <c r="G228" s="745"/>
      <c r="H228" s="1083"/>
      <c r="I228" s="638"/>
      <c r="J228" s="1083"/>
      <c r="K228" s="521"/>
      <c r="L228" s="1050"/>
      <c r="M228" s="1050">
        <f t="shared" ref="M228:M235" si="8">L228*F228</f>
        <v>0</v>
      </c>
      <c r="N228" s="1087">
        <f t="shared" ref="N228:N235" si="9">M228+N227</f>
        <v>0</v>
      </c>
      <c r="O228" s="1094">
        <f t="shared" si="7"/>
        <v>0.3301697295186235</v>
      </c>
    </row>
    <row r="229" spans="2:15" x14ac:dyDescent="0.3">
      <c r="B229" s="521"/>
      <c r="C229" s="521"/>
      <c r="D229" s="638"/>
      <c r="E229" s="639"/>
      <c r="F229" s="641"/>
      <c r="G229" s="745"/>
      <c r="H229" s="1083"/>
      <c r="I229" s="638"/>
      <c r="J229" s="1083"/>
      <c r="K229" s="521"/>
      <c r="L229" s="1050"/>
      <c r="M229" s="1050">
        <f t="shared" si="8"/>
        <v>0</v>
      </c>
      <c r="N229" s="1087">
        <f t="shared" si="9"/>
        <v>0</v>
      </c>
      <c r="O229" s="1094">
        <f t="shared" si="7"/>
        <v>0.3301697295186235</v>
      </c>
    </row>
    <row r="230" spans="2:15" x14ac:dyDescent="0.3">
      <c r="B230" s="521"/>
      <c r="C230" s="521"/>
      <c r="D230" s="638"/>
      <c r="E230" s="639"/>
      <c r="F230" s="641"/>
      <c r="G230" s="745"/>
      <c r="H230" s="1083"/>
      <c r="I230" s="638"/>
      <c r="J230" s="1083"/>
      <c r="K230" s="521"/>
      <c r="L230" s="1050"/>
      <c r="M230" s="1050">
        <f t="shared" si="8"/>
        <v>0</v>
      </c>
      <c r="N230" s="1087">
        <f t="shared" si="9"/>
        <v>0</v>
      </c>
      <c r="O230" s="1094">
        <f t="shared" si="7"/>
        <v>0.3301697295186235</v>
      </c>
    </row>
    <row r="231" spans="2:15" x14ac:dyDescent="0.3">
      <c r="B231" s="521"/>
      <c r="C231" s="521"/>
      <c r="D231" s="638"/>
      <c r="E231" s="639"/>
      <c r="F231" s="641"/>
      <c r="G231" s="745"/>
      <c r="H231" s="1083"/>
      <c r="I231" s="638"/>
      <c r="J231" s="1083"/>
      <c r="K231" s="521"/>
      <c r="L231" s="1050"/>
      <c r="M231" s="1050">
        <f t="shared" si="8"/>
        <v>0</v>
      </c>
      <c r="N231" s="1087">
        <f t="shared" si="9"/>
        <v>0</v>
      </c>
      <c r="O231" s="1094">
        <f t="shared" si="7"/>
        <v>0.3301697295186235</v>
      </c>
    </row>
    <row r="232" spans="2:15" x14ac:dyDescent="0.3">
      <c r="B232" s="521"/>
      <c r="C232" s="521"/>
      <c r="D232" s="638"/>
      <c r="E232" s="639"/>
      <c r="F232" s="641"/>
      <c r="G232" s="745"/>
      <c r="H232" s="1083"/>
      <c r="I232" s="638"/>
      <c r="J232" s="1083"/>
      <c r="K232" s="521"/>
      <c r="L232" s="1050"/>
      <c r="M232" s="1050">
        <f t="shared" si="8"/>
        <v>0</v>
      </c>
      <c r="N232" s="1087">
        <f t="shared" si="9"/>
        <v>0</v>
      </c>
      <c r="O232" s="1094">
        <f t="shared" si="7"/>
        <v>0.3301697295186235</v>
      </c>
    </row>
    <row r="233" spans="2:15" x14ac:dyDescent="0.3">
      <c r="B233" s="521"/>
      <c r="C233" s="521"/>
      <c r="D233" s="638"/>
      <c r="E233" s="639"/>
      <c r="F233" s="641"/>
      <c r="G233" s="745"/>
      <c r="H233" s="1083"/>
      <c r="I233" s="638"/>
      <c r="J233" s="1083"/>
      <c r="K233" s="521"/>
      <c r="L233" s="1050"/>
      <c r="M233" s="1050">
        <f t="shared" si="8"/>
        <v>0</v>
      </c>
      <c r="N233" s="1087">
        <f t="shared" si="9"/>
        <v>0</v>
      </c>
      <c r="O233" s="1094">
        <f t="shared" si="7"/>
        <v>0.3301697295186235</v>
      </c>
    </row>
    <row r="234" spans="2:15" x14ac:dyDescent="0.3">
      <c r="B234" s="521"/>
      <c r="C234" s="521"/>
      <c r="D234" s="638"/>
      <c r="E234" s="639"/>
      <c r="F234" s="641"/>
      <c r="G234" s="745"/>
      <c r="H234" s="1083"/>
      <c r="I234" s="638"/>
      <c r="J234" s="1083"/>
      <c r="K234" s="521"/>
      <c r="L234" s="1050"/>
      <c r="M234" s="1050">
        <f t="shared" si="8"/>
        <v>0</v>
      </c>
      <c r="N234" s="1087">
        <f t="shared" si="9"/>
        <v>0</v>
      </c>
      <c r="O234" s="1094">
        <f t="shared" si="7"/>
        <v>0.3301697295186235</v>
      </c>
    </row>
    <row r="235" spans="2:15" x14ac:dyDescent="0.3">
      <c r="B235" s="521"/>
      <c r="C235" s="521"/>
      <c r="D235" s="638"/>
      <c r="E235" s="639"/>
      <c r="F235" s="641"/>
      <c r="G235" s="745"/>
      <c r="H235" s="1083"/>
      <c r="I235" s="638"/>
      <c r="J235" s="1083"/>
      <c r="K235" s="521"/>
      <c r="L235" s="1050"/>
      <c r="M235" s="1050">
        <f t="shared" si="8"/>
        <v>0</v>
      </c>
      <c r="N235" s="1087">
        <f t="shared" si="9"/>
        <v>0</v>
      </c>
      <c r="O235" s="1094">
        <f t="shared" si="7"/>
        <v>0.3301697295186235</v>
      </c>
    </row>
    <row r="236" spans="2:15" x14ac:dyDescent="0.3">
      <c r="B236" s="521"/>
      <c r="C236" s="521"/>
      <c r="D236" s="638"/>
      <c r="E236" s="639"/>
      <c r="F236" s="641"/>
      <c r="G236" s="745"/>
      <c r="H236" s="1083"/>
      <c r="I236" s="638"/>
      <c r="J236" s="1083"/>
      <c r="K236" s="521"/>
      <c r="L236" s="1050"/>
      <c r="M236" s="1050"/>
      <c r="N236" s="638"/>
      <c r="O236" s="690"/>
    </row>
    <row r="237" spans="2:15" x14ac:dyDescent="0.3">
      <c r="B237" s="521"/>
      <c r="C237" s="521"/>
      <c r="D237" s="638"/>
      <c r="E237" s="639"/>
      <c r="F237" s="641"/>
      <c r="G237" s="745"/>
      <c r="H237" s="1083"/>
      <c r="I237" s="638"/>
      <c r="J237" s="1083"/>
      <c r="K237" s="521"/>
      <c r="L237" s="1050"/>
      <c r="M237" s="1050"/>
      <c r="N237" s="1050"/>
      <c r="O237" s="690"/>
    </row>
    <row r="238" spans="2:15" x14ac:dyDescent="0.3">
      <c r="B238" s="521"/>
      <c r="C238" s="521"/>
      <c r="D238" s="638"/>
      <c r="E238" s="639"/>
      <c r="F238" s="641"/>
      <c r="G238" s="745"/>
      <c r="H238" s="1083"/>
      <c r="I238" s="638"/>
      <c r="J238" s="1083"/>
      <c r="K238" s="521"/>
      <c r="L238" s="1050"/>
      <c r="M238" s="1050"/>
      <c r="N238" s="1087"/>
      <c r="O238" s="690"/>
    </row>
    <row r="239" spans="2:15" x14ac:dyDescent="0.3">
      <c r="B239" s="521"/>
      <c r="C239" s="521"/>
      <c r="D239" s="638"/>
      <c r="E239" s="639"/>
      <c r="F239" s="641"/>
      <c r="G239" s="745"/>
      <c r="H239" s="1083"/>
      <c r="I239" s="638"/>
      <c r="J239" s="1083"/>
      <c r="K239" s="521"/>
      <c r="L239" s="1050"/>
      <c r="M239" s="1050"/>
      <c r="N239" s="638"/>
      <c r="O239" s="690"/>
    </row>
  </sheetData>
  <autoFilter ref="A2:O240" xr:uid="{591D36F7-F7D1-4857-9784-CBEB67929B7B}">
    <sortState xmlns:xlrd2="http://schemas.microsoft.com/office/spreadsheetml/2017/richdata2" ref="A3:O240">
      <sortCondition ref="J2:J240"/>
    </sortState>
  </autoFilter>
  <conditionalFormatting sqref="G1:G1048576">
    <cfRule type="duplicateValues" dxfId="1" priority="1"/>
  </conditionalFormatting>
  <printOptions horizontalCentered="1"/>
  <pageMargins left="0.31496062992125984" right="0.31496062992125984" top="0.35433070866141736" bottom="0.35433070866141736" header="0.31496062992125984" footer="0.31496062992125984"/>
  <pageSetup paperSize="9" scale="53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603C-8A9A-41EC-9E27-C1485789BE47}">
  <sheetPr>
    <pageSetUpPr fitToPage="1"/>
  </sheetPr>
  <dimension ref="A1:BB44"/>
  <sheetViews>
    <sheetView view="pageBreakPreview" zoomScale="60" zoomScaleNormal="80" workbookViewId="0">
      <pane xSplit="4" ySplit="2" topLeftCell="J3" activePane="bottomRight" state="frozen"/>
      <selection pane="topRight" activeCell="E1" sqref="E1"/>
      <selection pane="bottomLeft" activeCell="A3" sqref="A3"/>
      <selection pane="bottomRight" activeCell="Z22" sqref="Z22"/>
    </sheetView>
  </sheetViews>
  <sheetFormatPr defaultRowHeight="14.4" x14ac:dyDescent="0.3"/>
  <cols>
    <col min="1" max="1" width="7.44140625" customWidth="1"/>
    <col min="2" max="2" width="44.44140625" customWidth="1"/>
    <col min="3" max="3" width="15.88671875" bestFit="1" customWidth="1"/>
    <col min="4" max="4" width="11.44140625" customWidth="1"/>
    <col min="5" max="54" width="5.5546875" customWidth="1"/>
  </cols>
  <sheetData>
    <row r="1" spans="1:54" ht="15.6" x14ac:dyDescent="0.3">
      <c r="A1" s="1902" t="s">
        <v>175</v>
      </c>
      <c r="B1" s="1904" t="s">
        <v>176</v>
      </c>
      <c r="C1" s="1906" t="s">
        <v>177</v>
      </c>
      <c r="D1" s="1908" t="s">
        <v>179</v>
      </c>
      <c r="E1" s="445" t="s">
        <v>10569</v>
      </c>
      <c r="F1" s="445"/>
      <c r="G1" s="445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7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7"/>
    </row>
    <row r="2" spans="1:54" ht="42.6" x14ac:dyDescent="0.3">
      <c r="A2" s="1903"/>
      <c r="B2" s="1905"/>
      <c r="C2" s="1907"/>
      <c r="D2" s="1909"/>
      <c r="E2" s="448">
        <v>45444</v>
      </c>
      <c r="F2" s="448">
        <v>45474</v>
      </c>
      <c r="G2" s="448">
        <v>45505</v>
      </c>
      <c r="H2" s="448">
        <v>45536</v>
      </c>
      <c r="I2" s="448">
        <v>45566</v>
      </c>
      <c r="J2" s="448">
        <v>45597</v>
      </c>
      <c r="K2" s="448">
        <v>45627</v>
      </c>
      <c r="L2" s="448">
        <v>45658</v>
      </c>
      <c r="M2" s="448">
        <v>45689</v>
      </c>
      <c r="N2" s="448">
        <v>45717</v>
      </c>
      <c r="O2" s="448">
        <v>45748</v>
      </c>
      <c r="P2" s="448">
        <v>45778</v>
      </c>
      <c r="Q2" s="448">
        <v>45809</v>
      </c>
      <c r="R2" s="448">
        <v>45839</v>
      </c>
      <c r="S2" s="448">
        <v>45870</v>
      </c>
      <c r="T2" s="448">
        <v>45901</v>
      </c>
      <c r="U2" s="448">
        <v>45931</v>
      </c>
      <c r="V2" s="448">
        <v>45962</v>
      </c>
      <c r="W2" s="448">
        <v>45992</v>
      </c>
      <c r="X2" s="448">
        <v>46023</v>
      </c>
      <c r="Y2" s="448">
        <v>46054</v>
      </c>
      <c r="Z2" s="448">
        <v>46082</v>
      </c>
      <c r="AA2" s="448">
        <v>46113</v>
      </c>
      <c r="AB2" s="448">
        <v>46143</v>
      </c>
      <c r="AC2" s="448">
        <v>46174</v>
      </c>
      <c r="AD2" s="448">
        <v>46204</v>
      </c>
      <c r="AE2" s="448">
        <v>46235</v>
      </c>
      <c r="AF2" s="448">
        <v>46266</v>
      </c>
      <c r="AG2" s="448">
        <v>46296</v>
      </c>
      <c r="AH2" s="448">
        <v>46327</v>
      </c>
      <c r="AI2" s="448">
        <v>46357</v>
      </c>
      <c r="AJ2" s="448">
        <v>46388</v>
      </c>
      <c r="AK2" s="448">
        <v>46419</v>
      </c>
      <c r="AL2" s="448">
        <v>46447</v>
      </c>
      <c r="AM2" s="448">
        <v>46478</v>
      </c>
      <c r="AN2" s="448">
        <v>46508</v>
      </c>
      <c r="AO2" s="448">
        <v>46539</v>
      </c>
      <c r="AP2" s="448">
        <v>46569</v>
      </c>
      <c r="AQ2" s="448">
        <v>46600</v>
      </c>
      <c r="AR2" s="448">
        <v>46631</v>
      </c>
      <c r="AS2" s="448">
        <v>46661</v>
      </c>
      <c r="AT2" s="448">
        <v>46692</v>
      </c>
      <c r="AU2" s="448">
        <v>46722</v>
      </c>
      <c r="AV2" s="448">
        <v>46753</v>
      </c>
      <c r="AW2" s="448">
        <v>46784</v>
      </c>
      <c r="AX2" s="448">
        <v>46813</v>
      </c>
      <c r="AY2" s="448">
        <v>46844</v>
      </c>
      <c r="AZ2" s="448">
        <v>46874</v>
      </c>
      <c r="BA2" s="448">
        <v>46905</v>
      </c>
      <c r="BB2" s="448" t="s">
        <v>6047</v>
      </c>
    </row>
    <row r="3" spans="1:54" ht="15.6" x14ac:dyDescent="0.3">
      <c r="A3" s="449">
        <v>103</v>
      </c>
      <c r="B3" s="450" t="s">
        <v>220</v>
      </c>
      <c r="C3" s="451"/>
      <c r="D3" s="452"/>
      <c r="E3" s="453"/>
      <c r="F3" s="453"/>
      <c r="G3" s="453"/>
      <c r="H3" s="453"/>
      <c r="I3" s="453"/>
      <c r="J3" s="453"/>
      <c r="K3" s="453"/>
      <c r="L3" s="453"/>
      <c r="M3" s="453"/>
      <c r="N3" s="453"/>
      <c r="O3" s="453"/>
      <c r="P3" s="453"/>
      <c r="Q3" s="453"/>
      <c r="R3" s="453"/>
      <c r="S3" s="453"/>
      <c r="T3" s="453"/>
      <c r="U3" s="453"/>
      <c r="V3" s="453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  <c r="BA3" s="453"/>
      <c r="BB3" s="454"/>
    </row>
    <row r="4" spans="1:54" ht="15.6" x14ac:dyDescent="0.3">
      <c r="A4" s="455" t="s">
        <v>32</v>
      </c>
      <c r="B4" s="456" t="s">
        <v>221</v>
      </c>
      <c r="C4" s="45" t="s">
        <v>222</v>
      </c>
      <c r="D4" s="457">
        <f>48/3</f>
        <v>16</v>
      </c>
      <c r="E4" s="457"/>
      <c r="F4" s="457"/>
      <c r="G4" s="496">
        <v>1</v>
      </c>
      <c r="H4" s="457"/>
      <c r="I4" s="457"/>
      <c r="J4" s="457"/>
      <c r="K4" s="495">
        <v>1</v>
      </c>
      <c r="L4" s="457"/>
      <c r="M4" s="457"/>
      <c r="N4" s="495">
        <v>1</v>
      </c>
      <c r="O4" s="457"/>
      <c r="P4" s="457"/>
      <c r="Q4" s="495">
        <v>1</v>
      </c>
      <c r="R4" s="457"/>
      <c r="S4" s="457"/>
      <c r="T4" s="495">
        <v>1</v>
      </c>
      <c r="U4" s="457"/>
      <c r="V4" s="457"/>
      <c r="W4" s="496">
        <v>1</v>
      </c>
      <c r="X4" s="457"/>
      <c r="Y4" s="457"/>
      <c r="Z4" s="496">
        <v>1</v>
      </c>
      <c r="AA4" s="457"/>
      <c r="AB4" s="457"/>
      <c r="AC4" s="496">
        <v>1</v>
      </c>
      <c r="AD4" s="457"/>
      <c r="AE4" s="457"/>
      <c r="AF4" s="457">
        <v>1</v>
      </c>
      <c r="AG4" s="457"/>
      <c r="AH4" s="457"/>
      <c r="AI4" s="457">
        <v>1</v>
      </c>
      <c r="AJ4" s="457"/>
      <c r="AK4" s="457"/>
      <c r="AL4" s="457">
        <v>1</v>
      </c>
      <c r="AM4" s="457"/>
      <c r="AN4" s="457"/>
      <c r="AO4" s="457">
        <v>1</v>
      </c>
      <c r="AP4" s="457"/>
      <c r="AQ4" s="457"/>
      <c r="AR4" s="457">
        <v>1</v>
      </c>
      <c r="AS4" s="457"/>
      <c r="AT4" s="457"/>
      <c r="AU4" s="457">
        <v>1</v>
      </c>
      <c r="AV4" s="457"/>
      <c r="AW4" s="457"/>
      <c r="AX4" s="457">
        <v>1</v>
      </c>
      <c r="AY4" s="457"/>
      <c r="AZ4" s="457"/>
      <c r="BA4" s="457">
        <v>1</v>
      </c>
      <c r="BB4" s="457">
        <f>D4-SUM(E4:BA4)</f>
        <v>0</v>
      </c>
    </row>
    <row r="5" spans="1:54" ht="15.6" x14ac:dyDescent="0.3">
      <c r="A5" s="278" t="s">
        <v>34</v>
      </c>
      <c r="B5" s="10" t="s">
        <v>223</v>
      </c>
      <c r="C5" s="11"/>
      <c r="D5" s="458"/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458"/>
      <c r="T5" s="458"/>
      <c r="U5" s="458"/>
      <c r="V5" s="458"/>
      <c r="W5" s="458"/>
      <c r="X5" s="458"/>
      <c r="Y5" s="458"/>
      <c r="Z5" s="458"/>
      <c r="AA5" s="458"/>
      <c r="AB5" s="458"/>
      <c r="AC5" s="458"/>
      <c r="AD5" s="458"/>
      <c r="AE5" s="458"/>
      <c r="AF5" s="458"/>
      <c r="AG5" s="458"/>
      <c r="AH5" s="458"/>
      <c r="AI5" s="458"/>
      <c r="AJ5" s="458"/>
      <c r="AK5" s="458"/>
      <c r="AL5" s="458"/>
      <c r="AM5" s="458"/>
      <c r="AN5" s="458"/>
      <c r="AO5" s="458"/>
      <c r="AP5" s="458"/>
      <c r="AQ5" s="458"/>
      <c r="AR5" s="458"/>
      <c r="AS5" s="458"/>
      <c r="AT5" s="458"/>
      <c r="AU5" s="458"/>
      <c r="AV5" s="458"/>
      <c r="AW5" s="458"/>
      <c r="AX5" s="458"/>
      <c r="AY5" s="458"/>
      <c r="AZ5" s="458"/>
      <c r="BA5" s="458"/>
      <c r="BB5" s="457"/>
    </row>
    <row r="6" spans="1:54" ht="15.6" x14ac:dyDescent="0.3">
      <c r="A6" s="19" t="s">
        <v>90</v>
      </c>
      <c r="B6" s="9" t="s">
        <v>224</v>
      </c>
      <c r="C6" s="11" t="s">
        <v>225</v>
      </c>
      <c r="D6" s="458">
        <f>6*48/3</f>
        <v>96</v>
      </c>
      <c r="E6" s="458"/>
      <c r="F6" s="458"/>
      <c r="G6" s="495">
        <v>6</v>
      </c>
      <c r="H6" s="458"/>
      <c r="I6" s="458"/>
      <c r="J6" s="458"/>
      <c r="K6" s="495">
        <v>6</v>
      </c>
      <c r="L6" s="458"/>
      <c r="M6" s="458"/>
      <c r="N6" s="495">
        <v>6</v>
      </c>
      <c r="O6" s="458"/>
      <c r="P6" s="458"/>
      <c r="Q6" s="495">
        <v>6</v>
      </c>
      <c r="R6" s="458"/>
      <c r="S6" s="458"/>
      <c r="T6" s="495">
        <v>6</v>
      </c>
      <c r="U6" s="458"/>
      <c r="V6" s="458"/>
      <c r="W6" s="495">
        <v>6</v>
      </c>
      <c r="X6" s="458"/>
      <c r="Y6" s="458"/>
      <c r="Z6" s="495">
        <v>6</v>
      </c>
      <c r="AA6" s="458"/>
      <c r="AB6" s="458"/>
      <c r="AC6" s="495">
        <v>6</v>
      </c>
      <c r="AD6" s="458"/>
      <c r="AE6" s="458"/>
      <c r="AF6" s="458">
        <v>6</v>
      </c>
      <c r="AG6" s="458"/>
      <c r="AH6" s="458"/>
      <c r="AI6" s="458">
        <v>6</v>
      </c>
      <c r="AJ6" s="458"/>
      <c r="AK6" s="458"/>
      <c r="AL6" s="458">
        <v>6</v>
      </c>
      <c r="AM6" s="458"/>
      <c r="AN6" s="458"/>
      <c r="AO6" s="458">
        <v>6</v>
      </c>
      <c r="AP6" s="458"/>
      <c r="AQ6" s="458"/>
      <c r="AR6" s="458">
        <v>6</v>
      </c>
      <c r="AS6" s="458"/>
      <c r="AT6" s="458"/>
      <c r="AU6" s="458">
        <v>6</v>
      </c>
      <c r="AV6" s="458"/>
      <c r="AW6" s="458"/>
      <c r="AX6" s="458">
        <v>6</v>
      </c>
      <c r="AY6" s="458"/>
      <c r="AZ6" s="458"/>
      <c r="BA6" s="458">
        <v>6</v>
      </c>
      <c r="BB6" s="457">
        <f t="shared" ref="BB6:BB30" si="0">D6-SUM(E6:BA6)</f>
        <v>0</v>
      </c>
    </row>
    <row r="7" spans="1:54" ht="15.6" x14ac:dyDescent="0.3">
      <c r="A7" s="19" t="s">
        <v>197</v>
      </c>
      <c r="B7" s="9" t="s">
        <v>226</v>
      </c>
      <c r="C7" s="11" t="s">
        <v>225</v>
      </c>
      <c r="D7" s="458">
        <f>2*48/3</f>
        <v>32</v>
      </c>
      <c r="E7" s="458"/>
      <c r="F7" s="458"/>
      <c r="G7" s="458"/>
      <c r="H7" s="458"/>
      <c r="I7" s="495">
        <v>2</v>
      </c>
      <c r="J7" s="458"/>
      <c r="K7" s="495">
        <v>2</v>
      </c>
      <c r="L7" s="458"/>
      <c r="M7" s="458"/>
      <c r="N7" s="495">
        <v>2</v>
      </c>
      <c r="O7" s="458"/>
      <c r="P7" s="458"/>
      <c r="Q7" s="495">
        <v>2</v>
      </c>
      <c r="R7" s="458"/>
      <c r="S7" s="458"/>
      <c r="T7" s="495">
        <v>2</v>
      </c>
      <c r="U7" s="458"/>
      <c r="V7" s="458"/>
      <c r="W7" s="495">
        <v>2</v>
      </c>
      <c r="X7" s="458"/>
      <c r="Y7" s="458"/>
      <c r="Z7" s="495">
        <v>2</v>
      </c>
      <c r="AA7" s="458"/>
      <c r="AB7" s="458"/>
      <c r="AC7" s="495">
        <v>2</v>
      </c>
      <c r="AD7" s="458"/>
      <c r="AE7" s="458"/>
      <c r="AF7" s="458">
        <v>2</v>
      </c>
      <c r="AG7" s="458"/>
      <c r="AH7" s="458"/>
      <c r="AI7" s="458">
        <v>2</v>
      </c>
      <c r="AJ7" s="458"/>
      <c r="AK7" s="458"/>
      <c r="AL7" s="458">
        <v>2</v>
      </c>
      <c r="AM7" s="458"/>
      <c r="AN7" s="458"/>
      <c r="AO7" s="458">
        <v>2</v>
      </c>
      <c r="AP7" s="458"/>
      <c r="AQ7" s="458"/>
      <c r="AR7" s="458">
        <v>2</v>
      </c>
      <c r="AS7" s="458"/>
      <c r="AT7" s="458"/>
      <c r="AU7" s="458">
        <v>2</v>
      </c>
      <c r="AV7" s="458"/>
      <c r="AW7" s="458"/>
      <c r="AX7" s="458">
        <v>2</v>
      </c>
      <c r="AY7" s="458"/>
      <c r="AZ7" s="458"/>
      <c r="BA7" s="458">
        <v>2</v>
      </c>
      <c r="BB7" s="457">
        <f t="shared" si="0"/>
        <v>0</v>
      </c>
    </row>
    <row r="8" spans="1:54" ht="15.6" x14ac:dyDescent="0.3">
      <c r="A8" s="19" t="s">
        <v>208</v>
      </c>
      <c r="B8" s="9" t="s">
        <v>227</v>
      </c>
      <c r="C8" s="11" t="s">
        <v>225</v>
      </c>
      <c r="D8" s="458">
        <f>1*48/3</f>
        <v>16</v>
      </c>
      <c r="E8" s="458"/>
      <c r="F8" s="458"/>
      <c r="G8" s="457"/>
      <c r="H8" s="457"/>
      <c r="I8" s="495">
        <v>1</v>
      </c>
      <c r="J8" s="457"/>
      <c r="K8" s="495">
        <v>1</v>
      </c>
      <c r="L8" s="457"/>
      <c r="M8" s="457"/>
      <c r="N8" s="495">
        <v>1</v>
      </c>
      <c r="O8" s="457"/>
      <c r="P8" s="457"/>
      <c r="Q8" s="495">
        <v>1</v>
      </c>
      <c r="R8" s="457"/>
      <c r="S8" s="457"/>
      <c r="T8" s="495">
        <v>1</v>
      </c>
      <c r="U8" s="457"/>
      <c r="V8" s="457"/>
      <c r="W8" s="496">
        <v>1</v>
      </c>
      <c r="X8" s="457"/>
      <c r="Y8" s="457"/>
      <c r="Z8" s="496">
        <v>1</v>
      </c>
      <c r="AA8" s="457"/>
      <c r="AB8" s="457"/>
      <c r="AC8" s="496">
        <v>1</v>
      </c>
      <c r="AD8" s="457"/>
      <c r="AE8" s="457"/>
      <c r="AF8" s="457">
        <v>1</v>
      </c>
      <c r="AG8" s="457"/>
      <c r="AH8" s="457"/>
      <c r="AI8" s="457">
        <v>1</v>
      </c>
      <c r="AJ8" s="457"/>
      <c r="AK8" s="457"/>
      <c r="AL8" s="457">
        <v>1</v>
      </c>
      <c r="AM8" s="457"/>
      <c r="AN8" s="457"/>
      <c r="AO8" s="457">
        <v>1</v>
      </c>
      <c r="AP8" s="457"/>
      <c r="AQ8" s="457"/>
      <c r="AR8" s="457">
        <v>1</v>
      </c>
      <c r="AS8" s="457"/>
      <c r="AT8" s="457"/>
      <c r="AU8" s="457">
        <v>1</v>
      </c>
      <c r="AV8" s="457"/>
      <c r="AW8" s="457"/>
      <c r="AX8" s="457">
        <v>1</v>
      </c>
      <c r="AY8" s="457"/>
      <c r="AZ8" s="457"/>
      <c r="BA8" s="457">
        <v>1</v>
      </c>
      <c r="BB8" s="457">
        <f t="shared" si="0"/>
        <v>0</v>
      </c>
    </row>
    <row r="9" spans="1:54" ht="15.6" x14ac:dyDescent="0.3">
      <c r="A9" s="278" t="s">
        <v>37</v>
      </c>
      <c r="B9" s="10" t="s">
        <v>228</v>
      </c>
      <c r="C9" s="11" t="s">
        <v>222</v>
      </c>
      <c r="D9" s="458">
        <f>48/3</f>
        <v>16</v>
      </c>
      <c r="E9" s="458"/>
      <c r="F9" s="458"/>
      <c r="G9" s="496">
        <v>1</v>
      </c>
      <c r="H9" s="457"/>
      <c r="I9" s="457"/>
      <c r="J9" s="457"/>
      <c r="K9" s="495">
        <v>1</v>
      </c>
      <c r="L9" s="457"/>
      <c r="M9" s="457"/>
      <c r="N9" s="495">
        <v>1</v>
      </c>
      <c r="O9" s="457"/>
      <c r="P9" s="457"/>
      <c r="Q9" s="495">
        <v>1</v>
      </c>
      <c r="R9" s="457"/>
      <c r="S9" s="457"/>
      <c r="T9" s="495">
        <v>1</v>
      </c>
      <c r="U9" s="457"/>
      <c r="V9" s="457"/>
      <c r="W9" s="496">
        <v>1</v>
      </c>
      <c r="X9" s="457"/>
      <c r="Y9" s="457"/>
      <c r="Z9" s="496">
        <v>1</v>
      </c>
      <c r="AA9" s="457"/>
      <c r="AB9" s="457"/>
      <c r="AC9" s="496">
        <v>1</v>
      </c>
      <c r="AD9" s="457"/>
      <c r="AE9" s="457"/>
      <c r="AF9" s="457">
        <v>1</v>
      </c>
      <c r="AG9" s="457"/>
      <c r="AH9" s="457"/>
      <c r="AI9" s="457">
        <v>1</v>
      </c>
      <c r="AJ9" s="457"/>
      <c r="AK9" s="457"/>
      <c r="AL9" s="457">
        <v>1</v>
      </c>
      <c r="AM9" s="457"/>
      <c r="AN9" s="457"/>
      <c r="AO9" s="457">
        <v>1</v>
      </c>
      <c r="AP9" s="457"/>
      <c r="AQ9" s="457"/>
      <c r="AR9" s="457">
        <v>1</v>
      </c>
      <c r="AS9" s="457"/>
      <c r="AT9" s="457"/>
      <c r="AU9" s="457">
        <v>1</v>
      </c>
      <c r="AV9" s="457"/>
      <c r="AW9" s="457"/>
      <c r="AX9" s="457">
        <v>1</v>
      </c>
      <c r="AY9" s="457"/>
      <c r="AZ9" s="457"/>
      <c r="BA9" s="457">
        <v>1</v>
      </c>
      <c r="BB9" s="457">
        <f t="shared" si="0"/>
        <v>0</v>
      </c>
    </row>
    <row r="10" spans="1:54" ht="15.6" x14ac:dyDescent="0.3">
      <c r="A10" s="278" t="s">
        <v>39</v>
      </c>
      <c r="B10" s="10" t="s">
        <v>229</v>
      </c>
      <c r="C10" s="11" t="s">
        <v>222</v>
      </c>
      <c r="D10" s="458">
        <f>48/3</f>
        <v>16</v>
      </c>
      <c r="E10" s="458"/>
      <c r="F10" s="458"/>
      <c r="G10" s="496">
        <v>1</v>
      </c>
      <c r="H10" s="457"/>
      <c r="I10" s="457"/>
      <c r="J10" s="457"/>
      <c r="K10" s="495">
        <v>1</v>
      </c>
      <c r="L10" s="457"/>
      <c r="M10" s="457"/>
      <c r="N10" s="495">
        <v>1</v>
      </c>
      <c r="O10" s="457"/>
      <c r="P10" s="457"/>
      <c r="Q10" s="495">
        <v>1</v>
      </c>
      <c r="R10" s="457"/>
      <c r="S10" s="457"/>
      <c r="T10" s="495">
        <v>1</v>
      </c>
      <c r="U10" s="457"/>
      <c r="V10" s="457"/>
      <c r="W10" s="496">
        <v>1</v>
      </c>
      <c r="X10" s="457"/>
      <c r="Y10" s="457"/>
      <c r="Z10" s="496">
        <v>1</v>
      </c>
      <c r="AA10" s="457"/>
      <c r="AB10" s="457"/>
      <c r="AC10" s="496">
        <v>1</v>
      </c>
      <c r="AD10" s="457"/>
      <c r="AE10" s="457"/>
      <c r="AF10" s="457">
        <v>1</v>
      </c>
      <c r="AG10" s="457"/>
      <c r="AH10" s="457"/>
      <c r="AI10" s="457">
        <v>1</v>
      </c>
      <c r="AJ10" s="457"/>
      <c r="AK10" s="457"/>
      <c r="AL10" s="457">
        <v>1</v>
      </c>
      <c r="AM10" s="457"/>
      <c r="AN10" s="457"/>
      <c r="AO10" s="457">
        <v>1</v>
      </c>
      <c r="AP10" s="457"/>
      <c r="AQ10" s="457"/>
      <c r="AR10" s="457">
        <v>1</v>
      </c>
      <c r="AS10" s="457"/>
      <c r="AT10" s="457"/>
      <c r="AU10" s="457">
        <v>1</v>
      </c>
      <c r="AV10" s="457"/>
      <c r="AW10" s="457"/>
      <c r="AX10" s="457">
        <v>1</v>
      </c>
      <c r="AY10" s="457"/>
      <c r="AZ10" s="457"/>
      <c r="BA10" s="457">
        <v>1</v>
      </c>
      <c r="BB10" s="457">
        <f t="shared" si="0"/>
        <v>0</v>
      </c>
    </row>
    <row r="11" spans="1:54" ht="15.6" x14ac:dyDescent="0.3">
      <c r="A11" s="459" t="s">
        <v>41</v>
      </c>
      <c r="B11" s="52" t="s">
        <v>215</v>
      </c>
      <c r="C11" s="50" t="s">
        <v>222</v>
      </c>
      <c r="D11" s="460">
        <f>48/3</f>
        <v>16</v>
      </c>
      <c r="E11" s="460"/>
      <c r="F11" s="460"/>
      <c r="G11" s="497">
        <v>1</v>
      </c>
      <c r="H11" s="461"/>
      <c r="I11" s="461"/>
      <c r="J11" s="461"/>
      <c r="K11" s="495">
        <v>1</v>
      </c>
      <c r="L11" s="461"/>
      <c r="M11" s="461"/>
      <c r="N11" s="495">
        <v>1</v>
      </c>
      <c r="O11" s="461"/>
      <c r="P11" s="461"/>
      <c r="Q11" s="495">
        <v>1</v>
      </c>
      <c r="R11" s="461"/>
      <c r="S11" s="461"/>
      <c r="T11" s="495">
        <v>1</v>
      </c>
      <c r="U11" s="461"/>
      <c r="V11" s="461"/>
      <c r="W11" s="497">
        <v>1</v>
      </c>
      <c r="X11" s="461"/>
      <c r="Y11" s="461"/>
      <c r="Z11" s="497">
        <v>1</v>
      </c>
      <c r="AA11" s="461"/>
      <c r="AB11" s="461"/>
      <c r="AC11" s="497">
        <v>1</v>
      </c>
      <c r="AD11" s="461"/>
      <c r="AE11" s="461"/>
      <c r="AF11" s="461">
        <v>1</v>
      </c>
      <c r="AG11" s="461"/>
      <c r="AH11" s="461"/>
      <c r="AI11" s="461">
        <v>1</v>
      </c>
      <c r="AJ11" s="461"/>
      <c r="AK11" s="461"/>
      <c r="AL11" s="461">
        <v>1</v>
      </c>
      <c r="AM11" s="461"/>
      <c r="AN11" s="461"/>
      <c r="AO11" s="461">
        <v>1</v>
      </c>
      <c r="AP11" s="461"/>
      <c r="AQ11" s="461"/>
      <c r="AR11" s="461">
        <v>1</v>
      </c>
      <c r="AS11" s="461"/>
      <c r="AT11" s="461"/>
      <c r="AU11" s="461">
        <v>1</v>
      </c>
      <c r="AV11" s="461"/>
      <c r="AW11" s="461"/>
      <c r="AX11" s="461">
        <v>1</v>
      </c>
      <c r="AY11" s="461"/>
      <c r="AZ11" s="461"/>
      <c r="BA11" s="461">
        <v>1</v>
      </c>
      <c r="BB11" s="461">
        <f t="shared" si="0"/>
        <v>0</v>
      </c>
    </row>
    <row r="12" spans="1:54" ht="15.6" x14ac:dyDescent="0.3">
      <c r="A12" s="449">
        <v>104</v>
      </c>
      <c r="B12" s="450" t="s">
        <v>230</v>
      </c>
      <c r="C12" s="451"/>
      <c r="D12" s="462"/>
      <c r="E12" s="453"/>
      <c r="F12" s="453"/>
      <c r="G12" s="453"/>
      <c r="H12" s="453"/>
      <c r="I12" s="453"/>
      <c r="J12" s="453"/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3"/>
      <c r="V12" s="453"/>
      <c r="W12" s="453"/>
      <c r="X12" s="453"/>
      <c r="Y12" s="453"/>
      <c r="Z12" s="453"/>
      <c r="AA12" s="453"/>
      <c r="AB12" s="453"/>
      <c r="AC12" s="453"/>
      <c r="AD12" s="453"/>
      <c r="AE12" s="453"/>
      <c r="AF12" s="453"/>
      <c r="AG12" s="453"/>
      <c r="AH12" s="453"/>
      <c r="AI12" s="453"/>
      <c r="AJ12" s="453"/>
      <c r="AK12" s="453"/>
      <c r="AL12" s="453"/>
      <c r="AM12" s="453"/>
      <c r="AN12" s="453"/>
      <c r="AO12" s="453"/>
      <c r="AP12" s="453"/>
      <c r="AQ12" s="453"/>
      <c r="AR12" s="453"/>
      <c r="AS12" s="453"/>
      <c r="AT12" s="453"/>
      <c r="AU12" s="453"/>
      <c r="AV12" s="453"/>
      <c r="AW12" s="453"/>
      <c r="AX12" s="453"/>
      <c r="AY12" s="453"/>
      <c r="AZ12" s="453"/>
      <c r="BA12" s="453"/>
      <c r="BB12" s="454"/>
    </row>
    <row r="13" spans="1:54" ht="15.6" x14ac:dyDescent="0.3">
      <c r="A13" s="455" t="s">
        <v>32</v>
      </c>
      <c r="B13" s="463" t="s">
        <v>1024</v>
      </c>
      <c r="C13" s="45" t="s">
        <v>232</v>
      </c>
      <c r="D13" s="464">
        <f>48/6</f>
        <v>8</v>
      </c>
      <c r="E13" s="458"/>
      <c r="F13" s="458"/>
      <c r="G13" s="458"/>
      <c r="H13" s="458"/>
      <c r="I13" s="458"/>
      <c r="J13" s="458"/>
      <c r="K13" s="495">
        <v>1</v>
      </c>
      <c r="L13" s="458"/>
      <c r="M13" s="458"/>
      <c r="N13" s="458"/>
      <c r="O13" s="458"/>
      <c r="P13" s="458"/>
      <c r="Q13" s="495">
        <v>1</v>
      </c>
      <c r="R13" s="458"/>
      <c r="S13" s="458"/>
      <c r="T13" s="458"/>
      <c r="U13" s="458"/>
      <c r="V13" s="458"/>
      <c r="W13" s="495">
        <v>1</v>
      </c>
      <c r="X13" s="458"/>
      <c r="Y13" s="458"/>
      <c r="Z13" s="458"/>
      <c r="AA13" s="458"/>
      <c r="AB13" s="458"/>
      <c r="AC13" s="495">
        <v>1</v>
      </c>
      <c r="AD13" s="458"/>
      <c r="AE13" s="458"/>
      <c r="AF13" s="458"/>
      <c r="AG13" s="458"/>
      <c r="AH13" s="458"/>
      <c r="AI13" s="458">
        <v>1</v>
      </c>
      <c r="AJ13" s="458"/>
      <c r="AK13" s="458"/>
      <c r="AL13" s="458"/>
      <c r="AM13" s="458"/>
      <c r="AN13" s="458"/>
      <c r="AO13" s="458">
        <v>1</v>
      </c>
      <c r="AP13" s="458"/>
      <c r="AQ13" s="458"/>
      <c r="AR13" s="458"/>
      <c r="AS13" s="458"/>
      <c r="AT13" s="458"/>
      <c r="AU13" s="458">
        <v>1</v>
      </c>
      <c r="AV13" s="458"/>
      <c r="AW13" s="458"/>
      <c r="AX13" s="458"/>
      <c r="AY13" s="458"/>
      <c r="AZ13" s="458"/>
      <c r="BA13" s="458">
        <v>1</v>
      </c>
      <c r="BB13" s="457">
        <f t="shared" si="0"/>
        <v>0</v>
      </c>
    </row>
    <row r="14" spans="1:54" ht="15.6" x14ac:dyDescent="0.3">
      <c r="A14" s="278" t="s">
        <v>34</v>
      </c>
      <c r="B14" s="465" t="s">
        <v>10571</v>
      </c>
      <c r="C14" s="11"/>
      <c r="D14" s="466"/>
      <c r="E14" s="458"/>
      <c r="F14" s="458"/>
      <c r="G14" s="458"/>
      <c r="H14" s="458"/>
      <c r="I14" s="458"/>
      <c r="J14" s="458"/>
      <c r="K14" s="458"/>
      <c r="L14" s="458"/>
      <c r="M14" s="458"/>
      <c r="N14" s="458"/>
      <c r="O14" s="458"/>
      <c r="P14" s="458"/>
      <c r="Q14" s="458"/>
      <c r="R14" s="458"/>
      <c r="S14" s="458"/>
      <c r="T14" s="458"/>
      <c r="U14" s="458"/>
      <c r="V14" s="458"/>
      <c r="W14" s="458"/>
      <c r="X14" s="458"/>
      <c r="Y14" s="458"/>
      <c r="Z14" s="458"/>
      <c r="AA14" s="458"/>
      <c r="AB14" s="458"/>
      <c r="AC14" s="458"/>
      <c r="AD14" s="458"/>
      <c r="AE14" s="458"/>
      <c r="AF14" s="458"/>
      <c r="AG14" s="458"/>
      <c r="AH14" s="458"/>
      <c r="AI14" s="458"/>
      <c r="AJ14" s="458"/>
      <c r="AK14" s="458"/>
      <c r="AL14" s="458"/>
      <c r="AM14" s="458"/>
      <c r="AN14" s="458"/>
      <c r="AO14" s="458"/>
      <c r="AP14" s="458"/>
      <c r="AQ14" s="458"/>
      <c r="AR14" s="458"/>
      <c r="AS14" s="458"/>
      <c r="AT14" s="458"/>
      <c r="AU14" s="458"/>
      <c r="AV14" s="458"/>
      <c r="AW14" s="458"/>
      <c r="AX14" s="458"/>
      <c r="AY14" s="458"/>
      <c r="AZ14" s="458"/>
      <c r="BA14" s="458"/>
      <c r="BB14" s="457"/>
    </row>
    <row r="15" spans="1:54" ht="15.6" x14ac:dyDescent="0.3">
      <c r="A15" s="19" t="s">
        <v>90</v>
      </c>
      <c r="B15" s="52" t="s">
        <v>234</v>
      </c>
      <c r="C15" s="50" t="s">
        <v>235</v>
      </c>
      <c r="D15" s="466">
        <v>24</v>
      </c>
      <c r="E15" s="458"/>
      <c r="F15" s="495">
        <v>1</v>
      </c>
      <c r="G15" s="458"/>
      <c r="H15" s="458"/>
      <c r="I15" s="495">
        <v>1</v>
      </c>
      <c r="J15" s="458"/>
      <c r="K15" s="495">
        <v>1</v>
      </c>
      <c r="L15" s="458"/>
      <c r="M15" s="495">
        <v>1</v>
      </c>
      <c r="N15" s="458"/>
      <c r="O15" s="495">
        <v>1</v>
      </c>
      <c r="P15" s="458"/>
      <c r="Q15" s="495">
        <v>1</v>
      </c>
      <c r="R15" s="458"/>
      <c r="S15" s="495">
        <v>1</v>
      </c>
      <c r="T15" s="458"/>
      <c r="U15" s="495">
        <v>1</v>
      </c>
      <c r="V15" s="458"/>
      <c r="W15" s="495">
        <v>1</v>
      </c>
      <c r="X15" s="458"/>
      <c r="Y15" s="495">
        <v>1</v>
      </c>
      <c r="Z15" s="458"/>
      <c r="AA15" s="495">
        <v>1</v>
      </c>
      <c r="AB15" s="458"/>
      <c r="AC15" s="495">
        <v>1</v>
      </c>
      <c r="AD15" s="458"/>
      <c r="AE15" s="458">
        <v>1</v>
      </c>
      <c r="AF15" s="458"/>
      <c r="AG15" s="458">
        <v>1</v>
      </c>
      <c r="AH15" s="458"/>
      <c r="AI15" s="458">
        <v>1</v>
      </c>
      <c r="AJ15" s="458"/>
      <c r="AK15" s="458">
        <v>1</v>
      </c>
      <c r="AL15" s="458"/>
      <c r="AM15" s="458">
        <v>1</v>
      </c>
      <c r="AN15" s="458"/>
      <c r="AO15" s="458">
        <v>1</v>
      </c>
      <c r="AP15" s="458"/>
      <c r="AQ15" s="458">
        <v>1</v>
      </c>
      <c r="AR15" s="458"/>
      <c r="AS15" s="458">
        <v>1</v>
      </c>
      <c r="AT15" s="458"/>
      <c r="AU15" s="458">
        <v>1</v>
      </c>
      <c r="AV15" s="458"/>
      <c r="AW15" s="458">
        <v>1</v>
      </c>
      <c r="AX15" s="458"/>
      <c r="AY15" s="458">
        <v>1</v>
      </c>
      <c r="AZ15" s="458"/>
      <c r="BA15" s="458">
        <v>1</v>
      </c>
      <c r="BB15" s="457">
        <f t="shared" si="0"/>
        <v>0</v>
      </c>
    </row>
    <row r="16" spans="1:54" ht="15.6" x14ac:dyDescent="0.3">
      <c r="A16" s="19" t="s">
        <v>197</v>
      </c>
      <c r="B16" s="52" t="s">
        <v>236</v>
      </c>
      <c r="C16" s="50" t="s">
        <v>235</v>
      </c>
      <c r="D16" s="466">
        <v>24</v>
      </c>
      <c r="E16" s="458"/>
      <c r="F16" s="495">
        <v>1</v>
      </c>
      <c r="G16" s="458"/>
      <c r="H16" s="458"/>
      <c r="I16" s="495">
        <v>1</v>
      </c>
      <c r="J16" s="458"/>
      <c r="K16" s="495">
        <v>1</v>
      </c>
      <c r="L16" s="458"/>
      <c r="M16" s="495">
        <v>1</v>
      </c>
      <c r="N16" s="458"/>
      <c r="O16" s="495">
        <v>1</v>
      </c>
      <c r="P16" s="458"/>
      <c r="Q16" s="495">
        <v>1</v>
      </c>
      <c r="R16" s="458"/>
      <c r="S16" s="495">
        <v>1</v>
      </c>
      <c r="T16" s="458"/>
      <c r="U16" s="495">
        <v>1</v>
      </c>
      <c r="V16" s="458"/>
      <c r="W16" s="495">
        <v>1</v>
      </c>
      <c r="X16" s="458"/>
      <c r="Y16" s="495">
        <v>1</v>
      </c>
      <c r="Z16" s="458"/>
      <c r="AA16" s="495">
        <v>1</v>
      </c>
      <c r="AB16" s="458"/>
      <c r="AC16" s="495">
        <v>1</v>
      </c>
      <c r="AD16" s="458"/>
      <c r="AE16" s="458">
        <v>1</v>
      </c>
      <c r="AF16" s="458"/>
      <c r="AG16" s="458">
        <v>1</v>
      </c>
      <c r="AH16" s="458"/>
      <c r="AI16" s="458">
        <v>1</v>
      </c>
      <c r="AJ16" s="458"/>
      <c r="AK16" s="458">
        <v>1</v>
      </c>
      <c r="AL16" s="458"/>
      <c r="AM16" s="458">
        <v>1</v>
      </c>
      <c r="AN16" s="458"/>
      <c r="AO16" s="458">
        <v>1</v>
      </c>
      <c r="AP16" s="458"/>
      <c r="AQ16" s="458">
        <v>1</v>
      </c>
      <c r="AR16" s="458"/>
      <c r="AS16" s="458">
        <v>1</v>
      </c>
      <c r="AT16" s="458"/>
      <c r="AU16" s="458">
        <v>1</v>
      </c>
      <c r="AV16" s="458"/>
      <c r="AW16" s="458">
        <v>1</v>
      </c>
      <c r="AX16" s="458"/>
      <c r="AY16" s="458">
        <v>1</v>
      </c>
      <c r="AZ16" s="458"/>
      <c r="BA16" s="458">
        <v>1</v>
      </c>
      <c r="BB16" s="457">
        <f t="shared" si="0"/>
        <v>0</v>
      </c>
    </row>
    <row r="17" spans="1:54" ht="15.6" x14ac:dyDescent="0.3">
      <c r="A17" s="19" t="s">
        <v>208</v>
      </c>
      <c r="B17" s="52" t="s">
        <v>237</v>
      </c>
      <c r="C17" s="50" t="s">
        <v>235</v>
      </c>
      <c r="D17" s="466">
        <v>24</v>
      </c>
      <c r="E17" s="458"/>
      <c r="F17" s="495">
        <v>1</v>
      </c>
      <c r="G17" s="458"/>
      <c r="H17" s="458"/>
      <c r="I17" s="495">
        <v>1</v>
      </c>
      <c r="J17" s="458"/>
      <c r="K17" s="495">
        <v>1</v>
      </c>
      <c r="L17" s="458"/>
      <c r="M17" s="495">
        <v>1</v>
      </c>
      <c r="N17" s="458"/>
      <c r="O17" s="495">
        <v>1</v>
      </c>
      <c r="P17" s="458"/>
      <c r="Q17" s="495">
        <v>1</v>
      </c>
      <c r="R17" s="458"/>
      <c r="S17" s="495">
        <v>1</v>
      </c>
      <c r="T17" s="458"/>
      <c r="U17" s="495">
        <v>1</v>
      </c>
      <c r="V17" s="458"/>
      <c r="W17" s="495">
        <v>1</v>
      </c>
      <c r="X17" s="458"/>
      <c r="Y17" s="495">
        <v>1</v>
      </c>
      <c r="Z17" s="458"/>
      <c r="AA17" s="495">
        <v>1</v>
      </c>
      <c r="AB17" s="458"/>
      <c r="AC17" s="495">
        <v>1</v>
      </c>
      <c r="AD17" s="458"/>
      <c r="AE17" s="458">
        <v>1</v>
      </c>
      <c r="AF17" s="458"/>
      <c r="AG17" s="458">
        <v>1</v>
      </c>
      <c r="AH17" s="458"/>
      <c r="AI17" s="458">
        <v>1</v>
      </c>
      <c r="AJ17" s="458"/>
      <c r="AK17" s="458">
        <v>1</v>
      </c>
      <c r="AL17" s="458"/>
      <c r="AM17" s="458">
        <v>1</v>
      </c>
      <c r="AN17" s="458"/>
      <c r="AO17" s="458">
        <v>1</v>
      </c>
      <c r="AP17" s="458"/>
      <c r="AQ17" s="458">
        <v>1</v>
      </c>
      <c r="AR17" s="458"/>
      <c r="AS17" s="458">
        <v>1</v>
      </c>
      <c r="AT17" s="458"/>
      <c r="AU17" s="458">
        <v>1</v>
      </c>
      <c r="AV17" s="458"/>
      <c r="AW17" s="458">
        <v>1</v>
      </c>
      <c r="AX17" s="458"/>
      <c r="AY17" s="458">
        <v>1</v>
      </c>
      <c r="AZ17" s="458"/>
      <c r="BA17" s="458">
        <v>1</v>
      </c>
      <c r="BB17" s="457">
        <f t="shared" si="0"/>
        <v>0</v>
      </c>
    </row>
    <row r="18" spans="1:54" ht="15.6" x14ac:dyDescent="0.3">
      <c r="A18" s="19" t="s">
        <v>238</v>
      </c>
      <c r="B18" s="52" t="s">
        <v>239</v>
      </c>
      <c r="C18" s="50" t="s">
        <v>232</v>
      </c>
      <c r="D18" s="466">
        <v>8</v>
      </c>
      <c r="E18" s="458"/>
      <c r="F18" s="458"/>
      <c r="G18" s="458"/>
      <c r="H18" s="458"/>
      <c r="I18" s="458"/>
      <c r="J18" s="458"/>
      <c r="K18" s="495">
        <v>1</v>
      </c>
      <c r="L18" s="458"/>
      <c r="M18" s="458"/>
      <c r="N18" s="458"/>
      <c r="O18" s="458"/>
      <c r="P18" s="458"/>
      <c r="Q18" s="495">
        <v>1</v>
      </c>
      <c r="R18" s="458"/>
      <c r="S18" s="458"/>
      <c r="T18" s="458"/>
      <c r="U18" s="458"/>
      <c r="V18" s="458"/>
      <c r="W18" s="495">
        <v>1</v>
      </c>
      <c r="X18" s="458"/>
      <c r="Y18" s="458"/>
      <c r="Z18" s="458"/>
      <c r="AA18" s="458"/>
      <c r="AB18" s="458"/>
      <c r="AC18" s="495">
        <v>1</v>
      </c>
      <c r="AD18" s="458"/>
      <c r="AE18" s="458"/>
      <c r="AF18" s="458"/>
      <c r="AG18" s="458"/>
      <c r="AH18" s="458"/>
      <c r="AI18" s="458">
        <v>1</v>
      </c>
      <c r="AJ18" s="458"/>
      <c r="AK18" s="458"/>
      <c r="AL18" s="458"/>
      <c r="AM18" s="458"/>
      <c r="AN18" s="458"/>
      <c r="AO18" s="458">
        <v>1</v>
      </c>
      <c r="AP18" s="458"/>
      <c r="AQ18" s="458"/>
      <c r="AR18" s="458"/>
      <c r="AS18" s="458"/>
      <c r="AT18" s="458"/>
      <c r="AU18" s="458">
        <v>1</v>
      </c>
      <c r="AV18" s="458"/>
      <c r="AW18" s="458"/>
      <c r="AX18" s="458"/>
      <c r="AY18" s="458"/>
      <c r="AZ18" s="458"/>
      <c r="BA18" s="458">
        <v>1</v>
      </c>
      <c r="BB18" s="457">
        <f t="shared" si="0"/>
        <v>0</v>
      </c>
    </row>
    <row r="19" spans="1:54" ht="15.6" x14ac:dyDescent="0.3">
      <c r="A19" s="19" t="s">
        <v>240</v>
      </c>
      <c r="B19" s="52" t="s">
        <v>10572</v>
      </c>
      <c r="C19" s="50" t="s">
        <v>232</v>
      </c>
      <c r="D19" s="466">
        <v>8</v>
      </c>
      <c r="E19" s="458"/>
      <c r="F19" s="458"/>
      <c r="G19" s="458"/>
      <c r="H19" s="458"/>
      <c r="I19" s="458"/>
      <c r="J19" s="458"/>
      <c r="K19" s="495">
        <v>1</v>
      </c>
      <c r="L19" s="458"/>
      <c r="M19" s="458"/>
      <c r="N19" s="458"/>
      <c r="O19" s="458"/>
      <c r="P19" s="458"/>
      <c r="Q19" s="495">
        <v>1</v>
      </c>
      <c r="R19" s="458"/>
      <c r="S19" s="458"/>
      <c r="T19" s="458"/>
      <c r="U19" s="458"/>
      <c r="V19" s="458"/>
      <c r="W19" s="495">
        <v>1</v>
      </c>
      <c r="X19" s="458"/>
      <c r="Y19" s="458"/>
      <c r="Z19" s="458"/>
      <c r="AA19" s="458"/>
      <c r="AB19" s="458"/>
      <c r="AC19" s="495">
        <v>1</v>
      </c>
      <c r="AD19" s="458"/>
      <c r="AE19" s="458"/>
      <c r="AF19" s="458"/>
      <c r="AG19" s="458"/>
      <c r="AH19" s="458"/>
      <c r="AI19" s="458">
        <v>1</v>
      </c>
      <c r="AJ19" s="458"/>
      <c r="AK19" s="458"/>
      <c r="AL19" s="458"/>
      <c r="AM19" s="458"/>
      <c r="AN19" s="458"/>
      <c r="AO19" s="458">
        <v>1</v>
      </c>
      <c r="AP19" s="458"/>
      <c r="AQ19" s="458"/>
      <c r="AR19" s="458"/>
      <c r="AS19" s="458"/>
      <c r="AT19" s="458"/>
      <c r="AU19" s="458">
        <v>1</v>
      </c>
      <c r="AV19" s="458"/>
      <c r="AW19" s="458"/>
      <c r="AX19" s="458"/>
      <c r="AY19" s="458"/>
      <c r="AZ19" s="458"/>
      <c r="BA19" s="458">
        <v>1</v>
      </c>
      <c r="BB19" s="457">
        <f t="shared" si="0"/>
        <v>0</v>
      </c>
    </row>
    <row r="20" spans="1:54" ht="15.6" x14ac:dyDescent="0.3">
      <c r="A20" s="278" t="s">
        <v>37</v>
      </c>
      <c r="B20" s="465" t="s">
        <v>1078</v>
      </c>
      <c r="C20" s="50" t="s">
        <v>232</v>
      </c>
      <c r="D20" s="466">
        <v>8</v>
      </c>
      <c r="E20" s="458"/>
      <c r="F20" s="458"/>
      <c r="G20" s="458"/>
      <c r="H20" s="458"/>
      <c r="I20" s="458"/>
      <c r="J20" s="458"/>
      <c r="K20" s="495">
        <v>1</v>
      </c>
      <c r="L20" s="458"/>
      <c r="M20" s="458"/>
      <c r="N20" s="458"/>
      <c r="O20" s="458"/>
      <c r="P20" s="458"/>
      <c r="Q20" s="495">
        <v>1</v>
      </c>
      <c r="R20" s="458"/>
      <c r="S20" s="458"/>
      <c r="T20" s="458"/>
      <c r="U20" s="458"/>
      <c r="V20" s="458"/>
      <c r="W20" s="495">
        <v>1</v>
      </c>
      <c r="X20" s="458"/>
      <c r="Y20" s="458"/>
      <c r="Z20" s="458"/>
      <c r="AA20" s="458"/>
      <c r="AB20" s="458"/>
      <c r="AC20" s="495">
        <v>1</v>
      </c>
      <c r="AD20" s="458"/>
      <c r="AE20" s="458"/>
      <c r="AF20" s="458"/>
      <c r="AG20" s="458"/>
      <c r="AH20" s="458"/>
      <c r="AI20" s="458">
        <v>1</v>
      </c>
      <c r="AJ20" s="458"/>
      <c r="AK20" s="458"/>
      <c r="AL20" s="458"/>
      <c r="AM20" s="458"/>
      <c r="AN20" s="458"/>
      <c r="AO20" s="458">
        <v>1</v>
      </c>
      <c r="AP20" s="458"/>
      <c r="AQ20" s="458"/>
      <c r="AR20" s="458"/>
      <c r="AS20" s="458"/>
      <c r="AT20" s="458"/>
      <c r="AU20" s="458">
        <v>1</v>
      </c>
      <c r="AV20" s="458"/>
      <c r="AW20" s="458"/>
      <c r="AX20" s="458"/>
      <c r="AY20" s="458"/>
      <c r="AZ20" s="458"/>
      <c r="BA20" s="458">
        <v>1</v>
      </c>
      <c r="BB20" s="457">
        <f t="shared" si="0"/>
        <v>0</v>
      </c>
    </row>
    <row r="21" spans="1:54" ht="15.6" x14ac:dyDescent="0.3">
      <c r="A21" s="278" t="s">
        <v>39</v>
      </c>
      <c r="B21" s="467" t="s">
        <v>1082</v>
      </c>
      <c r="C21" s="50" t="s">
        <v>232</v>
      </c>
      <c r="D21" s="466">
        <v>8</v>
      </c>
      <c r="E21" s="458"/>
      <c r="F21" s="458"/>
      <c r="G21" s="458"/>
      <c r="H21" s="458"/>
      <c r="I21" s="458"/>
      <c r="J21" s="458"/>
      <c r="K21" s="495">
        <v>1</v>
      </c>
      <c r="L21" s="458"/>
      <c r="M21" s="458"/>
      <c r="N21" s="458"/>
      <c r="O21" s="458"/>
      <c r="P21" s="458"/>
      <c r="Q21" s="495">
        <v>1</v>
      </c>
      <c r="R21" s="458"/>
      <c r="S21" s="458"/>
      <c r="T21" s="458"/>
      <c r="U21" s="458"/>
      <c r="V21" s="458"/>
      <c r="W21" s="495">
        <v>1</v>
      </c>
      <c r="X21" s="458"/>
      <c r="Y21" s="458"/>
      <c r="Z21" s="458"/>
      <c r="AA21" s="458"/>
      <c r="AB21" s="458"/>
      <c r="AC21" s="495">
        <v>1</v>
      </c>
      <c r="AD21" s="458"/>
      <c r="AE21" s="458"/>
      <c r="AF21" s="458"/>
      <c r="AG21" s="458"/>
      <c r="AH21" s="458"/>
      <c r="AI21" s="458">
        <v>1</v>
      </c>
      <c r="AJ21" s="458"/>
      <c r="AK21" s="458"/>
      <c r="AL21" s="458"/>
      <c r="AM21" s="458"/>
      <c r="AN21" s="458"/>
      <c r="AO21" s="458">
        <v>1</v>
      </c>
      <c r="AP21" s="458"/>
      <c r="AQ21" s="458"/>
      <c r="AR21" s="458"/>
      <c r="AS21" s="458"/>
      <c r="AT21" s="458"/>
      <c r="AU21" s="458">
        <v>1</v>
      </c>
      <c r="AV21" s="458"/>
      <c r="AW21" s="458"/>
      <c r="AX21" s="458"/>
      <c r="AY21" s="458"/>
      <c r="AZ21" s="458"/>
      <c r="BA21" s="458">
        <v>1</v>
      </c>
      <c r="BB21" s="457">
        <f t="shared" si="0"/>
        <v>0</v>
      </c>
    </row>
    <row r="22" spans="1:54" ht="15.6" x14ac:dyDescent="0.3">
      <c r="A22" s="278" t="s">
        <v>41</v>
      </c>
      <c r="B22" s="465" t="s">
        <v>244</v>
      </c>
      <c r="C22" s="50"/>
      <c r="D22" s="466"/>
      <c r="E22" s="458"/>
      <c r="F22" s="458"/>
      <c r="G22" s="458"/>
      <c r="H22" s="458"/>
      <c r="I22" s="458"/>
      <c r="J22" s="458"/>
      <c r="K22" s="458"/>
      <c r="L22" s="458"/>
      <c r="M22" s="458"/>
      <c r="N22" s="458"/>
      <c r="O22" s="458"/>
      <c r="P22" s="458"/>
      <c r="Q22" s="458"/>
      <c r="R22" s="458"/>
      <c r="S22" s="458"/>
      <c r="T22" s="458"/>
      <c r="U22" s="458"/>
      <c r="V22" s="458"/>
      <c r="W22" s="458"/>
      <c r="X22" s="458"/>
      <c r="Y22" s="458"/>
      <c r="Z22" s="458"/>
      <c r="AA22" s="458"/>
      <c r="AB22" s="458"/>
      <c r="AC22" s="458"/>
      <c r="AD22" s="458"/>
      <c r="AE22" s="458"/>
      <c r="AF22" s="458"/>
      <c r="AG22" s="458"/>
      <c r="AH22" s="458"/>
      <c r="AI22" s="458"/>
      <c r="AJ22" s="458"/>
      <c r="AK22" s="458"/>
      <c r="AL22" s="458"/>
      <c r="AM22" s="458"/>
      <c r="AN22" s="458"/>
      <c r="AO22" s="458"/>
      <c r="AP22" s="458"/>
      <c r="AQ22" s="458"/>
      <c r="AR22" s="458"/>
      <c r="AS22" s="458"/>
      <c r="AT22" s="458"/>
      <c r="AU22" s="458"/>
      <c r="AV22" s="458"/>
      <c r="AW22" s="458"/>
      <c r="AX22" s="458"/>
      <c r="AY22" s="458"/>
      <c r="AZ22" s="458"/>
      <c r="BA22" s="458"/>
      <c r="BB22" s="457"/>
    </row>
    <row r="23" spans="1:54" ht="15.6" x14ac:dyDescent="0.3">
      <c r="A23" s="19" t="s">
        <v>197</v>
      </c>
      <c r="B23" s="468" t="s">
        <v>10573</v>
      </c>
      <c r="C23" s="50" t="s">
        <v>222</v>
      </c>
      <c r="D23" s="466">
        <v>16</v>
      </c>
      <c r="E23" s="458"/>
      <c r="F23" s="458"/>
      <c r="G23" s="495">
        <v>1</v>
      </c>
      <c r="H23" s="458"/>
      <c r="I23" s="458"/>
      <c r="J23" s="458"/>
      <c r="K23" s="495">
        <v>1</v>
      </c>
      <c r="L23" s="458"/>
      <c r="M23" s="458"/>
      <c r="N23" s="495">
        <v>1</v>
      </c>
      <c r="O23" s="458"/>
      <c r="P23" s="458"/>
      <c r="Q23" s="495">
        <v>1</v>
      </c>
      <c r="R23" s="458"/>
      <c r="S23" s="458"/>
      <c r="T23" s="495">
        <v>1</v>
      </c>
      <c r="U23" s="458"/>
      <c r="V23" s="458"/>
      <c r="W23" s="495">
        <v>1</v>
      </c>
      <c r="X23" s="458"/>
      <c r="Y23" s="458"/>
      <c r="Z23" s="495">
        <v>1</v>
      </c>
      <c r="AA23" s="458"/>
      <c r="AB23" s="458"/>
      <c r="AC23" s="495">
        <v>1</v>
      </c>
      <c r="AD23" s="458"/>
      <c r="AE23" s="458"/>
      <c r="AF23" s="458">
        <v>1</v>
      </c>
      <c r="AG23" s="458"/>
      <c r="AH23" s="458"/>
      <c r="AI23" s="458">
        <v>1</v>
      </c>
      <c r="AJ23" s="458"/>
      <c r="AK23" s="458"/>
      <c r="AL23" s="458">
        <v>1</v>
      </c>
      <c r="AM23" s="458"/>
      <c r="AN23" s="458"/>
      <c r="AO23" s="458">
        <v>1</v>
      </c>
      <c r="AP23" s="458"/>
      <c r="AQ23" s="458"/>
      <c r="AR23" s="458">
        <v>1</v>
      </c>
      <c r="AS23" s="458"/>
      <c r="AT23" s="458"/>
      <c r="AU23" s="458">
        <v>1</v>
      </c>
      <c r="AV23" s="458"/>
      <c r="AW23" s="458"/>
      <c r="AX23" s="458">
        <v>1</v>
      </c>
      <c r="AY23" s="458"/>
      <c r="AZ23" s="458"/>
      <c r="BA23" s="458">
        <v>1</v>
      </c>
      <c r="BB23" s="457">
        <f t="shared" si="0"/>
        <v>0</v>
      </c>
    </row>
    <row r="24" spans="1:54" ht="15.6" x14ac:dyDescent="0.3">
      <c r="A24" s="278" t="s">
        <v>86</v>
      </c>
      <c r="B24" s="465" t="s">
        <v>10574</v>
      </c>
      <c r="C24" s="50"/>
      <c r="D24" s="466"/>
      <c r="E24" s="458"/>
      <c r="F24" s="458"/>
      <c r="G24" s="458"/>
      <c r="H24" s="458"/>
      <c r="I24" s="458"/>
      <c r="J24" s="458"/>
      <c r="K24" s="458"/>
      <c r="L24" s="458"/>
      <c r="M24" s="458"/>
      <c r="N24" s="458"/>
      <c r="O24" s="458"/>
      <c r="P24" s="458"/>
      <c r="Q24" s="458"/>
      <c r="R24" s="458"/>
      <c r="S24" s="458"/>
      <c r="T24" s="458"/>
      <c r="U24" s="458"/>
      <c r="V24" s="458"/>
      <c r="W24" s="458"/>
      <c r="X24" s="458"/>
      <c r="Y24" s="458"/>
      <c r="Z24" s="458"/>
      <c r="AA24" s="458"/>
      <c r="AB24" s="458"/>
      <c r="AC24" s="458"/>
      <c r="AD24" s="458"/>
      <c r="AE24" s="458"/>
      <c r="AF24" s="458"/>
      <c r="AG24" s="458"/>
      <c r="AH24" s="458"/>
      <c r="AI24" s="458"/>
      <c r="AJ24" s="458"/>
      <c r="AK24" s="458"/>
      <c r="AL24" s="458"/>
      <c r="AM24" s="458"/>
      <c r="AN24" s="458"/>
      <c r="AO24" s="458"/>
      <c r="AP24" s="458"/>
      <c r="AQ24" s="458"/>
      <c r="AR24" s="458"/>
      <c r="AS24" s="458"/>
      <c r="AT24" s="458"/>
      <c r="AU24" s="458"/>
      <c r="AV24" s="458"/>
      <c r="AW24" s="458"/>
      <c r="AX24" s="458"/>
      <c r="AY24" s="458"/>
      <c r="AZ24" s="458"/>
      <c r="BA24" s="458"/>
      <c r="BB24" s="457"/>
    </row>
    <row r="25" spans="1:54" ht="15.6" x14ac:dyDescent="0.3">
      <c r="A25" s="19" t="s">
        <v>90</v>
      </c>
      <c r="B25" s="468" t="s">
        <v>249</v>
      </c>
      <c r="C25" s="50" t="s">
        <v>222</v>
      </c>
      <c r="D25" s="457">
        <f t="shared" ref="D25:D30" si="1">48/3</f>
        <v>16</v>
      </c>
      <c r="E25" s="457"/>
      <c r="F25" s="457"/>
      <c r="G25" s="496">
        <v>1</v>
      </c>
      <c r="H25" s="457"/>
      <c r="I25" s="457"/>
      <c r="J25" s="457"/>
      <c r="K25" s="496">
        <v>1</v>
      </c>
      <c r="L25" s="457"/>
      <c r="M25" s="457"/>
      <c r="N25" s="496">
        <v>1</v>
      </c>
      <c r="O25" s="457"/>
      <c r="P25" s="457"/>
      <c r="Q25" s="496">
        <v>1</v>
      </c>
      <c r="R25" s="457"/>
      <c r="S25" s="457"/>
      <c r="T25" s="496">
        <v>1</v>
      </c>
      <c r="U25" s="457"/>
      <c r="V25" s="457"/>
      <c r="W25" s="496">
        <v>1</v>
      </c>
      <c r="X25" s="457"/>
      <c r="Y25" s="457"/>
      <c r="Z25" s="496">
        <v>1</v>
      </c>
      <c r="AA25" s="457"/>
      <c r="AB25" s="457"/>
      <c r="AC25" s="496">
        <v>1</v>
      </c>
      <c r="AD25" s="457"/>
      <c r="AE25" s="457"/>
      <c r="AF25" s="457">
        <v>1</v>
      </c>
      <c r="AG25" s="457"/>
      <c r="AH25" s="457"/>
      <c r="AI25" s="457">
        <v>1</v>
      </c>
      <c r="AJ25" s="457"/>
      <c r="AK25" s="457"/>
      <c r="AL25" s="457">
        <v>1</v>
      </c>
      <c r="AM25" s="457"/>
      <c r="AN25" s="457"/>
      <c r="AO25" s="457">
        <v>1</v>
      </c>
      <c r="AP25" s="457"/>
      <c r="AQ25" s="457"/>
      <c r="AR25" s="457">
        <v>1</v>
      </c>
      <c r="AS25" s="457"/>
      <c r="AT25" s="457"/>
      <c r="AU25" s="457">
        <v>1</v>
      </c>
      <c r="AV25" s="457"/>
      <c r="AW25" s="457"/>
      <c r="AX25" s="457">
        <v>1</v>
      </c>
      <c r="AY25" s="457"/>
      <c r="AZ25" s="457"/>
      <c r="BA25" s="457">
        <v>1</v>
      </c>
      <c r="BB25" s="457">
        <f t="shared" si="0"/>
        <v>0</v>
      </c>
    </row>
    <row r="26" spans="1:54" ht="15.6" x14ac:dyDescent="0.3">
      <c r="A26" s="19" t="s">
        <v>197</v>
      </c>
      <c r="B26" s="468" t="s">
        <v>250</v>
      </c>
      <c r="C26" s="50" t="s">
        <v>222</v>
      </c>
      <c r="D26" s="457">
        <f t="shared" si="1"/>
        <v>16</v>
      </c>
      <c r="E26" s="457"/>
      <c r="F26" s="457"/>
      <c r="G26" s="496">
        <v>1</v>
      </c>
      <c r="H26" s="457"/>
      <c r="I26" s="457"/>
      <c r="J26" s="457"/>
      <c r="K26" s="496">
        <v>1</v>
      </c>
      <c r="L26" s="457"/>
      <c r="M26" s="457"/>
      <c r="N26" s="496">
        <v>1</v>
      </c>
      <c r="O26" s="457"/>
      <c r="P26" s="457"/>
      <c r="Q26" s="496">
        <v>1</v>
      </c>
      <c r="R26" s="457"/>
      <c r="S26" s="457"/>
      <c r="T26" s="496">
        <v>1</v>
      </c>
      <c r="U26" s="457"/>
      <c r="V26" s="457"/>
      <c r="W26" s="496">
        <v>1</v>
      </c>
      <c r="X26" s="457"/>
      <c r="Y26" s="457"/>
      <c r="Z26" s="496">
        <v>1</v>
      </c>
      <c r="AA26" s="457"/>
      <c r="AB26" s="457"/>
      <c r="AC26" s="496">
        <v>1</v>
      </c>
      <c r="AD26" s="457"/>
      <c r="AE26" s="457"/>
      <c r="AF26" s="457">
        <v>1</v>
      </c>
      <c r="AG26" s="457"/>
      <c r="AH26" s="457"/>
      <c r="AI26" s="457">
        <v>1</v>
      </c>
      <c r="AJ26" s="457"/>
      <c r="AK26" s="457"/>
      <c r="AL26" s="457">
        <v>1</v>
      </c>
      <c r="AM26" s="457"/>
      <c r="AN26" s="457"/>
      <c r="AO26" s="457">
        <v>1</v>
      </c>
      <c r="AP26" s="457"/>
      <c r="AQ26" s="457"/>
      <c r="AR26" s="457">
        <v>1</v>
      </c>
      <c r="AS26" s="457"/>
      <c r="AT26" s="457"/>
      <c r="AU26" s="457">
        <v>1</v>
      </c>
      <c r="AV26" s="457"/>
      <c r="AW26" s="457"/>
      <c r="AX26" s="457">
        <v>1</v>
      </c>
      <c r="AY26" s="457"/>
      <c r="AZ26" s="457"/>
      <c r="BA26" s="457">
        <v>1</v>
      </c>
      <c r="BB26" s="457">
        <f t="shared" si="0"/>
        <v>0</v>
      </c>
    </row>
    <row r="27" spans="1:54" ht="15.6" x14ac:dyDescent="0.3">
      <c r="A27" s="19" t="s">
        <v>208</v>
      </c>
      <c r="B27" s="468" t="s">
        <v>251</v>
      </c>
      <c r="C27" s="50" t="s">
        <v>222</v>
      </c>
      <c r="D27" s="457">
        <f t="shared" si="1"/>
        <v>16</v>
      </c>
      <c r="E27" s="457"/>
      <c r="F27" s="457"/>
      <c r="G27" s="496">
        <v>1</v>
      </c>
      <c r="H27" s="457"/>
      <c r="I27" s="457"/>
      <c r="J27" s="457"/>
      <c r="K27" s="496">
        <v>1</v>
      </c>
      <c r="L27" s="457"/>
      <c r="M27" s="457"/>
      <c r="N27" s="496">
        <v>1</v>
      </c>
      <c r="O27" s="457"/>
      <c r="P27" s="457"/>
      <c r="Q27" s="496">
        <v>1</v>
      </c>
      <c r="R27" s="457"/>
      <c r="S27" s="457"/>
      <c r="T27" s="496">
        <v>1</v>
      </c>
      <c r="U27" s="457"/>
      <c r="V27" s="457"/>
      <c r="W27" s="496">
        <v>1</v>
      </c>
      <c r="X27" s="457"/>
      <c r="Y27" s="457"/>
      <c r="Z27" s="496">
        <v>1</v>
      </c>
      <c r="AA27" s="457"/>
      <c r="AB27" s="457"/>
      <c r="AC27" s="496">
        <v>1</v>
      </c>
      <c r="AD27" s="457"/>
      <c r="AE27" s="457"/>
      <c r="AF27" s="457">
        <v>1</v>
      </c>
      <c r="AG27" s="457"/>
      <c r="AH27" s="457"/>
      <c r="AI27" s="457">
        <v>1</v>
      </c>
      <c r="AJ27" s="457"/>
      <c r="AK27" s="457"/>
      <c r="AL27" s="457">
        <v>1</v>
      </c>
      <c r="AM27" s="457"/>
      <c r="AN27" s="457"/>
      <c r="AO27" s="457">
        <v>1</v>
      </c>
      <c r="AP27" s="457"/>
      <c r="AQ27" s="457"/>
      <c r="AR27" s="457">
        <v>1</v>
      </c>
      <c r="AS27" s="457"/>
      <c r="AT27" s="457"/>
      <c r="AU27" s="457">
        <v>1</v>
      </c>
      <c r="AV27" s="457"/>
      <c r="AW27" s="457"/>
      <c r="AX27" s="457">
        <v>1</v>
      </c>
      <c r="AY27" s="457"/>
      <c r="AZ27" s="457"/>
      <c r="BA27" s="457">
        <v>1</v>
      </c>
      <c r="BB27" s="457">
        <f t="shared" si="0"/>
        <v>0</v>
      </c>
    </row>
    <row r="28" spans="1:54" ht="15.6" x14ac:dyDescent="0.3">
      <c r="A28" s="19" t="s">
        <v>238</v>
      </c>
      <c r="B28" s="468" t="s">
        <v>252</v>
      </c>
      <c r="C28" s="50" t="s">
        <v>222</v>
      </c>
      <c r="D28" s="457">
        <f t="shared" si="1"/>
        <v>16</v>
      </c>
      <c r="E28" s="457"/>
      <c r="F28" s="457"/>
      <c r="G28" s="496">
        <v>1</v>
      </c>
      <c r="H28" s="457"/>
      <c r="I28" s="457"/>
      <c r="J28" s="457"/>
      <c r="K28" s="496">
        <v>1</v>
      </c>
      <c r="L28" s="457"/>
      <c r="M28" s="457"/>
      <c r="N28" s="496">
        <v>1</v>
      </c>
      <c r="O28" s="457"/>
      <c r="P28" s="457"/>
      <c r="Q28" s="496">
        <v>1</v>
      </c>
      <c r="R28" s="457"/>
      <c r="S28" s="457"/>
      <c r="T28" s="496">
        <v>1</v>
      </c>
      <c r="U28" s="457"/>
      <c r="V28" s="457"/>
      <c r="W28" s="496">
        <v>1</v>
      </c>
      <c r="X28" s="457"/>
      <c r="Y28" s="457"/>
      <c r="Z28" s="496">
        <v>1</v>
      </c>
      <c r="AA28" s="457"/>
      <c r="AB28" s="457"/>
      <c r="AC28" s="496">
        <v>1</v>
      </c>
      <c r="AD28" s="457"/>
      <c r="AE28" s="457"/>
      <c r="AF28" s="457">
        <v>1</v>
      </c>
      <c r="AG28" s="457"/>
      <c r="AH28" s="457"/>
      <c r="AI28" s="457">
        <v>1</v>
      </c>
      <c r="AJ28" s="457"/>
      <c r="AK28" s="457"/>
      <c r="AL28" s="457">
        <v>1</v>
      </c>
      <c r="AM28" s="457"/>
      <c r="AN28" s="457"/>
      <c r="AO28" s="457">
        <v>1</v>
      </c>
      <c r="AP28" s="457"/>
      <c r="AQ28" s="457"/>
      <c r="AR28" s="457">
        <v>1</v>
      </c>
      <c r="AS28" s="457"/>
      <c r="AT28" s="457"/>
      <c r="AU28" s="457">
        <v>1</v>
      </c>
      <c r="AV28" s="457"/>
      <c r="AW28" s="457"/>
      <c r="AX28" s="457">
        <v>1</v>
      </c>
      <c r="AY28" s="457"/>
      <c r="AZ28" s="457"/>
      <c r="BA28" s="457">
        <v>1</v>
      </c>
      <c r="BB28" s="457">
        <f t="shared" si="0"/>
        <v>0</v>
      </c>
    </row>
    <row r="29" spans="1:54" ht="15.6" x14ac:dyDescent="0.3">
      <c r="A29" s="19" t="s">
        <v>240</v>
      </c>
      <c r="B29" s="468" t="s">
        <v>253</v>
      </c>
      <c r="C29" s="50" t="s">
        <v>222</v>
      </c>
      <c r="D29" s="457">
        <f t="shared" si="1"/>
        <v>16</v>
      </c>
      <c r="E29" s="457"/>
      <c r="F29" s="457"/>
      <c r="G29" s="496">
        <v>1</v>
      </c>
      <c r="H29" s="457"/>
      <c r="I29" s="457"/>
      <c r="J29" s="457"/>
      <c r="K29" s="496">
        <v>1</v>
      </c>
      <c r="L29" s="457"/>
      <c r="M29" s="457"/>
      <c r="N29" s="496">
        <v>1</v>
      </c>
      <c r="O29" s="457"/>
      <c r="P29" s="457"/>
      <c r="Q29" s="496">
        <v>1</v>
      </c>
      <c r="R29" s="457"/>
      <c r="S29" s="457"/>
      <c r="T29" s="496">
        <v>1</v>
      </c>
      <c r="U29" s="457"/>
      <c r="V29" s="457"/>
      <c r="W29" s="496">
        <v>1</v>
      </c>
      <c r="X29" s="457"/>
      <c r="Y29" s="457"/>
      <c r="Z29" s="496">
        <v>1</v>
      </c>
      <c r="AA29" s="457"/>
      <c r="AB29" s="457"/>
      <c r="AC29" s="496">
        <v>1</v>
      </c>
      <c r="AD29" s="457"/>
      <c r="AE29" s="457"/>
      <c r="AF29" s="457">
        <v>1</v>
      </c>
      <c r="AG29" s="457"/>
      <c r="AH29" s="457"/>
      <c r="AI29" s="457">
        <v>1</v>
      </c>
      <c r="AJ29" s="457"/>
      <c r="AK29" s="457"/>
      <c r="AL29" s="457">
        <v>1</v>
      </c>
      <c r="AM29" s="457"/>
      <c r="AN29" s="457"/>
      <c r="AO29" s="457">
        <v>1</v>
      </c>
      <c r="AP29" s="457"/>
      <c r="AQ29" s="457"/>
      <c r="AR29" s="457">
        <v>1</v>
      </c>
      <c r="AS29" s="457"/>
      <c r="AT29" s="457"/>
      <c r="AU29" s="457">
        <v>1</v>
      </c>
      <c r="AV29" s="457"/>
      <c r="AW29" s="457"/>
      <c r="AX29" s="457">
        <v>1</v>
      </c>
      <c r="AY29" s="457"/>
      <c r="AZ29" s="457"/>
      <c r="BA29" s="457">
        <v>1</v>
      </c>
      <c r="BB29" s="457">
        <f t="shared" si="0"/>
        <v>0</v>
      </c>
    </row>
    <row r="30" spans="1:54" ht="15.6" x14ac:dyDescent="0.3">
      <c r="A30" s="19" t="s">
        <v>254</v>
      </c>
      <c r="B30" s="468" t="s">
        <v>255</v>
      </c>
      <c r="C30" s="50" t="s">
        <v>222</v>
      </c>
      <c r="D30" s="457">
        <f t="shared" si="1"/>
        <v>16</v>
      </c>
      <c r="E30" s="457"/>
      <c r="F30" s="457"/>
      <c r="G30" s="496">
        <v>1</v>
      </c>
      <c r="H30" s="457"/>
      <c r="I30" s="457"/>
      <c r="J30" s="457"/>
      <c r="K30" s="496">
        <v>1</v>
      </c>
      <c r="L30" s="457"/>
      <c r="M30" s="457"/>
      <c r="N30" s="496">
        <v>1</v>
      </c>
      <c r="O30" s="457"/>
      <c r="P30" s="457"/>
      <c r="Q30" s="496">
        <v>1</v>
      </c>
      <c r="R30" s="457"/>
      <c r="S30" s="457"/>
      <c r="T30" s="496">
        <v>1</v>
      </c>
      <c r="U30" s="457"/>
      <c r="V30" s="457"/>
      <c r="W30" s="496">
        <v>1</v>
      </c>
      <c r="X30" s="457"/>
      <c r="Y30" s="457"/>
      <c r="Z30" s="496">
        <v>1</v>
      </c>
      <c r="AA30" s="457"/>
      <c r="AB30" s="457"/>
      <c r="AC30" s="496">
        <v>1</v>
      </c>
      <c r="AD30" s="457"/>
      <c r="AE30" s="457"/>
      <c r="AF30" s="457">
        <v>1</v>
      </c>
      <c r="AG30" s="457"/>
      <c r="AH30" s="457"/>
      <c r="AI30" s="457">
        <v>1</v>
      </c>
      <c r="AJ30" s="457"/>
      <c r="AK30" s="457"/>
      <c r="AL30" s="457">
        <v>1</v>
      </c>
      <c r="AM30" s="457"/>
      <c r="AN30" s="457"/>
      <c r="AO30" s="457">
        <v>1</v>
      </c>
      <c r="AP30" s="457"/>
      <c r="AQ30" s="457"/>
      <c r="AR30" s="457">
        <v>1</v>
      </c>
      <c r="AS30" s="457"/>
      <c r="AT30" s="457"/>
      <c r="AU30" s="457">
        <v>1</v>
      </c>
      <c r="AV30" s="457"/>
      <c r="AW30" s="457"/>
      <c r="AX30" s="457">
        <v>1</v>
      </c>
      <c r="AY30" s="457"/>
      <c r="AZ30" s="457"/>
      <c r="BA30" s="457">
        <v>1</v>
      </c>
      <c r="BB30" s="457">
        <f t="shared" si="0"/>
        <v>0</v>
      </c>
    </row>
    <row r="31" spans="1:54" ht="15.6" x14ac:dyDescent="0.3">
      <c r="A31" s="278" t="s">
        <v>88</v>
      </c>
      <c r="B31" s="465" t="s">
        <v>10575</v>
      </c>
      <c r="C31" s="50"/>
      <c r="D31" s="466"/>
      <c r="E31" s="458"/>
      <c r="F31" s="458"/>
      <c r="G31" s="458"/>
      <c r="H31" s="458"/>
      <c r="I31" s="458"/>
      <c r="J31" s="458"/>
      <c r="K31" s="458"/>
      <c r="L31" s="458"/>
      <c r="M31" s="458"/>
      <c r="N31" s="458"/>
      <c r="O31" s="458"/>
      <c r="P31" s="458"/>
      <c r="Q31" s="458"/>
      <c r="R31" s="458"/>
      <c r="S31" s="458"/>
      <c r="T31" s="458"/>
      <c r="U31" s="458"/>
      <c r="V31" s="458"/>
      <c r="W31" s="458"/>
      <c r="X31" s="458"/>
      <c r="Y31" s="458"/>
      <c r="Z31" s="458"/>
      <c r="AA31" s="458"/>
      <c r="AB31" s="458"/>
      <c r="AC31" s="458"/>
      <c r="AD31" s="458"/>
      <c r="AE31" s="458"/>
      <c r="AF31" s="458"/>
      <c r="AG31" s="458"/>
      <c r="AH31" s="458"/>
      <c r="AI31" s="458"/>
      <c r="AJ31" s="458"/>
      <c r="AK31" s="458"/>
      <c r="AL31" s="458"/>
      <c r="AM31" s="458"/>
      <c r="AN31" s="458"/>
      <c r="AO31" s="458"/>
      <c r="AP31" s="458"/>
      <c r="AQ31" s="458"/>
      <c r="AR31" s="458"/>
      <c r="AS31" s="458"/>
      <c r="AT31" s="458"/>
      <c r="AU31" s="458"/>
      <c r="AV31" s="458"/>
      <c r="AW31" s="458"/>
      <c r="AX31" s="458"/>
      <c r="AY31" s="458"/>
      <c r="AZ31" s="458"/>
      <c r="BA31" s="458"/>
      <c r="BB31" s="457"/>
    </row>
    <row r="32" spans="1:54" ht="15.6" x14ac:dyDescent="0.3">
      <c r="A32" s="19" t="s">
        <v>90</v>
      </c>
      <c r="B32" s="468" t="s">
        <v>257</v>
      </c>
      <c r="C32" s="50"/>
      <c r="D32" s="466"/>
      <c r="E32" s="458"/>
      <c r="F32" s="458"/>
      <c r="G32" s="458"/>
      <c r="H32" s="458"/>
      <c r="I32" s="458"/>
      <c r="J32" s="458"/>
      <c r="K32" s="458"/>
      <c r="L32" s="458"/>
      <c r="M32" s="458"/>
      <c r="N32" s="458"/>
      <c r="O32" s="458"/>
      <c r="P32" s="458"/>
      <c r="Q32" s="458"/>
      <c r="R32" s="458"/>
      <c r="S32" s="458"/>
      <c r="T32" s="458"/>
      <c r="U32" s="458"/>
      <c r="V32" s="458"/>
      <c r="W32" s="458"/>
      <c r="X32" s="458"/>
      <c r="Y32" s="458"/>
      <c r="Z32" s="458"/>
      <c r="AA32" s="458"/>
      <c r="AB32" s="458"/>
      <c r="AC32" s="458"/>
      <c r="AD32" s="458"/>
      <c r="AE32" s="458"/>
      <c r="AF32" s="458"/>
      <c r="AG32" s="458"/>
      <c r="AH32" s="458"/>
      <c r="AI32" s="458"/>
      <c r="AJ32" s="458"/>
      <c r="AK32" s="458"/>
      <c r="AL32" s="458"/>
      <c r="AM32" s="458"/>
      <c r="AN32" s="458"/>
      <c r="AO32" s="458"/>
      <c r="AP32" s="458"/>
      <c r="AQ32" s="458"/>
      <c r="AR32" s="458"/>
      <c r="AS32" s="458"/>
      <c r="AT32" s="458"/>
      <c r="AU32" s="458"/>
      <c r="AV32" s="458"/>
      <c r="AW32" s="458"/>
      <c r="AX32" s="458"/>
      <c r="AY32" s="458"/>
      <c r="AZ32" s="458"/>
      <c r="BA32" s="458"/>
      <c r="BB32" s="457"/>
    </row>
    <row r="33" spans="1:54" ht="15.6" x14ac:dyDescent="0.3">
      <c r="A33" s="5">
        <v>2</v>
      </c>
      <c r="B33" s="468" t="s">
        <v>259</v>
      </c>
      <c r="C33" s="11" t="s">
        <v>222</v>
      </c>
      <c r="D33" s="466">
        <v>15</v>
      </c>
      <c r="E33" s="458"/>
      <c r="F33" s="458"/>
      <c r="G33" s="458"/>
      <c r="H33" s="458"/>
      <c r="I33" s="458"/>
      <c r="J33" s="458"/>
      <c r="K33" s="495">
        <v>1</v>
      </c>
      <c r="L33" s="458"/>
      <c r="M33" s="458"/>
      <c r="N33" s="495">
        <v>1</v>
      </c>
      <c r="O33" s="458"/>
      <c r="P33" s="458"/>
      <c r="Q33" s="495">
        <v>1</v>
      </c>
      <c r="R33" s="458"/>
      <c r="S33" s="458"/>
      <c r="T33" s="495">
        <v>1</v>
      </c>
      <c r="U33" s="458"/>
      <c r="V33" s="458"/>
      <c r="W33" s="495">
        <v>1</v>
      </c>
      <c r="X33" s="458"/>
      <c r="Y33" s="458"/>
      <c r="Z33" s="495">
        <v>1</v>
      </c>
      <c r="AA33" s="458"/>
      <c r="AB33" s="458"/>
      <c r="AC33" s="495">
        <v>1</v>
      </c>
      <c r="AD33" s="458"/>
      <c r="AE33" s="458"/>
      <c r="AF33" s="458">
        <v>1</v>
      </c>
      <c r="AG33" s="458"/>
      <c r="AH33" s="458"/>
      <c r="AI33" s="458">
        <v>1</v>
      </c>
      <c r="AJ33" s="458"/>
      <c r="AK33" s="458"/>
      <c r="AL33" s="458">
        <v>1</v>
      </c>
      <c r="AM33" s="458"/>
      <c r="AN33" s="458"/>
      <c r="AO33" s="458">
        <v>1</v>
      </c>
      <c r="AP33" s="458"/>
      <c r="AQ33" s="458"/>
      <c r="AR33" s="458">
        <v>1</v>
      </c>
      <c r="AS33" s="458"/>
      <c r="AT33" s="458"/>
      <c r="AU33" s="458">
        <v>1</v>
      </c>
      <c r="AV33" s="458"/>
      <c r="AW33" s="458"/>
      <c r="AX33" s="458">
        <v>1</v>
      </c>
      <c r="AY33" s="458"/>
      <c r="AZ33" s="458"/>
      <c r="BA33" s="458">
        <v>1</v>
      </c>
      <c r="BB33" s="457">
        <f t="shared" ref="BB33:BB41" si="2">D33-SUM(E33:BA33)</f>
        <v>0</v>
      </c>
    </row>
    <row r="34" spans="1:54" ht="15.6" x14ac:dyDescent="0.3">
      <c r="A34" s="19" t="s">
        <v>197</v>
      </c>
      <c r="B34" s="468" t="s">
        <v>260</v>
      </c>
      <c r="C34" s="50"/>
      <c r="D34" s="466"/>
      <c r="E34" s="458"/>
      <c r="F34" s="458"/>
      <c r="G34" s="458"/>
      <c r="H34" s="458"/>
      <c r="I34" s="458"/>
      <c r="J34" s="458"/>
      <c r="K34" s="458"/>
      <c r="L34" s="458"/>
      <c r="M34" s="458"/>
      <c r="N34" s="458"/>
      <c r="O34" s="458"/>
      <c r="P34" s="458"/>
      <c r="Q34" s="458"/>
      <c r="R34" s="458"/>
      <c r="S34" s="458"/>
      <c r="T34" s="458"/>
      <c r="U34" s="458"/>
      <c r="V34" s="458"/>
      <c r="W34" s="458"/>
      <c r="X34" s="458"/>
      <c r="Y34" s="458"/>
      <c r="Z34" s="458"/>
      <c r="AA34" s="458"/>
      <c r="AB34" s="458"/>
      <c r="AC34" s="458"/>
      <c r="AD34" s="458"/>
      <c r="AE34" s="458"/>
      <c r="AF34" s="458"/>
      <c r="AG34" s="458"/>
      <c r="AH34" s="458"/>
      <c r="AI34" s="458"/>
      <c r="AJ34" s="458"/>
      <c r="AK34" s="458"/>
      <c r="AL34" s="458"/>
      <c r="AM34" s="458"/>
      <c r="AN34" s="458"/>
      <c r="AO34" s="458"/>
      <c r="AP34" s="458"/>
      <c r="AQ34" s="458"/>
      <c r="AR34" s="458"/>
      <c r="AS34" s="458"/>
      <c r="AT34" s="458"/>
      <c r="AU34" s="458"/>
      <c r="AV34" s="458"/>
      <c r="AW34" s="458"/>
      <c r="AX34" s="458"/>
      <c r="AY34" s="458"/>
      <c r="AZ34" s="458"/>
      <c r="BA34" s="458"/>
      <c r="BB34" s="457"/>
    </row>
    <row r="35" spans="1:54" ht="15.6" x14ac:dyDescent="0.3">
      <c r="A35" s="5">
        <v>2</v>
      </c>
      <c r="B35" s="468" t="s">
        <v>259</v>
      </c>
      <c r="C35" s="11" t="s">
        <v>222</v>
      </c>
      <c r="D35" s="466">
        <v>10</v>
      </c>
      <c r="E35" s="458"/>
      <c r="F35" s="458"/>
      <c r="G35" s="458"/>
      <c r="H35" s="458"/>
      <c r="I35" s="458"/>
      <c r="J35" s="458"/>
      <c r="K35" s="458"/>
      <c r="L35" s="458"/>
      <c r="M35" s="458"/>
      <c r="N35" s="458"/>
      <c r="O35" s="458"/>
      <c r="P35" s="458"/>
      <c r="Q35" s="458"/>
      <c r="R35" s="458"/>
      <c r="S35" s="458"/>
      <c r="T35" s="458"/>
      <c r="U35" s="458"/>
      <c r="V35" s="458"/>
      <c r="W35" s="458"/>
      <c r="X35" s="458"/>
      <c r="Y35" s="458"/>
      <c r="Z35" s="495">
        <v>1</v>
      </c>
      <c r="AA35" s="458"/>
      <c r="AB35" s="458"/>
      <c r="AC35" s="495">
        <v>1</v>
      </c>
      <c r="AD35" s="458"/>
      <c r="AE35" s="458"/>
      <c r="AF35" s="458">
        <v>1</v>
      </c>
      <c r="AG35" s="458"/>
      <c r="AH35" s="458"/>
      <c r="AI35" s="458">
        <v>1</v>
      </c>
      <c r="AJ35" s="458"/>
      <c r="AK35" s="458"/>
      <c r="AL35" s="458">
        <v>1</v>
      </c>
      <c r="AM35" s="458"/>
      <c r="AN35" s="458"/>
      <c r="AO35" s="458">
        <v>1</v>
      </c>
      <c r="AP35" s="458"/>
      <c r="AQ35" s="458"/>
      <c r="AR35" s="458">
        <v>1</v>
      </c>
      <c r="AS35" s="458"/>
      <c r="AT35" s="458"/>
      <c r="AU35" s="458">
        <v>1</v>
      </c>
      <c r="AV35" s="458"/>
      <c r="AW35" s="458"/>
      <c r="AX35" s="458">
        <v>1</v>
      </c>
      <c r="AY35" s="458"/>
      <c r="AZ35" s="458"/>
      <c r="BA35" s="458">
        <v>1</v>
      </c>
      <c r="BB35" s="457">
        <f t="shared" si="2"/>
        <v>0</v>
      </c>
    </row>
    <row r="36" spans="1:54" ht="15.6" x14ac:dyDescent="0.3">
      <c r="A36" s="19" t="s">
        <v>208</v>
      </c>
      <c r="B36" s="468" t="s">
        <v>261</v>
      </c>
      <c r="C36" s="50"/>
      <c r="D36" s="466"/>
      <c r="E36" s="458"/>
      <c r="F36" s="458"/>
      <c r="G36" s="458"/>
      <c r="H36" s="458"/>
      <c r="I36" s="458"/>
      <c r="J36" s="458"/>
      <c r="K36" s="458"/>
      <c r="L36" s="458"/>
      <c r="M36" s="458"/>
      <c r="N36" s="458"/>
      <c r="O36" s="458"/>
      <c r="P36" s="458"/>
      <c r="Q36" s="458"/>
      <c r="R36" s="458"/>
      <c r="S36" s="458"/>
      <c r="T36" s="458"/>
      <c r="U36" s="458"/>
      <c r="V36" s="458"/>
      <c r="W36" s="458"/>
      <c r="X36" s="458"/>
      <c r="Y36" s="458"/>
      <c r="Z36" s="458"/>
      <c r="AA36" s="458"/>
      <c r="AB36" s="458"/>
      <c r="AC36" s="458"/>
      <c r="AD36" s="458"/>
      <c r="AE36" s="458"/>
      <c r="AF36" s="458"/>
      <c r="AG36" s="458"/>
      <c r="AH36" s="458"/>
      <c r="AI36" s="458"/>
      <c r="AJ36" s="458"/>
      <c r="AK36" s="458"/>
      <c r="AL36" s="458"/>
      <c r="AM36" s="458"/>
      <c r="AN36" s="458"/>
      <c r="AO36" s="458"/>
      <c r="AP36" s="458"/>
      <c r="AQ36" s="458"/>
      <c r="AR36" s="458"/>
      <c r="AS36" s="458"/>
      <c r="AT36" s="458"/>
      <c r="AU36" s="458"/>
      <c r="AV36" s="458"/>
      <c r="AW36" s="458"/>
      <c r="AX36" s="458"/>
      <c r="AY36" s="458"/>
      <c r="AZ36" s="458"/>
      <c r="BA36" s="458"/>
      <c r="BB36" s="457"/>
    </row>
    <row r="37" spans="1:54" ht="15.6" x14ac:dyDescent="0.3">
      <c r="A37" s="5">
        <v>2</v>
      </c>
      <c r="B37" s="468" t="s">
        <v>259</v>
      </c>
      <c r="C37" s="11" t="s">
        <v>222</v>
      </c>
      <c r="D37" s="466">
        <v>12</v>
      </c>
      <c r="E37" s="458"/>
      <c r="F37" s="458"/>
      <c r="G37" s="458"/>
      <c r="H37" s="458"/>
      <c r="I37" s="458"/>
      <c r="J37" s="458"/>
      <c r="K37" s="458"/>
      <c r="L37" s="458"/>
      <c r="M37" s="458"/>
      <c r="N37" s="495">
        <v>1</v>
      </c>
      <c r="O37" s="458"/>
      <c r="P37" s="458"/>
      <c r="Q37" s="495">
        <v>1</v>
      </c>
      <c r="R37" s="458"/>
      <c r="S37" s="458"/>
      <c r="T37" s="495">
        <v>1</v>
      </c>
      <c r="U37" s="458"/>
      <c r="V37" s="458"/>
      <c r="W37" s="495">
        <v>1</v>
      </c>
      <c r="X37" s="458"/>
      <c r="Y37" s="458"/>
      <c r="Z37" s="495">
        <v>1</v>
      </c>
      <c r="AA37" s="458"/>
      <c r="AB37" s="458"/>
      <c r="AC37" s="495">
        <v>1</v>
      </c>
      <c r="AD37" s="458"/>
      <c r="AE37" s="458"/>
      <c r="AF37" s="458">
        <v>1</v>
      </c>
      <c r="AG37" s="458"/>
      <c r="AH37" s="458"/>
      <c r="AI37" s="458">
        <v>1</v>
      </c>
      <c r="AJ37" s="458"/>
      <c r="AK37" s="458"/>
      <c r="AL37" s="458">
        <v>1</v>
      </c>
      <c r="AM37" s="458"/>
      <c r="AN37" s="458"/>
      <c r="AO37" s="458">
        <v>1</v>
      </c>
      <c r="AP37" s="458"/>
      <c r="AQ37" s="458"/>
      <c r="AR37" s="458">
        <v>1</v>
      </c>
      <c r="AS37" s="458"/>
      <c r="AT37" s="458"/>
      <c r="AU37" s="458">
        <v>1</v>
      </c>
      <c r="AV37" s="458"/>
      <c r="AW37" s="458"/>
      <c r="AX37" s="458"/>
      <c r="AY37" s="458"/>
      <c r="AZ37" s="458"/>
      <c r="BA37" s="458"/>
      <c r="BB37" s="457">
        <f t="shared" si="2"/>
        <v>0</v>
      </c>
    </row>
    <row r="38" spans="1:54" ht="15.6" x14ac:dyDescent="0.3">
      <c r="A38" s="19" t="s">
        <v>238</v>
      </c>
      <c r="B38" s="468" t="s">
        <v>262</v>
      </c>
      <c r="C38" s="50"/>
      <c r="D38" s="466"/>
      <c r="E38" s="458"/>
      <c r="F38" s="458"/>
      <c r="G38" s="458"/>
      <c r="H38" s="458"/>
      <c r="I38" s="458"/>
      <c r="J38" s="458"/>
      <c r="K38" s="458"/>
      <c r="L38" s="458"/>
      <c r="M38" s="458"/>
      <c r="N38" s="458"/>
      <c r="O38" s="458"/>
      <c r="P38" s="458"/>
      <c r="Q38" s="458"/>
      <c r="R38" s="458"/>
      <c r="S38" s="458"/>
      <c r="T38" s="458"/>
      <c r="U38" s="458"/>
      <c r="V38" s="458"/>
      <c r="W38" s="458"/>
      <c r="X38" s="458"/>
      <c r="Y38" s="458"/>
      <c r="Z38" s="458"/>
      <c r="AA38" s="458"/>
      <c r="AB38" s="458"/>
      <c r="AC38" s="458"/>
      <c r="AD38" s="458"/>
      <c r="AE38" s="458"/>
      <c r="AF38" s="458"/>
      <c r="AG38" s="458"/>
      <c r="AH38" s="458"/>
      <c r="AI38" s="458"/>
      <c r="AJ38" s="458"/>
      <c r="AK38" s="458"/>
      <c r="AL38" s="458"/>
      <c r="AM38" s="458"/>
      <c r="AN38" s="458"/>
      <c r="AO38" s="458"/>
      <c r="AP38" s="458"/>
      <c r="AQ38" s="458"/>
      <c r="AR38" s="458"/>
      <c r="AS38" s="458"/>
      <c r="AT38" s="458"/>
      <c r="AU38" s="458"/>
      <c r="AV38" s="458"/>
      <c r="AW38" s="458"/>
      <c r="AX38" s="458"/>
      <c r="AY38" s="458"/>
      <c r="AZ38" s="458"/>
      <c r="BA38" s="458"/>
      <c r="BB38" s="457"/>
    </row>
    <row r="39" spans="1:54" ht="15.6" x14ac:dyDescent="0.3">
      <c r="A39" s="5">
        <v>2</v>
      </c>
      <c r="B39" s="468" t="s">
        <v>259</v>
      </c>
      <c r="C39" s="11" t="s">
        <v>222</v>
      </c>
      <c r="D39" s="466">
        <v>4</v>
      </c>
      <c r="E39" s="458"/>
      <c r="F39" s="458"/>
      <c r="G39" s="458"/>
      <c r="H39" s="458"/>
      <c r="I39" s="458"/>
      <c r="J39" s="458"/>
      <c r="K39" s="458"/>
      <c r="L39" s="458"/>
      <c r="M39" s="458"/>
      <c r="N39" s="458"/>
      <c r="O39" s="458"/>
      <c r="P39" s="458"/>
      <c r="Q39" s="458"/>
      <c r="R39" s="458"/>
      <c r="S39" s="458"/>
      <c r="T39" s="458"/>
      <c r="U39" s="458"/>
      <c r="V39" s="458"/>
      <c r="W39" s="458"/>
      <c r="X39" s="458"/>
      <c r="Y39" s="458"/>
      <c r="Z39" s="458"/>
      <c r="AA39" s="458"/>
      <c r="AB39" s="458"/>
      <c r="AC39" s="458"/>
      <c r="AD39" s="458"/>
      <c r="AE39" s="458"/>
      <c r="AF39" s="458"/>
      <c r="AG39" s="458"/>
      <c r="AH39" s="458"/>
      <c r="AI39" s="458"/>
      <c r="AJ39" s="458"/>
      <c r="AK39" s="458"/>
      <c r="AL39" s="458"/>
      <c r="AM39" s="458"/>
      <c r="AN39" s="458"/>
      <c r="AO39" s="458">
        <v>1</v>
      </c>
      <c r="AP39" s="458"/>
      <c r="AQ39" s="458"/>
      <c r="AR39" s="458">
        <v>1</v>
      </c>
      <c r="AS39" s="458"/>
      <c r="AT39" s="458"/>
      <c r="AU39" s="458">
        <v>1</v>
      </c>
      <c r="AV39" s="458"/>
      <c r="AW39" s="458"/>
      <c r="AX39" s="458">
        <v>1</v>
      </c>
      <c r="AY39" s="458"/>
      <c r="AZ39" s="458"/>
      <c r="BA39" s="458"/>
      <c r="BB39" s="457">
        <f t="shared" si="2"/>
        <v>0</v>
      </c>
    </row>
    <row r="40" spans="1:54" ht="15.6" x14ac:dyDescent="0.3">
      <c r="A40" s="19" t="s">
        <v>240</v>
      </c>
      <c r="B40" s="468" t="s">
        <v>263</v>
      </c>
      <c r="C40" s="50"/>
      <c r="D40" s="466"/>
      <c r="E40" s="458"/>
      <c r="F40" s="458"/>
      <c r="G40" s="458"/>
      <c r="H40" s="458"/>
      <c r="I40" s="458"/>
      <c r="J40" s="458"/>
      <c r="K40" s="458"/>
      <c r="L40" s="458"/>
      <c r="M40" s="458"/>
      <c r="N40" s="458"/>
      <c r="O40" s="458"/>
      <c r="P40" s="458"/>
      <c r="Q40" s="458"/>
      <c r="R40" s="458"/>
      <c r="S40" s="458"/>
      <c r="T40" s="458"/>
      <c r="U40" s="458"/>
      <c r="V40" s="458"/>
      <c r="W40" s="458"/>
      <c r="X40" s="458"/>
      <c r="Y40" s="458"/>
      <c r="Z40" s="458"/>
      <c r="AA40" s="458"/>
      <c r="AB40" s="458"/>
      <c r="AC40" s="458"/>
      <c r="AD40" s="458"/>
      <c r="AE40" s="458"/>
      <c r="AF40" s="458"/>
      <c r="AG40" s="458"/>
      <c r="AH40" s="458"/>
      <c r="AI40" s="458"/>
      <c r="AJ40" s="458"/>
      <c r="AK40" s="458"/>
      <c r="AL40" s="458"/>
      <c r="AM40" s="458"/>
      <c r="AN40" s="458"/>
      <c r="AO40" s="458"/>
      <c r="AP40" s="458"/>
      <c r="AQ40" s="458"/>
      <c r="AR40" s="458"/>
      <c r="AS40" s="458"/>
      <c r="AT40" s="458"/>
      <c r="AU40" s="458"/>
      <c r="AV40" s="458"/>
      <c r="AW40" s="458"/>
      <c r="AX40" s="458"/>
      <c r="AY40" s="458"/>
      <c r="AZ40" s="458"/>
      <c r="BA40" s="458"/>
      <c r="BB40" s="457"/>
    </row>
    <row r="41" spans="1:54" ht="15.6" x14ac:dyDescent="0.3">
      <c r="A41" s="5">
        <v>2</v>
      </c>
      <c r="B41" s="468" t="s">
        <v>259</v>
      </c>
      <c r="C41" s="11" t="s">
        <v>222</v>
      </c>
      <c r="D41" s="466">
        <v>16</v>
      </c>
      <c r="E41" s="458"/>
      <c r="F41" s="458"/>
      <c r="G41" s="495">
        <v>1</v>
      </c>
      <c r="H41" s="458"/>
      <c r="I41" s="458"/>
      <c r="J41" s="458"/>
      <c r="K41" s="495">
        <v>1</v>
      </c>
      <c r="L41" s="458"/>
      <c r="M41" s="458"/>
      <c r="N41" s="495">
        <v>1</v>
      </c>
      <c r="O41" s="458"/>
      <c r="P41" s="458"/>
      <c r="Q41" s="495">
        <v>1</v>
      </c>
      <c r="R41" s="458"/>
      <c r="S41" s="458"/>
      <c r="T41" s="495">
        <v>1</v>
      </c>
      <c r="U41" s="458"/>
      <c r="V41" s="458"/>
      <c r="W41" s="495">
        <v>1</v>
      </c>
      <c r="X41" s="458"/>
      <c r="Y41" s="458"/>
      <c r="Z41" s="495">
        <v>1</v>
      </c>
      <c r="AA41" s="458"/>
      <c r="AB41" s="458"/>
      <c r="AC41" s="495">
        <v>1</v>
      </c>
      <c r="AD41" s="458"/>
      <c r="AE41" s="458"/>
      <c r="AF41" s="458">
        <v>1</v>
      </c>
      <c r="AG41" s="458"/>
      <c r="AH41" s="458"/>
      <c r="AI41" s="458">
        <v>1</v>
      </c>
      <c r="AJ41" s="458"/>
      <c r="AK41" s="458"/>
      <c r="AL41" s="458">
        <v>1</v>
      </c>
      <c r="AM41" s="458"/>
      <c r="AN41" s="458"/>
      <c r="AO41" s="458">
        <v>1</v>
      </c>
      <c r="AP41" s="458"/>
      <c r="AQ41" s="458"/>
      <c r="AR41" s="458">
        <v>1</v>
      </c>
      <c r="AS41" s="458"/>
      <c r="AT41" s="458"/>
      <c r="AU41" s="458">
        <v>1</v>
      </c>
      <c r="AV41" s="458"/>
      <c r="AW41" s="458"/>
      <c r="AX41" s="458">
        <v>1</v>
      </c>
      <c r="AY41" s="458"/>
      <c r="AZ41" s="458"/>
      <c r="BA41" s="458">
        <v>1</v>
      </c>
      <c r="BB41" s="458">
        <f t="shared" si="2"/>
        <v>0</v>
      </c>
    </row>
    <row r="42" spans="1:54" ht="15.6" x14ac:dyDescent="0.3">
      <c r="A42" s="469"/>
      <c r="B42" s="468"/>
      <c r="C42" s="50"/>
      <c r="D42" s="466"/>
      <c r="E42" s="460"/>
      <c r="F42" s="460"/>
      <c r="G42" s="460"/>
      <c r="H42" s="460"/>
      <c r="I42" s="460"/>
      <c r="J42" s="460"/>
      <c r="K42" s="460"/>
      <c r="L42" s="460"/>
      <c r="M42" s="460"/>
      <c r="N42" s="460"/>
      <c r="O42" s="460"/>
      <c r="P42" s="460"/>
      <c r="Q42" s="460"/>
      <c r="R42" s="460"/>
      <c r="S42" s="460"/>
      <c r="T42" s="460"/>
      <c r="U42" s="460"/>
      <c r="V42" s="460"/>
      <c r="W42" s="460"/>
      <c r="X42" s="460"/>
      <c r="Y42" s="460"/>
      <c r="Z42" s="460"/>
      <c r="AA42" s="460"/>
      <c r="AB42" s="460"/>
      <c r="AC42" s="460"/>
      <c r="AD42" s="460"/>
      <c r="AE42" s="460"/>
      <c r="AF42" s="460"/>
      <c r="AG42" s="460"/>
      <c r="AH42" s="460"/>
      <c r="AI42" s="460"/>
      <c r="AJ42" s="460"/>
      <c r="AK42" s="460"/>
      <c r="AL42" s="460"/>
      <c r="AM42" s="460"/>
      <c r="AN42" s="460"/>
      <c r="AO42" s="460"/>
      <c r="AP42" s="460"/>
      <c r="AQ42" s="460"/>
      <c r="AR42" s="460"/>
      <c r="AS42" s="460"/>
      <c r="AT42" s="460"/>
      <c r="AU42" s="460"/>
      <c r="AV42" s="460"/>
      <c r="AW42" s="460"/>
      <c r="AX42" s="460"/>
      <c r="AY42" s="460"/>
      <c r="AZ42" s="460"/>
      <c r="BA42" s="460"/>
      <c r="BB42" s="460"/>
    </row>
    <row r="43" spans="1:54" ht="15.6" x14ac:dyDescent="0.3">
      <c r="A43" s="469"/>
      <c r="B43" s="468"/>
      <c r="C43" s="50"/>
      <c r="D43" s="466"/>
      <c r="E43" s="460"/>
      <c r="F43" s="460"/>
      <c r="G43" s="460"/>
      <c r="H43" s="460"/>
      <c r="I43" s="460"/>
      <c r="J43" s="460"/>
      <c r="K43" s="460"/>
      <c r="L43" s="460"/>
      <c r="M43" s="460"/>
      <c r="N43" s="460"/>
      <c r="O43" s="460"/>
      <c r="P43" s="460"/>
      <c r="Q43" s="460"/>
      <c r="R43" s="460"/>
      <c r="S43" s="460"/>
      <c r="T43" s="460"/>
      <c r="U43" s="460"/>
      <c r="V43" s="460"/>
      <c r="W43" s="460"/>
      <c r="X43" s="460"/>
      <c r="Y43" s="460"/>
      <c r="Z43" s="460"/>
      <c r="AA43" s="460"/>
      <c r="AB43" s="460"/>
      <c r="AC43" s="460"/>
      <c r="AD43" s="460"/>
      <c r="AE43" s="460"/>
      <c r="AF43" s="460"/>
      <c r="AG43" s="460"/>
      <c r="AH43" s="460"/>
      <c r="AI43" s="460"/>
      <c r="AJ43" s="460"/>
      <c r="AK43" s="460"/>
      <c r="AL43" s="460"/>
      <c r="AM43" s="460"/>
      <c r="AN43" s="460"/>
      <c r="AO43" s="460"/>
      <c r="AP43" s="460"/>
      <c r="AQ43" s="460"/>
      <c r="AR43" s="460"/>
      <c r="AS43" s="460"/>
      <c r="AT43" s="460"/>
      <c r="AU43" s="460"/>
      <c r="AV43" s="460"/>
      <c r="AW43" s="460"/>
      <c r="AX43" s="460"/>
      <c r="AY43" s="460"/>
      <c r="AZ43" s="460"/>
      <c r="BA43" s="460"/>
      <c r="BB43" s="460"/>
    </row>
    <row r="44" spans="1:54" ht="15.6" x14ac:dyDescent="0.3">
      <c r="A44" s="470"/>
      <c r="B44" s="471"/>
      <c r="C44" s="33"/>
      <c r="D44" s="472"/>
      <c r="E44" s="473"/>
      <c r="F44" s="473"/>
      <c r="G44" s="473"/>
      <c r="H44" s="473"/>
      <c r="I44" s="473"/>
      <c r="J44" s="473"/>
      <c r="K44" s="473"/>
      <c r="L44" s="473"/>
      <c r="M44" s="473"/>
      <c r="N44" s="473"/>
      <c r="O44" s="473"/>
      <c r="P44" s="473"/>
      <c r="Q44" s="473"/>
      <c r="R44" s="473"/>
      <c r="S44" s="473"/>
      <c r="T44" s="473"/>
      <c r="U44" s="473"/>
      <c r="V44" s="473"/>
      <c r="W44" s="473"/>
      <c r="X44" s="473"/>
      <c r="Y44" s="473"/>
      <c r="Z44" s="473"/>
      <c r="AA44" s="473"/>
      <c r="AB44" s="473"/>
      <c r="AC44" s="473"/>
      <c r="AD44" s="473"/>
      <c r="AE44" s="473"/>
      <c r="AF44" s="473"/>
      <c r="AG44" s="473"/>
      <c r="AH44" s="473"/>
      <c r="AI44" s="473"/>
      <c r="AJ44" s="473"/>
      <c r="AK44" s="473"/>
      <c r="AL44" s="473"/>
      <c r="AM44" s="473"/>
      <c r="AN44" s="473"/>
      <c r="AO44" s="473"/>
      <c r="AP44" s="473"/>
      <c r="AQ44" s="473"/>
      <c r="AR44" s="473"/>
      <c r="AS44" s="473"/>
      <c r="AT44" s="473"/>
      <c r="AU44" s="473"/>
      <c r="AV44" s="473"/>
      <c r="AW44" s="473"/>
      <c r="AX44" s="473"/>
      <c r="AY44" s="473"/>
      <c r="AZ44" s="473"/>
      <c r="BA44" s="473"/>
      <c r="BB44" s="473"/>
    </row>
  </sheetData>
  <mergeCells count="4">
    <mergeCell ref="A1:A2"/>
    <mergeCell ref="B1:B2"/>
    <mergeCell ref="C1:C2"/>
    <mergeCell ref="D1:D2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39" orientation="landscape" r:id="rId1"/>
  <headerFooter>
    <oddFooter>&amp;L_x000D_&amp;1#&amp;"Calibri"&amp;8&amp;K000000 Sensitivity: LNT Construction General Business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009F-B05E-498D-8E2B-4B2A75F72E04}">
  <sheetPr codeName="Sheet30"/>
  <dimension ref="A4:L200"/>
  <sheetViews>
    <sheetView zoomScale="80" zoomScaleNormal="80" workbookViewId="0">
      <selection activeCell="Q14" sqref="Q14"/>
    </sheetView>
  </sheetViews>
  <sheetFormatPr defaultRowHeight="14.4" x14ac:dyDescent="0.3"/>
  <cols>
    <col min="5" max="5" width="18.5546875" bestFit="1" customWidth="1"/>
    <col min="6" max="6" width="13.44140625" bestFit="1" customWidth="1"/>
    <col min="11" max="11" width="17.5546875" bestFit="1" customWidth="1"/>
    <col min="12" max="12" width="12.44140625" bestFit="1" customWidth="1"/>
  </cols>
  <sheetData>
    <row r="4" spans="1:12" x14ac:dyDescent="0.3">
      <c r="E4" t="s">
        <v>10682</v>
      </c>
      <c r="F4" t="s">
        <v>10683</v>
      </c>
    </row>
    <row r="5" spans="1:12" x14ac:dyDescent="0.3">
      <c r="A5" t="s">
        <v>1525</v>
      </c>
      <c r="B5">
        <f t="shared" ref="B5:B26" si="0">COUNTIFS($G:$G,A5)</f>
        <v>12</v>
      </c>
      <c r="E5" t="s">
        <v>7277</v>
      </c>
      <c r="F5" t="s">
        <v>7278</v>
      </c>
      <c r="G5" t="s">
        <v>1525</v>
      </c>
      <c r="K5" t="s">
        <v>7477</v>
      </c>
      <c r="L5" t="s">
        <v>7478</v>
      </c>
    </row>
    <row r="6" spans="1:12" x14ac:dyDescent="0.3">
      <c r="A6" t="s">
        <v>1587</v>
      </c>
      <c r="B6">
        <f t="shared" si="0"/>
        <v>8</v>
      </c>
      <c r="E6" t="s">
        <v>7518</v>
      </c>
      <c r="F6" t="s">
        <v>7519</v>
      </c>
      <c r="G6" t="s">
        <v>1525</v>
      </c>
      <c r="K6" t="s">
        <v>7480</v>
      </c>
      <c r="L6" t="s">
        <v>7481</v>
      </c>
    </row>
    <row r="7" spans="1:12" x14ac:dyDescent="0.3">
      <c r="A7" t="s">
        <v>1590</v>
      </c>
      <c r="B7">
        <f t="shared" si="0"/>
        <v>8</v>
      </c>
      <c r="E7" t="s">
        <v>7521</v>
      </c>
      <c r="F7" t="s">
        <v>7522</v>
      </c>
      <c r="G7" t="s">
        <v>1525</v>
      </c>
      <c r="K7" t="s">
        <v>7483</v>
      </c>
      <c r="L7" t="s">
        <v>7484</v>
      </c>
    </row>
    <row r="8" spans="1:12" x14ac:dyDescent="0.3">
      <c r="A8" t="s">
        <v>1522</v>
      </c>
      <c r="B8">
        <f t="shared" si="0"/>
        <v>10</v>
      </c>
      <c r="E8" t="s">
        <v>7524</v>
      </c>
      <c r="F8" t="s">
        <v>7525</v>
      </c>
      <c r="G8" t="s">
        <v>1525</v>
      </c>
      <c r="K8" t="s">
        <v>7411</v>
      </c>
      <c r="L8" t="s">
        <v>7412</v>
      </c>
    </row>
    <row r="9" spans="1:12" x14ac:dyDescent="0.3">
      <c r="A9" t="s">
        <v>6057</v>
      </c>
      <c r="B9">
        <f t="shared" si="0"/>
        <v>8</v>
      </c>
      <c r="E9" t="s">
        <v>7280</v>
      </c>
      <c r="F9" t="s">
        <v>7281</v>
      </c>
      <c r="G9" t="s">
        <v>1525</v>
      </c>
      <c r="K9" t="s">
        <v>7414</v>
      </c>
      <c r="L9" t="s">
        <v>7415</v>
      </c>
    </row>
    <row r="10" spans="1:12" x14ac:dyDescent="0.3">
      <c r="A10" t="s">
        <v>6086</v>
      </c>
      <c r="B10">
        <f t="shared" si="0"/>
        <v>8</v>
      </c>
      <c r="E10" t="s">
        <v>7283</v>
      </c>
      <c r="F10" t="s">
        <v>7284</v>
      </c>
      <c r="G10" t="s">
        <v>1525</v>
      </c>
      <c r="K10" t="s">
        <v>7486</v>
      </c>
      <c r="L10" t="s">
        <v>7487</v>
      </c>
    </row>
    <row r="11" spans="1:12" x14ac:dyDescent="0.3">
      <c r="A11" t="s">
        <v>1897</v>
      </c>
      <c r="B11">
        <f t="shared" si="0"/>
        <v>10</v>
      </c>
      <c r="E11" t="s">
        <v>7286</v>
      </c>
      <c r="F11" t="s">
        <v>7287</v>
      </c>
      <c r="G11" t="s">
        <v>1525</v>
      </c>
      <c r="K11" t="s">
        <v>7489</v>
      </c>
      <c r="L11" t="s">
        <v>7490</v>
      </c>
    </row>
    <row r="12" spans="1:12" x14ac:dyDescent="0.3">
      <c r="A12" t="s">
        <v>1898</v>
      </c>
      <c r="B12">
        <f t="shared" si="0"/>
        <v>8</v>
      </c>
      <c r="E12" t="s">
        <v>7289</v>
      </c>
      <c r="F12" t="s">
        <v>7290</v>
      </c>
      <c r="G12" t="s">
        <v>1525</v>
      </c>
      <c r="K12" t="s">
        <v>7492</v>
      </c>
      <c r="L12" t="s">
        <v>7493</v>
      </c>
    </row>
    <row r="13" spans="1:12" x14ac:dyDescent="0.3">
      <c r="A13" t="s">
        <v>1899</v>
      </c>
      <c r="B13">
        <f t="shared" si="0"/>
        <v>8</v>
      </c>
      <c r="E13" t="s">
        <v>7292</v>
      </c>
      <c r="F13" t="s">
        <v>7293</v>
      </c>
      <c r="G13" t="s">
        <v>1525</v>
      </c>
      <c r="K13" t="s">
        <v>7495</v>
      </c>
      <c r="L13" t="s">
        <v>7496</v>
      </c>
    </row>
    <row r="14" spans="1:12" x14ac:dyDescent="0.3">
      <c r="A14" t="s">
        <v>1900</v>
      </c>
      <c r="B14">
        <f t="shared" si="0"/>
        <v>10</v>
      </c>
      <c r="E14" t="s">
        <v>7295</v>
      </c>
      <c r="F14" t="s">
        <v>7296</v>
      </c>
      <c r="G14" t="s">
        <v>1525</v>
      </c>
      <c r="K14" t="s">
        <v>7499</v>
      </c>
      <c r="L14" t="s">
        <v>7500</v>
      </c>
    </row>
    <row r="15" spans="1:12" x14ac:dyDescent="0.3">
      <c r="A15" t="s">
        <v>1901</v>
      </c>
      <c r="B15">
        <f t="shared" si="0"/>
        <v>8</v>
      </c>
      <c r="E15" t="s">
        <v>7298</v>
      </c>
      <c r="F15" t="s">
        <v>7299</v>
      </c>
      <c r="G15" t="s">
        <v>1525</v>
      </c>
      <c r="K15" t="s">
        <v>7502</v>
      </c>
      <c r="L15" t="s">
        <v>7503</v>
      </c>
    </row>
    <row r="16" spans="1:12" x14ac:dyDescent="0.3">
      <c r="A16" t="s">
        <v>1902</v>
      </c>
      <c r="B16">
        <f t="shared" si="0"/>
        <v>8</v>
      </c>
      <c r="E16" t="s">
        <v>7302</v>
      </c>
      <c r="F16" t="s">
        <v>7303</v>
      </c>
      <c r="G16" t="s">
        <v>1525</v>
      </c>
      <c r="K16" t="s">
        <v>7417</v>
      </c>
      <c r="L16" t="s">
        <v>7418</v>
      </c>
    </row>
    <row r="17" spans="1:12" x14ac:dyDescent="0.3">
      <c r="A17" t="s">
        <v>1903</v>
      </c>
      <c r="B17">
        <f t="shared" si="0"/>
        <v>10</v>
      </c>
      <c r="E17" t="s">
        <v>7305</v>
      </c>
      <c r="F17" t="s">
        <v>7306</v>
      </c>
      <c r="G17" t="s">
        <v>1587</v>
      </c>
      <c r="K17" t="s">
        <v>7420</v>
      </c>
      <c r="L17" t="s">
        <v>7421</v>
      </c>
    </row>
    <row r="18" spans="1:12" x14ac:dyDescent="0.3">
      <c r="A18" t="s">
        <v>1904</v>
      </c>
      <c r="B18">
        <f t="shared" si="0"/>
        <v>8</v>
      </c>
      <c r="E18" t="s">
        <v>7308</v>
      </c>
      <c r="F18" t="s">
        <v>7309</v>
      </c>
      <c r="G18" t="s">
        <v>1587</v>
      </c>
      <c r="K18" t="s">
        <v>7423</v>
      </c>
      <c r="L18" t="s">
        <v>7424</v>
      </c>
    </row>
    <row r="19" spans="1:12" x14ac:dyDescent="0.3">
      <c r="A19" t="s">
        <v>1905</v>
      </c>
      <c r="B19">
        <f t="shared" si="0"/>
        <v>8</v>
      </c>
      <c r="E19" t="s">
        <v>7311</v>
      </c>
      <c r="F19" t="s">
        <v>7312</v>
      </c>
      <c r="G19" t="s">
        <v>1587</v>
      </c>
      <c r="K19" t="s">
        <v>7426</v>
      </c>
      <c r="L19" t="s">
        <v>7427</v>
      </c>
    </row>
    <row r="20" spans="1:12" x14ac:dyDescent="0.3">
      <c r="A20" t="s">
        <v>1906</v>
      </c>
      <c r="B20">
        <f t="shared" si="0"/>
        <v>10</v>
      </c>
      <c r="E20" t="s">
        <v>7314</v>
      </c>
      <c r="F20" t="s">
        <v>7315</v>
      </c>
      <c r="G20" t="s">
        <v>1587</v>
      </c>
      <c r="K20" t="s">
        <v>7429</v>
      </c>
      <c r="L20" t="s">
        <v>7430</v>
      </c>
    </row>
    <row r="21" spans="1:12" x14ac:dyDescent="0.3">
      <c r="A21" t="s">
        <v>1907</v>
      </c>
      <c r="B21">
        <f t="shared" si="0"/>
        <v>8</v>
      </c>
      <c r="E21" t="s">
        <v>7317</v>
      </c>
      <c r="F21" t="s">
        <v>7318</v>
      </c>
      <c r="G21" t="s">
        <v>1587</v>
      </c>
      <c r="K21" t="s">
        <v>7432</v>
      </c>
      <c r="L21" t="s">
        <v>7433</v>
      </c>
    </row>
    <row r="22" spans="1:12" x14ac:dyDescent="0.3">
      <c r="A22" t="s">
        <v>1908</v>
      </c>
      <c r="B22">
        <f t="shared" si="0"/>
        <v>8</v>
      </c>
      <c r="E22" t="s">
        <v>7320</v>
      </c>
      <c r="F22" t="s">
        <v>7321</v>
      </c>
      <c r="G22" t="s">
        <v>1587</v>
      </c>
      <c r="K22" t="s">
        <v>7505</v>
      </c>
      <c r="L22" t="s">
        <v>7506</v>
      </c>
    </row>
    <row r="23" spans="1:12" x14ac:dyDescent="0.3">
      <c r="A23" t="s">
        <v>1909</v>
      </c>
      <c r="B23">
        <f t="shared" si="0"/>
        <v>10</v>
      </c>
      <c r="E23" t="s">
        <v>7324</v>
      </c>
      <c r="F23" t="s">
        <v>7325</v>
      </c>
      <c r="G23" t="s">
        <v>1587</v>
      </c>
      <c r="K23" t="s">
        <v>7509</v>
      </c>
      <c r="L23" t="s">
        <v>7510</v>
      </c>
    </row>
    <row r="24" spans="1:12" x14ac:dyDescent="0.3">
      <c r="A24" t="s">
        <v>2511</v>
      </c>
      <c r="B24">
        <f t="shared" si="0"/>
        <v>8</v>
      </c>
      <c r="E24" t="s">
        <v>7327</v>
      </c>
      <c r="F24" t="s">
        <v>7328</v>
      </c>
      <c r="G24" t="s">
        <v>1587</v>
      </c>
      <c r="K24" t="s">
        <v>7512</v>
      </c>
      <c r="L24" t="s">
        <v>7513</v>
      </c>
    </row>
    <row r="25" spans="1:12" x14ac:dyDescent="0.3">
      <c r="A25" t="s">
        <v>2512</v>
      </c>
      <c r="B25">
        <f t="shared" si="0"/>
        <v>8</v>
      </c>
      <c r="E25" t="s">
        <v>7527</v>
      </c>
      <c r="F25" t="s">
        <v>7528</v>
      </c>
      <c r="G25" t="s">
        <v>1590</v>
      </c>
      <c r="K25" t="s">
        <v>7515</v>
      </c>
      <c r="L25" t="s">
        <v>7516</v>
      </c>
    </row>
    <row r="26" spans="1:12" x14ac:dyDescent="0.3">
      <c r="A26" t="s">
        <v>2513</v>
      </c>
      <c r="B26">
        <f t="shared" si="0"/>
        <v>12</v>
      </c>
      <c r="E26" t="s">
        <v>7530</v>
      </c>
      <c r="F26" t="s">
        <v>7531</v>
      </c>
      <c r="G26" t="s">
        <v>1590</v>
      </c>
      <c r="K26" t="s">
        <v>7379</v>
      </c>
      <c r="L26" t="s">
        <v>7380</v>
      </c>
    </row>
    <row r="27" spans="1:12" x14ac:dyDescent="0.3">
      <c r="E27" t="s">
        <v>7533</v>
      </c>
      <c r="F27" t="s">
        <v>7534</v>
      </c>
      <c r="G27" t="s">
        <v>1590</v>
      </c>
      <c r="K27" t="s">
        <v>7435</v>
      </c>
      <c r="L27" t="s">
        <v>7436</v>
      </c>
    </row>
    <row r="28" spans="1:12" x14ac:dyDescent="0.3">
      <c r="E28" t="s">
        <v>7537</v>
      </c>
      <c r="F28" t="s">
        <v>7538</v>
      </c>
      <c r="G28" t="s">
        <v>1590</v>
      </c>
      <c r="K28" t="s">
        <v>7439</v>
      </c>
      <c r="L28" t="s">
        <v>7440</v>
      </c>
    </row>
    <row r="29" spans="1:12" x14ac:dyDescent="0.3">
      <c r="E29" t="s">
        <v>7398</v>
      </c>
      <c r="F29" t="s">
        <v>7399</v>
      </c>
      <c r="G29" t="s">
        <v>1590</v>
      </c>
      <c r="K29" t="s">
        <v>7442</v>
      </c>
      <c r="L29" t="s">
        <v>7443</v>
      </c>
    </row>
    <row r="30" spans="1:12" x14ac:dyDescent="0.3">
      <c r="E30" t="s">
        <v>7330</v>
      </c>
      <c r="F30" t="s">
        <v>7331</v>
      </c>
      <c r="G30" t="s">
        <v>1590</v>
      </c>
      <c r="K30" t="s">
        <v>7382</v>
      </c>
      <c r="L30" t="s">
        <v>7383</v>
      </c>
    </row>
    <row r="31" spans="1:12" x14ac:dyDescent="0.3">
      <c r="E31" t="s">
        <v>7333</v>
      </c>
      <c r="F31" t="s">
        <v>7334</v>
      </c>
      <c r="G31" t="s">
        <v>1590</v>
      </c>
      <c r="K31" t="s">
        <v>7445</v>
      </c>
      <c r="L31" t="s">
        <v>7446</v>
      </c>
    </row>
    <row r="32" spans="1:12" x14ac:dyDescent="0.3">
      <c r="E32" t="s">
        <v>7402</v>
      </c>
      <c r="F32" t="s">
        <v>7403</v>
      </c>
      <c r="G32" t="s">
        <v>1590</v>
      </c>
      <c r="K32" t="s">
        <v>7448</v>
      </c>
      <c r="L32" t="s">
        <v>7449</v>
      </c>
    </row>
    <row r="33" spans="5:12" x14ac:dyDescent="0.3">
      <c r="E33" t="s">
        <v>7336</v>
      </c>
      <c r="F33" t="s">
        <v>7337</v>
      </c>
      <c r="G33" t="s">
        <v>1522</v>
      </c>
      <c r="K33" t="s">
        <v>7451</v>
      </c>
      <c r="L33" t="s">
        <v>7452</v>
      </c>
    </row>
    <row r="34" spans="5:12" x14ac:dyDescent="0.3">
      <c r="E34" t="s">
        <v>7340</v>
      </c>
      <c r="F34" t="s">
        <v>7341</v>
      </c>
      <c r="G34" t="s">
        <v>1522</v>
      </c>
      <c r="K34" t="s">
        <v>7454</v>
      </c>
      <c r="L34" t="s">
        <v>7455</v>
      </c>
    </row>
    <row r="35" spans="5:12" x14ac:dyDescent="0.3">
      <c r="E35" t="s">
        <v>7540</v>
      </c>
      <c r="F35" t="s">
        <v>7541</v>
      </c>
      <c r="G35" t="s">
        <v>1522</v>
      </c>
      <c r="K35" t="s">
        <v>7458</v>
      </c>
      <c r="L35" t="s">
        <v>7459</v>
      </c>
    </row>
    <row r="36" spans="5:12" x14ac:dyDescent="0.3">
      <c r="E36" t="s">
        <v>7543</v>
      </c>
      <c r="F36" t="s">
        <v>7544</v>
      </c>
      <c r="G36" t="s">
        <v>1522</v>
      </c>
      <c r="K36" t="s">
        <v>7461</v>
      </c>
      <c r="L36" t="s">
        <v>7462</v>
      </c>
    </row>
    <row r="37" spans="5:12" x14ac:dyDescent="0.3">
      <c r="E37" t="s">
        <v>7546</v>
      </c>
      <c r="F37" t="s">
        <v>7547</v>
      </c>
      <c r="G37" t="s">
        <v>1522</v>
      </c>
      <c r="K37" t="s">
        <v>7385</v>
      </c>
      <c r="L37" t="s">
        <v>7386</v>
      </c>
    </row>
    <row r="38" spans="5:12" x14ac:dyDescent="0.3">
      <c r="E38" t="s">
        <v>7343</v>
      </c>
      <c r="F38" t="s">
        <v>7344</v>
      </c>
      <c r="G38" t="s">
        <v>1522</v>
      </c>
      <c r="K38" t="s">
        <v>7388</v>
      </c>
      <c r="L38" t="s">
        <v>7389</v>
      </c>
    </row>
    <row r="39" spans="5:12" x14ac:dyDescent="0.3">
      <c r="E39" t="s">
        <v>7346</v>
      </c>
      <c r="F39" t="s">
        <v>7347</v>
      </c>
      <c r="G39" t="s">
        <v>1522</v>
      </c>
      <c r="K39" t="s">
        <v>7465</v>
      </c>
      <c r="L39" t="s">
        <v>7466</v>
      </c>
    </row>
    <row r="40" spans="5:12" x14ac:dyDescent="0.3">
      <c r="E40" t="s">
        <v>7349</v>
      </c>
      <c r="F40" t="s">
        <v>7350</v>
      </c>
      <c r="G40" t="s">
        <v>1522</v>
      </c>
      <c r="K40" t="s">
        <v>7468</v>
      </c>
      <c r="L40" t="s">
        <v>7469</v>
      </c>
    </row>
    <row r="41" spans="5:12" x14ac:dyDescent="0.3">
      <c r="E41" t="s">
        <v>7408</v>
      </c>
      <c r="F41" t="s">
        <v>7409</v>
      </c>
      <c r="G41" t="s">
        <v>1522</v>
      </c>
      <c r="K41" t="s">
        <v>7391</v>
      </c>
      <c r="L41" t="s">
        <v>7392</v>
      </c>
    </row>
    <row r="42" spans="5:12" x14ac:dyDescent="0.3">
      <c r="E42" t="s">
        <v>7405</v>
      </c>
      <c r="F42" t="s">
        <v>7406</v>
      </c>
      <c r="G42" t="s">
        <v>1522</v>
      </c>
      <c r="K42" t="s">
        <v>7394</v>
      </c>
      <c r="L42" t="s">
        <v>7395</v>
      </c>
    </row>
    <row r="43" spans="5:12" x14ac:dyDescent="0.3">
      <c r="E43" t="s">
        <v>7352</v>
      </c>
      <c r="F43" t="s">
        <v>7353</v>
      </c>
      <c r="G43" t="s">
        <v>6057</v>
      </c>
      <c r="K43" t="s">
        <v>7471</v>
      </c>
      <c r="L43" t="s">
        <v>7472</v>
      </c>
    </row>
    <row r="44" spans="5:12" x14ac:dyDescent="0.3">
      <c r="E44" t="s">
        <v>7355</v>
      </c>
      <c r="F44" t="s">
        <v>7356</v>
      </c>
      <c r="G44" t="s">
        <v>6057</v>
      </c>
      <c r="K44" t="s">
        <v>7474</v>
      </c>
      <c r="L44" t="s">
        <v>7475</v>
      </c>
    </row>
    <row r="45" spans="5:12" x14ac:dyDescent="0.3">
      <c r="E45" t="s">
        <v>7358</v>
      </c>
      <c r="F45" t="s">
        <v>7359</v>
      </c>
      <c r="G45" t="s">
        <v>6057</v>
      </c>
    </row>
    <row r="46" spans="5:12" x14ac:dyDescent="0.3">
      <c r="E46" t="s">
        <v>7361</v>
      </c>
      <c r="F46" t="s">
        <v>7362</v>
      </c>
      <c r="G46" t="s">
        <v>6057</v>
      </c>
    </row>
    <row r="47" spans="5:12" x14ac:dyDescent="0.3">
      <c r="E47" t="s">
        <v>7364</v>
      </c>
      <c r="F47" t="s">
        <v>7365</v>
      </c>
      <c r="G47" t="s">
        <v>6057</v>
      </c>
    </row>
    <row r="48" spans="5:12" x14ac:dyDescent="0.3">
      <c r="E48" t="s">
        <v>7142</v>
      </c>
      <c r="F48" t="s">
        <v>7143</v>
      </c>
      <c r="G48" t="s">
        <v>6057</v>
      </c>
    </row>
    <row r="49" spans="5:7" x14ac:dyDescent="0.3">
      <c r="E49" t="s">
        <v>7367</v>
      </c>
      <c r="F49" t="s">
        <v>7368</v>
      </c>
      <c r="G49" t="s">
        <v>6057</v>
      </c>
    </row>
    <row r="50" spans="5:7" x14ac:dyDescent="0.3">
      <c r="E50" t="s">
        <v>7370</v>
      </c>
      <c r="F50" t="s">
        <v>7371</v>
      </c>
      <c r="G50" t="s">
        <v>6057</v>
      </c>
    </row>
    <row r="51" spans="5:7" x14ac:dyDescent="0.3">
      <c r="E51" t="s">
        <v>7157</v>
      </c>
      <c r="F51" t="s">
        <v>7158</v>
      </c>
      <c r="G51" t="s">
        <v>6086</v>
      </c>
    </row>
    <row r="52" spans="5:7" x14ac:dyDescent="0.3">
      <c r="E52" t="s">
        <v>7373</v>
      </c>
      <c r="F52" t="s">
        <v>7374</v>
      </c>
      <c r="G52" t="s">
        <v>6086</v>
      </c>
    </row>
    <row r="53" spans="5:7" x14ac:dyDescent="0.3">
      <c r="E53" t="s">
        <v>7376</v>
      </c>
      <c r="F53" t="s">
        <v>7377</v>
      </c>
      <c r="G53" t="s">
        <v>6086</v>
      </c>
    </row>
    <row r="54" spans="5:7" x14ac:dyDescent="0.3">
      <c r="E54" t="s">
        <v>7160</v>
      </c>
      <c r="F54" t="s">
        <v>7161</v>
      </c>
      <c r="G54" t="s">
        <v>6086</v>
      </c>
    </row>
    <row r="55" spans="5:7" x14ac:dyDescent="0.3">
      <c r="E55" t="s">
        <v>7145</v>
      </c>
      <c r="F55" t="s">
        <v>7146</v>
      </c>
      <c r="G55" t="s">
        <v>6086</v>
      </c>
    </row>
    <row r="56" spans="5:7" x14ac:dyDescent="0.3">
      <c r="E56" t="s">
        <v>7148</v>
      </c>
      <c r="F56" t="s">
        <v>7149</v>
      </c>
      <c r="G56" t="s">
        <v>6086</v>
      </c>
    </row>
    <row r="57" spans="5:7" x14ac:dyDescent="0.3">
      <c r="E57" t="s">
        <v>7151</v>
      </c>
      <c r="F57" t="s">
        <v>7152</v>
      </c>
      <c r="G57" t="s">
        <v>6086</v>
      </c>
    </row>
    <row r="58" spans="5:7" x14ac:dyDescent="0.3">
      <c r="E58" t="s">
        <v>7154</v>
      </c>
      <c r="F58" t="s">
        <v>7155</v>
      </c>
      <c r="G58" t="s">
        <v>6086</v>
      </c>
    </row>
    <row r="59" spans="5:7" x14ac:dyDescent="0.3">
      <c r="E59" t="s">
        <v>7163</v>
      </c>
      <c r="F59" t="s">
        <v>7164</v>
      </c>
      <c r="G59" t="s">
        <v>1897</v>
      </c>
    </row>
    <row r="60" spans="5:7" x14ac:dyDescent="0.3">
      <c r="E60" t="s">
        <v>7167</v>
      </c>
      <c r="F60" t="s">
        <v>7168</v>
      </c>
      <c r="G60" t="s">
        <v>1897</v>
      </c>
    </row>
    <row r="61" spans="5:7" x14ac:dyDescent="0.3">
      <c r="E61" t="s">
        <v>7170</v>
      </c>
      <c r="F61" t="s">
        <v>7171</v>
      </c>
      <c r="G61" t="s">
        <v>1897</v>
      </c>
    </row>
    <row r="62" spans="5:7" x14ac:dyDescent="0.3">
      <c r="E62" t="s">
        <v>7174</v>
      </c>
      <c r="F62" t="s">
        <v>7175</v>
      </c>
      <c r="G62" t="s">
        <v>1897</v>
      </c>
    </row>
    <row r="63" spans="5:7" x14ac:dyDescent="0.3">
      <c r="E63" t="s">
        <v>7177</v>
      </c>
      <c r="F63" t="s">
        <v>7178</v>
      </c>
      <c r="G63" t="s">
        <v>1897</v>
      </c>
    </row>
    <row r="64" spans="5:7" x14ac:dyDescent="0.3">
      <c r="E64" t="s">
        <v>7180</v>
      </c>
      <c r="F64" t="s">
        <v>7181</v>
      </c>
      <c r="G64" t="s">
        <v>1897</v>
      </c>
    </row>
    <row r="65" spans="5:7" x14ac:dyDescent="0.3">
      <c r="E65" t="s">
        <v>7183</v>
      </c>
      <c r="F65" t="s">
        <v>7184</v>
      </c>
      <c r="G65" t="s">
        <v>1897</v>
      </c>
    </row>
    <row r="66" spans="5:7" x14ac:dyDescent="0.3">
      <c r="E66" t="s">
        <v>7187</v>
      </c>
      <c r="F66" t="s">
        <v>7188</v>
      </c>
      <c r="G66" t="s">
        <v>1897</v>
      </c>
    </row>
    <row r="67" spans="5:7" x14ac:dyDescent="0.3">
      <c r="E67" t="s">
        <v>7190</v>
      </c>
      <c r="F67" t="s">
        <v>7191</v>
      </c>
      <c r="G67" t="s">
        <v>1897</v>
      </c>
    </row>
    <row r="68" spans="5:7" x14ac:dyDescent="0.3">
      <c r="E68" t="s">
        <v>7193</v>
      </c>
      <c r="F68" t="s">
        <v>7194</v>
      </c>
      <c r="G68" t="s">
        <v>1897</v>
      </c>
    </row>
    <row r="69" spans="5:7" x14ac:dyDescent="0.3">
      <c r="E69" t="s">
        <v>7196</v>
      </c>
      <c r="F69" t="s">
        <v>7197</v>
      </c>
      <c r="G69" t="s">
        <v>1898</v>
      </c>
    </row>
    <row r="70" spans="5:7" x14ac:dyDescent="0.3">
      <c r="E70" t="s">
        <v>7199</v>
      </c>
      <c r="F70" t="s">
        <v>7200</v>
      </c>
      <c r="G70" t="s">
        <v>1898</v>
      </c>
    </row>
    <row r="71" spans="5:7" x14ac:dyDescent="0.3">
      <c r="E71" t="s">
        <v>7202</v>
      </c>
      <c r="F71" t="s">
        <v>7203</v>
      </c>
      <c r="G71" t="s">
        <v>1898</v>
      </c>
    </row>
    <row r="72" spans="5:7" x14ac:dyDescent="0.3">
      <c r="E72" t="s">
        <v>7136</v>
      </c>
      <c r="F72" t="s">
        <v>7137</v>
      </c>
      <c r="G72" t="s">
        <v>1898</v>
      </c>
    </row>
    <row r="73" spans="5:7" x14ac:dyDescent="0.3">
      <c r="E73" t="s">
        <v>7205</v>
      </c>
      <c r="F73" t="s">
        <v>7206</v>
      </c>
      <c r="G73" t="s">
        <v>1898</v>
      </c>
    </row>
    <row r="74" spans="5:7" x14ac:dyDescent="0.3">
      <c r="E74" t="s">
        <v>7121</v>
      </c>
      <c r="F74" t="s">
        <v>7122</v>
      </c>
      <c r="G74" t="s">
        <v>1898</v>
      </c>
    </row>
    <row r="75" spans="5:7" x14ac:dyDescent="0.3">
      <c r="E75" t="s">
        <v>7208</v>
      </c>
      <c r="F75" t="s">
        <v>7209</v>
      </c>
      <c r="G75" t="s">
        <v>1898</v>
      </c>
    </row>
    <row r="76" spans="5:7" x14ac:dyDescent="0.3">
      <c r="E76" t="s">
        <v>7212</v>
      </c>
      <c r="F76" t="s">
        <v>7213</v>
      </c>
      <c r="G76" t="s">
        <v>1898</v>
      </c>
    </row>
    <row r="77" spans="5:7" x14ac:dyDescent="0.3">
      <c r="E77" t="s">
        <v>7115</v>
      </c>
      <c r="F77" t="s">
        <v>7116</v>
      </c>
      <c r="G77" t="s">
        <v>1899</v>
      </c>
    </row>
    <row r="78" spans="5:7" x14ac:dyDescent="0.3">
      <c r="E78" t="s">
        <v>7215</v>
      </c>
      <c r="F78" t="s">
        <v>7216</v>
      </c>
      <c r="G78" t="s">
        <v>1899</v>
      </c>
    </row>
    <row r="79" spans="5:7" x14ac:dyDescent="0.3">
      <c r="E79" t="s">
        <v>7218</v>
      </c>
      <c r="F79" t="s">
        <v>7219</v>
      </c>
      <c r="G79" t="s">
        <v>1899</v>
      </c>
    </row>
    <row r="80" spans="5:7" x14ac:dyDescent="0.3">
      <c r="E80" t="s">
        <v>7095</v>
      </c>
      <c r="F80" t="s">
        <v>7096</v>
      </c>
      <c r="G80" t="s">
        <v>1899</v>
      </c>
    </row>
    <row r="81" spans="5:7" x14ac:dyDescent="0.3">
      <c r="E81" t="s">
        <v>7221</v>
      </c>
      <c r="F81" t="s">
        <v>7222</v>
      </c>
      <c r="G81" t="s">
        <v>1899</v>
      </c>
    </row>
    <row r="82" spans="5:7" x14ac:dyDescent="0.3">
      <c r="E82" t="s">
        <v>7102</v>
      </c>
      <c r="F82" t="s">
        <v>7103</v>
      </c>
      <c r="G82" t="s">
        <v>1899</v>
      </c>
    </row>
    <row r="83" spans="5:7" x14ac:dyDescent="0.3">
      <c r="E83" t="s">
        <v>7118</v>
      </c>
      <c r="F83" t="s">
        <v>7119</v>
      </c>
      <c r="G83" t="s">
        <v>1899</v>
      </c>
    </row>
    <row r="84" spans="5:7" x14ac:dyDescent="0.3">
      <c r="E84" t="s">
        <v>7224</v>
      </c>
      <c r="F84" t="s">
        <v>7225</v>
      </c>
      <c r="G84" t="s">
        <v>1899</v>
      </c>
    </row>
    <row r="85" spans="5:7" x14ac:dyDescent="0.3">
      <c r="E85" t="s">
        <v>7070</v>
      </c>
      <c r="F85" t="s">
        <v>7071</v>
      </c>
      <c r="G85" t="s">
        <v>1900</v>
      </c>
    </row>
    <row r="86" spans="5:7" x14ac:dyDescent="0.3">
      <c r="E86" t="s">
        <v>7108</v>
      </c>
      <c r="F86" t="s">
        <v>7109</v>
      </c>
      <c r="G86" t="s">
        <v>1900</v>
      </c>
    </row>
    <row r="87" spans="5:7" x14ac:dyDescent="0.3">
      <c r="E87" t="s">
        <v>7130</v>
      </c>
      <c r="F87" t="s">
        <v>7131</v>
      </c>
      <c r="G87" t="s">
        <v>1900</v>
      </c>
    </row>
    <row r="88" spans="5:7" x14ac:dyDescent="0.3">
      <c r="E88" t="s">
        <v>7082</v>
      </c>
      <c r="F88" t="s">
        <v>7083</v>
      </c>
      <c r="G88" t="s">
        <v>1900</v>
      </c>
    </row>
    <row r="89" spans="5:7" x14ac:dyDescent="0.3">
      <c r="E89" t="s">
        <v>7089</v>
      </c>
      <c r="F89" t="s">
        <v>7090</v>
      </c>
      <c r="G89" t="s">
        <v>1900</v>
      </c>
    </row>
    <row r="90" spans="5:7" x14ac:dyDescent="0.3">
      <c r="E90" t="s">
        <v>7139</v>
      </c>
      <c r="F90" t="s">
        <v>7140</v>
      </c>
      <c r="G90" t="s">
        <v>1900</v>
      </c>
    </row>
    <row r="91" spans="5:7" x14ac:dyDescent="0.3">
      <c r="E91" t="s">
        <v>7079</v>
      </c>
      <c r="F91" t="s">
        <v>7080</v>
      </c>
      <c r="G91" t="s">
        <v>1900</v>
      </c>
    </row>
    <row r="92" spans="5:7" x14ac:dyDescent="0.3">
      <c r="E92" t="s">
        <v>7092</v>
      </c>
      <c r="F92" t="s">
        <v>7093</v>
      </c>
      <c r="G92" t="s">
        <v>1900</v>
      </c>
    </row>
    <row r="93" spans="5:7" x14ac:dyDescent="0.3">
      <c r="E93" t="s">
        <v>7133</v>
      </c>
      <c r="F93" t="s">
        <v>7134</v>
      </c>
      <c r="G93" t="s">
        <v>1900</v>
      </c>
    </row>
    <row r="94" spans="5:7" x14ac:dyDescent="0.3">
      <c r="E94" t="s">
        <v>7105</v>
      </c>
      <c r="F94" t="s">
        <v>7106</v>
      </c>
      <c r="G94" t="s">
        <v>1900</v>
      </c>
    </row>
    <row r="95" spans="5:7" x14ac:dyDescent="0.3">
      <c r="E95" t="s">
        <v>7019</v>
      </c>
      <c r="F95" t="s">
        <v>7020</v>
      </c>
      <c r="G95" t="s">
        <v>1901</v>
      </c>
    </row>
    <row r="96" spans="5:7" x14ac:dyDescent="0.3">
      <c r="E96" t="s">
        <v>7073</v>
      </c>
      <c r="F96" t="s">
        <v>7074</v>
      </c>
      <c r="G96" t="s">
        <v>1901</v>
      </c>
    </row>
    <row r="97" spans="5:7" x14ac:dyDescent="0.3">
      <c r="E97" t="s">
        <v>7227</v>
      </c>
      <c r="F97" t="s">
        <v>7228</v>
      </c>
      <c r="G97" t="s">
        <v>1901</v>
      </c>
    </row>
    <row r="98" spans="5:7" x14ac:dyDescent="0.3">
      <c r="E98" t="s">
        <v>7064</v>
      </c>
      <c r="F98" t="s">
        <v>7065</v>
      </c>
      <c r="G98" t="s">
        <v>1901</v>
      </c>
    </row>
    <row r="99" spans="5:7" x14ac:dyDescent="0.3">
      <c r="E99" t="s">
        <v>7085</v>
      </c>
      <c r="F99" t="s">
        <v>7086</v>
      </c>
      <c r="G99" t="s">
        <v>1901</v>
      </c>
    </row>
    <row r="100" spans="5:7" x14ac:dyDescent="0.3">
      <c r="E100" t="s">
        <v>7057</v>
      </c>
      <c r="F100" t="s">
        <v>7058</v>
      </c>
      <c r="G100" t="s">
        <v>1901</v>
      </c>
    </row>
    <row r="101" spans="5:7" x14ac:dyDescent="0.3">
      <c r="E101" t="s">
        <v>7033</v>
      </c>
      <c r="F101" t="s">
        <v>7034</v>
      </c>
      <c r="G101" t="s">
        <v>1901</v>
      </c>
    </row>
    <row r="102" spans="5:7" x14ac:dyDescent="0.3">
      <c r="E102" t="s">
        <v>7067</v>
      </c>
      <c r="F102" t="s">
        <v>7068</v>
      </c>
      <c r="G102" t="s">
        <v>1901</v>
      </c>
    </row>
    <row r="103" spans="5:7" x14ac:dyDescent="0.3">
      <c r="E103" t="s">
        <v>6999</v>
      </c>
      <c r="F103" t="s">
        <v>7000</v>
      </c>
      <c r="G103" t="s">
        <v>1902</v>
      </c>
    </row>
    <row r="104" spans="5:7" x14ac:dyDescent="0.3">
      <c r="E104" t="s">
        <v>7015</v>
      </c>
      <c r="F104" t="s">
        <v>7016</v>
      </c>
      <c r="G104" t="s">
        <v>1902</v>
      </c>
    </row>
    <row r="105" spans="5:7" x14ac:dyDescent="0.3">
      <c r="E105" t="s">
        <v>7040</v>
      </c>
      <c r="F105" t="s">
        <v>7041</v>
      </c>
      <c r="G105" t="s">
        <v>1902</v>
      </c>
    </row>
    <row r="106" spans="5:7" x14ac:dyDescent="0.3">
      <c r="E106" t="s">
        <v>7002</v>
      </c>
      <c r="F106" t="s">
        <v>7003</v>
      </c>
      <c r="G106" t="s">
        <v>1902</v>
      </c>
    </row>
    <row r="107" spans="5:7" x14ac:dyDescent="0.3">
      <c r="E107" t="s">
        <v>7026</v>
      </c>
      <c r="F107" t="s">
        <v>7027</v>
      </c>
      <c r="G107" t="s">
        <v>1902</v>
      </c>
    </row>
    <row r="108" spans="5:7" x14ac:dyDescent="0.3">
      <c r="E108" t="s">
        <v>7005</v>
      </c>
      <c r="F108" t="s">
        <v>7006</v>
      </c>
      <c r="G108" t="s">
        <v>1902</v>
      </c>
    </row>
    <row r="109" spans="5:7" x14ac:dyDescent="0.3">
      <c r="E109" t="s">
        <v>7012</v>
      </c>
      <c r="F109" t="s">
        <v>7013</v>
      </c>
      <c r="G109" t="s">
        <v>1902</v>
      </c>
    </row>
    <row r="110" spans="5:7" x14ac:dyDescent="0.3">
      <c r="E110" t="s">
        <v>7054</v>
      </c>
      <c r="F110" t="s">
        <v>7055</v>
      </c>
      <c r="G110" t="s">
        <v>1902</v>
      </c>
    </row>
    <row r="111" spans="5:7" x14ac:dyDescent="0.3">
      <c r="E111" t="s">
        <v>6972</v>
      </c>
      <c r="F111" t="s">
        <v>6973</v>
      </c>
      <c r="G111" t="s">
        <v>1903</v>
      </c>
    </row>
    <row r="112" spans="5:7" x14ac:dyDescent="0.3">
      <c r="E112" t="s">
        <v>6987</v>
      </c>
      <c r="F112" t="s">
        <v>6988</v>
      </c>
      <c r="G112" t="s">
        <v>1903</v>
      </c>
    </row>
    <row r="113" spans="5:7" x14ac:dyDescent="0.3">
      <c r="E113" t="s">
        <v>7022</v>
      </c>
      <c r="F113" t="s">
        <v>7023</v>
      </c>
      <c r="G113" t="s">
        <v>1903</v>
      </c>
    </row>
    <row r="114" spans="5:7" x14ac:dyDescent="0.3">
      <c r="E114" t="s">
        <v>6965</v>
      </c>
      <c r="F114" t="s">
        <v>6966</v>
      </c>
      <c r="G114" t="s">
        <v>1903</v>
      </c>
    </row>
    <row r="115" spans="5:7" x14ac:dyDescent="0.3">
      <c r="E115" t="s">
        <v>6981</v>
      </c>
      <c r="F115" t="s">
        <v>6982</v>
      </c>
      <c r="G115" t="s">
        <v>1903</v>
      </c>
    </row>
    <row r="116" spans="5:7" x14ac:dyDescent="0.3">
      <c r="E116" t="s">
        <v>7030</v>
      </c>
      <c r="F116" t="s">
        <v>7031</v>
      </c>
      <c r="G116" t="s">
        <v>1903</v>
      </c>
    </row>
    <row r="117" spans="5:7" x14ac:dyDescent="0.3">
      <c r="E117" t="s">
        <v>6975</v>
      </c>
      <c r="F117" t="s">
        <v>6976</v>
      </c>
      <c r="G117" t="s">
        <v>1903</v>
      </c>
    </row>
    <row r="118" spans="5:7" x14ac:dyDescent="0.3">
      <c r="E118" t="s">
        <v>6962</v>
      </c>
      <c r="F118" t="s">
        <v>6963</v>
      </c>
      <c r="G118" t="s">
        <v>1903</v>
      </c>
    </row>
    <row r="119" spans="5:7" x14ac:dyDescent="0.3">
      <c r="E119" t="s">
        <v>7036</v>
      </c>
      <c r="F119" t="s">
        <v>7037</v>
      </c>
      <c r="G119" t="s">
        <v>1903</v>
      </c>
    </row>
    <row r="120" spans="5:7" x14ac:dyDescent="0.3">
      <c r="E120" t="s">
        <v>6984</v>
      </c>
      <c r="F120" t="s">
        <v>6985</v>
      </c>
      <c r="G120" t="s">
        <v>1903</v>
      </c>
    </row>
    <row r="121" spans="5:7" x14ac:dyDescent="0.3">
      <c r="E121" t="s">
        <v>7009</v>
      </c>
      <c r="F121" t="s">
        <v>7010</v>
      </c>
      <c r="G121" t="s">
        <v>1904</v>
      </c>
    </row>
    <row r="122" spans="5:7" x14ac:dyDescent="0.3">
      <c r="E122" t="s">
        <v>6978</v>
      </c>
      <c r="F122" t="s">
        <v>6979</v>
      </c>
      <c r="G122" t="s">
        <v>1904</v>
      </c>
    </row>
    <row r="123" spans="5:7" x14ac:dyDescent="0.3">
      <c r="E123" t="s">
        <v>6959</v>
      </c>
      <c r="F123" t="s">
        <v>6960</v>
      </c>
      <c r="G123" t="s">
        <v>1904</v>
      </c>
    </row>
    <row r="124" spans="5:7" x14ac:dyDescent="0.3">
      <c r="E124" t="s">
        <v>6969</v>
      </c>
      <c r="F124" t="s">
        <v>6970</v>
      </c>
      <c r="G124" t="s">
        <v>1904</v>
      </c>
    </row>
    <row r="125" spans="5:7" x14ac:dyDescent="0.3">
      <c r="E125" t="s">
        <v>6946</v>
      </c>
      <c r="F125" t="s">
        <v>6947</v>
      </c>
      <c r="G125" t="s">
        <v>1904</v>
      </c>
    </row>
    <row r="126" spans="5:7" x14ac:dyDescent="0.3">
      <c r="E126" t="s">
        <v>7060</v>
      </c>
      <c r="F126" t="s">
        <v>7061</v>
      </c>
      <c r="G126" t="s">
        <v>1904</v>
      </c>
    </row>
    <row r="127" spans="5:7" x14ac:dyDescent="0.3">
      <c r="E127" t="s">
        <v>7051</v>
      </c>
      <c r="F127" t="s">
        <v>7052</v>
      </c>
      <c r="G127" t="s">
        <v>1904</v>
      </c>
    </row>
    <row r="128" spans="5:7" x14ac:dyDescent="0.3">
      <c r="E128" t="s">
        <v>6919</v>
      </c>
      <c r="F128" t="s">
        <v>6920</v>
      </c>
      <c r="G128" t="s">
        <v>1904</v>
      </c>
    </row>
    <row r="129" spans="5:7" x14ac:dyDescent="0.3">
      <c r="E129" t="s">
        <v>6888</v>
      </c>
      <c r="F129" t="s">
        <v>6889</v>
      </c>
      <c r="G129" t="s">
        <v>1905</v>
      </c>
    </row>
    <row r="130" spans="5:7" x14ac:dyDescent="0.3">
      <c r="E130" t="s">
        <v>6909</v>
      </c>
      <c r="F130" t="s">
        <v>6910</v>
      </c>
      <c r="G130" t="s">
        <v>1905</v>
      </c>
    </row>
    <row r="131" spans="5:7" x14ac:dyDescent="0.3">
      <c r="E131" t="s">
        <v>6922</v>
      </c>
      <c r="F131" t="s">
        <v>6923</v>
      </c>
      <c r="G131" t="s">
        <v>1905</v>
      </c>
    </row>
    <row r="132" spans="5:7" x14ac:dyDescent="0.3">
      <c r="E132" t="s">
        <v>6940</v>
      </c>
      <c r="F132" t="s">
        <v>6941</v>
      </c>
      <c r="G132" t="s">
        <v>1905</v>
      </c>
    </row>
    <row r="133" spans="5:7" x14ac:dyDescent="0.3">
      <c r="E133" t="s">
        <v>6950</v>
      </c>
      <c r="F133" t="s">
        <v>6951</v>
      </c>
      <c r="G133" t="s">
        <v>1905</v>
      </c>
    </row>
    <row r="134" spans="5:7" x14ac:dyDescent="0.3">
      <c r="E134" t="s">
        <v>6903</v>
      </c>
      <c r="F134" t="s">
        <v>6904</v>
      </c>
      <c r="G134" t="s">
        <v>1905</v>
      </c>
    </row>
    <row r="135" spans="5:7" x14ac:dyDescent="0.3">
      <c r="E135" t="s">
        <v>6916</v>
      </c>
      <c r="F135" t="s">
        <v>6917</v>
      </c>
      <c r="G135" t="s">
        <v>1905</v>
      </c>
    </row>
    <row r="136" spans="5:7" x14ac:dyDescent="0.3">
      <c r="E136" t="s">
        <v>6993</v>
      </c>
      <c r="F136" t="s">
        <v>6994</v>
      </c>
      <c r="G136" t="s">
        <v>1905</v>
      </c>
    </row>
    <row r="137" spans="5:7" x14ac:dyDescent="0.3">
      <c r="E137" t="s">
        <v>6874</v>
      </c>
      <c r="F137" t="s">
        <v>6875</v>
      </c>
      <c r="G137" t="s">
        <v>1906</v>
      </c>
    </row>
    <row r="138" spans="5:7" x14ac:dyDescent="0.3">
      <c r="E138" t="s">
        <v>6900</v>
      </c>
      <c r="F138" t="s">
        <v>6901</v>
      </c>
      <c r="G138" t="s">
        <v>1906</v>
      </c>
    </row>
    <row r="139" spans="5:7" x14ac:dyDescent="0.3">
      <c r="E139" t="s">
        <v>6937</v>
      </c>
      <c r="F139" t="s">
        <v>6938</v>
      </c>
      <c r="G139" t="s">
        <v>1906</v>
      </c>
    </row>
    <row r="140" spans="5:7" x14ac:dyDescent="0.3">
      <c r="E140" t="s">
        <v>6990</v>
      </c>
      <c r="F140" t="s">
        <v>6991</v>
      </c>
      <c r="G140" t="s">
        <v>1906</v>
      </c>
    </row>
    <row r="141" spans="5:7" x14ac:dyDescent="0.3">
      <c r="E141" t="s">
        <v>6925</v>
      </c>
      <c r="F141" t="s">
        <v>6926</v>
      </c>
      <c r="G141" t="s">
        <v>1906</v>
      </c>
    </row>
    <row r="142" spans="5:7" x14ac:dyDescent="0.3">
      <c r="E142" t="s">
        <v>6864</v>
      </c>
      <c r="F142" t="s">
        <v>6865</v>
      </c>
      <c r="G142" t="s">
        <v>1906</v>
      </c>
    </row>
    <row r="143" spans="5:7" x14ac:dyDescent="0.3">
      <c r="E143" t="s">
        <v>6885</v>
      </c>
      <c r="F143" t="s">
        <v>6886</v>
      </c>
      <c r="G143" t="s">
        <v>1906</v>
      </c>
    </row>
    <row r="144" spans="5:7" x14ac:dyDescent="0.3">
      <c r="E144" t="s">
        <v>6912</v>
      </c>
      <c r="F144" t="s">
        <v>6913</v>
      </c>
      <c r="G144" t="s">
        <v>1906</v>
      </c>
    </row>
    <row r="145" spans="5:7" x14ac:dyDescent="0.3">
      <c r="E145" t="s">
        <v>6931</v>
      </c>
      <c r="F145" t="s">
        <v>6932</v>
      </c>
      <c r="G145" t="s">
        <v>1906</v>
      </c>
    </row>
    <row r="146" spans="5:7" x14ac:dyDescent="0.3">
      <c r="E146" t="s">
        <v>6897</v>
      </c>
      <c r="F146" t="s">
        <v>6898</v>
      </c>
      <c r="G146" t="s">
        <v>1906</v>
      </c>
    </row>
    <row r="147" spans="5:7" x14ac:dyDescent="0.3">
      <c r="E147" t="s">
        <v>6858</v>
      </c>
      <c r="F147" t="s">
        <v>6859</v>
      </c>
      <c r="G147" t="s">
        <v>1907</v>
      </c>
    </row>
    <row r="148" spans="5:7" x14ac:dyDescent="0.3">
      <c r="E148" t="s">
        <v>6891</v>
      </c>
      <c r="F148" t="s">
        <v>6892</v>
      </c>
      <c r="G148" t="s">
        <v>1907</v>
      </c>
    </row>
    <row r="149" spans="5:7" x14ac:dyDescent="0.3">
      <c r="E149" t="s">
        <v>6867</v>
      </c>
      <c r="F149" t="s">
        <v>6868</v>
      </c>
      <c r="G149" t="s">
        <v>1907</v>
      </c>
    </row>
    <row r="150" spans="5:7" x14ac:dyDescent="0.3">
      <c r="E150" t="s">
        <v>6906</v>
      </c>
      <c r="F150" t="s">
        <v>6907</v>
      </c>
      <c r="G150" t="s">
        <v>1907</v>
      </c>
    </row>
    <row r="151" spans="5:7" x14ac:dyDescent="0.3">
      <c r="E151" t="s">
        <v>6852</v>
      </c>
      <c r="F151" t="s">
        <v>6853</v>
      </c>
      <c r="G151" t="s">
        <v>1907</v>
      </c>
    </row>
    <row r="152" spans="5:7" x14ac:dyDescent="0.3">
      <c r="E152" t="s">
        <v>6878</v>
      </c>
      <c r="F152" t="s">
        <v>6879</v>
      </c>
      <c r="G152" t="s">
        <v>1907</v>
      </c>
    </row>
    <row r="153" spans="5:7" x14ac:dyDescent="0.3">
      <c r="E153" t="s">
        <v>6861</v>
      </c>
      <c r="F153" t="s">
        <v>6862</v>
      </c>
      <c r="G153" t="s">
        <v>1907</v>
      </c>
    </row>
    <row r="154" spans="5:7" x14ac:dyDescent="0.3">
      <c r="E154" t="s">
        <v>6894</v>
      </c>
      <c r="F154" t="s">
        <v>6895</v>
      </c>
      <c r="G154" t="s">
        <v>1907</v>
      </c>
    </row>
    <row r="155" spans="5:7" x14ac:dyDescent="0.3">
      <c r="E155" t="s">
        <v>6870</v>
      </c>
      <c r="F155" t="s">
        <v>6871</v>
      </c>
      <c r="G155" t="s">
        <v>1908</v>
      </c>
    </row>
    <row r="156" spans="5:7" x14ac:dyDescent="0.3">
      <c r="E156" t="s">
        <v>6846</v>
      </c>
      <c r="F156" t="s">
        <v>6847</v>
      </c>
      <c r="G156" t="s">
        <v>1908</v>
      </c>
    </row>
    <row r="157" spans="5:7" x14ac:dyDescent="0.3">
      <c r="E157" t="s">
        <v>6996</v>
      </c>
      <c r="F157" t="s">
        <v>6997</v>
      </c>
      <c r="G157" t="s">
        <v>1908</v>
      </c>
    </row>
    <row r="158" spans="5:7" x14ac:dyDescent="0.3">
      <c r="E158" t="s">
        <v>6881</v>
      </c>
      <c r="F158" t="s">
        <v>6882</v>
      </c>
      <c r="G158" t="s">
        <v>1908</v>
      </c>
    </row>
    <row r="159" spans="5:7" x14ac:dyDescent="0.3">
      <c r="E159" t="s">
        <v>6849</v>
      </c>
      <c r="F159" t="s">
        <v>6850</v>
      </c>
      <c r="G159" t="s">
        <v>1908</v>
      </c>
    </row>
    <row r="160" spans="5:7" x14ac:dyDescent="0.3">
      <c r="E160" t="s">
        <v>6837</v>
      </c>
      <c r="F160" t="s">
        <v>6838</v>
      </c>
      <c r="G160" t="s">
        <v>1908</v>
      </c>
    </row>
    <row r="161" spans="5:7" x14ac:dyDescent="0.3">
      <c r="E161" t="s">
        <v>6855</v>
      </c>
      <c r="F161" t="s">
        <v>6856</v>
      </c>
      <c r="G161" t="s">
        <v>1908</v>
      </c>
    </row>
    <row r="162" spans="5:7" x14ac:dyDescent="0.3">
      <c r="E162" t="s">
        <v>6840</v>
      </c>
      <c r="F162" t="s">
        <v>6841</v>
      </c>
      <c r="G162" t="s">
        <v>1908</v>
      </c>
    </row>
    <row r="163" spans="5:7" x14ac:dyDescent="0.3">
      <c r="E163" t="s">
        <v>7230</v>
      </c>
      <c r="F163" t="s">
        <v>7231</v>
      </c>
      <c r="G163" t="s">
        <v>1909</v>
      </c>
    </row>
    <row r="164" spans="5:7" x14ac:dyDescent="0.3">
      <c r="E164" t="s">
        <v>7233</v>
      </c>
      <c r="F164" t="s">
        <v>7234</v>
      </c>
      <c r="G164" t="s">
        <v>1909</v>
      </c>
    </row>
    <row r="165" spans="5:7" x14ac:dyDescent="0.3">
      <c r="E165" t="s">
        <v>7237</v>
      </c>
      <c r="F165" t="s">
        <v>7238</v>
      </c>
      <c r="G165" t="s">
        <v>1909</v>
      </c>
    </row>
    <row r="166" spans="5:7" x14ac:dyDescent="0.3">
      <c r="E166" t="s">
        <v>7240</v>
      </c>
      <c r="F166" t="s">
        <v>7241</v>
      </c>
      <c r="G166" t="s">
        <v>1909</v>
      </c>
    </row>
    <row r="167" spans="5:7" x14ac:dyDescent="0.3">
      <c r="E167" t="s">
        <v>7243</v>
      </c>
      <c r="F167" t="s">
        <v>7244</v>
      </c>
      <c r="G167" t="s">
        <v>1909</v>
      </c>
    </row>
    <row r="168" spans="5:7" x14ac:dyDescent="0.3">
      <c r="E168" t="s">
        <v>7246</v>
      </c>
      <c r="F168" t="s">
        <v>7247</v>
      </c>
      <c r="G168" t="s">
        <v>1909</v>
      </c>
    </row>
    <row r="169" spans="5:7" x14ac:dyDescent="0.3">
      <c r="E169" t="s">
        <v>7250</v>
      </c>
      <c r="F169" t="s">
        <v>7251</v>
      </c>
      <c r="G169" t="s">
        <v>1909</v>
      </c>
    </row>
    <row r="170" spans="5:7" x14ac:dyDescent="0.3">
      <c r="E170" t="s">
        <v>7253</v>
      </c>
      <c r="F170" t="s">
        <v>7254</v>
      </c>
      <c r="G170" t="s">
        <v>1909</v>
      </c>
    </row>
    <row r="171" spans="5:7" x14ac:dyDescent="0.3">
      <c r="E171" t="s">
        <v>7256</v>
      </c>
      <c r="F171" t="s">
        <v>7257</v>
      </c>
      <c r="G171" t="s">
        <v>1909</v>
      </c>
    </row>
    <row r="172" spans="5:7" x14ac:dyDescent="0.3">
      <c r="E172" t="s">
        <v>7259</v>
      </c>
      <c r="F172" t="s">
        <v>7260</v>
      </c>
      <c r="G172" t="s">
        <v>1909</v>
      </c>
    </row>
    <row r="173" spans="5:7" x14ac:dyDescent="0.3">
      <c r="E173" t="s">
        <v>6803</v>
      </c>
      <c r="F173" t="s">
        <v>6804</v>
      </c>
      <c r="G173" t="s">
        <v>2511</v>
      </c>
    </row>
    <row r="174" spans="5:7" x14ac:dyDescent="0.3">
      <c r="E174" t="s">
        <v>6831</v>
      </c>
      <c r="F174" t="s">
        <v>6832</v>
      </c>
      <c r="G174" t="s">
        <v>2511</v>
      </c>
    </row>
    <row r="175" spans="5:7" x14ac:dyDescent="0.3">
      <c r="E175" t="s">
        <v>6807</v>
      </c>
      <c r="F175" t="s">
        <v>6808</v>
      </c>
      <c r="G175" t="s">
        <v>2511</v>
      </c>
    </row>
    <row r="176" spans="5:7" x14ac:dyDescent="0.3">
      <c r="E176" t="s">
        <v>6824</v>
      </c>
      <c r="F176" t="s">
        <v>6825</v>
      </c>
      <c r="G176" t="s">
        <v>2511</v>
      </c>
    </row>
    <row r="177" spans="5:7" x14ac:dyDescent="0.3">
      <c r="E177" t="s">
        <v>6943</v>
      </c>
      <c r="F177" t="s">
        <v>6944</v>
      </c>
      <c r="G177" t="s">
        <v>2511</v>
      </c>
    </row>
    <row r="178" spans="5:7" x14ac:dyDescent="0.3">
      <c r="E178" t="s">
        <v>6953</v>
      </c>
      <c r="F178" t="s">
        <v>6954</v>
      </c>
      <c r="G178" t="s">
        <v>2511</v>
      </c>
    </row>
    <row r="179" spans="5:7" x14ac:dyDescent="0.3">
      <c r="E179" t="s">
        <v>6934</v>
      </c>
      <c r="F179" t="s">
        <v>6935</v>
      </c>
      <c r="G179" t="s">
        <v>2511</v>
      </c>
    </row>
    <row r="180" spans="5:7" x14ac:dyDescent="0.3">
      <c r="E180" t="s">
        <v>6956</v>
      </c>
      <c r="F180" t="s">
        <v>6957</v>
      </c>
      <c r="G180" t="s">
        <v>2511</v>
      </c>
    </row>
    <row r="181" spans="5:7" x14ac:dyDescent="0.3">
      <c r="E181" t="s">
        <v>6821</v>
      </c>
      <c r="F181" t="s">
        <v>6822</v>
      </c>
      <c r="G181" t="s">
        <v>2512</v>
      </c>
    </row>
    <row r="182" spans="5:7" x14ac:dyDescent="0.3">
      <c r="E182" t="s">
        <v>6811</v>
      </c>
      <c r="F182" t="s">
        <v>6812</v>
      </c>
      <c r="G182" t="s">
        <v>2512</v>
      </c>
    </row>
    <row r="183" spans="5:7" x14ac:dyDescent="0.3">
      <c r="E183" t="s">
        <v>6818</v>
      </c>
      <c r="F183" t="s">
        <v>6819</v>
      </c>
      <c r="G183" t="s">
        <v>2512</v>
      </c>
    </row>
    <row r="184" spans="5:7" x14ac:dyDescent="0.3">
      <c r="E184" t="s">
        <v>6814</v>
      </c>
      <c r="F184" t="s">
        <v>6815</v>
      </c>
      <c r="G184" t="s">
        <v>2512</v>
      </c>
    </row>
    <row r="185" spans="5:7" x14ac:dyDescent="0.3">
      <c r="E185" t="s">
        <v>6828</v>
      </c>
      <c r="F185" t="s">
        <v>6829</v>
      </c>
      <c r="G185" t="s">
        <v>2512</v>
      </c>
    </row>
    <row r="186" spans="5:7" x14ac:dyDescent="0.3">
      <c r="E186" t="s">
        <v>6928</v>
      </c>
      <c r="F186" t="s">
        <v>6929</v>
      </c>
      <c r="G186" t="s">
        <v>2512</v>
      </c>
    </row>
    <row r="187" spans="5:7" x14ac:dyDescent="0.3">
      <c r="E187" t="s">
        <v>6834</v>
      </c>
      <c r="F187" t="s">
        <v>6835</v>
      </c>
      <c r="G187" t="s">
        <v>2512</v>
      </c>
    </row>
    <row r="188" spans="5:7" x14ac:dyDescent="0.3">
      <c r="E188" t="s">
        <v>6843</v>
      </c>
      <c r="F188" t="s">
        <v>6844</v>
      </c>
      <c r="G188" t="s">
        <v>2512</v>
      </c>
    </row>
    <row r="189" spans="5:7" x14ac:dyDescent="0.3">
      <c r="E189" t="s">
        <v>7044</v>
      </c>
      <c r="F189" t="s">
        <v>7045</v>
      </c>
      <c r="G189" t="s">
        <v>2513</v>
      </c>
    </row>
    <row r="190" spans="5:7" x14ac:dyDescent="0.3">
      <c r="E190" t="s">
        <v>7098</v>
      </c>
      <c r="F190" t="s">
        <v>7099</v>
      </c>
      <c r="G190" t="s">
        <v>2513</v>
      </c>
    </row>
    <row r="191" spans="5:7" x14ac:dyDescent="0.3">
      <c r="E191" t="s">
        <v>7124</v>
      </c>
      <c r="F191" t="s">
        <v>7125</v>
      </c>
      <c r="G191" t="s">
        <v>2513</v>
      </c>
    </row>
    <row r="192" spans="5:7" x14ac:dyDescent="0.3">
      <c r="E192" t="s">
        <v>7127</v>
      </c>
      <c r="F192" t="s">
        <v>7128</v>
      </c>
      <c r="G192" t="s">
        <v>2513</v>
      </c>
    </row>
    <row r="193" spans="5:7" x14ac:dyDescent="0.3">
      <c r="E193" t="s">
        <v>7262</v>
      </c>
      <c r="F193" t="s">
        <v>7263</v>
      </c>
      <c r="G193" t="s">
        <v>2513</v>
      </c>
    </row>
    <row r="194" spans="5:7" x14ac:dyDescent="0.3">
      <c r="E194" t="s">
        <v>7265</v>
      </c>
      <c r="F194" t="s">
        <v>7266</v>
      </c>
      <c r="G194" t="s">
        <v>2513</v>
      </c>
    </row>
    <row r="195" spans="5:7" x14ac:dyDescent="0.3">
      <c r="E195" t="s">
        <v>7048</v>
      </c>
      <c r="F195" t="s">
        <v>7049</v>
      </c>
      <c r="G195" t="s">
        <v>2513</v>
      </c>
    </row>
    <row r="196" spans="5:7" x14ac:dyDescent="0.3">
      <c r="E196" t="s">
        <v>7076</v>
      </c>
      <c r="F196" t="s">
        <v>7077</v>
      </c>
      <c r="G196" t="s">
        <v>2513</v>
      </c>
    </row>
    <row r="197" spans="5:7" x14ac:dyDescent="0.3">
      <c r="E197" t="s">
        <v>7112</v>
      </c>
      <c r="F197" t="s">
        <v>7113</v>
      </c>
      <c r="G197" t="s">
        <v>2513</v>
      </c>
    </row>
    <row r="198" spans="5:7" x14ac:dyDescent="0.3">
      <c r="E198" t="s">
        <v>7268</v>
      </c>
      <c r="F198" t="s">
        <v>7269</v>
      </c>
      <c r="G198" t="s">
        <v>2513</v>
      </c>
    </row>
    <row r="199" spans="5:7" x14ac:dyDescent="0.3">
      <c r="E199" t="s">
        <v>7271</v>
      </c>
      <c r="F199" t="s">
        <v>7272</v>
      </c>
      <c r="G199" t="s">
        <v>2513</v>
      </c>
    </row>
    <row r="200" spans="5:7" x14ac:dyDescent="0.3">
      <c r="E200" t="s">
        <v>7274</v>
      </c>
      <c r="F200" t="s">
        <v>7275</v>
      </c>
      <c r="G200" t="s">
        <v>2513</v>
      </c>
    </row>
  </sheetData>
  <conditionalFormatting sqref="F5:F200">
    <cfRule type="duplicateValues" dxfId="0" priority="599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07F9-D23F-4316-84A6-BB74C4221918}">
  <dimension ref="A1:M19"/>
  <sheetViews>
    <sheetView view="pageBreakPreview" zoomScale="80" zoomScaleNormal="110" zoomScaleSheetLayoutView="80" workbookViewId="0">
      <selection activeCell="D18" sqref="D18"/>
    </sheetView>
  </sheetViews>
  <sheetFormatPr defaultColWidth="8.88671875" defaultRowHeight="14.4" x14ac:dyDescent="0.3"/>
  <cols>
    <col min="1" max="1" width="8.88671875" style="132"/>
    <col min="2" max="2" width="44.44140625" style="132" bestFit="1" customWidth="1"/>
    <col min="3" max="3" width="7.109375" style="132" customWidth="1"/>
    <col min="4" max="4" width="12.44140625" style="132" bestFit="1" customWidth="1"/>
    <col min="5" max="7" width="11.88671875" style="132" customWidth="1"/>
    <col min="8" max="8" width="14.5546875" style="132" bestFit="1" customWidth="1"/>
    <col min="9" max="9" width="11.88671875" style="132" customWidth="1"/>
    <col min="10" max="10" width="14.5546875" style="132" customWidth="1"/>
    <col min="11" max="11" width="11.88671875" style="132" customWidth="1"/>
    <col min="12" max="12" width="14.5546875" style="132" customWidth="1"/>
    <col min="13" max="16384" width="8.88671875" style="132"/>
  </cols>
  <sheetData>
    <row r="1" spans="1:13" s="185" customFormat="1" ht="42" customHeight="1" x14ac:dyDescent="0.3">
      <c r="A1" s="189"/>
      <c r="B1" s="1912" t="s">
        <v>141</v>
      </c>
      <c r="C1" s="1913"/>
      <c r="D1" s="1913"/>
      <c r="E1" s="1913"/>
      <c r="F1" s="1913"/>
      <c r="G1" s="1913"/>
      <c r="H1" s="1913"/>
      <c r="I1" s="1913"/>
      <c r="J1" s="1913"/>
      <c r="K1" s="1914"/>
      <c r="L1" s="1914"/>
      <c r="M1" s="978"/>
    </row>
    <row r="2" spans="1:13" x14ac:dyDescent="0.3">
      <c r="A2" s="1915" t="s">
        <v>10684</v>
      </c>
      <c r="B2" s="1915"/>
      <c r="C2" s="1915"/>
      <c r="D2" s="1915"/>
      <c r="E2" s="1915"/>
      <c r="F2" s="1915"/>
      <c r="G2" s="1915"/>
      <c r="H2" s="1915"/>
      <c r="I2" s="1915"/>
      <c r="J2" s="1915"/>
      <c r="K2" s="1915"/>
      <c r="L2" s="1915"/>
    </row>
    <row r="3" spans="1:13" s="844" customFormat="1" ht="29.4" customHeight="1" x14ac:dyDescent="0.3">
      <c r="A3" s="1723" t="s">
        <v>498</v>
      </c>
      <c r="B3" s="1723" t="s">
        <v>176</v>
      </c>
      <c r="C3" s="1723" t="s">
        <v>177</v>
      </c>
      <c r="D3" s="1723" t="s">
        <v>10685</v>
      </c>
      <c r="E3" s="1755" t="s">
        <v>10686</v>
      </c>
      <c r="F3" s="1916"/>
      <c r="G3" s="1916"/>
      <c r="H3" s="1756"/>
      <c r="I3" s="1750" t="s">
        <v>10687</v>
      </c>
      <c r="J3" s="1751"/>
      <c r="K3" s="1910" t="s">
        <v>10688</v>
      </c>
      <c r="L3" s="1911"/>
    </row>
    <row r="4" spans="1:13" s="844" customFormat="1" x14ac:dyDescent="0.3">
      <c r="A4" s="1724"/>
      <c r="B4" s="1724"/>
      <c r="C4" s="1724"/>
      <c r="D4" s="1724"/>
      <c r="E4" s="980" t="s">
        <v>10689</v>
      </c>
      <c r="F4" s="980" t="s">
        <v>10690</v>
      </c>
      <c r="G4" s="980" t="s">
        <v>10691</v>
      </c>
      <c r="H4" s="1113" t="s">
        <v>10692</v>
      </c>
      <c r="I4" s="1112" t="s">
        <v>10693</v>
      </c>
      <c r="J4" s="1112" t="s">
        <v>26</v>
      </c>
      <c r="K4" s="60" t="s">
        <v>10693</v>
      </c>
      <c r="L4" s="60" t="s">
        <v>26</v>
      </c>
    </row>
    <row r="5" spans="1:13" s="844" customFormat="1" x14ac:dyDescent="0.3">
      <c r="A5" s="1725"/>
      <c r="B5" s="1725"/>
      <c r="C5" s="1725"/>
      <c r="D5" s="980" t="s">
        <v>30</v>
      </c>
      <c r="E5" s="980" t="s">
        <v>49</v>
      </c>
      <c r="F5" s="980" t="s">
        <v>60</v>
      </c>
      <c r="G5" s="980" t="s">
        <v>10694</v>
      </c>
      <c r="H5" s="980" t="s">
        <v>10695</v>
      </c>
      <c r="I5" s="980" t="s">
        <v>10696</v>
      </c>
      <c r="J5" s="980" t="s">
        <v>10697</v>
      </c>
      <c r="K5" s="980" t="s">
        <v>10698</v>
      </c>
      <c r="L5" s="980" t="s">
        <v>10699</v>
      </c>
    </row>
    <row r="6" spans="1:13" x14ac:dyDescent="0.3">
      <c r="A6" s="755"/>
      <c r="B6" s="755"/>
      <c r="C6" s="1060"/>
      <c r="D6" s="859"/>
      <c r="E6" s="1119"/>
      <c r="F6" s="1119"/>
      <c r="G6" s="1120"/>
      <c r="H6" s="1120"/>
      <c r="I6" s="1119"/>
      <c r="J6" s="1119"/>
      <c r="K6" s="1119"/>
      <c r="L6" s="1119"/>
    </row>
    <row r="7" spans="1:13" x14ac:dyDescent="0.3">
      <c r="A7" s="769" t="s">
        <v>3044</v>
      </c>
      <c r="B7" s="769" t="s">
        <v>368</v>
      </c>
      <c r="C7" s="996" t="s">
        <v>190</v>
      </c>
      <c r="D7" s="860">
        <v>1150470.3999999999</v>
      </c>
      <c r="E7" s="1116">
        <f>'Detailed breakup'!$O$316</f>
        <v>1</v>
      </c>
      <c r="F7" s="1116">
        <v>1</v>
      </c>
      <c r="G7" s="1117">
        <f>E7+F7</f>
        <v>2</v>
      </c>
      <c r="H7" s="1123">
        <f>G7*D7</f>
        <v>2300940.7999999998</v>
      </c>
      <c r="I7" s="1116">
        <v>-2</v>
      </c>
      <c r="J7" s="1122">
        <f>I7*D7</f>
        <v>-2300940.7999999998</v>
      </c>
      <c r="K7" s="1116">
        <f>G7+I7</f>
        <v>0</v>
      </c>
      <c r="L7" s="171">
        <f>K7*D7</f>
        <v>0</v>
      </c>
    </row>
    <row r="8" spans="1:13" x14ac:dyDescent="0.3">
      <c r="A8" s="769"/>
      <c r="B8" s="769"/>
      <c r="C8" s="996"/>
      <c r="D8" s="861"/>
      <c r="E8" s="1116"/>
      <c r="F8" s="1116"/>
      <c r="G8" s="769"/>
      <c r="H8" s="1123"/>
      <c r="I8" s="1116"/>
      <c r="J8" s="1116"/>
      <c r="K8" s="1116"/>
      <c r="L8" s="171"/>
    </row>
    <row r="9" spans="1:13" x14ac:dyDescent="0.3">
      <c r="A9" s="769" t="s">
        <v>3058</v>
      </c>
      <c r="B9" s="769" t="s">
        <v>369</v>
      </c>
      <c r="C9" s="996" t="s">
        <v>190</v>
      </c>
      <c r="D9" s="860">
        <v>287617.59999999998</v>
      </c>
      <c r="E9" s="1116">
        <f>'Detailed breakup'!$O$317</f>
        <v>1</v>
      </c>
      <c r="F9" s="1116">
        <v>3</v>
      </c>
      <c r="G9" s="1117">
        <f>E9+F9</f>
        <v>4</v>
      </c>
      <c r="H9" s="1123">
        <f>G9*D9</f>
        <v>1150470.3999999999</v>
      </c>
      <c r="I9" s="1116">
        <v>-2</v>
      </c>
      <c r="J9" s="1122">
        <f>I9*D9</f>
        <v>-575235.19999999995</v>
      </c>
      <c r="K9" s="1116">
        <f>G9+I9</f>
        <v>2</v>
      </c>
      <c r="L9" s="171">
        <f>K9*D9</f>
        <v>575235.19999999995</v>
      </c>
    </row>
    <row r="10" spans="1:13" x14ac:dyDescent="0.3">
      <c r="A10" s="769"/>
      <c r="B10" s="769"/>
      <c r="C10" s="996"/>
      <c r="D10" s="861"/>
      <c r="E10" s="1116"/>
      <c r="F10" s="1116"/>
      <c r="G10" s="769"/>
      <c r="H10" s="1123"/>
      <c r="I10" s="1116"/>
      <c r="J10" s="1116"/>
      <c r="K10" s="1116"/>
      <c r="L10" s="171"/>
    </row>
    <row r="11" spans="1:13" x14ac:dyDescent="0.3">
      <c r="A11" s="769" t="s">
        <v>3087</v>
      </c>
      <c r="B11" s="769" t="s">
        <v>370</v>
      </c>
      <c r="C11" s="996" t="s">
        <v>190</v>
      </c>
      <c r="D11" s="860">
        <v>1438088</v>
      </c>
      <c r="E11" s="1116">
        <f>'Detailed breakup'!$O$318</f>
        <v>1</v>
      </c>
      <c r="F11" s="1116">
        <v>3</v>
      </c>
      <c r="G11" s="1117">
        <f>E11+F11</f>
        <v>4</v>
      </c>
      <c r="H11" s="1123">
        <f>G11*D11</f>
        <v>5752352</v>
      </c>
      <c r="I11" s="1116">
        <v>-2</v>
      </c>
      <c r="J11" s="1122">
        <f>I11*D11</f>
        <v>-2876176</v>
      </c>
      <c r="K11" s="1116">
        <f>G11+I11</f>
        <v>2</v>
      </c>
      <c r="L11" s="171">
        <f>K11*D11</f>
        <v>2876176</v>
      </c>
    </row>
    <row r="12" spans="1:13" x14ac:dyDescent="0.3">
      <c r="A12" s="769"/>
      <c r="B12" s="769"/>
      <c r="C12" s="996"/>
      <c r="D12" s="860"/>
      <c r="E12" s="1116"/>
      <c r="F12" s="1116"/>
      <c r="G12" s="769"/>
      <c r="H12" s="1123"/>
      <c r="I12" s="1116"/>
      <c r="J12" s="1116"/>
      <c r="K12" s="1116"/>
      <c r="L12" s="171"/>
    </row>
    <row r="13" spans="1:13" x14ac:dyDescent="0.3">
      <c r="A13" s="769" t="s">
        <v>3116</v>
      </c>
      <c r="B13" s="769" t="s">
        <v>372</v>
      </c>
      <c r="C13" s="996" t="s">
        <v>320</v>
      </c>
      <c r="D13" s="860">
        <v>4029137.5334212021</v>
      </c>
      <c r="E13" s="1116">
        <f>'Detailed breakup'!$O$320</f>
        <v>1</v>
      </c>
      <c r="F13" s="1116">
        <v>87.64</v>
      </c>
      <c r="G13" s="1117">
        <f>E13+F13</f>
        <v>88.64</v>
      </c>
      <c r="H13" s="1123">
        <f>G13*D13</f>
        <v>357142750.96245533</v>
      </c>
      <c r="I13" s="1116">
        <v>-43.73</v>
      </c>
      <c r="J13" s="1122">
        <f>I13*D13</f>
        <v>-176194184.33650917</v>
      </c>
      <c r="K13" s="1116">
        <f>G13+I13</f>
        <v>44.910000000000004</v>
      </c>
      <c r="L13" s="171">
        <f>K13*D13</f>
        <v>180948566.62594619</v>
      </c>
    </row>
    <row r="14" spans="1:13" x14ac:dyDescent="0.3">
      <c r="A14" s="1114"/>
      <c r="B14" s="1114"/>
      <c r="C14" s="1114"/>
      <c r="D14" s="1115"/>
      <c r="E14" s="1114"/>
      <c r="F14" s="1114"/>
      <c r="G14" s="1114"/>
      <c r="H14" s="1124"/>
      <c r="I14" s="1114"/>
      <c r="J14" s="1114"/>
      <c r="K14" s="1114"/>
      <c r="L14" s="1115"/>
    </row>
    <row r="15" spans="1:13" x14ac:dyDescent="0.3">
      <c r="A15" s="521"/>
      <c r="B15" s="1118" t="s">
        <v>165</v>
      </c>
      <c r="C15" s="521"/>
      <c r="D15" s="521"/>
      <c r="E15" s="521"/>
      <c r="F15" s="521"/>
      <c r="G15" s="521"/>
      <c r="H15" s="1121">
        <f>SUM(H7:H13)</f>
        <v>366346514.16245532</v>
      </c>
      <c r="I15" s="1121"/>
      <c r="J15" s="1121">
        <f>SUM(J7:J13)</f>
        <v>-181946536.33650917</v>
      </c>
      <c r="K15" s="1121"/>
      <c r="L15" s="1125">
        <f>SUM(L7:L13)</f>
        <v>184399977.82594618</v>
      </c>
    </row>
    <row r="17" spans="4:12" x14ac:dyDescent="0.3">
      <c r="D17" s="425"/>
    </row>
    <row r="18" spans="4:12" x14ac:dyDescent="0.3">
      <c r="D18" s="425"/>
    </row>
    <row r="19" spans="4:12" x14ac:dyDescent="0.3">
      <c r="D19" s="425"/>
      <c r="I19" s="883"/>
      <c r="J19" s="883"/>
      <c r="K19" s="883"/>
      <c r="L19" s="883"/>
    </row>
  </sheetData>
  <mergeCells count="10">
    <mergeCell ref="K3:L3"/>
    <mergeCell ref="D3:D4"/>
    <mergeCell ref="B1:J1"/>
    <mergeCell ref="K1:L1"/>
    <mergeCell ref="A2:L2"/>
    <mergeCell ref="A3:A5"/>
    <mergeCell ref="C3:C5"/>
    <mergeCell ref="B3:B5"/>
    <mergeCell ref="I3:J3"/>
    <mergeCell ref="E3:H3"/>
  </mergeCells>
  <pageMargins left="0.7" right="0.7" top="0.75" bottom="0.75" header="0.3" footer="0.3"/>
  <pageSetup paperSize="9" scale="74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ED78-8C00-4AA9-90C9-3F3236E52E4A}">
  <sheetPr codeName="Sheet18">
    <pageSetUpPr fitToPage="1"/>
  </sheetPr>
  <dimension ref="A1:D100"/>
  <sheetViews>
    <sheetView zoomScale="90" zoomScaleNormal="90" workbookViewId="0">
      <pane ySplit="2" topLeftCell="A3" activePane="bottomLeft" state="frozen"/>
      <selection activeCell="G91" sqref="G91"/>
      <selection pane="bottomLeft" activeCell="D6" sqref="D6"/>
    </sheetView>
  </sheetViews>
  <sheetFormatPr defaultColWidth="9.109375" defaultRowHeight="14.4" x14ac:dyDescent="0.3"/>
  <cols>
    <col min="1" max="1" width="9.109375" style="62"/>
    <col min="2" max="2" width="12.5546875" style="62" bestFit="1" customWidth="1"/>
    <col min="3" max="3" width="67.5546875" style="62" customWidth="1"/>
    <col min="4" max="4" width="40.44140625" style="62" customWidth="1"/>
    <col min="5" max="16384" width="9.109375" style="62"/>
  </cols>
  <sheetData>
    <row r="1" spans="1:4" s="58" customFormat="1" ht="15.6" x14ac:dyDescent="0.3">
      <c r="A1" s="59" t="s">
        <v>10700</v>
      </c>
    </row>
    <row r="2" spans="1:4" s="61" customFormat="1" x14ac:dyDescent="0.3">
      <c r="A2" s="63" t="s">
        <v>498</v>
      </c>
      <c r="B2" s="60" t="s">
        <v>10701</v>
      </c>
      <c r="C2" s="70" t="s">
        <v>176</v>
      </c>
      <c r="D2" s="60" t="s">
        <v>10702</v>
      </c>
    </row>
    <row r="3" spans="1:4" x14ac:dyDescent="0.3">
      <c r="A3" s="64">
        <v>101</v>
      </c>
      <c r="B3" s="67" t="s">
        <v>10703</v>
      </c>
      <c r="C3" s="71" t="s">
        <v>187</v>
      </c>
      <c r="D3" s="74" t="s">
        <v>10704</v>
      </c>
    </row>
    <row r="4" spans="1:4" x14ac:dyDescent="0.3">
      <c r="A4" s="65"/>
      <c r="B4" s="68"/>
      <c r="C4" s="72"/>
      <c r="D4" s="75" t="s">
        <v>10705</v>
      </c>
    </row>
    <row r="5" spans="1:4" x14ac:dyDescent="0.3">
      <c r="A5" s="65"/>
      <c r="B5" s="68"/>
      <c r="C5" s="72"/>
      <c r="D5" s="75" t="s">
        <v>10706</v>
      </c>
    </row>
    <row r="6" spans="1:4" x14ac:dyDescent="0.3">
      <c r="A6" s="65"/>
      <c r="B6" s="68"/>
      <c r="C6" s="72"/>
      <c r="D6" s="75" t="s">
        <v>10707</v>
      </c>
    </row>
    <row r="7" spans="1:4" x14ac:dyDescent="0.3">
      <c r="A7" s="65"/>
      <c r="B7" s="68" t="s">
        <v>10708</v>
      </c>
      <c r="C7" s="72" t="s">
        <v>10709</v>
      </c>
      <c r="D7" s="75" t="s">
        <v>10710</v>
      </c>
    </row>
    <row r="8" spans="1:4" x14ac:dyDescent="0.3">
      <c r="A8" s="65"/>
      <c r="B8" s="68" t="s">
        <v>10711</v>
      </c>
      <c r="C8" s="72" t="s">
        <v>10712</v>
      </c>
      <c r="D8" s="75" t="s">
        <v>10713</v>
      </c>
    </row>
    <row r="9" spans="1:4" x14ac:dyDescent="0.3">
      <c r="A9" s="66"/>
      <c r="B9" s="69" t="s">
        <v>10714</v>
      </c>
      <c r="C9" s="73" t="s">
        <v>10715</v>
      </c>
      <c r="D9" s="76" t="s">
        <v>10716</v>
      </c>
    </row>
    <row r="10" spans="1:4" ht="28.8" x14ac:dyDescent="0.3">
      <c r="A10" s="64">
        <v>102</v>
      </c>
      <c r="B10" s="67" t="s">
        <v>10717</v>
      </c>
      <c r="C10" s="71" t="s">
        <v>212</v>
      </c>
      <c r="D10" s="74" t="s">
        <v>10704</v>
      </c>
    </row>
    <row r="11" spans="1:4" x14ac:dyDescent="0.3">
      <c r="A11" s="65"/>
      <c r="B11" s="68"/>
      <c r="C11" s="72"/>
      <c r="D11" s="75" t="s">
        <v>10705</v>
      </c>
    </row>
    <row r="12" spans="1:4" x14ac:dyDescent="0.3">
      <c r="A12" s="65"/>
      <c r="B12" s="68"/>
      <c r="C12" s="72"/>
      <c r="D12" s="75" t="s">
        <v>10706</v>
      </c>
    </row>
    <row r="13" spans="1:4" x14ac:dyDescent="0.3">
      <c r="A13" s="65"/>
      <c r="B13" s="68"/>
      <c r="C13" s="72"/>
      <c r="D13" s="75" t="s">
        <v>10707</v>
      </c>
    </row>
    <row r="14" spans="1:4" x14ac:dyDescent="0.3">
      <c r="A14" s="65"/>
      <c r="B14" s="68" t="s">
        <v>10708</v>
      </c>
      <c r="C14" s="72" t="s">
        <v>10718</v>
      </c>
      <c r="D14" s="75" t="s">
        <v>10719</v>
      </c>
    </row>
    <row r="15" spans="1:4" x14ac:dyDescent="0.3">
      <c r="A15" s="66"/>
      <c r="B15" s="69" t="s">
        <v>10711</v>
      </c>
      <c r="C15" s="73" t="s">
        <v>10720</v>
      </c>
      <c r="D15" s="76" t="s">
        <v>10721</v>
      </c>
    </row>
    <row r="16" spans="1:4" ht="28.8" x14ac:dyDescent="0.3">
      <c r="A16" s="64">
        <v>103</v>
      </c>
      <c r="B16" s="67"/>
      <c r="C16" s="71" t="s">
        <v>220</v>
      </c>
      <c r="D16" s="74"/>
    </row>
    <row r="17" spans="1:4" x14ac:dyDescent="0.3">
      <c r="A17" s="65"/>
      <c r="B17" s="68" t="s">
        <v>32</v>
      </c>
      <c r="C17" s="72" t="s">
        <v>221</v>
      </c>
      <c r="D17" s="75"/>
    </row>
    <row r="18" spans="1:4" x14ac:dyDescent="0.3">
      <c r="A18" s="65"/>
      <c r="B18" s="68" t="s">
        <v>34</v>
      </c>
      <c r="C18" s="72" t="s">
        <v>223</v>
      </c>
      <c r="D18" s="75" t="s">
        <v>10722</v>
      </c>
    </row>
    <row r="19" spans="1:4" x14ac:dyDescent="0.3">
      <c r="A19" s="65"/>
      <c r="B19" s="68" t="s">
        <v>37</v>
      </c>
      <c r="C19" s="72" t="s">
        <v>228</v>
      </c>
      <c r="D19" s="75"/>
    </row>
    <row r="20" spans="1:4" x14ac:dyDescent="0.3">
      <c r="A20" s="65"/>
      <c r="B20" s="68" t="s">
        <v>39</v>
      </c>
      <c r="C20" s="72" t="s">
        <v>229</v>
      </c>
      <c r="D20" s="75" t="s">
        <v>10723</v>
      </c>
    </row>
    <row r="21" spans="1:4" x14ac:dyDescent="0.3">
      <c r="A21" s="66"/>
      <c r="B21" s="69" t="s">
        <v>41</v>
      </c>
      <c r="C21" s="73" t="s">
        <v>215</v>
      </c>
      <c r="D21" s="76"/>
    </row>
    <row r="22" spans="1:4" x14ac:dyDescent="0.3">
      <c r="A22" s="64">
        <v>104</v>
      </c>
      <c r="B22" s="67"/>
      <c r="C22" s="71" t="s">
        <v>230</v>
      </c>
      <c r="D22" s="74"/>
    </row>
    <row r="23" spans="1:4" ht="28.8" x14ac:dyDescent="0.3">
      <c r="A23" s="65"/>
      <c r="B23" s="68" t="s">
        <v>32</v>
      </c>
      <c r="C23" s="72" t="s">
        <v>10724</v>
      </c>
      <c r="D23" s="75" t="s">
        <v>10725</v>
      </c>
    </row>
    <row r="24" spans="1:4" x14ac:dyDescent="0.3">
      <c r="A24" s="65"/>
      <c r="B24" s="68"/>
      <c r="C24" s="72"/>
      <c r="D24" s="75" t="s">
        <v>10726</v>
      </c>
    </row>
    <row r="25" spans="1:4" x14ac:dyDescent="0.3">
      <c r="A25" s="65"/>
      <c r="B25" s="68"/>
      <c r="C25" s="72"/>
      <c r="D25" s="75" t="s">
        <v>10727</v>
      </c>
    </row>
    <row r="26" spans="1:4" ht="28.8" x14ac:dyDescent="0.3">
      <c r="A26" s="65"/>
      <c r="B26" s="68" t="s">
        <v>34</v>
      </c>
      <c r="C26" s="72" t="s">
        <v>10571</v>
      </c>
      <c r="D26" s="75" t="s">
        <v>10728</v>
      </c>
    </row>
    <row r="27" spans="1:4" ht="28.8" x14ac:dyDescent="0.3">
      <c r="A27" s="65"/>
      <c r="B27" s="68" t="s">
        <v>37</v>
      </c>
      <c r="C27" s="72" t="s">
        <v>1078</v>
      </c>
      <c r="D27" s="75"/>
    </row>
    <row r="28" spans="1:4" ht="28.8" x14ac:dyDescent="0.3">
      <c r="A28" s="65"/>
      <c r="B28" s="68" t="s">
        <v>39</v>
      </c>
      <c r="C28" s="72" t="s">
        <v>1082</v>
      </c>
      <c r="D28" s="75" t="s">
        <v>10729</v>
      </c>
    </row>
    <row r="29" spans="1:4" x14ac:dyDescent="0.3">
      <c r="A29" s="65"/>
      <c r="B29" s="68" t="s">
        <v>41</v>
      </c>
      <c r="C29" s="72" t="s">
        <v>244</v>
      </c>
      <c r="D29" s="75" t="s">
        <v>10730</v>
      </c>
    </row>
    <row r="30" spans="1:4" x14ac:dyDescent="0.3">
      <c r="A30" s="65"/>
      <c r="B30" s="68"/>
      <c r="C30" s="72"/>
      <c r="D30" s="75" t="s">
        <v>10731</v>
      </c>
    </row>
    <row r="31" spans="1:4" x14ac:dyDescent="0.3">
      <c r="A31" s="65"/>
      <c r="B31" s="68" t="s">
        <v>84</v>
      </c>
      <c r="C31" s="72" t="s">
        <v>10732</v>
      </c>
      <c r="D31" s="75" t="s">
        <v>10733</v>
      </c>
    </row>
    <row r="32" spans="1:4" x14ac:dyDescent="0.3">
      <c r="A32" s="65"/>
      <c r="B32" s="68"/>
      <c r="C32" s="72"/>
      <c r="D32" s="75" t="s">
        <v>10734</v>
      </c>
    </row>
    <row r="33" spans="1:4" x14ac:dyDescent="0.3">
      <c r="A33" s="65"/>
      <c r="B33" s="68" t="s">
        <v>86</v>
      </c>
      <c r="C33" s="72" t="s">
        <v>10574</v>
      </c>
      <c r="D33" s="75"/>
    </row>
    <row r="34" spans="1:4" x14ac:dyDescent="0.3">
      <c r="A34" s="65"/>
      <c r="B34" s="77" t="s">
        <v>90</v>
      </c>
      <c r="C34" s="72" t="s">
        <v>249</v>
      </c>
      <c r="D34" s="75" t="s">
        <v>10735</v>
      </c>
    </row>
    <row r="35" spans="1:4" ht="28.8" x14ac:dyDescent="0.3">
      <c r="A35" s="65"/>
      <c r="B35" s="77" t="s">
        <v>197</v>
      </c>
      <c r="C35" s="72" t="s">
        <v>250</v>
      </c>
      <c r="D35" s="75" t="s">
        <v>10736</v>
      </c>
    </row>
    <row r="36" spans="1:4" ht="28.8" x14ac:dyDescent="0.3">
      <c r="A36" s="65"/>
      <c r="B36" s="77" t="s">
        <v>208</v>
      </c>
      <c r="C36" s="72" t="s">
        <v>251</v>
      </c>
      <c r="D36" s="75" t="s">
        <v>10737</v>
      </c>
    </row>
    <row r="37" spans="1:4" x14ac:dyDescent="0.3">
      <c r="A37" s="65"/>
      <c r="B37" s="77" t="s">
        <v>238</v>
      </c>
      <c r="C37" s="72" t="s">
        <v>252</v>
      </c>
      <c r="D37" s="75" t="s">
        <v>10738</v>
      </c>
    </row>
    <row r="38" spans="1:4" ht="28.8" x14ac:dyDescent="0.3">
      <c r="A38" s="65"/>
      <c r="B38" s="77" t="s">
        <v>240</v>
      </c>
      <c r="C38" s="72" t="s">
        <v>253</v>
      </c>
      <c r="D38" s="75" t="s">
        <v>10739</v>
      </c>
    </row>
    <row r="39" spans="1:4" x14ac:dyDescent="0.3">
      <c r="A39" s="65"/>
      <c r="B39" s="77" t="s">
        <v>254</v>
      </c>
      <c r="C39" s="72" t="s">
        <v>255</v>
      </c>
      <c r="D39" s="75"/>
    </row>
    <row r="40" spans="1:4" x14ac:dyDescent="0.3">
      <c r="A40" s="65"/>
      <c r="B40" s="68" t="s">
        <v>88</v>
      </c>
      <c r="C40" s="72" t="s">
        <v>10575</v>
      </c>
      <c r="D40" s="75"/>
    </row>
    <row r="41" spans="1:4" ht="28.8" x14ac:dyDescent="0.3">
      <c r="A41" s="65"/>
      <c r="B41" s="77" t="s">
        <v>90</v>
      </c>
      <c r="C41" s="72" t="s">
        <v>257</v>
      </c>
      <c r="D41" s="75" t="s">
        <v>10740</v>
      </c>
    </row>
    <row r="42" spans="1:4" ht="28.8" x14ac:dyDescent="0.3">
      <c r="A42" s="65"/>
      <c r="B42" s="77" t="s">
        <v>197</v>
      </c>
      <c r="C42" s="72" t="s">
        <v>260</v>
      </c>
      <c r="D42" s="75" t="s">
        <v>10740</v>
      </c>
    </row>
    <row r="43" spans="1:4" x14ac:dyDescent="0.3">
      <c r="A43" s="65"/>
      <c r="B43" s="77" t="s">
        <v>208</v>
      </c>
      <c r="C43" s="72" t="s">
        <v>261</v>
      </c>
      <c r="D43" s="75" t="s">
        <v>10741</v>
      </c>
    </row>
    <row r="44" spans="1:4" ht="28.8" x14ac:dyDescent="0.3">
      <c r="A44" s="65"/>
      <c r="B44" s="77" t="s">
        <v>238</v>
      </c>
      <c r="C44" s="72" t="s">
        <v>262</v>
      </c>
      <c r="D44" s="75" t="s">
        <v>10740</v>
      </c>
    </row>
    <row r="45" spans="1:4" x14ac:dyDescent="0.3">
      <c r="A45" s="66"/>
      <c r="B45" s="78" t="s">
        <v>240</v>
      </c>
      <c r="C45" s="73" t="s">
        <v>263</v>
      </c>
      <c r="D45" s="76" t="s">
        <v>10742</v>
      </c>
    </row>
    <row r="46" spans="1:4" ht="28.8" x14ac:dyDescent="0.3">
      <c r="A46" s="64">
        <v>105</v>
      </c>
      <c r="B46" s="67"/>
      <c r="C46" s="71" t="s">
        <v>264</v>
      </c>
      <c r="D46" s="74"/>
    </row>
    <row r="47" spans="1:4" x14ac:dyDescent="0.3">
      <c r="A47" s="65"/>
      <c r="B47" s="68" t="s">
        <v>32</v>
      </c>
      <c r="C47" s="72" t="s">
        <v>221</v>
      </c>
      <c r="D47" s="1917" t="s">
        <v>10743</v>
      </c>
    </row>
    <row r="48" spans="1:4" x14ac:dyDescent="0.3">
      <c r="A48" s="65"/>
      <c r="B48" s="68" t="s">
        <v>34</v>
      </c>
      <c r="C48" s="72" t="s">
        <v>228</v>
      </c>
      <c r="D48" s="1918"/>
    </row>
    <row r="49" spans="1:4" x14ac:dyDescent="0.3">
      <c r="A49" s="65"/>
      <c r="B49" s="68" t="s">
        <v>37</v>
      </c>
      <c r="C49" s="72" t="s">
        <v>229</v>
      </c>
      <c r="D49" s="1918"/>
    </row>
    <row r="50" spans="1:4" x14ac:dyDescent="0.3">
      <c r="A50" s="66"/>
      <c r="B50" s="69" t="s">
        <v>39</v>
      </c>
      <c r="C50" s="73" t="s">
        <v>215</v>
      </c>
      <c r="D50" s="1919"/>
    </row>
    <row r="51" spans="1:4" ht="28.8" x14ac:dyDescent="0.3">
      <c r="A51" s="64">
        <v>201</v>
      </c>
      <c r="B51" s="67"/>
      <c r="C51" s="71" t="s">
        <v>265</v>
      </c>
      <c r="D51" s="74"/>
    </row>
    <row r="52" spans="1:4" x14ac:dyDescent="0.3">
      <c r="A52" s="65"/>
      <c r="B52" s="68" t="s">
        <v>32</v>
      </c>
      <c r="C52" s="72" t="s">
        <v>266</v>
      </c>
      <c r="D52" s="75" t="s">
        <v>10744</v>
      </c>
    </row>
    <row r="53" spans="1:4" x14ac:dyDescent="0.3">
      <c r="A53" s="65"/>
      <c r="B53" s="68" t="s">
        <v>34</v>
      </c>
      <c r="C53" s="72" t="s">
        <v>268</v>
      </c>
      <c r="D53" s="75" t="s">
        <v>10744</v>
      </c>
    </row>
    <row r="54" spans="1:4" x14ac:dyDescent="0.3">
      <c r="A54" s="65"/>
      <c r="B54" s="68" t="s">
        <v>37</v>
      </c>
      <c r="C54" s="72" t="s">
        <v>269</v>
      </c>
      <c r="D54" s="75" t="s">
        <v>10744</v>
      </c>
    </row>
    <row r="55" spans="1:4" x14ac:dyDescent="0.3">
      <c r="A55" s="66"/>
      <c r="B55" s="69" t="s">
        <v>39</v>
      </c>
      <c r="C55" s="73" t="s">
        <v>270</v>
      </c>
      <c r="D55" s="76"/>
    </row>
    <row r="56" spans="1:4" ht="28.8" x14ac:dyDescent="0.3">
      <c r="A56" s="64">
        <v>202</v>
      </c>
      <c r="B56" s="67"/>
      <c r="C56" s="71" t="s">
        <v>271</v>
      </c>
      <c r="D56" s="74"/>
    </row>
    <row r="57" spans="1:4" ht="28.8" x14ac:dyDescent="0.3">
      <c r="A57" s="65"/>
      <c r="B57" s="68" t="s">
        <v>32</v>
      </c>
      <c r="C57" s="72" t="s">
        <v>272</v>
      </c>
      <c r="D57" s="75" t="s">
        <v>10745</v>
      </c>
    </row>
    <row r="58" spans="1:4" ht="28.8" x14ac:dyDescent="0.3">
      <c r="A58" s="65"/>
      <c r="B58" s="68" t="s">
        <v>34</v>
      </c>
      <c r="C58" s="72" t="s">
        <v>275</v>
      </c>
      <c r="D58" s="75" t="s">
        <v>10745</v>
      </c>
    </row>
    <row r="59" spans="1:4" ht="28.8" x14ac:dyDescent="0.3">
      <c r="A59" s="66"/>
      <c r="B59" s="69" t="s">
        <v>37</v>
      </c>
      <c r="C59" s="73" t="s">
        <v>276</v>
      </c>
      <c r="D59" s="76" t="s">
        <v>10746</v>
      </c>
    </row>
    <row r="60" spans="1:4" ht="28.8" x14ac:dyDescent="0.3">
      <c r="A60" s="64">
        <v>203</v>
      </c>
      <c r="B60" s="67"/>
      <c r="C60" s="71" t="s">
        <v>277</v>
      </c>
      <c r="D60" s="74"/>
    </row>
    <row r="61" spans="1:4" x14ac:dyDescent="0.3">
      <c r="A61" s="65"/>
      <c r="B61" s="68" t="s">
        <v>32</v>
      </c>
      <c r="C61" s="72" t="s">
        <v>278</v>
      </c>
      <c r="D61" s="1917" t="s">
        <v>10747</v>
      </c>
    </row>
    <row r="62" spans="1:4" x14ac:dyDescent="0.3">
      <c r="A62" s="65"/>
      <c r="B62" s="68" t="s">
        <v>34</v>
      </c>
      <c r="C62" s="72" t="s">
        <v>281</v>
      </c>
      <c r="D62" s="1918"/>
    </row>
    <row r="63" spans="1:4" x14ac:dyDescent="0.3">
      <c r="A63" s="65"/>
      <c r="B63" s="68" t="s">
        <v>37</v>
      </c>
      <c r="C63" s="72" t="s">
        <v>282</v>
      </c>
      <c r="D63" s="1918"/>
    </row>
    <row r="64" spans="1:4" x14ac:dyDescent="0.3">
      <c r="A64" s="65"/>
      <c r="B64" s="68" t="s">
        <v>39</v>
      </c>
      <c r="C64" s="72" t="s">
        <v>283</v>
      </c>
      <c r="D64" s="1918"/>
    </row>
    <row r="65" spans="1:4" x14ac:dyDescent="0.3">
      <c r="A65" s="65"/>
      <c r="B65" s="68" t="s">
        <v>41</v>
      </c>
      <c r="C65" s="72" t="s">
        <v>284</v>
      </c>
      <c r="D65" s="1918"/>
    </row>
    <row r="66" spans="1:4" x14ac:dyDescent="0.3">
      <c r="A66" s="65"/>
      <c r="B66" s="68" t="s">
        <v>84</v>
      </c>
      <c r="C66" s="72" t="s">
        <v>285</v>
      </c>
      <c r="D66" s="1918"/>
    </row>
    <row r="67" spans="1:4" x14ac:dyDescent="0.3">
      <c r="A67" s="65"/>
      <c r="B67" s="68" t="s">
        <v>86</v>
      </c>
      <c r="C67" s="72" t="s">
        <v>286</v>
      </c>
      <c r="D67" s="1918"/>
    </row>
    <row r="68" spans="1:4" x14ac:dyDescent="0.3">
      <c r="A68" s="65"/>
      <c r="B68" s="68" t="s">
        <v>88</v>
      </c>
      <c r="C68" s="72" t="s">
        <v>10748</v>
      </c>
      <c r="D68" s="1918"/>
    </row>
    <row r="69" spans="1:4" x14ac:dyDescent="0.3">
      <c r="A69" s="66"/>
      <c r="B69" s="69" t="s">
        <v>90</v>
      </c>
      <c r="C69" s="73" t="s">
        <v>288</v>
      </c>
      <c r="D69" s="1919"/>
    </row>
    <row r="70" spans="1:4" ht="28.8" x14ac:dyDescent="0.3">
      <c r="A70" s="64">
        <v>204</v>
      </c>
      <c r="B70" s="67"/>
      <c r="C70" s="71" t="s">
        <v>302</v>
      </c>
      <c r="D70" s="74"/>
    </row>
    <row r="71" spans="1:4" x14ac:dyDescent="0.3">
      <c r="A71" s="65"/>
      <c r="B71" s="68" t="s">
        <v>32</v>
      </c>
      <c r="C71" s="72" t="s">
        <v>303</v>
      </c>
      <c r="D71" s="1917" t="s">
        <v>10749</v>
      </c>
    </row>
    <row r="72" spans="1:4" x14ac:dyDescent="0.3">
      <c r="A72" s="65"/>
      <c r="B72" s="68" t="s">
        <v>34</v>
      </c>
      <c r="C72" s="72" t="s">
        <v>305</v>
      </c>
      <c r="D72" s="1918"/>
    </row>
    <row r="73" spans="1:4" x14ac:dyDescent="0.3">
      <c r="A73" s="65"/>
      <c r="B73" s="68" t="s">
        <v>37</v>
      </c>
      <c r="C73" s="72" t="s">
        <v>306</v>
      </c>
      <c r="D73" s="1918"/>
    </row>
    <row r="74" spans="1:4" x14ac:dyDescent="0.3">
      <c r="A74" s="65"/>
      <c r="B74" s="68" t="s">
        <v>39</v>
      </c>
      <c r="C74" s="72" t="s">
        <v>307</v>
      </c>
      <c r="D74" s="1918"/>
    </row>
    <row r="75" spans="1:4" x14ac:dyDescent="0.3">
      <c r="A75" s="65"/>
      <c r="B75" s="68" t="s">
        <v>41</v>
      </c>
      <c r="C75" s="72" t="s">
        <v>311</v>
      </c>
      <c r="D75" s="1918"/>
    </row>
    <row r="76" spans="1:4" x14ac:dyDescent="0.3">
      <c r="A76" s="65"/>
      <c r="B76" s="68" t="s">
        <v>84</v>
      </c>
      <c r="C76" s="72" t="s">
        <v>312</v>
      </c>
      <c r="D76" s="1918"/>
    </row>
    <row r="77" spans="1:4" x14ac:dyDescent="0.3">
      <c r="A77" s="65"/>
      <c r="B77" s="68" t="s">
        <v>86</v>
      </c>
      <c r="C77" s="72" t="s">
        <v>313</v>
      </c>
      <c r="D77" s="1918"/>
    </row>
    <row r="78" spans="1:4" x14ac:dyDescent="0.3">
      <c r="A78" s="65"/>
      <c r="B78" s="68" t="s">
        <v>88</v>
      </c>
      <c r="C78" s="72" t="s">
        <v>10750</v>
      </c>
      <c r="D78" s="1918"/>
    </row>
    <row r="79" spans="1:4" x14ac:dyDescent="0.3">
      <c r="A79" s="65"/>
      <c r="B79" s="68" t="s">
        <v>90</v>
      </c>
      <c r="C79" s="72" t="s">
        <v>10751</v>
      </c>
      <c r="D79" s="1918"/>
    </row>
    <row r="80" spans="1:4" x14ac:dyDescent="0.3">
      <c r="A80" s="65"/>
      <c r="B80" s="68" t="s">
        <v>316</v>
      </c>
      <c r="C80" s="72" t="s">
        <v>10752</v>
      </c>
      <c r="D80" s="1918"/>
    </row>
    <row r="81" spans="1:4" x14ac:dyDescent="0.3">
      <c r="A81" s="66"/>
      <c r="B81" s="69" t="s">
        <v>318</v>
      </c>
      <c r="C81" s="73" t="s">
        <v>319</v>
      </c>
      <c r="D81" s="1919"/>
    </row>
    <row r="82" spans="1:4" ht="28.8" x14ac:dyDescent="0.3">
      <c r="A82" s="83">
        <v>205</v>
      </c>
      <c r="B82" s="84"/>
      <c r="C82" s="85" t="s">
        <v>328</v>
      </c>
      <c r="D82" s="86" t="s">
        <v>10749</v>
      </c>
    </row>
    <row r="83" spans="1:4" x14ac:dyDescent="0.3">
      <c r="A83" s="83">
        <v>206</v>
      </c>
      <c r="B83" s="84"/>
      <c r="C83" s="85" t="s">
        <v>329</v>
      </c>
      <c r="D83" s="86" t="s">
        <v>10753</v>
      </c>
    </row>
    <row r="84" spans="1:4" ht="28.8" x14ac:dyDescent="0.3">
      <c r="A84" s="64">
        <v>301</v>
      </c>
      <c r="B84" s="67"/>
      <c r="C84" s="71" t="s">
        <v>331</v>
      </c>
      <c r="D84" s="74" t="s">
        <v>10753</v>
      </c>
    </row>
    <row r="85" spans="1:4" x14ac:dyDescent="0.3">
      <c r="A85" s="65"/>
      <c r="B85" s="68"/>
      <c r="C85" s="72"/>
      <c r="D85" s="75" t="s">
        <v>10754</v>
      </c>
    </row>
    <row r="86" spans="1:4" x14ac:dyDescent="0.3">
      <c r="A86" s="65"/>
      <c r="B86" s="68"/>
      <c r="C86" s="72"/>
      <c r="D86" s="75" t="s">
        <v>10755</v>
      </c>
    </row>
    <row r="87" spans="1:4" x14ac:dyDescent="0.3">
      <c r="A87" s="65"/>
      <c r="B87" s="68"/>
      <c r="C87" s="72"/>
      <c r="D87" s="75" t="s">
        <v>10756</v>
      </c>
    </row>
    <row r="88" spans="1:4" x14ac:dyDescent="0.3">
      <c r="A88" s="66"/>
      <c r="B88" s="69"/>
      <c r="C88" s="73"/>
      <c r="D88" s="76" t="s">
        <v>10757</v>
      </c>
    </row>
    <row r="89" spans="1:4" ht="28.8" x14ac:dyDescent="0.3">
      <c r="A89" s="64">
        <v>302</v>
      </c>
      <c r="B89" s="67"/>
      <c r="C89" s="71" t="s">
        <v>335</v>
      </c>
      <c r="D89" s="74"/>
    </row>
    <row r="90" spans="1:4" ht="43.2" x14ac:dyDescent="0.3">
      <c r="A90" s="65"/>
      <c r="B90" s="68" t="s">
        <v>32</v>
      </c>
      <c r="C90" s="72" t="s">
        <v>336</v>
      </c>
      <c r="D90" s="75" t="s">
        <v>10758</v>
      </c>
    </row>
    <row r="91" spans="1:4" ht="43.2" x14ac:dyDescent="0.3">
      <c r="A91" s="65"/>
      <c r="B91" s="68" t="s">
        <v>34</v>
      </c>
      <c r="C91" s="72" t="s">
        <v>339</v>
      </c>
      <c r="D91" s="75" t="s">
        <v>10759</v>
      </c>
    </row>
    <row r="92" spans="1:4" x14ac:dyDescent="0.3">
      <c r="A92" s="65"/>
      <c r="B92" s="68" t="s">
        <v>37</v>
      </c>
      <c r="C92" s="72" t="s">
        <v>10760</v>
      </c>
      <c r="D92" s="75"/>
    </row>
    <row r="93" spans="1:4" x14ac:dyDescent="0.3">
      <c r="A93" s="66"/>
      <c r="B93" s="69" t="s">
        <v>39</v>
      </c>
      <c r="C93" s="73" t="s">
        <v>343</v>
      </c>
      <c r="D93" s="76"/>
    </row>
    <row r="94" spans="1:4" ht="57.6" x14ac:dyDescent="0.3">
      <c r="A94" s="83">
        <v>303</v>
      </c>
      <c r="B94" s="84"/>
      <c r="C94" s="85" t="s">
        <v>344</v>
      </c>
      <c r="D94" s="86" t="s">
        <v>10761</v>
      </c>
    </row>
    <row r="95" spans="1:4" x14ac:dyDescent="0.3">
      <c r="A95" s="79">
        <v>304</v>
      </c>
      <c r="B95" s="80"/>
      <c r="C95" s="81" t="s">
        <v>352</v>
      </c>
      <c r="D95" s="82"/>
    </row>
    <row r="96" spans="1:4" ht="28.8" x14ac:dyDescent="0.3">
      <c r="A96" s="65"/>
      <c r="B96" s="68" t="s">
        <v>32</v>
      </c>
      <c r="C96" s="72" t="s">
        <v>10762</v>
      </c>
      <c r="D96" s="75" t="s">
        <v>10763</v>
      </c>
    </row>
    <row r="97" spans="1:4" ht="28.8" x14ac:dyDescent="0.3">
      <c r="A97" s="66"/>
      <c r="B97" s="69" t="s">
        <v>34</v>
      </c>
      <c r="C97" s="73" t="s">
        <v>323</v>
      </c>
      <c r="D97" s="76" t="s">
        <v>10764</v>
      </c>
    </row>
    <row r="98" spans="1:4" ht="28.8" x14ac:dyDescent="0.3">
      <c r="A98" s="88">
        <v>305</v>
      </c>
      <c r="B98" s="89"/>
      <c r="C98" s="90" t="s">
        <v>358</v>
      </c>
      <c r="D98" s="76" t="s">
        <v>10764</v>
      </c>
    </row>
    <row r="99" spans="1:4" ht="28.8" x14ac:dyDescent="0.3">
      <c r="A99" s="88">
        <v>306</v>
      </c>
      <c r="B99" s="89"/>
      <c r="C99" s="90" t="s">
        <v>362</v>
      </c>
      <c r="D99" s="87" t="s">
        <v>10764</v>
      </c>
    </row>
    <row r="100" spans="1:4" x14ac:dyDescent="0.3">
      <c r="A100" s="83">
        <v>307</v>
      </c>
      <c r="B100" s="84"/>
      <c r="C100" s="85" t="s">
        <v>365</v>
      </c>
      <c r="D100" s="86" t="s">
        <v>10743</v>
      </c>
    </row>
  </sheetData>
  <mergeCells count="3">
    <mergeCell ref="D47:D50"/>
    <mergeCell ref="D61:D69"/>
    <mergeCell ref="D71:D81"/>
  </mergeCells>
  <printOptions horizontalCentered="1"/>
  <pageMargins left="0.27559055118110237" right="0.15748031496062992" top="0.27559055118110237" bottom="0.74803149606299213" header="0.31496062992125984" footer="0.19685039370078741"/>
  <pageSetup paperSize="9" fitToHeight="0" orientation="landscape" r:id="rId1"/>
  <headerFooter>
    <oddFooter>&amp;L&amp;"-,Bold"Authorized Signatory
Larsen &amp; Toubro Limited_x000D_&amp;1#&amp;"Calibri"&amp;8&amp;K000000 Sensitivity: LNT Construction General Business&amp;C&amp;"-,Bold"Authorized Signatory
Rodic Consultants in JV with ICT&amp;R&amp;"-,Bold"Authorized Signatory
Chief Engineer, PWRD , Assam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47</vt:i4>
      </vt:variant>
    </vt:vector>
  </HeadingPairs>
  <TitlesOfParts>
    <vt:vector size="83" baseType="lpstr">
      <vt:lpstr>Abs. - L&amp;T</vt:lpstr>
      <vt:lpstr>Abs. - PMC</vt:lpstr>
      <vt:lpstr>Abs. - PMC (For Print)</vt:lpstr>
      <vt:lpstr>Breakup-Summary</vt:lpstr>
      <vt:lpstr>Detailed breakup</vt:lpstr>
      <vt:lpstr>MB Details</vt:lpstr>
      <vt:lpstr>Schedule 1</vt:lpstr>
      <vt:lpstr>Schedule 2</vt:lpstr>
      <vt:lpstr>Schedule 3</vt:lpstr>
      <vt:lpstr>Segment Summary</vt:lpstr>
      <vt:lpstr>Schedule 4</vt:lpstr>
      <vt:lpstr>Well Cal.</vt:lpstr>
      <vt:lpstr>Pylon Cal.</vt:lpstr>
      <vt:lpstr>Segment Abs.</vt:lpstr>
      <vt:lpstr>Schedule 5</vt:lpstr>
      <vt:lpstr>Girder Abs.</vt:lpstr>
      <vt:lpstr>Schedule 6</vt:lpstr>
      <vt:lpstr>Schedule 7</vt:lpstr>
      <vt:lpstr>Emb-Backup</vt:lpstr>
      <vt:lpstr>Schedule 8</vt:lpstr>
      <vt:lpstr>DAAB</vt:lpstr>
      <vt:lpstr>Price Adj. - Breakup</vt:lpstr>
      <vt:lpstr>Price Adj.</vt:lpstr>
      <vt:lpstr>Indices Cal.</vt:lpstr>
      <vt:lpstr>Withheld-Release</vt:lpstr>
      <vt:lpstr>Withheld Release Details</vt:lpstr>
      <vt:lpstr>Retention Release</vt:lpstr>
      <vt:lpstr>ABG Reduction</vt:lpstr>
      <vt:lpstr>Summary-Royalty</vt:lpstr>
      <vt:lpstr>Royalty Details</vt:lpstr>
      <vt:lpstr>Checklist_Old</vt:lpstr>
      <vt:lpstr>MB Entry</vt:lpstr>
      <vt:lpstr>Checklist_New</vt:lpstr>
      <vt:lpstr>Pile Details</vt:lpstr>
      <vt:lpstr>Expl.</vt:lpstr>
      <vt:lpstr>Mandate Documents</vt:lpstr>
      <vt:lpstr>'ABG Reduction'!Print_Area</vt:lpstr>
      <vt:lpstr>'Abs. - L&amp;T'!Print_Area</vt:lpstr>
      <vt:lpstr>'Abs. - PMC'!Print_Area</vt:lpstr>
      <vt:lpstr>'Abs. - PMC (For Print)'!Print_Area</vt:lpstr>
      <vt:lpstr>'Breakup-Summary'!Print_Area</vt:lpstr>
      <vt:lpstr>DAAB!Print_Area</vt:lpstr>
      <vt:lpstr>'Detailed breakup'!Print_Area</vt:lpstr>
      <vt:lpstr>'Emb-Backup'!Print_Area</vt:lpstr>
      <vt:lpstr>'Girder Abs.'!Print_Area</vt:lpstr>
      <vt:lpstr>'MB Details'!Print_Area</vt:lpstr>
      <vt:lpstr>'MB Entry'!Print_Area</vt:lpstr>
      <vt:lpstr>'Price Adj.'!Print_Area</vt:lpstr>
      <vt:lpstr>'Price Adj. - Breakup'!Print_Area</vt:lpstr>
      <vt:lpstr>'Pylon Cal.'!Print_Area</vt:lpstr>
      <vt:lpstr>'Retention Release'!Print_Area</vt:lpstr>
      <vt:lpstr>'Royalty Details'!Print_Area</vt:lpstr>
      <vt:lpstr>'Schedule 1'!Print_Area</vt:lpstr>
      <vt:lpstr>'Schedule 2'!Print_Area</vt:lpstr>
      <vt:lpstr>'Schedule 3'!Print_Area</vt:lpstr>
      <vt:lpstr>'Schedule 4'!Print_Area</vt:lpstr>
      <vt:lpstr>'Schedule 5'!Print_Area</vt:lpstr>
      <vt:lpstr>'Schedule 6'!Print_Area</vt:lpstr>
      <vt:lpstr>'Schedule 7'!Print_Area</vt:lpstr>
      <vt:lpstr>'Schedule 8'!Print_Area</vt:lpstr>
      <vt:lpstr>'Segment Abs.'!Print_Area</vt:lpstr>
      <vt:lpstr>'Segment Summary'!Print_Area</vt:lpstr>
      <vt:lpstr>'Summary-Royalty'!Print_Area</vt:lpstr>
      <vt:lpstr>'Well Cal.'!Print_Area</vt:lpstr>
      <vt:lpstr>'Withheld Release Details'!Print_Area</vt:lpstr>
      <vt:lpstr>'Withheld-Release'!Print_Area</vt:lpstr>
      <vt:lpstr>'Breakup-Summary'!Print_Titles</vt:lpstr>
      <vt:lpstr>'Detailed breakup'!Print_Titles</vt:lpstr>
      <vt:lpstr>'Emb-Backup'!Print_Titles</vt:lpstr>
      <vt:lpstr>'MB Details'!Print_Titles</vt:lpstr>
      <vt:lpstr>'MB Entry'!Print_Titles</vt:lpstr>
      <vt:lpstr>'Price Adj. - Breakup'!Print_Titles</vt:lpstr>
      <vt:lpstr>'Pylon Cal.'!Print_Titles</vt:lpstr>
      <vt:lpstr>'Schedule 1'!Print_Titles</vt:lpstr>
      <vt:lpstr>'Schedule 2'!Print_Titles</vt:lpstr>
      <vt:lpstr>'Schedule 3'!Print_Titles</vt:lpstr>
      <vt:lpstr>'Schedule 4'!Print_Titles</vt:lpstr>
      <vt:lpstr>'Schedule 5'!Print_Titles</vt:lpstr>
      <vt:lpstr>'Schedule 6'!Print_Titles</vt:lpstr>
      <vt:lpstr>'Schedule 7'!Print_Titles</vt:lpstr>
      <vt:lpstr>'Schedule 8'!Print_Titles</vt:lpstr>
      <vt:lpstr>'Segment Abs.'!Print_Titles</vt:lpstr>
      <vt:lpstr>'Well Cal.'!Print_Titles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NIKHIL DWIVEDI</dc:creator>
  <cp:keywords/>
  <dc:description/>
  <cp:lastModifiedBy>SOUMAV  MITRA</cp:lastModifiedBy>
  <cp:revision/>
  <dcterms:created xsi:type="dcterms:W3CDTF">2024-02-27T07:53:23Z</dcterms:created>
  <dcterms:modified xsi:type="dcterms:W3CDTF">2026-09-24T05:12:37Z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868974-0050-4ad5-ad3e-af5156c437c1_Enabled">
    <vt:lpwstr>true</vt:lpwstr>
  </property>
  <property fmtid="{D5CDD505-2E9C-101B-9397-08002B2CF9AE}" pid="3" name="MSIP_Label_c0868974-0050-4ad5-ad3e-af5156c437c1_SetDate">
    <vt:lpwstr>2024-08-17T08:32:25Z</vt:lpwstr>
  </property>
  <property fmtid="{D5CDD505-2E9C-101B-9397-08002B2CF9AE}" pid="4" name="MSIP_Label_c0868974-0050-4ad5-ad3e-af5156c437c1_Method">
    <vt:lpwstr>Privileged</vt:lpwstr>
  </property>
  <property fmtid="{D5CDD505-2E9C-101B-9397-08002B2CF9AE}" pid="5" name="MSIP_Label_c0868974-0050-4ad5-ad3e-af5156c437c1_Name">
    <vt:lpwstr>c0868974-0050-4ad5-ad3e-af5156c437c1</vt:lpwstr>
  </property>
  <property fmtid="{D5CDD505-2E9C-101B-9397-08002B2CF9AE}" pid="6" name="MSIP_Label_c0868974-0050-4ad5-ad3e-af5156c437c1_SiteId">
    <vt:lpwstr>264b9899-fe1b-430b-9509-2154878d5774</vt:lpwstr>
  </property>
  <property fmtid="{D5CDD505-2E9C-101B-9397-08002B2CF9AE}" pid="7" name="MSIP_Label_c0868974-0050-4ad5-ad3e-af5156c437c1_ActionId">
    <vt:lpwstr>4e3293fe-f351-49fa-9436-4c54ba5f7756</vt:lpwstr>
  </property>
  <property fmtid="{D5CDD505-2E9C-101B-9397-08002B2CF9AE}" pid="8" name="MSIP_Label_c0868974-0050-4ad5-ad3e-af5156c437c1_ContentBits">
    <vt:lpwstr>2</vt:lpwstr>
  </property>
</Properties>
</file>